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showInkAnnotation="0" defaultThemeVersion="124226"/>
  <mc:AlternateContent xmlns:mc="http://schemas.openxmlformats.org/markup-compatibility/2006">
    <mc:Choice Requires="x15">
      <x15ac:absPath xmlns:x15ac="http://schemas.microsoft.com/office/spreadsheetml/2010/11/ac" url="W:\FERC Contract &amp; Cost Analysis\2025 Order 898 Compliance Filing\Final Filing Documents\"/>
    </mc:Choice>
  </mc:AlternateContent>
  <xr:revisionPtr revIDLastSave="0" documentId="13_ncr:1_{45995395-BAED-44B8-9D85-34901055FBED}" xr6:coauthVersionLast="47" xr6:coauthVersionMax="47" xr10:uidLastSave="{00000000-0000-0000-0000-000000000000}"/>
  <bookViews>
    <workbookView xWindow="-30705" yWindow="1395" windowWidth="27855" windowHeight="17925" xr2:uid="{EBCFAA4A-B86F-4C09-9877-C309CCB7EEA8}"/>
  </bookViews>
  <sheets>
    <sheet name="Heading" sheetId="76" r:id="rId1"/>
    <sheet name="Contents" sheetId="68" r:id="rId2"/>
    <sheet name="Overview" sheetId="9" r:id="rId3"/>
    <sheet name="1-BaseTRR" sheetId="1" r:id="rId4"/>
    <sheet name="2-IFPTRR" sheetId="7" r:id="rId5"/>
    <sheet name="3-TrueUpAdjust" sheetId="65" r:id="rId6"/>
    <sheet name="4-TUTRR" sheetId="8" r:id="rId7"/>
    <sheet name="5-ROR-1" sheetId="82" r:id="rId8"/>
    <sheet name="5-ROR-2" sheetId="72" r:id="rId9"/>
    <sheet name="6-PlantInService" sheetId="4" r:id="rId10"/>
    <sheet name="7-PlantStudy" sheetId="56" r:id="rId11"/>
    <sheet name="8-AccDep" sheetId="21" r:id="rId12"/>
    <sheet name="9-ADIT-1" sheetId="15" r:id="rId13"/>
    <sheet name="9-ADIT-2" sheetId="84" r:id="rId14"/>
    <sheet name="9-ADIT-3" sheetId="83" r:id="rId15"/>
    <sheet name="10-CWIP" sheetId="49" r:id="rId16"/>
    <sheet name="11-PHFU" sheetId="54" r:id="rId17"/>
    <sheet name="12-AbandonedPlant" sheetId="45" r:id="rId18"/>
    <sheet name="13-WorkCap" sheetId="22" r:id="rId19"/>
    <sheet name="14-IncentivePlant" sheetId="11" r:id="rId20"/>
    <sheet name="15-IncentiveAdder" sheetId="12" r:id="rId21"/>
    <sheet name="16-PlantAdditions" sheetId="48" r:id="rId22"/>
    <sheet name="17-Depreciation" sheetId="64" r:id="rId23"/>
    <sheet name="18-DepRates" sheetId="63" r:id="rId24"/>
    <sheet name="19-OandM" sheetId="46" r:id="rId25"/>
    <sheet name="20-AandG" sheetId="26" r:id="rId26"/>
    <sheet name="21-RevenueCredits" sheetId="61" r:id="rId27"/>
    <sheet name="22-NUCs" sheetId="66" r:id="rId28"/>
    <sheet name="23-RegAssets" sheetId="55" r:id="rId29"/>
    <sheet name="24-CWIPTRR" sheetId="71" r:id="rId30"/>
    <sheet name="25-WholesaleDifference" sheetId="86" r:id="rId31"/>
    <sheet name="26-TaxRates" sheetId="17" r:id="rId32"/>
    <sheet name="27-Allocators" sheetId="2" r:id="rId33"/>
    <sheet name="28-FFU" sheetId="30" r:id="rId34"/>
    <sheet name="29-WholesaleTRRs" sheetId="31" r:id="rId35"/>
    <sheet name="30-WholesaleRates" sheetId="32" r:id="rId36"/>
    <sheet name="31-HVLV" sheetId="57" r:id="rId37"/>
    <sheet name="32-GrossLoad" sheetId="42" r:id="rId38"/>
    <sheet name="33-RetailRates" sheetId="53" r:id="rId39"/>
    <sheet name="34-UnfundedReserves" sheetId="79" r:id="rId40"/>
    <sheet name="35-Other Formula Revenue" sheetId="85" r:id="rId41"/>
  </sheets>
  <definedNames>
    <definedName name="_xlnm._FilterDatabase" localSheetId="26" hidden="1">'21-RevenueCredits'!$A$1:$O$302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5">'10-CWIP'!$A$1:$L$551</definedName>
    <definedName name="_xlnm.Print_Area" localSheetId="16">'11-PHFU'!$A$1:$F$62</definedName>
    <definedName name="_xlnm.Print_Area" localSheetId="17">'12-AbandonedPlant'!$A$1:$J$56</definedName>
    <definedName name="_xlnm.Print_Area" localSheetId="18">'13-WorkCap'!$A$1:$G$69</definedName>
    <definedName name="_xlnm.Print_Area" localSheetId="19">'14-IncentivePlant'!$A$1:$J$492</definedName>
    <definedName name="_xlnm.Print_Area" localSheetId="20">'15-IncentiveAdder'!$A$1:$J$112</definedName>
    <definedName name="_xlnm.Print_Area" localSheetId="21">'16-PlantAdditions'!$A$1:$P$143</definedName>
    <definedName name="_xlnm.Print_Area" localSheetId="22">'17-Depreciation'!$A$1:$M$155</definedName>
    <definedName name="_xlnm.Print_Area" localSheetId="23">'18-DepRates'!$A$1:$G$82</definedName>
    <definedName name="_xlnm.Print_Area" localSheetId="24">'19-OandM'!$A$1:$M$155</definedName>
    <definedName name="_xlnm.Print_Area" localSheetId="3">'1-BaseTRR'!$A$1:$K$185</definedName>
    <definedName name="_xlnm.Print_Area" localSheetId="25">'20-AandG'!$A$1:$K$119</definedName>
    <definedName name="_xlnm.Print_Area" localSheetId="26">'21-RevenueCredits'!$A$1:$O$304</definedName>
    <definedName name="_xlnm.Print_Area" localSheetId="27">'22-NUCs'!$A$1:$F$27</definedName>
    <definedName name="_xlnm.Print_Area" localSheetId="28">'23-RegAssets'!$A$1:$I$37</definedName>
    <definedName name="_xlnm.Print_Area" localSheetId="29">'24-CWIPTRR'!$A$1:$J$213</definedName>
    <definedName name="_xlnm.Print_Area" localSheetId="30">'25-WholesaleDifference'!$A$1:$J$30</definedName>
    <definedName name="_xlnm.Print_Area" localSheetId="31">'26-TaxRates'!$A$1:$F$41</definedName>
    <definedName name="_xlnm.Print_Area" localSheetId="32">'27-Allocators'!$A$1:$K$54</definedName>
    <definedName name="_xlnm.Print_Area" localSheetId="33">'28-FFU'!$A$1:$J$46</definedName>
    <definedName name="_xlnm.Print_Area" localSheetId="34">'29-WholesaleTRRs'!$A$1:$I$41</definedName>
    <definedName name="_xlnm.Print_Area" localSheetId="4">'2-IFPTRR'!$A$1:$G$91</definedName>
    <definedName name="_xlnm.Print_Area" localSheetId="35">'30-WholesaleRates'!$A$1:$J$33</definedName>
    <definedName name="_xlnm.Print_Area" localSheetId="36">'31-HVLV'!$A$1:$L$51</definedName>
    <definedName name="_xlnm.Print_Area" localSheetId="37">'32-GrossLoad'!$A$1:$I$20</definedName>
    <definedName name="_xlnm.Print_Area" localSheetId="38">'33-RetailRates'!$A$1:$P$130</definedName>
    <definedName name="_xlnm.Print_Area" localSheetId="39">'34-UnfundedReserves'!$A$1:$K$45</definedName>
    <definedName name="_xlnm.Print_Area" localSheetId="40">'35-Other Formula Revenue'!$A$1:$G$130</definedName>
    <definedName name="_xlnm.Print_Area" localSheetId="5">'3-TrueUpAdjust'!$A$1:$L$135</definedName>
    <definedName name="_xlnm.Print_Area" localSheetId="6">'4-TUTRR'!$A$1:$J$113</definedName>
    <definedName name="_xlnm.Print_Area" localSheetId="7">'5-ROR-1'!$A$1:$L$50</definedName>
    <definedName name="_xlnm.Print_Area" localSheetId="8">'5-ROR-2'!$A$1:$P$71</definedName>
    <definedName name="_xlnm.Print_Area" localSheetId="9">'6-PlantInService'!$A$1:$M$289</definedName>
    <definedName name="_xlnm.Print_Area" localSheetId="10">'7-PlantStudy'!$A$1:$H$68</definedName>
    <definedName name="_xlnm.Print_Area" localSheetId="11">'8-AccDep'!$A$1:$N$198</definedName>
    <definedName name="_xlnm.Print_Area" localSheetId="12">'9-ADIT-1'!$A$1:$J$163</definedName>
    <definedName name="_xlnm.Print_Area" localSheetId="13">'9-ADIT-2'!$A$1:$M$75</definedName>
    <definedName name="_xlnm.Print_Area" localSheetId="14">'9-ADIT-3'!$A$1:$I$62</definedName>
    <definedName name="_xlnm.Print_Area" localSheetId="1">Contents!$A$1:$D$39</definedName>
    <definedName name="_xlnm.Print_Area" localSheetId="0">Heading!$A$1:$J$11</definedName>
    <definedName name="_xlnm.Print_Area" localSheetId="2">Overview!$A$1:$I$28</definedName>
    <definedName name="_xlnm.Print_Titles" localSheetId="3">'1-BaseTRR'!$1:$6</definedName>
    <definedName name="_xlnm.Print_Titles" localSheetId="26">'21-RevenueCredits'!$1:$3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4" l="1"/>
  <c r="I35" i="4"/>
  <c r="L12" i="64"/>
  <c r="M99" i="48" l="1"/>
  <c r="M78" i="48"/>
  <c r="M79" i="48" s="1"/>
  <c r="M80" i="48" s="1"/>
  <c r="M81" i="48" s="1"/>
  <c r="M82" i="48" s="1"/>
  <c r="M83" i="48" s="1"/>
  <c r="M84" i="48" s="1"/>
  <c r="M85" i="48" s="1"/>
  <c r="M86" i="48" s="1"/>
  <c r="M87" i="48" s="1"/>
  <c r="M88" i="48" s="1"/>
  <c r="M89" i="48" s="1"/>
  <c r="M90" i="48" s="1"/>
  <c r="M91" i="48" s="1"/>
  <c r="M92" i="48" s="1"/>
  <c r="M93" i="48" s="1"/>
  <c r="M94" i="48" s="1"/>
  <c r="M95" i="48" s="1"/>
  <c r="M96" i="48" s="1"/>
  <c r="M97" i="48" s="1"/>
  <c r="M98" i="48" s="1"/>
  <c r="M77" i="48"/>
  <c r="F29" i="26"/>
  <c r="F28" i="26"/>
  <c r="M46" i="48"/>
  <c r="F195" i="71"/>
  <c r="F196" i="71"/>
  <c r="F174" i="71"/>
  <c r="F175" i="71"/>
  <c r="G111" i="71"/>
  <c r="G112" i="71"/>
  <c r="G91" i="71"/>
  <c r="G92" i="71"/>
  <c r="E126" i="48"/>
  <c r="E125" i="48"/>
  <c r="E124" i="48"/>
  <c r="E123" i="48"/>
  <c r="E122" i="48"/>
  <c r="E121" i="48"/>
  <c r="D126" i="48"/>
  <c r="D125" i="48"/>
  <c r="D124" i="48"/>
  <c r="D123" i="48"/>
  <c r="D122" i="48"/>
  <c r="D121" i="48"/>
  <c r="C126" i="48"/>
  <c r="C125" i="48"/>
  <c r="C124" i="48"/>
  <c r="C123" i="48"/>
  <c r="C122" i="48"/>
  <c r="C121" i="48"/>
  <c r="F31" i="64"/>
  <c r="F28" i="56"/>
  <c r="C40" i="56" l="1"/>
  <c r="F10" i="56" l="1"/>
  <c r="H23" i="26" l="1"/>
  <c r="H22" i="26"/>
  <c r="H21" i="26"/>
  <c r="E7" i="26" l="1"/>
  <c r="H124" i="4" l="1"/>
  <c r="C124" i="4"/>
  <c r="F73" i="85"/>
  <c r="E73" i="85"/>
  <c r="G71" i="85"/>
  <c r="G70" i="85"/>
  <c r="G69" i="85"/>
  <c r="H20" i="26"/>
  <c r="I124" i="4" l="1"/>
  <c r="I123" i="4"/>
  <c r="I122" i="4"/>
  <c r="I121" i="4"/>
  <c r="I120" i="4"/>
  <c r="I119" i="4"/>
  <c r="I118" i="4"/>
  <c r="I117" i="4"/>
  <c r="I116" i="4"/>
  <c r="I115" i="4"/>
  <c r="I114" i="4"/>
  <c r="I112" i="4"/>
  <c r="I113" i="4"/>
  <c r="D57" i="26"/>
  <c r="G23" i="26" s="1"/>
  <c r="I23" i="26" s="1"/>
  <c r="D56" i="26"/>
  <c r="G22" i="26" s="1"/>
  <c r="I22" i="26" s="1"/>
  <c r="D55" i="26"/>
  <c r="G21" i="26" s="1"/>
  <c r="I21" i="26" s="1"/>
  <c r="A55" i="26"/>
  <c r="A56" i="26" s="1"/>
  <c r="A57" i="26" s="1"/>
  <c r="E24" i="26"/>
  <c r="J34" i="21" l="1"/>
  <c r="G22" i="2"/>
  <c r="D21" i="71" l="1"/>
  <c r="E22" i="71"/>
  <c r="D22" i="71"/>
  <c r="G22" i="71"/>
  <c r="G21" i="71"/>
  <c r="E44" i="61"/>
  <c r="H67" i="72"/>
  <c r="I52" i="72"/>
  <c r="I22" i="1" l="1"/>
  <c r="D73" i="85" l="1"/>
  <c r="C132" i="4" l="1"/>
  <c r="L46" i="49" l="1"/>
  <c r="D13" i="49"/>
  <c r="E39" i="11"/>
  <c r="D56" i="49" l="1"/>
  <c r="G56" i="49"/>
  <c r="H56" i="49"/>
  <c r="D57" i="49"/>
  <c r="G57" i="49"/>
  <c r="H57" i="49"/>
  <c r="D58" i="49"/>
  <c r="G58" i="49"/>
  <c r="H58" i="49"/>
  <c r="D59" i="49"/>
  <c r="G59" i="49"/>
  <c r="H59" i="49"/>
  <c r="D60" i="49"/>
  <c r="G60" i="49"/>
  <c r="H60" i="49"/>
  <c r="D61" i="49"/>
  <c r="G61" i="49"/>
  <c r="H61" i="49"/>
  <c r="D62" i="49"/>
  <c r="G62" i="49"/>
  <c r="H62" i="49"/>
  <c r="D63" i="49"/>
  <c r="G63" i="49"/>
  <c r="H63" i="49"/>
  <c r="D64" i="49"/>
  <c r="G64" i="49"/>
  <c r="H64" i="49"/>
  <c r="D65" i="49"/>
  <c r="G65" i="49"/>
  <c r="H65" i="49"/>
  <c r="D66" i="49"/>
  <c r="G66" i="49"/>
  <c r="H66" i="49"/>
  <c r="D67" i="49"/>
  <c r="G67" i="49"/>
  <c r="H67" i="49"/>
  <c r="D68" i="49"/>
  <c r="G68" i="49"/>
  <c r="H68" i="49"/>
  <c r="D69" i="49"/>
  <c r="G69" i="49"/>
  <c r="H69" i="49"/>
  <c r="D70" i="49"/>
  <c r="G70" i="49"/>
  <c r="H70" i="49"/>
  <c r="D71" i="49"/>
  <c r="G71" i="49"/>
  <c r="H71" i="49"/>
  <c r="D72" i="49"/>
  <c r="G72" i="49"/>
  <c r="H72" i="49"/>
  <c r="D73" i="49"/>
  <c r="G73" i="49"/>
  <c r="H73" i="49"/>
  <c r="D74" i="49"/>
  <c r="G74" i="49"/>
  <c r="H74" i="49"/>
  <c r="D75" i="49"/>
  <c r="G75" i="49"/>
  <c r="H75" i="49"/>
  <c r="D76" i="49"/>
  <c r="G76" i="49"/>
  <c r="H76" i="49"/>
  <c r="D77" i="49"/>
  <c r="G77" i="49"/>
  <c r="H77" i="49"/>
  <c r="D78" i="49"/>
  <c r="G78" i="49"/>
  <c r="H78" i="49"/>
  <c r="G55" i="49"/>
  <c r="H55" i="49"/>
  <c r="D55" i="49"/>
  <c r="D25" i="49"/>
  <c r="D24" i="49"/>
  <c r="D23" i="49"/>
  <c r="D22" i="49"/>
  <c r="D21" i="49"/>
  <c r="D20" i="49"/>
  <c r="D19" i="49"/>
  <c r="D18" i="49"/>
  <c r="D17" i="49"/>
  <c r="D16" i="49"/>
  <c r="D15" i="49"/>
  <c r="D14" i="49"/>
  <c r="H39" i="11"/>
  <c r="A406" i="11" l="1"/>
  <c r="A389" i="11"/>
  <c r="A370" i="11"/>
  <c r="H401" i="11"/>
  <c r="G401" i="11"/>
  <c r="H400" i="11"/>
  <c r="G400" i="11"/>
  <c r="H399" i="11"/>
  <c r="G399" i="11"/>
  <c r="H398" i="11"/>
  <c r="G398" i="11"/>
  <c r="H397" i="11"/>
  <c r="G397" i="11"/>
  <c r="H396" i="11"/>
  <c r="G396" i="11"/>
  <c r="H395" i="11"/>
  <c r="G395" i="11"/>
  <c r="H394" i="11"/>
  <c r="G394" i="11"/>
  <c r="H393" i="11"/>
  <c r="G393" i="11"/>
  <c r="H392" i="11"/>
  <c r="G392" i="11"/>
  <c r="H391" i="11"/>
  <c r="G391" i="11"/>
  <c r="H390" i="11"/>
  <c r="G390" i="11"/>
  <c r="H389" i="11"/>
  <c r="G389" i="11"/>
  <c r="H382" i="11"/>
  <c r="G382" i="11"/>
  <c r="H381" i="11"/>
  <c r="G381" i="11"/>
  <c r="H380" i="11"/>
  <c r="G380" i="11"/>
  <c r="H379" i="11"/>
  <c r="G379" i="11"/>
  <c r="H378" i="11"/>
  <c r="G378" i="11"/>
  <c r="H377" i="11"/>
  <c r="G377" i="11"/>
  <c r="H376" i="11"/>
  <c r="G376" i="11"/>
  <c r="H375" i="11"/>
  <c r="G375" i="11"/>
  <c r="H374" i="11"/>
  <c r="G374" i="11"/>
  <c r="H373" i="11"/>
  <c r="G373" i="11"/>
  <c r="H372" i="11"/>
  <c r="G372" i="11"/>
  <c r="H371" i="11"/>
  <c r="G371" i="11"/>
  <c r="H370" i="11"/>
  <c r="G370" i="11"/>
  <c r="F39" i="11" l="1"/>
  <c r="H38" i="11"/>
  <c r="K46" i="49"/>
  <c r="J46" i="49"/>
  <c r="I46" i="49"/>
  <c r="E38" i="11"/>
  <c r="E37" i="11"/>
  <c r="E36" i="11"/>
  <c r="F37" i="11" l="1"/>
  <c r="E20" i="71"/>
  <c r="F38" i="11"/>
  <c r="E21" i="71"/>
  <c r="I541" i="49"/>
  <c r="E541" i="49"/>
  <c r="F541" i="49" s="1"/>
  <c r="I540" i="49"/>
  <c r="E540" i="49"/>
  <c r="F540" i="49" s="1"/>
  <c r="I539" i="49"/>
  <c r="E539" i="49"/>
  <c r="F539" i="49" s="1"/>
  <c r="I538" i="49"/>
  <c r="E538" i="49"/>
  <c r="F538" i="49" s="1"/>
  <c r="I537" i="49"/>
  <c r="E537" i="49"/>
  <c r="F537" i="49" s="1"/>
  <c r="I536" i="49"/>
  <c r="E536" i="49"/>
  <c r="F536" i="49" s="1"/>
  <c r="I535" i="49"/>
  <c r="E535" i="49"/>
  <c r="F535" i="49" s="1"/>
  <c r="I534" i="49"/>
  <c r="E534" i="49"/>
  <c r="F534" i="49" s="1"/>
  <c r="I533" i="49"/>
  <c r="E533" i="49"/>
  <c r="F533" i="49" s="1"/>
  <c r="I532" i="49"/>
  <c r="E532" i="49"/>
  <c r="F532" i="49" s="1"/>
  <c r="I531" i="49"/>
  <c r="E531" i="49"/>
  <c r="F531" i="49" s="1"/>
  <c r="I530" i="49"/>
  <c r="E530" i="49"/>
  <c r="F530" i="49" s="1"/>
  <c r="I529" i="49"/>
  <c r="E529" i="49"/>
  <c r="F529" i="49" s="1"/>
  <c r="I528" i="49"/>
  <c r="E528" i="49"/>
  <c r="F528" i="49" s="1"/>
  <c r="I527" i="49"/>
  <c r="E527" i="49"/>
  <c r="F527" i="49" s="1"/>
  <c r="I526" i="49"/>
  <c r="E526" i="49"/>
  <c r="F526" i="49" s="1"/>
  <c r="I525" i="49"/>
  <c r="E525" i="49"/>
  <c r="F525" i="49" s="1"/>
  <c r="I524" i="49"/>
  <c r="E524" i="49"/>
  <c r="F524" i="49" s="1"/>
  <c r="I523" i="49"/>
  <c r="E523" i="49"/>
  <c r="F523" i="49" s="1"/>
  <c r="I522" i="49"/>
  <c r="E522" i="49"/>
  <c r="F522" i="49" s="1"/>
  <c r="I521" i="49"/>
  <c r="E521" i="49"/>
  <c r="F521" i="49" s="1"/>
  <c r="I520" i="49"/>
  <c r="E520" i="49"/>
  <c r="F520" i="49" s="1"/>
  <c r="I519" i="49"/>
  <c r="E519" i="49"/>
  <c r="F519" i="49" s="1"/>
  <c r="I518" i="49"/>
  <c r="E518" i="49"/>
  <c r="F518" i="49" s="1"/>
  <c r="K516" i="49"/>
  <c r="J516" i="49"/>
  <c r="I516" i="49"/>
  <c r="H516" i="49"/>
  <c r="F516" i="49"/>
  <c r="E516" i="49"/>
  <c r="D516" i="49"/>
  <c r="K515" i="49"/>
  <c r="J515" i="49"/>
  <c r="I515" i="49"/>
  <c r="H515" i="49"/>
  <c r="G515" i="49"/>
  <c r="F515" i="49"/>
  <c r="E515" i="49"/>
  <c r="D515" i="49"/>
  <c r="G514" i="49"/>
  <c r="I508" i="49"/>
  <c r="E508" i="49"/>
  <c r="F508" i="49" s="1"/>
  <c r="I507" i="49"/>
  <c r="E507" i="49"/>
  <c r="F507" i="49" s="1"/>
  <c r="I506" i="49"/>
  <c r="E506" i="49"/>
  <c r="F506" i="49" s="1"/>
  <c r="I505" i="49"/>
  <c r="E505" i="49"/>
  <c r="F505" i="49" s="1"/>
  <c r="I504" i="49"/>
  <c r="E504" i="49"/>
  <c r="F504" i="49" s="1"/>
  <c r="I503" i="49"/>
  <c r="E503" i="49"/>
  <c r="F503" i="49" s="1"/>
  <c r="I502" i="49"/>
  <c r="E502" i="49"/>
  <c r="F502" i="49" s="1"/>
  <c r="I501" i="49"/>
  <c r="E501" i="49"/>
  <c r="F501" i="49" s="1"/>
  <c r="I500" i="49"/>
  <c r="E500" i="49"/>
  <c r="F500" i="49" s="1"/>
  <c r="I499" i="49"/>
  <c r="E499" i="49"/>
  <c r="F499" i="49" s="1"/>
  <c r="I498" i="49"/>
  <c r="E498" i="49"/>
  <c r="F498" i="49" s="1"/>
  <c r="I497" i="49"/>
  <c r="E497" i="49"/>
  <c r="F497" i="49" s="1"/>
  <c r="I496" i="49"/>
  <c r="E496" i="49"/>
  <c r="F496" i="49" s="1"/>
  <c r="I495" i="49"/>
  <c r="E495" i="49"/>
  <c r="F495" i="49" s="1"/>
  <c r="I494" i="49"/>
  <c r="E494" i="49"/>
  <c r="F494" i="49" s="1"/>
  <c r="I493" i="49"/>
  <c r="E493" i="49"/>
  <c r="F493" i="49" s="1"/>
  <c r="I492" i="49"/>
  <c r="E492" i="49"/>
  <c r="F492" i="49" s="1"/>
  <c r="I491" i="49"/>
  <c r="E491" i="49"/>
  <c r="F491" i="49" s="1"/>
  <c r="I490" i="49"/>
  <c r="E490" i="49"/>
  <c r="F490" i="49" s="1"/>
  <c r="I489" i="49"/>
  <c r="E489" i="49"/>
  <c r="F489" i="49" s="1"/>
  <c r="I488" i="49"/>
  <c r="E488" i="49"/>
  <c r="F488" i="49" s="1"/>
  <c r="I487" i="49"/>
  <c r="E487" i="49"/>
  <c r="F487" i="49" s="1"/>
  <c r="I486" i="49"/>
  <c r="E486" i="49"/>
  <c r="F486" i="49" s="1"/>
  <c r="I485" i="49"/>
  <c r="E485" i="49"/>
  <c r="F485" i="49" s="1"/>
  <c r="K483" i="49"/>
  <c r="J483" i="49"/>
  <c r="I483" i="49"/>
  <c r="H483" i="49"/>
  <c r="F483" i="49"/>
  <c r="E483" i="49"/>
  <c r="D483" i="49"/>
  <c r="K482" i="49"/>
  <c r="J482" i="49"/>
  <c r="I482" i="49"/>
  <c r="H482" i="49"/>
  <c r="F482" i="49"/>
  <c r="E482" i="49"/>
  <c r="D482" i="49"/>
  <c r="G481" i="49"/>
  <c r="J518" i="49" l="1"/>
  <c r="K518" i="49" s="1"/>
  <c r="J485" i="49"/>
  <c r="K485" i="49" s="1"/>
  <c r="J486" i="49" l="1"/>
  <c r="J487" i="49" s="1"/>
  <c r="J519" i="49"/>
  <c r="J520" i="49" s="1"/>
  <c r="K519" i="49" l="1"/>
  <c r="K486" i="49"/>
  <c r="K520" i="49"/>
  <c r="J521" i="49"/>
  <c r="K487" i="49"/>
  <c r="J488" i="49"/>
  <c r="K521" i="49" l="1"/>
  <c r="J522" i="49"/>
  <c r="J489" i="49"/>
  <c r="K488" i="49"/>
  <c r="K522" i="49" l="1"/>
  <c r="J523" i="49"/>
  <c r="K489" i="49"/>
  <c r="J490" i="49"/>
  <c r="J524" i="49" l="1"/>
  <c r="K523" i="49"/>
  <c r="J491" i="49"/>
  <c r="K490" i="49"/>
  <c r="K524" i="49" l="1"/>
  <c r="J525" i="49"/>
  <c r="K491" i="49"/>
  <c r="J492" i="49"/>
  <c r="K525" i="49" l="1"/>
  <c r="J526" i="49"/>
  <c r="J493" i="49"/>
  <c r="K492" i="49"/>
  <c r="J527" i="49" l="1"/>
  <c r="K526" i="49"/>
  <c r="K493" i="49"/>
  <c r="J494" i="49"/>
  <c r="J528" i="49" l="1"/>
  <c r="K527" i="49"/>
  <c r="J495" i="49"/>
  <c r="K494" i="49"/>
  <c r="K528" i="49" l="1"/>
  <c r="J529" i="49"/>
  <c r="K495" i="49"/>
  <c r="J496" i="49"/>
  <c r="K529" i="49" l="1"/>
  <c r="J530" i="49"/>
  <c r="K496" i="49"/>
  <c r="J497" i="49"/>
  <c r="J531" i="49" l="1"/>
  <c r="K530" i="49"/>
  <c r="K497" i="49"/>
  <c r="J498" i="49"/>
  <c r="J532" i="49" l="1"/>
  <c r="K531" i="49"/>
  <c r="J499" i="49"/>
  <c r="K498" i="49"/>
  <c r="K532" i="49" l="1"/>
  <c r="J533" i="49"/>
  <c r="K499" i="49"/>
  <c r="J500" i="49"/>
  <c r="K533" i="49" l="1"/>
  <c r="J534" i="49"/>
  <c r="K500" i="49"/>
  <c r="J501" i="49"/>
  <c r="K534" i="49" l="1"/>
  <c r="J535" i="49"/>
  <c r="K501" i="49"/>
  <c r="J502" i="49"/>
  <c r="J536" i="49" l="1"/>
  <c r="K535" i="49"/>
  <c r="J503" i="49"/>
  <c r="K502" i="49"/>
  <c r="K536" i="49" l="1"/>
  <c r="J537" i="49"/>
  <c r="K503" i="49"/>
  <c r="J504" i="49"/>
  <c r="J538" i="49" l="1"/>
  <c r="K537" i="49"/>
  <c r="K504" i="49"/>
  <c r="J505" i="49"/>
  <c r="K538" i="49" l="1"/>
  <c r="J539" i="49"/>
  <c r="K505" i="49"/>
  <c r="J506" i="49"/>
  <c r="J540" i="49" l="1"/>
  <c r="K539" i="49"/>
  <c r="J507" i="49"/>
  <c r="K506" i="49"/>
  <c r="K540" i="49" l="1"/>
  <c r="J541" i="49"/>
  <c r="K541" i="49" s="1"/>
  <c r="K542" i="49" s="1"/>
  <c r="G39" i="11" s="1"/>
  <c r="K507" i="49"/>
  <c r="J508" i="49"/>
  <c r="K508" i="49" s="1"/>
  <c r="K509" i="49" s="1"/>
  <c r="G38" i="11" l="1"/>
  <c r="F21" i="71"/>
  <c r="N40" i="61"/>
  <c r="J40" i="61"/>
  <c r="M40" i="61" s="1"/>
  <c r="G40" i="61"/>
  <c r="I40" i="61" s="1"/>
  <c r="N41" i="61"/>
  <c r="J41" i="61"/>
  <c r="M41" i="61" s="1"/>
  <c r="G41" i="61"/>
  <c r="I41" i="61" s="1"/>
  <c r="N39" i="61"/>
  <c r="J39" i="61"/>
  <c r="M39" i="61" s="1"/>
  <c r="G39" i="61"/>
  <c r="I39" i="61" s="1"/>
  <c r="G245" i="61" l="1"/>
  <c r="A122" i="15" l="1"/>
  <c r="A123" i="15" s="1"/>
  <c r="A124" i="15" s="1"/>
  <c r="A125" i="15" s="1"/>
  <c r="A100" i="15"/>
  <c r="A101" i="15" s="1"/>
  <c r="A102" i="15" s="1"/>
  <c r="A103" i="15" s="1"/>
  <c r="A104" i="15" s="1"/>
  <c r="A105" i="15" s="1"/>
  <c r="A106" i="15" s="1"/>
  <c r="A107" i="15" s="1"/>
  <c r="A108" i="15" s="1"/>
  <c r="A80" i="15"/>
  <c r="A81" i="15" s="1"/>
  <c r="A82" i="15" s="1"/>
  <c r="A83" i="15" s="1"/>
  <c r="A59" i="15"/>
  <c r="A60" i="15" s="1"/>
  <c r="A61" i="15" s="1"/>
  <c r="A62" i="15" s="1"/>
  <c r="A63" i="15" s="1"/>
  <c r="A32" i="15"/>
  <c r="A33" i="15" s="1"/>
  <c r="A34" i="15" s="1"/>
  <c r="A35" i="15" s="1"/>
  <c r="A36" i="15" s="1"/>
  <c r="A37" i="15" s="1"/>
  <c r="A38" i="15" s="1"/>
  <c r="A39" i="15" s="1"/>
  <c r="A40" i="15" s="1"/>
  <c r="A41" i="15" s="1"/>
  <c r="A42" i="15" s="1"/>
  <c r="A43" i="15" s="1"/>
  <c r="A44" i="15" s="1"/>
  <c r="A45" i="15" s="1"/>
  <c r="G148" i="15" l="1"/>
  <c r="G156" i="15"/>
  <c r="C26" i="56" l="1"/>
  <c r="C12" i="56"/>
  <c r="L21" i="82"/>
  <c r="C17" i="56" l="1"/>
  <c r="C28" i="56" s="1"/>
  <c r="G12" i="86"/>
  <c r="H11" i="86"/>
  <c r="C42" i="56" l="1"/>
  <c r="F48" i="26"/>
  <c r="D48" i="26" s="1"/>
  <c r="L179" i="4" l="1"/>
  <c r="L178" i="4"/>
  <c r="N49" i="61" l="1"/>
  <c r="J49" i="61"/>
  <c r="M49" i="61" s="1"/>
  <c r="G49" i="61"/>
  <c r="I49" i="61" s="1"/>
  <c r="N38" i="61"/>
  <c r="N37" i="61"/>
  <c r="N36" i="61"/>
  <c r="N35" i="61"/>
  <c r="J38" i="61"/>
  <c r="M38" i="61" s="1"/>
  <c r="G38" i="61"/>
  <c r="I38" i="61" s="1"/>
  <c r="J37" i="61"/>
  <c r="M37" i="61" s="1"/>
  <c r="G37" i="61"/>
  <c r="I37" i="61" s="1"/>
  <c r="J36" i="61"/>
  <c r="M36" i="61" s="1"/>
  <c r="G36" i="61"/>
  <c r="I36" i="61" s="1"/>
  <c r="J35" i="61"/>
  <c r="M35" i="61" s="1"/>
  <c r="G35" i="61"/>
  <c r="I35" i="61" s="1"/>
  <c r="N86" i="61" l="1"/>
  <c r="J86" i="61" l="1"/>
  <c r="G86" i="61"/>
  <c r="I86" i="61" s="1"/>
  <c r="L89" i="61"/>
  <c r="E89" i="61"/>
  <c r="M86" i="61" l="1"/>
  <c r="D54" i="15"/>
  <c r="E25" i="12"/>
  <c r="G20" i="46" l="1"/>
  <c r="N189" i="61" l="1"/>
  <c r="J189" i="61"/>
  <c r="M189" i="61" s="1"/>
  <c r="G189" i="61"/>
  <c r="I189" i="61" s="1"/>
  <c r="N159" i="61"/>
  <c r="N158" i="61"/>
  <c r="N157" i="61"/>
  <c r="N156" i="61"/>
  <c r="J159" i="61"/>
  <c r="M159" i="61" s="1"/>
  <c r="J158" i="61"/>
  <c r="M158" i="61" s="1"/>
  <c r="J157" i="61"/>
  <c r="M157" i="61" s="1"/>
  <c r="J156" i="61"/>
  <c r="M156" i="61" s="1"/>
  <c r="J155" i="61"/>
  <c r="M155" i="61" s="1"/>
  <c r="G155" i="61"/>
  <c r="I155" i="61" s="1"/>
  <c r="J154" i="61"/>
  <c r="M154" i="61" s="1"/>
  <c r="G154" i="61"/>
  <c r="I154" i="61" s="1"/>
  <c r="N48" i="61"/>
  <c r="H128" i="15" l="1"/>
  <c r="G128" i="15"/>
  <c r="F128" i="15"/>
  <c r="E128" i="15"/>
  <c r="D128" i="15"/>
  <c r="F117" i="15"/>
  <c r="D117" i="15"/>
  <c r="H86" i="15"/>
  <c r="G86" i="15"/>
  <c r="F86" i="15"/>
  <c r="F88" i="15" s="1"/>
  <c r="E86" i="15"/>
  <c r="D86" i="15"/>
  <c r="H66" i="15"/>
  <c r="G66" i="15"/>
  <c r="F66" i="15"/>
  <c r="E66" i="15"/>
  <c r="D66" i="15"/>
  <c r="F54" i="15"/>
  <c r="G149" i="15"/>
  <c r="G157" i="15"/>
  <c r="N31" i="61"/>
  <c r="N32" i="61"/>
  <c r="N33" i="61"/>
  <c r="G17" i="85"/>
  <c r="J11" i="46" s="1"/>
  <c r="M11" i="46" s="1"/>
  <c r="E74" i="46" s="1"/>
  <c r="G100" i="85"/>
  <c r="D105" i="85"/>
  <c r="L11" i="46"/>
  <c r="D74" i="46" s="1"/>
  <c r="E6" i="66"/>
  <c r="E41" i="30"/>
  <c r="D22" i="30" s="1"/>
  <c r="L255" i="61"/>
  <c r="H255" i="61"/>
  <c r="J253" i="61"/>
  <c r="J255" i="61" s="1"/>
  <c r="G253" i="61"/>
  <c r="I253" i="61" s="1"/>
  <c r="I255" i="61" s="1"/>
  <c r="H9" i="26"/>
  <c r="D49" i="85"/>
  <c r="G89" i="85"/>
  <c r="F181" i="1" s="1"/>
  <c r="H181" i="1" s="1"/>
  <c r="K47" i="1" s="1"/>
  <c r="G88" i="85"/>
  <c r="F180" i="1" s="1"/>
  <c r="H180" i="1" s="1"/>
  <c r="K46" i="1" s="1"/>
  <c r="H19" i="26"/>
  <c r="H18" i="26"/>
  <c r="H17" i="26"/>
  <c r="H16" i="26"/>
  <c r="H15" i="26"/>
  <c r="H14" i="26"/>
  <c r="H13" i="26"/>
  <c r="H12" i="26"/>
  <c r="H11" i="26"/>
  <c r="H10" i="26"/>
  <c r="H8" i="26"/>
  <c r="H7" i="26"/>
  <c r="G104" i="85"/>
  <c r="G103" i="85"/>
  <c r="G102" i="85"/>
  <c r="G101" i="85"/>
  <c r="G93" i="85"/>
  <c r="F185" i="1" s="1"/>
  <c r="H185" i="1" s="1"/>
  <c r="K51" i="1" s="1"/>
  <c r="G92" i="85"/>
  <c r="F184" i="1" s="1"/>
  <c r="H184" i="1" s="1"/>
  <c r="K50" i="1" s="1"/>
  <c r="G91" i="85"/>
  <c r="F183" i="1" s="1"/>
  <c r="H183" i="1" s="1"/>
  <c r="K49" i="1" s="1"/>
  <c r="G90" i="85"/>
  <c r="F182" i="1" s="1"/>
  <c r="H182" i="1" s="1"/>
  <c r="K48" i="1" s="1"/>
  <c r="G87" i="85"/>
  <c r="F179" i="1" s="1"/>
  <c r="H179" i="1" s="1"/>
  <c r="K45" i="1" s="1"/>
  <c r="G79" i="85"/>
  <c r="G68" i="85"/>
  <c r="G67" i="85"/>
  <c r="G66" i="85"/>
  <c r="G65" i="85"/>
  <c r="G64" i="85"/>
  <c r="G63" i="85"/>
  <c r="G62" i="85"/>
  <c r="G61" i="85"/>
  <c r="G60" i="85"/>
  <c r="G59" i="85"/>
  <c r="G58" i="85"/>
  <c r="G57" i="85"/>
  <c r="G56" i="85"/>
  <c r="G55" i="85"/>
  <c r="G47" i="85"/>
  <c r="J42" i="46"/>
  <c r="M42" i="46" s="1"/>
  <c r="E105" i="46" s="1"/>
  <c r="G46" i="85"/>
  <c r="J40" i="46" s="1"/>
  <c r="M40" i="46" s="1"/>
  <c r="E103" i="46" s="1"/>
  <c r="G45" i="85"/>
  <c r="J39" i="46" s="1"/>
  <c r="M39" i="46" s="1"/>
  <c r="E102" i="46" s="1"/>
  <c r="I102" i="46" s="1"/>
  <c r="G44" i="85"/>
  <c r="J38" i="46" s="1"/>
  <c r="M38" i="46" s="1"/>
  <c r="E101" i="46" s="1"/>
  <c r="G43" i="85"/>
  <c r="J37" i="46" s="1"/>
  <c r="M37" i="46" s="1"/>
  <c r="E100" i="46" s="1"/>
  <c r="I100" i="46" s="1"/>
  <c r="G42" i="85"/>
  <c r="J36" i="46" s="1"/>
  <c r="M36" i="46" s="1"/>
  <c r="E99" i="46" s="1"/>
  <c r="G41" i="85"/>
  <c r="J35" i="46" s="1"/>
  <c r="M35" i="46" s="1"/>
  <c r="E98" i="46" s="1"/>
  <c r="I98" i="46" s="1"/>
  <c r="G40" i="85"/>
  <c r="J34" i="46" s="1"/>
  <c r="M34" i="46" s="1"/>
  <c r="E97" i="46" s="1"/>
  <c r="G39" i="85"/>
  <c r="J33" i="46" s="1"/>
  <c r="M33" i="46" s="1"/>
  <c r="E96" i="46" s="1"/>
  <c r="I96" i="46" s="1"/>
  <c r="G38" i="85"/>
  <c r="J32" i="46" s="1"/>
  <c r="M32" i="46" s="1"/>
  <c r="E95" i="46" s="1"/>
  <c r="G37" i="85"/>
  <c r="J31" i="46" s="1"/>
  <c r="M31" i="46" s="1"/>
  <c r="E94" i="46" s="1"/>
  <c r="I94" i="46" s="1"/>
  <c r="G36" i="85"/>
  <c r="J30" i="46" s="1"/>
  <c r="M30" i="46" s="1"/>
  <c r="E93" i="46" s="1"/>
  <c r="G35" i="85"/>
  <c r="J29" i="46" s="1"/>
  <c r="M29" i="46" s="1"/>
  <c r="E92" i="46" s="1"/>
  <c r="I92" i="46" s="1"/>
  <c r="G34" i="85"/>
  <c r="J28" i="46" s="1"/>
  <c r="M28" i="46" s="1"/>
  <c r="E91" i="46" s="1"/>
  <c r="I91" i="46" s="1"/>
  <c r="G33" i="85"/>
  <c r="J27" i="46" s="1"/>
  <c r="M27" i="46" s="1"/>
  <c r="G32" i="85"/>
  <c r="J26" i="46" s="1"/>
  <c r="M26" i="46" s="1"/>
  <c r="E89" i="46" s="1"/>
  <c r="I89" i="46" s="1"/>
  <c r="G31" i="85"/>
  <c r="J25" i="46" s="1"/>
  <c r="M25" i="46" s="1"/>
  <c r="E88" i="46" s="1"/>
  <c r="I88" i="46" s="1"/>
  <c r="G30" i="85"/>
  <c r="J24" i="46" s="1"/>
  <c r="M24" i="46" s="1"/>
  <c r="E87" i="46" s="1"/>
  <c r="G29" i="85"/>
  <c r="J23" i="46" s="1"/>
  <c r="M23" i="46" s="1"/>
  <c r="E86" i="46" s="1"/>
  <c r="I86" i="46" s="1"/>
  <c r="G28" i="85"/>
  <c r="J22" i="46" s="1"/>
  <c r="M22" i="46" s="1"/>
  <c r="E85" i="46" s="1"/>
  <c r="I85" i="46" s="1"/>
  <c r="G27" i="85"/>
  <c r="J21" i="46" s="1"/>
  <c r="M21" i="46" s="1"/>
  <c r="E84" i="46" s="1"/>
  <c r="I84" i="46" s="1"/>
  <c r="G26" i="85"/>
  <c r="J20" i="46" s="1"/>
  <c r="M20" i="46" s="1"/>
  <c r="E83" i="46" s="1"/>
  <c r="G25" i="85"/>
  <c r="J19" i="46" s="1"/>
  <c r="M19" i="46" s="1"/>
  <c r="E82" i="46" s="1"/>
  <c r="G24" i="85"/>
  <c r="J18" i="46" s="1"/>
  <c r="M18" i="46" s="1"/>
  <c r="E81" i="46" s="1"/>
  <c r="I81" i="46" s="1"/>
  <c r="G23" i="85"/>
  <c r="J17" i="46" s="1"/>
  <c r="M17" i="46" s="1"/>
  <c r="E80" i="46" s="1"/>
  <c r="I80" i="46" s="1"/>
  <c r="G22" i="85"/>
  <c r="J16" i="46" s="1"/>
  <c r="M16" i="46" s="1"/>
  <c r="E79" i="46" s="1"/>
  <c r="G21" i="85"/>
  <c r="J15" i="46"/>
  <c r="M15" i="46" s="1"/>
  <c r="E78" i="46" s="1"/>
  <c r="I78" i="46" s="1"/>
  <c r="G20" i="85"/>
  <c r="J14" i="46" s="1"/>
  <c r="M14" i="46" s="1"/>
  <c r="E77" i="46" s="1"/>
  <c r="I77" i="46" s="1"/>
  <c r="G19" i="85"/>
  <c r="J13" i="46" s="1"/>
  <c r="M13" i="46" s="1"/>
  <c r="E76" i="46" s="1"/>
  <c r="G18" i="85"/>
  <c r="J12" i="46" s="1"/>
  <c r="F49" i="85"/>
  <c r="E49" i="85"/>
  <c r="F80" i="85"/>
  <c r="E80" i="85"/>
  <c r="F105" i="85"/>
  <c r="E105" i="85"/>
  <c r="F94" i="85"/>
  <c r="E94" i="85"/>
  <c r="D80" i="85"/>
  <c r="D94" i="85"/>
  <c r="A6" i="85"/>
  <c r="A7" i="85" s="1"/>
  <c r="A8" i="85" s="1"/>
  <c r="A17" i="85" s="1"/>
  <c r="A18" i="85" s="1"/>
  <c r="A19" i="85" s="1"/>
  <c r="A20" i="85" s="1"/>
  <c r="A21" i="85" s="1"/>
  <c r="A22" i="85" s="1"/>
  <c r="A23" i="85" s="1"/>
  <c r="A24" i="85" s="1"/>
  <c r="A25" i="85" s="1"/>
  <c r="A26" i="85" s="1"/>
  <c r="A27" i="85" s="1"/>
  <c r="A28" i="85" s="1"/>
  <c r="A29" i="85" s="1"/>
  <c r="A30" i="85" s="1"/>
  <c r="A31" i="85" s="1"/>
  <c r="A32" i="85" s="1"/>
  <c r="A33" i="85" s="1"/>
  <c r="A34" i="85" s="1"/>
  <c r="A35" i="85" s="1"/>
  <c r="A36" i="85" s="1"/>
  <c r="A37" i="85" s="1"/>
  <c r="A38" i="85" s="1"/>
  <c r="A39" i="85" s="1"/>
  <c r="A40" i="85" s="1"/>
  <c r="A41" i="85" s="1"/>
  <c r="A42" i="85" s="1"/>
  <c r="A43" i="85" s="1"/>
  <c r="A44" i="85" s="1"/>
  <c r="A45" i="85" s="1"/>
  <c r="A46" i="85" s="1"/>
  <c r="A47" i="85" s="1"/>
  <c r="A48" i="85" s="1"/>
  <c r="A49" i="85" s="1"/>
  <c r="A55" i="85" s="1"/>
  <c r="A56" i="85" s="1"/>
  <c r="A57" i="85" s="1"/>
  <c r="A58" i="85" s="1"/>
  <c r="A59" i="85" s="1"/>
  <c r="A60" i="85" s="1"/>
  <c r="A61" i="85" s="1"/>
  <c r="A62" i="85" s="1"/>
  <c r="A63" i="85" s="1"/>
  <c r="A64" i="85" s="1"/>
  <c r="A65" i="85" s="1"/>
  <c r="A66" i="85" s="1"/>
  <c r="A67" i="85" s="1"/>
  <c r="A68" i="85" s="1"/>
  <c r="A72" i="85" s="1"/>
  <c r="A73" i="85" s="1"/>
  <c r="A79" i="85" s="1"/>
  <c r="A80" i="85" s="1"/>
  <c r="A87" i="85" s="1"/>
  <c r="A88" i="85" s="1"/>
  <c r="A89" i="85" s="1"/>
  <c r="A90" i="85" s="1"/>
  <c r="A91" i="85" s="1"/>
  <c r="A92" i="85" s="1"/>
  <c r="A93" i="85" s="1"/>
  <c r="A94" i="85" s="1"/>
  <c r="A100" i="85" s="1"/>
  <c r="A101" i="85" s="1"/>
  <c r="A102" i="85" s="1"/>
  <c r="A103" i="85" s="1"/>
  <c r="A104" i="85" s="1"/>
  <c r="A105" i="85" s="1"/>
  <c r="A106" i="85" s="1"/>
  <c r="A107" i="85" s="1"/>
  <c r="A108" i="85" s="1"/>
  <c r="A109" i="85" s="1"/>
  <c r="A110" i="85" s="1"/>
  <c r="A111" i="85" s="1"/>
  <c r="A112" i="85" s="1"/>
  <c r="A113" i="85" s="1"/>
  <c r="A114" i="85" s="1"/>
  <c r="A115" i="85" s="1"/>
  <c r="A116" i="85" s="1"/>
  <c r="E28" i="53"/>
  <c r="H130" i="53"/>
  <c r="J14" i="53"/>
  <c r="N225" i="61"/>
  <c r="N226" i="61"/>
  <c r="N227" i="61"/>
  <c r="N228" i="61"/>
  <c r="N229" i="61"/>
  <c r="N230" i="61"/>
  <c r="N231" i="61"/>
  <c r="N232" i="61"/>
  <c r="N233" i="61"/>
  <c r="G225" i="61"/>
  <c r="I225" i="61" s="1"/>
  <c r="J225" i="61"/>
  <c r="M225" i="61" s="1"/>
  <c r="G226" i="61"/>
  <c r="I226" i="61" s="1"/>
  <c r="J226" i="61"/>
  <c r="M226" i="61" s="1"/>
  <c r="G227" i="61"/>
  <c r="I227" i="61" s="1"/>
  <c r="J227" i="61"/>
  <c r="M227" i="61" s="1"/>
  <c r="G228" i="61"/>
  <c r="I228" i="61" s="1"/>
  <c r="J228" i="61"/>
  <c r="M228" i="61" s="1"/>
  <c r="G229" i="61"/>
  <c r="I229" i="61" s="1"/>
  <c r="J229" i="61"/>
  <c r="M229" i="61" s="1"/>
  <c r="G230" i="61"/>
  <c r="I230" i="61" s="1"/>
  <c r="J230" i="61"/>
  <c r="M230" i="61" s="1"/>
  <c r="G231" i="61"/>
  <c r="I231" i="61" s="1"/>
  <c r="J231" i="61"/>
  <c r="M231" i="61" s="1"/>
  <c r="G232" i="61"/>
  <c r="I232" i="61" s="1"/>
  <c r="J232" i="61"/>
  <c r="M232" i="61" s="1"/>
  <c r="G233" i="61"/>
  <c r="I233" i="61" s="1"/>
  <c r="J233" i="61"/>
  <c r="M233" i="61" s="1"/>
  <c r="J153" i="61"/>
  <c r="M153" i="61" s="1"/>
  <c r="G153" i="61"/>
  <c r="I153" i="61" s="1"/>
  <c r="N85" i="61"/>
  <c r="J85" i="61"/>
  <c r="M85" i="61" s="1"/>
  <c r="G85" i="61"/>
  <c r="I85" i="61" s="1"/>
  <c r="N84" i="61"/>
  <c r="J84" i="61"/>
  <c r="M84" i="61" s="1"/>
  <c r="G84" i="61"/>
  <c r="I84" i="61" s="1"/>
  <c r="J48" i="61"/>
  <c r="M48" i="61" s="1"/>
  <c r="G48" i="61"/>
  <c r="I48" i="61" s="1"/>
  <c r="N47" i="61"/>
  <c r="N52" i="61" s="1"/>
  <c r="J47" i="61"/>
  <c r="M47" i="61" s="1"/>
  <c r="G47" i="61"/>
  <c r="N34" i="61"/>
  <c r="J34" i="61"/>
  <c r="M34" i="61" s="1"/>
  <c r="G34" i="61"/>
  <c r="I34" i="61" s="1"/>
  <c r="J33" i="61"/>
  <c r="M33" i="61" s="1"/>
  <c r="G33" i="61"/>
  <c r="I33" i="61" s="1"/>
  <c r="J32" i="61"/>
  <c r="M32" i="61" s="1"/>
  <c r="G32" i="61"/>
  <c r="I32" i="61" s="1"/>
  <c r="J31" i="61"/>
  <c r="M31" i="61" s="1"/>
  <c r="G31" i="61"/>
  <c r="I31" i="61" s="1"/>
  <c r="E106" i="4"/>
  <c r="A115" i="15"/>
  <c r="J54" i="49"/>
  <c r="F106" i="4"/>
  <c r="F143" i="4" s="1"/>
  <c r="G106" i="4"/>
  <c r="G143" i="4" s="1"/>
  <c r="H106" i="4"/>
  <c r="H143" i="4" s="1"/>
  <c r="I106" i="4"/>
  <c r="I143" i="4" s="1"/>
  <c r="J106" i="4"/>
  <c r="J143" i="4" s="1"/>
  <c r="K106" i="4"/>
  <c r="K143" i="4" s="1"/>
  <c r="L106" i="4"/>
  <c r="L143" i="4" s="1"/>
  <c r="H89" i="65"/>
  <c r="G89" i="65"/>
  <c r="F89" i="65"/>
  <c r="E89" i="65"/>
  <c r="D89" i="65"/>
  <c r="C89" i="65"/>
  <c r="D20" i="71"/>
  <c r="H363" i="11"/>
  <c r="G363" i="11"/>
  <c r="H362" i="11"/>
  <c r="G362" i="11"/>
  <c r="H361" i="11"/>
  <c r="G361" i="11"/>
  <c r="H360" i="11"/>
  <c r="G360" i="11"/>
  <c r="H359" i="11"/>
  <c r="G359" i="11"/>
  <c r="H358" i="11"/>
  <c r="G358" i="11"/>
  <c r="H357" i="11"/>
  <c r="G357" i="11"/>
  <c r="H356" i="11"/>
  <c r="G356" i="11"/>
  <c r="H355" i="11"/>
  <c r="G355" i="11"/>
  <c r="H354" i="11"/>
  <c r="G354" i="11"/>
  <c r="H353" i="11"/>
  <c r="G353" i="11"/>
  <c r="H352" i="11"/>
  <c r="G352" i="11"/>
  <c r="H351" i="11"/>
  <c r="G351" i="11"/>
  <c r="J418" i="49"/>
  <c r="I475" i="49"/>
  <c r="E475" i="49"/>
  <c r="F475" i="49" s="1"/>
  <c r="I474" i="49"/>
  <c r="E474" i="49"/>
  <c r="F474" i="49" s="1"/>
  <c r="I473" i="49"/>
  <c r="E473" i="49"/>
  <c r="F473" i="49" s="1"/>
  <c r="I472" i="49"/>
  <c r="E472" i="49"/>
  <c r="F472" i="49" s="1"/>
  <c r="I471" i="49"/>
  <c r="E471" i="49"/>
  <c r="F471" i="49" s="1"/>
  <c r="I470" i="49"/>
  <c r="E470" i="49"/>
  <c r="F470" i="49" s="1"/>
  <c r="I469" i="49"/>
  <c r="E469" i="49"/>
  <c r="F469" i="49" s="1"/>
  <c r="I468" i="49"/>
  <c r="E468" i="49"/>
  <c r="F468" i="49" s="1"/>
  <c r="I467" i="49"/>
  <c r="E467" i="49"/>
  <c r="F467" i="49" s="1"/>
  <c r="I466" i="49"/>
  <c r="E466" i="49"/>
  <c r="F466" i="49" s="1"/>
  <c r="I465" i="49"/>
  <c r="E465" i="49"/>
  <c r="F465" i="49" s="1"/>
  <c r="I464" i="49"/>
  <c r="E464" i="49"/>
  <c r="F464" i="49" s="1"/>
  <c r="I463" i="49"/>
  <c r="E463" i="49"/>
  <c r="F463" i="49" s="1"/>
  <c r="I462" i="49"/>
  <c r="E462" i="49"/>
  <c r="F462" i="49" s="1"/>
  <c r="I461" i="49"/>
  <c r="E461" i="49"/>
  <c r="F461" i="49" s="1"/>
  <c r="I460" i="49"/>
  <c r="E460" i="49"/>
  <c r="F460" i="49" s="1"/>
  <c r="I459" i="49"/>
  <c r="E459" i="49"/>
  <c r="F459" i="49" s="1"/>
  <c r="I458" i="49"/>
  <c r="E458" i="49"/>
  <c r="F458" i="49" s="1"/>
  <c r="I457" i="49"/>
  <c r="E457" i="49"/>
  <c r="F457" i="49" s="1"/>
  <c r="I456" i="49"/>
  <c r="E456" i="49"/>
  <c r="F456" i="49" s="1"/>
  <c r="I455" i="49"/>
  <c r="E455" i="49"/>
  <c r="F455" i="49" s="1"/>
  <c r="I454" i="49"/>
  <c r="E454" i="49"/>
  <c r="F454" i="49" s="1"/>
  <c r="I453" i="49"/>
  <c r="E453" i="49"/>
  <c r="F453" i="49" s="1"/>
  <c r="I452" i="49"/>
  <c r="E452" i="49"/>
  <c r="F452" i="49" s="1"/>
  <c r="K450" i="49"/>
  <c r="J450" i="49"/>
  <c r="I450" i="49"/>
  <c r="H450" i="49"/>
  <c r="F450" i="49"/>
  <c r="E450" i="49"/>
  <c r="D450" i="49"/>
  <c r="K449" i="49"/>
  <c r="J449" i="49"/>
  <c r="I449" i="49"/>
  <c r="H449" i="49"/>
  <c r="F449" i="49"/>
  <c r="E449" i="49"/>
  <c r="D449" i="49"/>
  <c r="F36" i="11"/>
  <c r="L163" i="61"/>
  <c r="G77" i="48"/>
  <c r="H77" i="48" s="1"/>
  <c r="H14" i="48" s="1"/>
  <c r="G78" i="48"/>
  <c r="H78" i="48" s="1"/>
  <c r="H15" i="48" s="1"/>
  <c r="G79" i="48"/>
  <c r="H79" i="48" s="1"/>
  <c r="H16" i="48" s="1"/>
  <c r="G80" i="48"/>
  <c r="H80" i="48" s="1"/>
  <c r="I80" i="48" s="1"/>
  <c r="G81" i="48"/>
  <c r="H81" i="48" s="1"/>
  <c r="G82" i="48"/>
  <c r="H82" i="48" s="1"/>
  <c r="H19" i="48" s="1"/>
  <c r="G83" i="48"/>
  <c r="H83" i="48" s="1"/>
  <c r="I83" i="48" s="1"/>
  <c r="G84" i="48"/>
  <c r="G85" i="48"/>
  <c r="H85" i="48" s="1"/>
  <c r="H22" i="48" s="1"/>
  <c r="G86" i="48"/>
  <c r="H86" i="48" s="1"/>
  <c r="H23" i="48" s="1"/>
  <c r="G87" i="48"/>
  <c r="H87" i="48" s="1"/>
  <c r="G88" i="48"/>
  <c r="H88" i="48" s="1"/>
  <c r="I88" i="48" s="1"/>
  <c r="G89" i="48"/>
  <c r="G90" i="48"/>
  <c r="H90" i="48" s="1"/>
  <c r="G91" i="48"/>
  <c r="H91" i="48" s="1"/>
  <c r="G92" i="48"/>
  <c r="H92" i="48" s="1"/>
  <c r="I92" i="48" s="1"/>
  <c r="G93" i="48"/>
  <c r="G94" i="48"/>
  <c r="H94" i="48" s="1"/>
  <c r="G95" i="48"/>
  <c r="H95" i="48" s="1"/>
  <c r="G96" i="48"/>
  <c r="H96" i="48" s="1"/>
  <c r="H33" i="48" s="1"/>
  <c r="G97" i="48"/>
  <c r="H97" i="48" s="1"/>
  <c r="G98" i="48"/>
  <c r="G99" i="48"/>
  <c r="H99" i="48" s="1"/>
  <c r="H36" i="48" s="1"/>
  <c r="M76" i="48"/>
  <c r="M13" i="48" s="1"/>
  <c r="H46" i="49"/>
  <c r="E18" i="71" s="1"/>
  <c r="N186" i="61"/>
  <c r="N187" i="61"/>
  <c r="N188" i="61"/>
  <c r="F25" i="65"/>
  <c r="H24" i="65"/>
  <c r="J24" i="65" s="1"/>
  <c r="L24" i="65" s="1"/>
  <c r="N30" i="61"/>
  <c r="J30" i="61"/>
  <c r="M30" i="61" s="1"/>
  <c r="G30" i="61"/>
  <c r="I30" i="61" s="1"/>
  <c r="L236" i="61"/>
  <c r="E236" i="61"/>
  <c r="J188" i="61"/>
  <c r="M188" i="61" s="1"/>
  <c r="G188" i="61"/>
  <c r="I188" i="61" s="1"/>
  <c r="J187" i="61"/>
  <c r="M187" i="61" s="1"/>
  <c r="G187" i="61"/>
  <c r="I187" i="61" s="1"/>
  <c r="J186" i="61"/>
  <c r="M186" i="61" s="1"/>
  <c r="G186" i="61"/>
  <c r="I186" i="61" s="1"/>
  <c r="J83" i="61"/>
  <c r="M83" i="61" s="1"/>
  <c r="G83" i="61"/>
  <c r="I83" i="61" s="1"/>
  <c r="N152" i="61"/>
  <c r="N151" i="61"/>
  <c r="J152" i="61"/>
  <c r="M152" i="61" s="1"/>
  <c r="J151" i="61"/>
  <c r="M151" i="61" s="1"/>
  <c r="J150" i="61"/>
  <c r="M150" i="61" s="1"/>
  <c r="G150" i="61"/>
  <c r="I150" i="61" s="1"/>
  <c r="J149" i="61"/>
  <c r="M149" i="61" s="1"/>
  <c r="G149" i="61"/>
  <c r="I149" i="61" s="1"/>
  <c r="N83" i="61"/>
  <c r="N82" i="61"/>
  <c r="J82" i="61"/>
  <c r="M82" i="61" s="1"/>
  <c r="G82" i="61"/>
  <c r="I82" i="61" s="1"/>
  <c r="N29" i="61"/>
  <c r="N28" i="61"/>
  <c r="G27" i="61"/>
  <c r="J29" i="61"/>
  <c r="M29" i="61" s="1"/>
  <c r="G29" i="61"/>
  <c r="I29" i="61" s="1"/>
  <c r="J28" i="61"/>
  <c r="M28" i="61" s="1"/>
  <c r="G28" i="61"/>
  <c r="I28" i="61" s="1"/>
  <c r="N224" i="61"/>
  <c r="N223" i="61"/>
  <c r="G223" i="61"/>
  <c r="I223" i="61" s="1"/>
  <c r="J223" i="61"/>
  <c r="M223" i="61" s="1"/>
  <c r="G224" i="61"/>
  <c r="I224" i="61" s="1"/>
  <c r="J224" i="61"/>
  <c r="M224" i="61" s="1"/>
  <c r="H344" i="11"/>
  <c r="G344" i="11"/>
  <c r="H343" i="11"/>
  <c r="G343" i="11"/>
  <c r="H342" i="11"/>
  <c r="G342" i="11"/>
  <c r="H341" i="11"/>
  <c r="G341" i="11"/>
  <c r="H340" i="11"/>
  <c r="G340" i="11"/>
  <c r="H339" i="11"/>
  <c r="G339" i="11"/>
  <c r="H338" i="11"/>
  <c r="G338" i="11"/>
  <c r="H337" i="11"/>
  <c r="G337" i="11"/>
  <c r="H336" i="11"/>
  <c r="G336" i="11"/>
  <c r="H335" i="11"/>
  <c r="G335" i="11"/>
  <c r="H334" i="11"/>
  <c r="G334" i="11"/>
  <c r="H333" i="11"/>
  <c r="G333" i="11"/>
  <c r="H332" i="11"/>
  <c r="G332" i="11"/>
  <c r="F68" i="48"/>
  <c r="F36" i="48" s="1"/>
  <c r="E68" i="48"/>
  <c r="E36" i="48" s="1"/>
  <c r="F67" i="48"/>
  <c r="F35" i="48" s="1"/>
  <c r="E67" i="48"/>
  <c r="E35" i="48" s="1"/>
  <c r="F66" i="48"/>
  <c r="F34" i="48" s="1"/>
  <c r="E66" i="48"/>
  <c r="E34" i="48" s="1"/>
  <c r="F65" i="48"/>
  <c r="F33" i="48" s="1"/>
  <c r="E65" i="48"/>
  <c r="E33" i="48" s="1"/>
  <c r="F64" i="48"/>
  <c r="F32" i="48" s="1"/>
  <c r="E64" i="48"/>
  <c r="E32" i="48" s="1"/>
  <c r="F63" i="48"/>
  <c r="F31" i="48" s="1"/>
  <c r="E63" i="48"/>
  <c r="E31" i="48" s="1"/>
  <c r="F62" i="48"/>
  <c r="F30" i="48" s="1"/>
  <c r="E62" i="48"/>
  <c r="E30" i="48" s="1"/>
  <c r="F61" i="48"/>
  <c r="F29" i="48" s="1"/>
  <c r="E61" i="48"/>
  <c r="E29" i="48" s="1"/>
  <c r="F60" i="48"/>
  <c r="F28" i="48" s="1"/>
  <c r="E60" i="48"/>
  <c r="E28" i="48" s="1"/>
  <c r="F59" i="48"/>
  <c r="F27" i="48" s="1"/>
  <c r="E59" i="48"/>
  <c r="E27" i="48" s="1"/>
  <c r="F58" i="48"/>
  <c r="F26" i="48" s="1"/>
  <c r="E58" i="48"/>
  <c r="E26" i="48" s="1"/>
  <c r="F57" i="48"/>
  <c r="F25" i="48" s="1"/>
  <c r="E57" i="48"/>
  <c r="E25" i="48" s="1"/>
  <c r="F56" i="48"/>
  <c r="F24" i="48" s="1"/>
  <c r="E56" i="48"/>
  <c r="E24" i="48" s="1"/>
  <c r="F55" i="48"/>
  <c r="F23" i="48" s="1"/>
  <c r="E55" i="48"/>
  <c r="E23" i="48" s="1"/>
  <c r="F54" i="48"/>
  <c r="F22" i="48" s="1"/>
  <c r="E54" i="48"/>
  <c r="E22" i="48" s="1"/>
  <c r="F53" i="48"/>
  <c r="F21" i="48" s="1"/>
  <c r="E53" i="48"/>
  <c r="E21" i="48" s="1"/>
  <c r="F52" i="48"/>
  <c r="F20" i="48" s="1"/>
  <c r="E52" i="48"/>
  <c r="E20" i="48" s="1"/>
  <c r="F51" i="48"/>
  <c r="F19" i="48" s="1"/>
  <c r="E51" i="48"/>
  <c r="E19" i="48" s="1"/>
  <c r="F50" i="48"/>
  <c r="F18" i="48" s="1"/>
  <c r="E50" i="48"/>
  <c r="E18" i="48" s="1"/>
  <c r="F49" i="48"/>
  <c r="F17" i="48" s="1"/>
  <c r="E49" i="48"/>
  <c r="E17" i="48" s="1"/>
  <c r="F48" i="48"/>
  <c r="F16" i="48" s="1"/>
  <c r="E48" i="48"/>
  <c r="E16" i="48" s="1"/>
  <c r="F47" i="48"/>
  <c r="F15" i="48" s="1"/>
  <c r="E47" i="48"/>
  <c r="E15" i="48" s="1"/>
  <c r="F46" i="48"/>
  <c r="F14" i="48" s="1"/>
  <c r="E46" i="48"/>
  <c r="E14" i="48" s="1"/>
  <c r="F45" i="48"/>
  <c r="F13" i="48" s="1"/>
  <c r="E45" i="48"/>
  <c r="E13" i="48" s="1"/>
  <c r="H47" i="83"/>
  <c r="I47" i="83" s="1"/>
  <c r="K44" i="84" s="1"/>
  <c r="H46" i="83"/>
  <c r="H45" i="83"/>
  <c r="I45" i="83" s="1"/>
  <c r="K42" i="84" s="1"/>
  <c r="H44" i="83"/>
  <c r="I44" i="83" s="1"/>
  <c r="K41" i="84" s="1"/>
  <c r="H43" i="83"/>
  <c r="I43" i="83" s="1"/>
  <c r="K40" i="84" s="1"/>
  <c r="H42" i="83"/>
  <c r="I42" i="83" s="1"/>
  <c r="K39" i="84" s="1"/>
  <c r="H41" i="83"/>
  <c r="H40" i="83"/>
  <c r="I40" i="83" s="1"/>
  <c r="K37" i="84" s="1"/>
  <c r="L37" i="84" s="1"/>
  <c r="H39" i="83"/>
  <c r="I39" i="83" s="1"/>
  <c r="K36" i="84" s="1"/>
  <c r="H38" i="83"/>
  <c r="I38" i="83" s="1"/>
  <c r="K35" i="84" s="1"/>
  <c r="H37" i="83"/>
  <c r="I37" i="83" s="1"/>
  <c r="K34" i="84" s="1"/>
  <c r="H36" i="83"/>
  <c r="I36" i="83" s="1"/>
  <c r="K33" i="84" s="1"/>
  <c r="H35" i="83"/>
  <c r="I35" i="83" s="1"/>
  <c r="K32" i="84" s="1"/>
  <c r="H34" i="83"/>
  <c r="I34" i="83"/>
  <c r="K31" i="84" s="1"/>
  <c r="E49" i="83"/>
  <c r="D49" i="83"/>
  <c r="F47" i="83"/>
  <c r="G47" i="83"/>
  <c r="F46" i="83"/>
  <c r="G46" i="83"/>
  <c r="I46" i="83"/>
  <c r="K43" i="84" s="1"/>
  <c r="F45" i="83"/>
  <c r="G45" i="83"/>
  <c r="F44" i="83"/>
  <c r="G44" i="83"/>
  <c r="G43" i="83"/>
  <c r="F43" i="83"/>
  <c r="F42" i="83"/>
  <c r="G42" i="83"/>
  <c r="F41" i="83"/>
  <c r="G41" i="83"/>
  <c r="I41" i="83"/>
  <c r="K38" i="84" s="1"/>
  <c r="F40" i="83"/>
  <c r="G40" i="83"/>
  <c r="F39" i="83"/>
  <c r="G39" i="83"/>
  <c r="F38" i="83"/>
  <c r="G38" i="83"/>
  <c r="F37" i="83"/>
  <c r="G37" i="83"/>
  <c r="F36" i="83"/>
  <c r="G36" i="83"/>
  <c r="F35" i="83"/>
  <c r="G35" i="83"/>
  <c r="G34" i="83"/>
  <c r="F34" i="83"/>
  <c r="A34" i="83"/>
  <c r="A35" i="83"/>
  <c r="A36" i="83"/>
  <c r="A37" i="83"/>
  <c r="A38" i="83"/>
  <c r="A39" i="83"/>
  <c r="A40" i="83"/>
  <c r="A41" i="83"/>
  <c r="A42" i="83"/>
  <c r="A43" i="83"/>
  <c r="A44" i="83"/>
  <c r="A45" i="83"/>
  <c r="A46" i="83"/>
  <c r="A47" i="83"/>
  <c r="A48" i="83"/>
  <c r="G29" i="83"/>
  <c r="F29" i="83"/>
  <c r="E27" i="83"/>
  <c r="E31" i="83"/>
  <c r="E51" i="83"/>
  <c r="D27" i="83"/>
  <c r="D31" i="83"/>
  <c r="D51" i="83"/>
  <c r="G25" i="83"/>
  <c r="F25" i="83"/>
  <c r="G24" i="83"/>
  <c r="F24" i="83"/>
  <c r="G23" i="83"/>
  <c r="F23" i="83"/>
  <c r="F22" i="83"/>
  <c r="G22" i="83"/>
  <c r="G21" i="83"/>
  <c r="F21" i="83"/>
  <c r="F20" i="83"/>
  <c r="A20" i="83"/>
  <c r="A21" i="83"/>
  <c r="A22" i="83"/>
  <c r="A23" i="83"/>
  <c r="A24" i="83"/>
  <c r="A25" i="83"/>
  <c r="A26" i="83"/>
  <c r="E17" i="83"/>
  <c r="D17" i="83"/>
  <c r="F15" i="83"/>
  <c r="G15" i="83"/>
  <c r="G14" i="83"/>
  <c r="F14" i="83"/>
  <c r="F13" i="83"/>
  <c r="G13" i="83"/>
  <c r="F12" i="83"/>
  <c r="G12" i="83"/>
  <c r="A12" i="83"/>
  <c r="A13" i="83"/>
  <c r="A14" i="83"/>
  <c r="A15" i="83"/>
  <c r="A16" i="83"/>
  <c r="I46" i="84"/>
  <c r="H46" i="84"/>
  <c r="G46" i="84"/>
  <c r="F46" i="84"/>
  <c r="E46" i="84"/>
  <c r="D46" i="84"/>
  <c r="J45" i="84"/>
  <c r="J44" i="84"/>
  <c r="J43" i="84"/>
  <c r="J42" i="84"/>
  <c r="J41" i="84"/>
  <c r="J40" i="84"/>
  <c r="J39" i="84"/>
  <c r="J38" i="84"/>
  <c r="J37" i="84"/>
  <c r="J36" i="84"/>
  <c r="J35" i="84"/>
  <c r="J34" i="84"/>
  <c r="J33" i="84"/>
  <c r="J32" i="84"/>
  <c r="J31" i="84"/>
  <c r="A31" i="84"/>
  <c r="A32" i="84" s="1"/>
  <c r="A33" i="84" s="1"/>
  <c r="A34" i="84" s="1"/>
  <c r="A35" i="84" s="1"/>
  <c r="A36" i="84" s="1"/>
  <c r="A37" i="84" s="1"/>
  <c r="A38" i="84" s="1"/>
  <c r="A39" i="84" s="1"/>
  <c r="A40" i="84" s="1"/>
  <c r="A41" i="84" s="1"/>
  <c r="A42" i="84" s="1"/>
  <c r="A43" i="84" s="1"/>
  <c r="A44" i="84" s="1"/>
  <c r="A45" i="84" s="1"/>
  <c r="J26" i="84"/>
  <c r="H29" i="83"/>
  <c r="I29" i="83" s="1"/>
  <c r="K26" i="84" s="1"/>
  <c r="I24" i="84"/>
  <c r="H24" i="84"/>
  <c r="G24" i="84"/>
  <c r="G14" i="84"/>
  <c r="F24" i="84"/>
  <c r="E24" i="84"/>
  <c r="D24" i="84"/>
  <c r="J23" i="84"/>
  <c r="J22" i="84"/>
  <c r="H25" i="83"/>
  <c r="I25" i="83" s="1"/>
  <c r="K22" i="84" s="1"/>
  <c r="J21" i="84"/>
  <c r="H24" i="83"/>
  <c r="J20" i="84"/>
  <c r="J19" i="84"/>
  <c r="H22" i="83"/>
  <c r="I22" i="83" s="1"/>
  <c r="K19" i="84" s="1"/>
  <c r="J18" i="84"/>
  <c r="H21" i="83"/>
  <c r="I21" i="83" s="1"/>
  <c r="K18" i="84" s="1"/>
  <c r="J17" i="84"/>
  <c r="J24" i="84" s="1"/>
  <c r="H20" i="83"/>
  <c r="I20" i="83" s="1"/>
  <c r="A17" i="84"/>
  <c r="A18" i="84" s="1"/>
  <c r="A19" i="84" s="1"/>
  <c r="A20" i="84" s="1"/>
  <c r="A21" i="84" s="1"/>
  <c r="A22" i="84" s="1"/>
  <c r="A23" i="84" s="1"/>
  <c r="I14" i="84"/>
  <c r="I28" i="84" s="1"/>
  <c r="I48" i="84" s="1"/>
  <c r="H14" i="84"/>
  <c r="F14" i="84"/>
  <c r="F28" i="84" s="1"/>
  <c r="E14" i="84"/>
  <c r="D14" i="84"/>
  <c r="D28" i="84" s="1"/>
  <c r="J13" i="84"/>
  <c r="J12" i="84"/>
  <c r="H15" i="83"/>
  <c r="I15" i="83" s="1"/>
  <c r="K12" i="84" s="1"/>
  <c r="J11" i="84"/>
  <c r="J9" i="84"/>
  <c r="J10" i="84"/>
  <c r="H14" i="83"/>
  <c r="I14" i="83" s="1"/>
  <c r="K11" i="84" s="1"/>
  <c r="H13" i="83"/>
  <c r="I13" i="83" s="1"/>
  <c r="K10" i="84" s="1"/>
  <c r="H12" i="83"/>
  <c r="A9" i="84"/>
  <c r="A10" i="84"/>
  <c r="A11" i="84" s="1"/>
  <c r="A12" i="84" s="1"/>
  <c r="A13" i="84" s="1"/>
  <c r="H23" i="83"/>
  <c r="I23" i="83"/>
  <c r="K20" i="84" s="1"/>
  <c r="F27" i="83"/>
  <c r="F17" i="83"/>
  <c r="F49" i="83"/>
  <c r="G49" i="83"/>
  <c r="G17" i="83"/>
  <c r="G20" i="83"/>
  <c r="F31" i="83"/>
  <c r="F51" i="83"/>
  <c r="G27" i="83"/>
  <c r="G31" i="83"/>
  <c r="G51" i="83"/>
  <c r="I82" i="65"/>
  <c r="I81" i="65"/>
  <c r="I80" i="65"/>
  <c r="I79" i="65"/>
  <c r="I78" i="65"/>
  <c r="I77" i="65"/>
  <c r="I83" i="65"/>
  <c r="I84" i="65"/>
  <c r="I85" i="65"/>
  <c r="I86" i="65"/>
  <c r="I87" i="65"/>
  <c r="I88" i="65"/>
  <c r="D32" i="57"/>
  <c r="E17" i="57"/>
  <c r="D17" i="57"/>
  <c r="C17" i="57" s="1"/>
  <c r="E16" i="57"/>
  <c r="D16" i="57"/>
  <c r="E15" i="57"/>
  <c r="D15" i="57"/>
  <c r="E11" i="57"/>
  <c r="D11" i="57"/>
  <c r="E10" i="57"/>
  <c r="D10" i="57"/>
  <c r="E42" i="30"/>
  <c r="E22" i="30" s="1"/>
  <c r="E58" i="4"/>
  <c r="D58" i="4"/>
  <c r="C58" i="4"/>
  <c r="M102" i="4"/>
  <c r="M105" i="4"/>
  <c r="M104" i="4"/>
  <c r="M103" i="4"/>
  <c r="M101" i="4"/>
  <c r="M100" i="4"/>
  <c r="M99" i="4"/>
  <c r="M98" i="4"/>
  <c r="M97" i="4"/>
  <c r="M96" i="4"/>
  <c r="M95" i="4"/>
  <c r="M94" i="4"/>
  <c r="E142" i="4"/>
  <c r="E141" i="4"/>
  <c r="E140" i="4"/>
  <c r="E139" i="4"/>
  <c r="E138" i="4"/>
  <c r="E136" i="4"/>
  <c r="E135" i="4"/>
  <c r="E134" i="4"/>
  <c r="E133" i="4"/>
  <c r="E132" i="4"/>
  <c r="L142" i="4"/>
  <c r="L141" i="4"/>
  <c r="L140" i="4"/>
  <c r="L139" i="4"/>
  <c r="L138" i="4"/>
  <c r="L137" i="4"/>
  <c r="L136" i="4"/>
  <c r="L135" i="4"/>
  <c r="L134" i="4"/>
  <c r="L133" i="4"/>
  <c r="L132" i="4"/>
  <c r="K137" i="4"/>
  <c r="K142" i="4"/>
  <c r="K141" i="4"/>
  <c r="K140" i="4"/>
  <c r="K139" i="4"/>
  <c r="K138" i="4"/>
  <c r="K136" i="4"/>
  <c r="K135" i="4"/>
  <c r="K134" i="4"/>
  <c r="K133" i="4"/>
  <c r="K132" i="4"/>
  <c r="J142" i="4"/>
  <c r="J141" i="4"/>
  <c r="J140" i="4"/>
  <c r="J139" i="4"/>
  <c r="J138" i="4"/>
  <c r="J137" i="4"/>
  <c r="J135" i="4"/>
  <c r="J134" i="4"/>
  <c r="J133" i="4"/>
  <c r="J132" i="4"/>
  <c r="I142" i="4"/>
  <c r="I141" i="4"/>
  <c r="I140" i="4"/>
  <c r="I139" i="4"/>
  <c r="I138" i="4"/>
  <c r="I137" i="4"/>
  <c r="I136" i="4"/>
  <c r="I135" i="4"/>
  <c r="I134" i="4"/>
  <c r="I133" i="4"/>
  <c r="I132" i="4"/>
  <c r="H142" i="4"/>
  <c r="H141" i="4"/>
  <c r="H138" i="4"/>
  <c r="H140" i="4"/>
  <c r="H139" i="4"/>
  <c r="H137" i="4"/>
  <c r="H136" i="4"/>
  <c r="H135" i="4"/>
  <c r="H134" i="4"/>
  <c r="H133" i="4"/>
  <c r="H132" i="4"/>
  <c r="G136" i="4"/>
  <c r="G140" i="4"/>
  <c r="G142" i="4"/>
  <c r="G141" i="4"/>
  <c r="G139" i="4"/>
  <c r="G138" i="4"/>
  <c r="G137" i="4"/>
  <c r="G135" i="4"/>
  <c r="G134" i="4"/>
  <c r="G133" i="4"/>
  <c r="G132" i="4"/>
  <c r="F142" i="4"/>
  <c r="F141" i="4"/>
  <c r="F140" i="4"/>
  <c r="F139" i="4"/>
  <c r="F138" i="4"/>
  <c r="F137" i="4"/>
  <c r="F136" i="4"/>
  <c r="F135" i="4"/>
  <c r="F134" i="4"/>
  <c r="F133" i="4"/>
  <c r="F132" i="4"/>
  <c r="E137" i="4"/>
  <c r="D143" i="4"/>
  <c r="D142" i="4"/>
  <c r="D141" i="4"/>
  <c r="D140" i="4"/>
  <c r="D139" i="4"/>
  <c r="D138" i="4"/>
  <c r="D137" i="4"/>
  <c r="D136" i="4"/>
  <c r="D135" i="4"/>
  <c r="D134" i="4"/>
  <c r="D133" i="4"/>
  <c r="D132" i="4"/>
  <c r="C136" i="4"/>
  <c r="C140" i="4"/>
  <c r="C143" i="4"/>
  <c r="C142" i="4"/>
  <c r="C141" i="4"/>
  <c r="C139" i="4"/>
  <c r="C138" i="4"/>
  <c r="C137" i="4"/>
  <c r="C135" i="4"/>
  <c r="C134" i="4"/>
  <c r="C133" i="4"/>
  <c r="L183" i="4"/>
  <c r="L182" i="4"/>
  <c r="L181" i="4"/>
  <c r="L180" i="4"/>
  <c r="L177" i="4"/>
  <c r="L176" i="4"/>
  <c r="L175" i="4"/>
  <c r="L174" i="4"/>
  <c r="L173" i="4"/>
  <c r="L172" i="4"/>
  <c r="K183" i="4"/>
  <c r="K182" i="4"/>
  <c r="K181" i="4"/>
  <c r="K180" i="4"/>
  <c r="K179" i="4"/>
  <c r="K178" i="4"/>
  <c r="K177" i="4"/>
  <c r="K176" i="4"/>
  <c r="K175" i="4"/>
  <c r="K174" i="4"/>
  <c r="K173" i="4"/>
  <c r="K172" i="4"/>
  <c r="J180" i="4"/>
  <c r="J183" i="4"/>
  <c r="J182" i="4"/>
  <c r="J181" i="4"/>
  <c r="J179" i="4"/>
  <c r="J178" i="4"/>
  <c r="J177" i="4"/>
  <c r="J176" i="4"/>
  <c r="J175" i="4"/>
  <c r="J174" i="4"/>
  <c r="J173" i="4"/>
  <c r="J172" i="4"/>
  <c r="I183" i="4"/>
  <c r="I182" i="4"/>
  <c r="I181" i="4"/>
  <c r="I180" i="4"/>
  <c r="I179" i="4"/>
  <c r="I178" i="4"/>
  <c r="I177" i="4"/>
  <c r="I176" i="4"/>
  <c r="I175" i="4"/>
  <c r="I174" i="4"/>
  <c r="I173" i="4"/>
  <c r="I172" i="4"/>
  <c r="H183" i="4"/>
  <c r="H182" i="4"/>
  <c r="H181" i="4"/>
  <c r="H180" i="4"/>
  <c r="H179" i="4"/>
  <c r="H178" i="4"/>
  <c r="H177" i="4"/>
  <c r="H176" i="4"/>
  <c r="H175" i="4"/>
  <c r="H174" i="4"/>
  <c r="H173" i="4"/>
  <c r="H172" i="4"/>
  <c r="G182" i="4"/>
  <c r="G183" i="4"/>
  <c r="G181" i="4"/>
  <c r="G180" i="4"/>
  <c r="G179" i="4"/>
  <c r="G178" i="4"/>
  <c r="G177" i="4"/>
  <c r="G176" i="4"/>
  <c r="G175" i="4"/>
  <c r="G174" i="4"/>
  <c r="G173" i="4"/>
  <c r="G172" i="4"/>
  <c r="D179" i="4"/>
  <c r="D183" i="4"/>
  <c r="E182" i="4"/>
  <c r="E183" i="4"/>
  <c r="E181" i="4"/>
  <c r="E200" i="4" s="1"/>
  <c r="E180" i="4"/>
  <c r="E179" i="4"/>
  <c r="E178" i="4"/>
  <c r="E177" i="4"/>
  <c r="E176" i="4"/>
  <c r="E175" i="4"/>
  <c r="F179" i="4"/>
  <c r="F183" i="4"/>
  <c r="F182" i="4"/>
  <c r="F181" i="4"/>
  <c r="F180" i="4"/>
  <c r="F178" i="4"/>
  <c r="F177" i="4"/>
  <c r="F176" i="4"/>
  <c r="F175" i="4"/>
  <c r="F174" i="4"/>
  <c r="F173" i="4"/>
  <c r="F172" i="4"/>
  <c r="E174" i="4"/>
  <c r="E173" i="4"/>
  <c r="E172" i="4"/>
  <c r="D177" i="4"/>
  <c r="D182" i="4"/>
  <c r="D181" i="4"/>
  <c r="D180" i="4"/>
  <c r="D178" i="4"/>
  <c r="D176" i="4"/>
  <c r="D175" i="4"/>
  <c r="D174" i="4"/>
  <c r="D173" i="4"/>
  <c r="D172" i="4"/>
  <c r="C176" i="4"/>
  <c r="C181" i="4"/>
  <c r="C183" i="4"/>
  <c r="C182" i="4"/>
  <c r="C180" i="4"/>
  <c r="C179" i="4"/>
  <c r="C178" i="4"/>
  <c r="C177" i="4"/>
  <c r="C175" i="4"/>
  <c r="C174" i="4"/>
  <c r="C173" i="4"/>
  <c r="C172" i="4"/>
  <c r="C191" i="4" s="1"/>
  <c r="M164" i="4"/>
  <c r="M163" i="4"/>
  <c r="M162" i="4"/>
  <c r="M161" i="4"/>
  <c r="M160" i="4"/>
  <c r="M159" i="4"/>
  <c r="M158" i="4"/>
  <c r="M157" i="4"/>
  <c r="M156" i="4"/>
  <c r="M155" i="4"/>
  <c r="M154" i="4"/>
  <c r="M153" i="4"/>
  <c r="M152" i="4"/>
  <c r="J43" i="82"/>
  <c r="J41" i="82"/>
  <c r="J40" i="82"/>
  <c r="J26" i="82"/>
  <c r="J10" i="82"/>
  <c r="J8" i="82"/>
  <c r="L33" i="82"/>
  <c r="L34" i="82"/>
  <c r="C26" i="72"/>
  <c r="L44" i="82" s="1"/>
  <c r="A26" i="72"/>
  <c r="J44" i="82" s="1"/>
  <c r="C24" i="72"/>
  <c r="L43" i="82" s="1"/>
  <c r="C22" i="72"/>
  <c r="L40" i="82" s="1"/>
  <c r="C20" i="72"/>
  <c r="L28" i="82" s="1"/>
  <c r="L42" i="82" s="1"/>
  <c r="C18" i="72"/>
  <c r="L27" i="82" s="1"/>
  <c r="A18" i="72"/>
  <c r="A20" i="72" s="1"/>
  <c r="J28" i="82" s="1"/>
  <c r="C16" i="72"/>
  <c r="L41" i="82" s="1"/>
  <c r="C14" i="72"/>
  <c r="L11" i="82" s="1"/>
  <c r="C12" i="72"/>
  <c r="L10" i="82" s="1"/>
  <c r="C10" i="72"/>
  <c r="L9" i="82" s="1"/>
  <c r="A10" i="72"/>
  <c r="A14" i="72" s="1"/>
  <c r="J11" i="82" s="1"/>
  <c r="C8" i="72"/>
  <c r="L8" i="82" s="1"/>
  <c r="A9" i="82"/>
  <c r="A11" i="82"/>
  <c r="A15" i="82"/>
  <c r="I63" i="1"/>
  <c r="J9" i="82"/>
  <c r="A16" i="82"/>
  <c r="A17" i="82"/>
  <c r="A18" i="82"/>
  <c r="A19" i="82"/>
  <c r="I64" i="1"/>
  <c r="J21" i="82"/>
  <c r="J12" i="82"/>
  <c r="J23" i="82"/>
  <c r="A23" i="82"/>
  <c r="A26" i="82"/>
  <c r="I41" i="82"/>
  <c r="I65" i="1"/>
  <c r="A27" i="82"/>
  <c r="A28" i="82"/>
  <c r="A29" i="82"/>
  <c r="I42" i="82"/>
  <c r="J29" i="82"/>
  <c r="B50" i="82"/>
  <c r="A32" i="82"/>
  <c r="A33" i="82"/>
  <c r="A34" i="82"/>
  <c r="A35" i="82"/>
  <c r="I69" i="1"/>
  <c r="I68" i="1"/>
  <c r="A37" i="82"/>
  <c r="J37" i="82"/>
  <c r="J35" i="82"/>
  <c r="A40" i="82"/>
  <c r="A41" i="82"/>
  <c r="A42" i="82"/>
  <c r="A43" i="82"/>
  <c r="A44" i="82"/>
  <c r="A45" i="82"/>
  <c r="I73" i="1"/>
  <c r="I70" i="1"/>
  <c r="J45" i="82"/>
  <c r="N81" i="61"/>
  <c r="J81" i="61"/>
  <c r="M81" i="61" s="1"/>
  <c r="G81" i="61"/>
  <c r="I81" i="61" s="1"/>
  <c r="L21" i="46"/>
  <c r="D84" i="46" s="1"/>
  <c r="H84" i="46" s="1"/>
  <c r="L20" i="46"/>
  <c r="D83" i="46" s="1"/>
  <c r="L19" i="46"/>
  <c r="D82" i="46" s="1"/>
  <c r="L18" i="46"/>
  <c r="L17" i="46"/>
  <c r="D80" i="46" s="1"/>
  <c r="H80" i="46" s="1"/>
  <c r="L16" i="46"/>
  <c r="L15" i="46"/>
  <c r="D78" i="46" s="1"/>
  <c r="H78" i="46" s="1"/>
  <c r="L14" i="46"/>
  <c r="D77" i="46" s="1"/>
  <c r="H77" i="46" s="1"/>
  <c r="L13" i="46"/>
  <c r="D76" i="46" s="1"/>
  <c r="L12" i="46"/>
  <c r="L22" i="46"/>
  <c r="D85" i="46" s="1"/>
  <c r="H85" i="46" s="1"/>
  <c r="L23" i="46"/>
  <c r="D86" i="46" s="1"/>
  <c r="H86" i="46" s="1"/>
  <c r="L24" i="46"/>
  <c r="D87" i="46" s="1"/>
  <c r="L25" i="46"/>
  <c r="D88" i="46" s="1"/>
  <c r="H88" i="46" s="1"/>
  <c r="L26" i="46"/>
  <c r="L27" i="46"/>
  <c r="D90" i="46" s="1"/>
  <c r="L28" i="46"/>
  <c r="D91" i="46" s="1"/>
  <c r="H91" i="46" s="1"/>
  <c r="L29" i="46"/>
  <c r="D92" i="46" s="1"/>
  <c r="H92" i="46" s="1"/>
  <c r="L30" i="46"/>
  <c r="D93" i="46" s="1"/>
  <c r="L31" i="46"/>
  <c r="D94" i="46" s="1"/>
  <c r="H94" i="46" s="1"/>
  <c r="L32" i="46"/>
  <c r="D95" i="46" s="1"/>
  <c r="L33" i="46"/>
  <c r="L34" i="46"/>
  <c r="D97" i="46" s="1"/>
  <c r="L35" i="46"/>
  <c r="D98" i="46" s="1"/>
  <c r="H98" i="46" s="1"/>
  <c r="L36" i="46"/>
  <c r="D99" i="46" s="1"/>
  <c r="L37" i="46"/>
  <c r="D100" i="46" s="1"/>
  <c r="H100" i="46" s="1"/>
  <c r="L38" i="46"/>
  <c r="D101" i="46" s="1"/>
  <c r="L39" i="46"/>
  <c r="D102" i="46" s="1"/>
  <c r="H102" i="46" s="1"/>
  <c r="L40" i="46"/>
  <c r="D103" i="46" s="1"/>
  <c r="F8" i="42"/>
  <c r="E21" i="32" s="1"/>
  <c r="D53" i="2"/>
  <c r="D54" i="2" s="1"/>
  <c r="A68" i="15"/>
  <c r="A69" i="15" s="1"/>
  <c r="E53" i="56"/>
  <c r="E55" i="56" s="1"/>
  <c r="F49" i="56"/>
  <c r="I28" i="53"/>
  <c r="H28" i="53"/>
  <c r="G28" i="53"/>
  <c r="F28" i="53"/>
  <c r="E130" i="53"/>
  <c r="D130" i="53"/>
  <c r="C130" i="53"/>
  <c r="I43" i="46"/>
  <c r="E43" i="46"/>
  <c r="D43" i="46"/>
  <c r="C11" i="46"/>
  <c r="G10" i="2"/>
  <c r="L52" i="61"/>
  <c r="H52" i="61"/>
  <c r="E52" i="61"/>
  <c r="L44" i="61"/>
  <c r="H44" i="61"/>
  <c r="E8" i="61"/>
  <c r="L8" i="61"/>
  <c r="H8" i="61"/>
  <c r="E204" i="61"/>
  <c r="E199" i="61"/>
  <c r="E193" i="61"/>
  <c r="E78" i="26"/>
  <c r="H47" i="26" s="1"/>
  <c r="D47" i="26" s="1"/>
  <c r="G13" i="26" s="1"/>
  <c r="F78" i="26"/>
  <c r="E71" i="26"/>
  <c r="G11" i="2" s="1"/>
  <c r="I58" i="46"/>
  <c r="E58" i="46"/>
  <c r="D58" i="46"/>
  <c r="G76" i="48"/>
  <c r="H76" i="48" s="1"/>
  <c r="J385" i="49"/>
  <c r="H135" i="64"/>
  <c r="P55" i="48"/>
  <c r="I37" i="79"/>
  <c r="G37" i="79"/>
  <c r="F69" i="22"/>
  <c r="F46" i="22" s="1"/>
  <c r="F53" i="22" s="1"/>
  <c r="F63" i="22"/>
  <c r="F34" i="22" s="1"/>
  <c r="F23" i="22"/>
  <c r="E24" i="54"/>
  <c r="D24" i="54"/>
  <c r="E155" i="49"/>
  <c r="G46" i="49"/>
  <c r="E17" i="71" s="1"/>
  <c r="F46" i="49"/>
  <c r="E16" i="71" s="1"/>
  <c r="E46" i="49"/>
  <c r="E15" i="71" s="1"/>
  <c r="D46" i="49"/>
  <c r="E14" i="71" s="1"/>
  <c r="I26" i="49"/>
  <c r="E13" i="71" s="1"/>
  <c r="H26" i="49"/>
  <c r="E12" i="71" s="1"/>
  <c r="G26" i="49"/>
  <c r="E11" i="71" s="1"/>
  <c r="F26" i="49"/>
  <c r="E10" i="71" s="1"/>
  <c r="E56" i="71" s="1"/>
  <c r="E26" i="49"/>
  <c r="E9" i="71" s="1"/>
  <c r="F75" i="21"/>
  <c r="E75" i="21"/>
  <c r="D75" i="21"/>
  <c r="G74" i="21"/>
  <c r="G73" i="21"/>
  <c r="C53" i="56"/>
  <c r="C55" i="56" s="1"/>
  <c r="E26" i="56"/>
  <c r="F26" i="56" s="1"/>
  <c r="E12" i="56"/>
  <c r="E17" i="56" s="1"/>
  <c r="D66" i="65"/>
  <c r="B45" i="53"/>
  <c r="I128" i="15"/>
  <c r="N199" i="61"/>
  <c r="M199" i="61"/>
  <c r="L199" i="61"/>
  <c r="J199" i="61"/>
  <c r="I199" i="61"/>
  <c r="H199" i="61"/>
  <c r="G199" i="61"/>
  <c r="L248" i="61"/>
  <c r="N245" i="61"/>
  <c r="N244" i="61"/>
  <c r="N243" i="61"/>
  <c r="N242" i="61"/>
  <c r="N241" i="61"/>
  <c r="J245" i="61"/>
  <c r="M245" i="61" s="1"/>
  <c r="J244" i="61"/>
  <c r="M244" i="61" s="1"/>
  <c r="J243" i="61"/>
  <c r="M243" i="61" s="1"/>
  <c r="J242" i="61"/>
  <c r="M242" i="61" s="1"/>
  <c r="J241" i="61"/>
  <c r="M241" i="61" s="1"/>
  <c r="H236" i="61"/>
  <c r="N107" i="61"/>
  <c r="N106" i="61"/>
  <c r="N105" i="61"/>
  <c r="N104" i="61"/>
  <c r="N103" i="61"/>
  <c r="N102" i="61"/>
  <c r="N100" i="61"/>
  <c r="N99" i="61"/>
  <c r="N98" i="61"/>
  <c r="N97" i="61"/>
  <c r="N96" i="61"/>
  <c r="N95" i="61"/>
  <c r="N94" i="61"/>
  <c r="N93" i="61"/>
  <c r="N92" i="61"/>
  <c r="J107" i="61"/>
  <c r="M107" i="61" s="1"/>
  <c r="J106" i="61"/>
  <c r="M106" i="61" s="1"/>
  <c r="J105" i="61"/>
  <c r="M105" i="61" s="1"/>
  <c r="J104" i="61"/>
  <c r="M104" i="61" s="1"/>
  <c r="J103" i="61"/>
  <c r="M103" i="61" s="1"/>
  <c r="J102" i="61"/>
  <c r="M102" i="61" s="1"/>
  <c r="J101" i="61"/>
  <c r="M101" i="61" s="1"/>
  <c r="J100" i="61"/>
  <c r="M100" i="61" s="1"/>
  <c r="J99" i="61"/>
  <c r="M99" i="61" s="1"/>
  <c r="J98" i="61"/>
  <c r="M98" i="61" s="1"/>
  <c r="J97" i="61"/>
  <c r="M97" i="61" s="1"/>
  <c r="J96" i="61"/>
  <c r="M96" i="61" s="1"/>
  <c r="J95" i="61"/>
  <c r="M95" i="61" s="1"/>
  <c r="J94" i="61"/>
  <c r="M94" i="61" s="1"/>
  <c r="J93" i="61"/>
  <c r="M93" i="61" s="1"/>
  <c r="J92" i="61"/>
  <c r="M92" i="61" s="1"/>
  <c r="N185" i="61"/>
  <c r="N184" i="61"/>
  <c r="N183" i="61"/>
  <c r="N182" i="61"/>
  <c r="N181" i="61"/>
  <c r="N180" i="61"/>
  <c r="N179" i="61"/>
  <c r="N178" i="61"/>
  <c r="N177" i="61"/>
  <c r="N176" i="61"/>
  <c r="N175" i="61"/>
  <c r="N174" i="61"/>
  <c r="N173" i="61"/>
  <c r="N172" i="61"/>
  <c r="N171" i="61"/>
  <c r="N170" i="61"/>
  <c r="N169" i="61"/>
  <c r="N168" i="61"/>
  <c r="N167" i="61"/>
  <c r="N166" i="61"/>
  <c r="J185" i="61"/>
  <c r="M185" i="61" s="1"/>
  <c r="J184" i="61"/>
  <c r="M184" i="61" s="1"/>
  <c r="J183" i="61"/>
  <c r="M183" i="61" s="1"/>
  <c r="J182" i="61"/>
  <c r="M182" i="61" s="1"/>
  <c r="J181" i="61"/>
  <c r="M181" i="61" s="1"/>
  <c r="J179" i="61"/>
  <c r="M179" i="61" s="1"/>
  <c r="J178" i="61"/>
  <c r="M178" i="61" s="1"/>
  <c r="J177" i="61"/>
  <c r="M177" i="61" s="1"/>
  <c r="J176" i="61"/>
  <c r="M176" i="61" s="1"/>
  <c r="J175" i="61"/>
  <c r="M175" i="61" s="1"/>
  <c r="J174" i="61"/>
  <c r="M174" i="61" s="1"/>
  <c r="J173" i="61"/>
  <c r="M173" i="61" s="1"/>
  <c r="J172" i="61"/>
  <c r="M172" i="61" s="1"/>
  <c r="J171" i="61"/>
  <c r="M171" i="61" s="1"/>
  <c r="J170" i="61"/>
  <c r="M170" i="61" s="1"/>
  <c r="J169" i="61"/>
  <c r="M169" i="61" s="1"/>
  <c r="J168" i="61"/>
  <c r="M168" i="61" s="1"/>
  <c r="J167" i="61"/>
  <c r="M167" i="61" s="1"/>
  <c r="J166" i="61"/>
  <c r="M166" i="61" s="1"/>
  <c r="G185" i="61"/>
  <c r="I185" i="61" s="1"/>
  <c r="G184" i="61"/>
  <c r="I184" i="61" s="1"/>
  <c r="G183" i="61"/>
  <c r="I183" i="61" s="1"/>
  <c r="G182" i="61"/>
  <c r="I182" i="61" s="1"/>
  <c r="G181" i="61"/>
  <c r="I181" i="61" s="1"/>
  <c r="G180" i="61"/>
  <c r="I180" i="61" s="1"/>
  <c r="G178" i="61"/>
  <c r="I178" i="61" s="1"/>
  <c r="G177" i="61"/>
  <c r="I177" i="61" s="1"/>
  <c r="G176" i="61"/>
  <c r="I176" i="61" s="1"/>
  <c r="G175" i="61"/>
  <c r="I175" i="61" s="1"/>
  <c r="G174" i="61"/>
  <c r="I174" i="61" s="1"/>
  <c r="G173" i="61"/>
  <c r="I173" i="61" s="1"/>
  <c r="G172" i="61"/>
  <c r="H172" i="61" s="1"/>
  <c r="G171" i="61"/>
  <c r="I171" i="61" s="1"/>
  <c r="G170" i="61"/>
  <c r="I170" i="61" s="1"/>
  <c r="G169" i="61"/>
  <c r="I169" i="61" s="1"/>
  <c r="G168" i="61"/>
  <c r="I168" i="61" s="1"/>
  <c r="G167" i="61"/>
  <c r="I167" i="61" s="1"/>
  <c r="G166" i="61"/>
  <c r="H166" i="61" s="1"/>
  <c r="I166" i="61" s="1"/>
  <c r="N139" i="61"/>
  <c r="N138" i="61"/>
  <c r="N137" i="61"/>
  <c r="N136" i="61"/>
  <c r="N135" i="61"/>
  <c r="N134" i="61"/>
  <c r="N133" i="61"/>
  <c r="N132" i="61"/>
  <c r="N131" i="61"/>
  <c r="N130" i="61"/>
  <c r="N129" i="61"/>
  <c r="N120" i="61"/>
  <c r="J141" i="61"/>
  <c r="M141" i="61" s="1"/>
  <c r="J140" i="61"/>
  <c r="M140" i="61" s="1"/>
  <c r="J139" i="61"/>
  <c r="M139" i="61" s="1"/>
  <c r="J138" i="61"/>
  <c r="M138" i="61" s="1"/>
  <c r="J137" i="61"/>
  <c r="M137" i="61" s="1"/>
  <c r="J136" i="61"/>
  <c r="M136" i="61" s="1"/>
  <c r="J135" i="61"/>
  <c r="M135" i="61" s="1"/>
  <c r="J134" i="61"/>
  <c r="M134" i="61" s="1"/>
  <c r="J133" i="61"/>
  <c r="M133" i="61" s="1"/>
  <c r="J132" i="61"/>
  <c r="M132" i="61" s="1"/>
  <c r="J131" i="61"/>
  <c r="M131" i="61" s="1"/>
  <c r="J130" i="61"/>
  <c r="M130" i="61" s="1"/>
  <c r="J129" i="61"/>
  <c r="M129" i="61" s="1"/>
  <c r="J126" i="61"/>
  <c r="M126" i="61" s="1"/>
  <c r="J125" i="61"/>
  <c r="M125" i="61" s="1"/>
  <c r="J124" i="61"/>
  <c r="M124" i="61" s="1"/>
  <c r="J123" i="61"/>
  <c r="M123" i="61" s="1"/>
  <c r="J122" i="61"/>
  <c r="M122" i="61" s="1"/>
  <c r="J121" i="61"/>
  <c r="M121" i="61" s="1"/>
  <c r="J120" i="61"/>
  <c r="M120" i="61" s="1"/>
  <c r="J119" i="61"/>
  <c r="M119" i="61" s="1"/>
  <c r="G141" i="61"/>
  <c r="I141" i="61" s="1"/>
  <c r="G140" i="61"/>
  <c r="I140" i="61" s="1"/>
  <c r="G126" i="61"/>
  <c r="I126" i="61" s="1"/>
  <c r="G125" i="61"/>
  <c r="I125" i="61" s="1"/>
  <c r="G124" i="61"/>
  <c r="I124" i="61" s="1"/>
  <c r="G123" i="61"/>
  <c r="I123" i="61" s="1"/>
  <c r="G122" i="61"/>
  <c r="I122" i="61" s="1"/>
  <c r="G121" i="61"/>
  <c r="I121" i="61" s="1"/>
  <c r="G119" i="61"/>
  <c r="I119" i="61" s="1"/>
  <c r="G118" i="61"/>
  <c r="I118" i="61" s="1"/>
  <c r="G117" i="61"/>
  <c r="I117" i="61" s="1"/>
  <c r="G116" i="61"/>
  <c r="I116" i="61" s="1"/>
  <c r="G115" i="61"/>
  <c r="I115" i="61" s="1"/>
  <c r="G114" i="61"/>
  <c r="I114" i="61" s="1"/>
  <c r="G113" i="61"/>
  <c r="I113" i="61" s="1"/>
  <c r="G112" i="61"/>
  <c r="I112" i="61" s="1"/>
  <c r="G111" i="61"/>
  <c r="I111" i="61" s="1"/>
  <c r="G110" i="61"/>
  <c r="I110" i="61" s="1"/>
  <c r="G109" i="61"/>
  <c r="I109" i="61" s="1"/>
  <c r="G108" i="61"/>
  <c r="I108" i="61" s="1"/>
  <c r="N78" i="61"/>
  <c r="N77" i="61"/>
  <c r="N76" i="61"/>
  <c r="N75" i="61"/>
  <c r="N74" i="61"/>
  <c r="J78" i="61"/>
  <c r="M78" i="61" s="1"/>
  <c r="J75" i="61"/>
  <c r="M75" i="61" s="1"/>
  <c r="J74" i="61"/>
  <c r="M74" i="61" s="1"/>
  <c r="J77" i="61"/>
  <c r="M77" i="61" s="1"/>
  <c r="N72" i="61"/>
  <c r="N71" i="61"/>
  <c r="N70" i="61"/>
  <c r="N69" i="61"/>
  <c r="N68" i="61"/>
  <c r="J72" i="61"/>
  <c r="M72" i="61" s="1"/>
  <c r="J71" i="61"/>
  <c r="M71" i="61" s="1"/>
  <c r="J70" i="61"/>
  <c r="M70" i="61" s="1"/>
  <c r="J69" i="61"/>
  <c r="M69" i="61" s="1"/>
  <c r="J68" i="61"/>
  <c r="M68" i="61" s="1"/>
  <c r="G68" i="61"/>
  <c r="I68" i="61" s="1"/>
  <c r="N67" i="61"/>
  <c r="H67" i="61"/>
  <c r="H66" i="61"/>
  <c r="G78" i="61"/>
  <c r="I78" i="61" s="1"/>
  <c r="G77" i="61"/>
  <c r="I77" i="61" s="1"/>
  <c r="G76" i="61"/>
  <c r="I76" i="61" s="1"/>
  <c r="G74" i="61"/>
  <c r="I74" i="61" s="1"/>
  <c r="G73" i="61"/>
  <c r="I73" i="61" s="1"/>
  <c r="G72" i="61"/>
  <c r="I72" i="61" s="1"/>
  <c r="G71" i="61"/>
  <c r="I71" i="61" s="1"/>
  <c r="G70" i="61"/>
  <c r="I70" i="61" s="1"/>
  <c r="G69" i="61"/>
  <c r="I69" i="61" s="1"/>
  <c r="J66" i="61"/>
  <c r="M66" i="61" s="1"/>
  <c r="N58" i="61"/>
  <c r="N57" i="61"/>
  <c r="N56" i="61"/>
  <c r="N55" i="61"/>
  <c r="J55" i="61"/>
  <c r="G58" i="61"/>
  <c r="I58" i="61" s="1"/>
  <c r="G57" i="61"/>
  <c r="I57" i="61" s="1"/>
  <c r="G56" i="61"/>
  <c r="I56" i="61" s="1"/>
  <c r="G55" i="61"/>
  <c r="I55" i="61" s="1"/>
  <c r="N148" i="61"/>
  <c r="G148" i="61"/>
  <c r="I148" i="61" s="1"/>
  <c r="N147" i="61"/>
  <c r="N146" i="61"/>
  <c r="N144" i="61"/>
  <c r="N143" i="61"/>
  <c r="N142" i="61"/>
  <c r="J142" i="61"/>
  <c r="M142" i="61" s="1"/>
  <c r="J143" i="61"/>
  <c r="M143" i="61" s="1"/>
  <c r="J144" i="61"/>
  <c r="M144" i="61" s="1"/>
  <c r="J145" i="61"/>
  <c r="M145" i="61" s="1"/>
  <c r="J146" i="61"/>
  <c r="M146" i="61" s="1"/>
  <c r="J147" i="61"/>
  <c r="M147" i="61" s="1"/>
  <c r="L193" i="61"/>
  <c r="H64" i="61"/>
  <c r="G64" i="61" s="1"/>
  <c r="J63" i="61"/>
  <c r="M63" i="61" s="1"/>
  <c r="G63" i="61"/>
  <c r="I63" i="61" s="1"/>
  <c r="N27" i="61"/>
  <c r="N26" i="61"/>
  <c r="N25" i="61"/>
  <c r="N24" i="61"/>
  <c r="N23" i="61"/>
  <c r="N22" i="61"/>
  <c r="N21" i="61"/>
  <c r="J27" i="61"/>
  <c r="M27" i="61" s="1"/>
  <c r="J26" i="61"/>
  <c r="M26" i="61" s="1"/>
  <c r="J25" i="61"/>
  <c r="M25" i="61" s="1"/>
  <c r="J24" i="61"/>
  <c r="M24" i="61" s="1"/>
  <c r="J23" i="61"/>
  <c r="M23" i="61" s="1"/>
  <c r="J22" i="61"/>
  <c r="M22" i="61" s="1"/>
  <c r="J21" i="61"/>
  <c r="M21" i="61" s="1"/>
  <c r="I27" i="61"/>
  <c r="G26" i="61"/>
  <c r="I26" i="61" s="1"/>
  <c r="G25" i="61"/>
  <c r="I25" i="61" s="1"/>
  <c r="G24" i="61"/>
  <c r="I24" i="61" s="1"/>
  <c r="G23" i="61"/>
  <c r="I23" i="61" s="1"/>
  <c r="G22" i="61"/>
  <c r="I22" i="61" s="1"/>
  <c r="G21" i="61"/>
  <c r="I21" i="61" s="1"/>
  <c r="N19" i="61"/>
  <c r="J19" i="61"/>
  <c r="M19" i="61" s="1"/>
  <c r="G19" i="61"/>
  <c r="I19" i="61" s="1"/>
  <c r="H245" i="61"/>
  <c r="H248" i="61" s="1"/>
  <c r="G244" i="61"/>
  <c r="I244" i="61" s="1"/>
  <c r="G243" i="61"/>
  <c r="I243" i="61" s="1"/>
  <c r="G242" i="61"/>
  <c r="I242" i="61" s="1"/>
  <c r="G241" i="61"/>
  <c r="I241" i="61" s="1"/>
  <c r="J222" i="61"/>
  <c r="M222" i="61" s="1"/>
  <c r="J221" i="61"/>
  <c r="M221" i="61" s="1"/>
  <c r="J220" i="61"/>
  <c r="M220" i="61" s="1"/>
  <c r="J219" i="61"/>
  <c r="M219" i="61" s="1"/>
  <c r="J218" i="61"/>
  <c r="M218" i="61" s="1"/>
  <c r="J217" i="61"/>
  <c r="M217" i="61" s="1"/>
  <c r="J216" i="61"/>
  <c r="M216" i="61" s="1"/>
  <c r="J215" i="61"/>
  <c r="M215" i="61" s="1"/>
  <c r="J214" i="61"/>
  <c r="M214" i="61" s="1"/>
  <c r="J213" i="61"/>
  <c r="M213" i="61" s="1"/>
  <c r="J212" i="61"/>
  <c r="M212" i="61" s="1"/>
  <c r="J211" i="61"/>
  <c r="M211" i="61" s="1"/>
  <c r="J210" i="61"/>
  <c r="M210" i="61" s="1"/>
  <c r="J209" i="61"/>
  <c r="M209" i="61" s="1"/>
  <c r="J208" i="61"/>
  <c r="M208" i="61" s="1"/>
  <c r="G222" i="61"/>
  <c r="I222" i="61" s="1"/>
  <c r="G221" i="61"/>
  <c r="I221" i="61" s="1"/>
  <c r="G220" i="61"/>
  <c r="I220" i="61" s="1"/>
  <c r="G219" i="61"/>
  <c r="I219" i="61" s="1"/>
  <c r="G218" i="61"/>
  <c r="I218" i="61" s="1"/>
  <c r="G217" i="61"/>
  <c r="I217" i="61" s="1"/>
  <c r="G216" i="61"/>
  <c r="I216" i="61" s="1"/>
  <c r="G215" i="61"/>
  <c r="I215" i="61" s="1"/>
  <c r="G214" i="61"/>
  <c r="I214" i="61" s="1"/>
  <c r="G213" i="61"/>
  <c r="I213" i="61" s="1"/>
  <c r="G212" i="61"/>
  <c r="I212" i="61" s="1"/>
  <c r="G211" i="61"/>
  <c r="I211" i="61" s="1"/>
  <c r="G210" i="61"/>
  <c r="I210" i="61" s="1"/>
  <c r="G209" i="61"/>
  <c r="I209" i="61" s="1"/>
  <c r="G208" i="61"/>
  <c r="I208" i="61" s="1"/>
  <c r="G128" i="61"/>
  <c r="I128" i="61" s="1"/>
  <c r="G127" i="61"/>
  <c r="I127" i="61" s="1"/>
  <c r="N118" i="61"/>
  <c r="N117" i="61"/>
  <c r="N116" i="61"/>
  <c r="N115" i="61"/>
  <c r="N114" i="61"/>
  <c r="N113" i="61"/>
  <c r="N112" i="61"/>
  <c r="N111" i="61"/>
  <c r="N110" i="61"/>
  <c r="N109" i="61"/>
  <c r="N108" i="61"/>
  <c r="N73" i="61"/>
  <c r="N59" i="61"/>
  <c r="N20" i="61"/>
  <c r="N208" i="61"/>
  <c r="J18" i="61"/>
  <c r="M18" i="61" s="1"/>
  <c r="N221" i="61"/>
  <c r="N222" i="61"/>
  <c r="G12" i="61"/>
  <c r="I12" i="61" s="1"/>
  <c r="J79" i="61"/>
  <c r="M79" i="61" s="1"/>
  <c r="H80" i="61"/>
  <c r="G80" i="61" s="1"/>
  <c r="H79" i="61"/>
  <c r="G79" i="61" s="1"/>
  <c r="J80" i="61"/>
  <c r="M80" i="61" s="1"/>
  <c r="G75" i="61"/>
  <c r="I75" i="61" s="1"/>
  <c r="J76" i="61"/>
  <c r="M76" i="61" s="1"/>
  <c r="J73" i="61"/>
  <c r="M73" i="61" s="1"/>
  <c r="F52" i="56"/>
  <c r="H324" i="11"/>
  <c r="G324" i="11"/>
  <c r="H323" i="11"/>
  <c r="G323" i="11"/>
  <c r="H322" i="11"/>
  <c r="G322" i="11"/>
  <c r="H321" i="11"/>
  <c r="G321" i="11"/>
  <c r="H320" i="11"/>
  <c r="G320" i="11"/>
  <c r="H319" i="11"/>
  <c r="G319" i="11"/>
  <c r="H318" i="11"/>
  <c r="G318" i="11"/>
  <c r="H317" i="11"/>
  <c r="G317" i="11"/>
  <c r="H316" i="11"/>
  <c r="G316" i="11"/>
  <c r="H315" i="11"/>
  <c r="G315" i="11"/>
  <c r="H314" i="11"/>
  <c r="G314" i="11"/>
  <c r="H313" i="11"/>
  <c r="G313" i="11"/>
  <c r="H312" i="11"/>
  <c r="G312" i="11"/>
  <c r="I442" i="49"/>
  <c r="E442" i="49"/>
  <c r="F442" i="49" s="1"/>
  <c r="I441" i="49"/>
  <c r="E441" i="49"/>
  <c r="F441" i="49" s="1"/>
  <c r="I440" i="49"/>
  <c r="E440" i="49"/>
  <c r="F440" i="49" s="1"/>
  <c r="I439" i="49"/>
  <c r="E439" i="49"/>
  <c r="F439" i="49" s="1"/>
  <c r="I438" i="49"/>
  <c r="E438" i="49"/>
  <c r="F438" i="49" s="1"/>
  <c r="I437" i="49"/>
  <c r="E437" i="49"/>
  <c r="F437" i="49" s="1"/>
  <c r="I436" i="49"/>
  <c r="E436" i="49"/>
  <c r="F436" i="49" s="1"/>
  <c r="I435" i="49"/>
  <c r="E435" i="49"/>
  <c r="F435" i="49" s="1"/>
  <c r="I434" i="49"/>
  <c r="E434" i="49"/>
  <c r="F434" i="49" s="1"/>
  <c r="I433" i="49"/>
  <c r="E433" i="49"/>
  <c r="F433" i="49" s="1"/>
  <c r="I432" i="49"/>
  <c r="E432" i="49"/>
  <c r="F432" i="49" s="1"/>
  <c r="I431" i="49"/>
  <c r="E431" i="49"/>
  <c r="F431" i="49" s="1"/>
  <c r="I430" i="49"/>
  <c r="E430" i="49"/>
  <c r="F430" i="49" s="1"/>
  <c r="I429" i="49"/>
  <c r="E429" i="49"/>
  <c r="F429" i="49" s="1"/>
  <c r="I428" i="49"/>
  <c r="E428" i="49"/>
  <c r="F428" i="49" s="1"/>
  <c r="I427" i="49"/>
  <c r="E427" i="49"/>
  <c r="F427" i="49" s="1"/>
  <c r="I426" i="49"/>
  <c r="E426" i="49"/>
  <c r="F426" i="49" s="1"/>
  <c r="I425" i="49"/>
  <c r="E425" i="49"/>
  <c r="F425" i="49" s="1"/>
  <c r="I424" i="49"/>
  <c r="E424" i="49"/>
  <c r="F424" i="49" s="1"/>
  <c r="I423" i="49"/>
  <c r="E423" i="49"/>
  <c r="F423" i="49" s="1"/>
  <c r="I422" i="49"/>
  <c r="E422" i="49"/>
  <c r="F422" i="49" s="1"/>
  <c r="I421" i="49"/>
  <c r="E421" i="49"/>
  <c r="F421" i="49" s="1"/>
  <c r="I420" i="49"/>
  <c r="E420" i="49"/>
  <c r="F420" i="49" s="1"/>
  <c r="I419" i="49"/>
  <c r="E419" i="49"/>
  <c r="F419" i="49" s="1"/>
  <c r="K417" i="49"/>
  <c r="J417" i="49"/>
  <c r="I417" i="49"/>
  <c r="H417" i="49"/>
  <c r="F417" i="49"/>
  <c r="E417" i="49"/>
  <c r="D417" i="49"/>
  <c r="K416" i="49"/>
  <c r="J416" i="49"/>
  <c r="I416" i="49"/>
  <c r="H416" i="49"/>
  <c r="F416" i="49"/>
  <c r="E416" i="49"/>
  <c r="D416" i="49"/>
  <c r="E35" i="11"/>
  <c r="M45" i="48"/>
  <c r="G25" i="46"/>
  <c r="F105" i="8"/>
  <c r="F100" i="8"/>
  <c r="E12" i="66"/>
  <c r="E18" i="66"/>
  <c r="B188" i="21"/>
  <c r="M146" i="21"/>
  <c r="L146" i="21"/>
  <c r="K146" i="21"/>
  <c r="J146" i="21"/>
  <c r="I146" i="21"/>
  <c r="H146" i="21"/>
  <c r="G146" i="21"/>
  <c r="F146" i="21"/>
  <c r="E146" i="21"/>
  <c r="D146" i="21"/>
  <c r="E85" i="21"/>
  <c r="F98" i="21" s="1"/>
  <c r="E84" i="21"/>
  <c r="A75" i="21"/>
  <c r="H19" i="8" s="1"/>
  <c r="A13" i="21"/>
  <c r="A14" i="21" s="1"/>
  <c r="A15" i="21" s="1"/>
  <c r="A16" i="21" s="1"/>
  <c r="A17" i="21" s="1"/>
  <c r="A18" i="21" s="1"/>
  <c r="A19" i="21" s="1"/>
  <c r="A20" i="21" s="1"/>
  <c r="A21" i="21" s="1"/>
  <c r="A22" i="21" s="1"/>
  <c r="A23" i="21" s="1"/>
  <c r="A24" i="21" s="1"/>
  <c r="E25" i="4"/>
  <c r="F25" i="4"/>
  <c r="F24" i="64" s="1"/>
  <c r="C128" i="48" s="1"/>
  <c r="G25" i="4"/>
  <c r="G24" i="64" s="1"/>
  <c r="C129" i="48" s="1"/>
  <c r="H25" i="4"/>
  <c r="H226" i="4" s="1"/>
  <c r="I25" i="4"/>
  <c r="I226" i="4" s="1"/>
  <c r="J25" i="4"/>
  <c r="K25" i="4"/>
  <c r="K226" i="4" s="1"/>
  <c r="L25" i="4"/>
  <c r="L226" i="4" s="1"/>
  <c r="D226" i="4"/>
  <c r="C226" i="4"/>
  <c r="J136" i="4"/>
  <c r="H75" i="4"/>
  <c r="F83" i="4" s="1"/>
  <c r="H74" i="4"/>
  <c r="F57" i="4"/>
  <c r="D37" i="7" s="1"/>
  <c r="F56" i="4"/>
  <c r="A14" i="4"/>
  <c r="A15" i="4" s="1"/>
  <c r="A16" i="4" s="1"/>
  <c r="A17" i="4" s="1"/>
  <c r="A18" i="4" s="1"/>
  <c r="A19" i="4" s="1"/>
  <c r="A20" i="4" s="1"/>
  <c r="A21" i="4" s="1"/>
  <c r="A22" i="4" s="1"/>
  <c r="A23" i="4" s="1"/>
  <c r="A24" i="4" s="1"/>
  <c r="A25" i="4" s="1"/>
  <c r="J319" i="49"/>
  <c r="C12" i="46"/>
  <c r="C57" i="22"/>
  <c r="D19" i="71"/>
  <c r="D18" i="71"/>
  <c r="G69" i="22"/>
  <c r="G63" i="22"/>
  <c r="G22" i="45"/>
  <c r="G20" i="45"/>
  <c r="K12" i="1" s="1"/>
  <c r="G19" i="45"/>
  <c r="G18" i="45"/>
  <c r="K130" i="1" s="1"/>
  <c r="J128" i="53"/>
  <c r="I128" i="53"/>
  <c r="F128" i="53"/>
  <c r="J127" i="53"/>
  <c r="I127" i="53"/>
  <c r="F127" i="53"/>
  <c r="J126" i="53"/>
  <c r="I126" i="53"/>
  <c r="K126" i="53" s="1"/>
  <c r="F126" i="53"/>
  <c r="J125" i="53"/>
  <c r="I125" i="53"/>
  <c r="F125" i="53"/>
  <c r="J124" i="53"/>
  <c r="I124" i="53"/>
  <c r="F124" i="53"/>
  <c r="J123" i="53"/>
  <c r="I123" i="53"/>
  <c r="K123" i="53" s="1"/>
  <c r="F123" i="53"/>
  <c r="J122" i="53"/>
  <c r="I122" i="53"/>
  <c r="F122" i="53"/>
  <c r="J121" i="53"/>
  <c r="I121" i="53"/>
  <c r="F121" i="53"/>
  <c r="J120" i="53"/>
  <c r="I120" i="53"/>
  <c r="F120" i="53"/>
  <c r="J119" i="53"/>
  <c r="I119" i="53"/>
  <c r="F119" i="53"/>
  <c r="J118" i="53"/>
  <c r="I118" i="53"/>
  <c r="F118" i="53"/>
  <c r="J117" i="53"/>
  <c r="I117" i="53"/>
  <c r="F117" i="53"/>
  <c r="J116" i="53"/>
  <c r="I116" i="53"/>
  <c r="F116" i="53"/>
  <c r="J115" i="53"/>
  <c r="I115" i="53"/>
  <c r="K115" i="53" s="1"/>
  <c r="F115" i="53"/>
  <c r="B114" i="53"/>
  <c r="A108" i="53"/>
  <c r="A109" i="53"/>
  <c r="A110" i="53"/>
  <c r="A111" i="53"/>
  <c r="A112" i="53"/>
  <c r="A113" i="53"/>
  <c r="A114" i="53"/>
  <c r="B90" i="53"/>
  <c r="I38" i="53"/>
  <c r="D38" i="53"/>
  <c r="I37" i="53"/>
  <c r="D37" i="53"/>
  <c r="I36" i="53"/>
  <c r="D36" i="53"/>
  <c r="A29" i="53"/>
  <c r="A30" i="53"/>
  <c r="A31" i="53"/>
  <c r="A32" i="53"/>
  <c r="A33" i="53"/>
  <c r="A34" i="53"/>
  <c r="J27" i="53"/>
  <c r="J26" i="53"/>
  <c r="J25" i="53"/>
  <c r="J24" i="53"/>
  <c r="J23" i="53"/>
  <c r="J22" i="53"/>
  <c r="J21" i="53"/>
  <c r="J20" i="53"/>
  <c r="J19" i="53"/>
  <c r="J18" i="53"/>
  <c r="J17" i="53"/>
  <c r="J16" i="53"/>
  <c r="J15" i="53"/>
  <c r="J13" i="53"/>
  <c r="J12" i="53"/>
  <c r="K119" i="53"/>
  <c r="A7" i="63"/>
  <c r="A14" i="63" s="1"/>
  <c r="A15" i="63" s="1"/>
  <c r="A16" i="63" s="1"/>
  <c r="A17" i="63" s="1"/>
  <c r="A18" i="63" s="1"/>
  <c r="A19" i="63" s="1"/>
  <c r="A20" i="63" s="1"/>
  <c r="A21" i="63" s="1"/>
  <c r="A22" i="63" s="1"/>
  <c r="A26" i="63" s="1"/>
  <c r="A27" i="63" s="1"/>
  <c r="A28" i="63" s="1"/>
  <c r="A33" i="63" s="1"/>
  <c r="A34" i="63" s="1"/>
  <c r="A35" i="63" s="1"/>
  <c r="A36" i="63" s="1"/>
  <c r="A37" i="63" s="1"/>
  <c r="A38" i="63" s="1"/>
  <c r="A39" i="63" s="1"/>
  <c r="A40" i="63" s="1"/>
  <c r="A41" i="63" s="1"/>
  <c r="A42" i="63" s="1"/>
  <c r="A43" i="63" s="1"/>
  <c r="A44" i="63" s="1"/>
  <c r="A45" i="63" s="1"/>
  <c r="A46" i="63" s="1"/>
  <c r="A47" i="63" s="1"/>
  <c r="A48" i="63" s="1"/>
  <c r="A49" i="63" s="1"/>
  <c r="A50" i="63" s="1"/>
  <c r="A51" i="63" s="1"/>
  <c r="A52" i="63" s="1"/>
  <c r="A53" i="63" s="1"/>
  <c r="A54" i="63" s="1"/>
  <c r="A55" i="63" s="1"/>
  <c r="A62" i="63" s="1"/>
  <c r="A63" i="63" s="1"/>
  <c r="A64" i="63" s="1"/>
  <c r="A65" i="63" s="1"/>
  <c r="A70" i="63" s="1"/>
  <c r="A71" i="63" s="1"/>
  <c r="A72" i="63" s="1"/>
  <c r="A73" i="63" s="1"/>
  <c r="A74" i="63" s="1"/>
  <c r="A75" i="63" s="1"/>
  <c r="A76" i="63" s="1"/>
  <c r="E29" i="55"/>
  <c r="D29" i="55"/>
  <c r="C29" i="55"/>
  <c r="H42" i="8"/>
  <c r="H33" i="8"/>
  <c r="F26" i="65"/>
  <c r="F27" i="65"/>
  <c r="F28" i="65"/>
  <c r="F29" i="65"/>
  <c r="F30" i="65"/>
  <c r="F31" i="65"/>
  <c r="F32" i="65"/>
  <c r="F33" i="65"/>
  <c r="F34" i="65"/>
  <c r="F35" i="65"/>
  <c r="F36" i="65"/>
  <c r="E222" i="49"/>
  <c r="F222" i="49" s="1"/>
  <c r="O34" i="48"/>
  <c r="O35" i="48"/>
  <c r="O36" i="48"/>
  <c r="J20" i="61"/>
  <c r="M20" i="61" s="1"/>
  <c r="G20" i="61"/>
  <c r="I20" i="61" s="1"/>
  <c r="P97" i="48"/>
  <c r="P98" i="48"/>
  <c r="P99" i="48"/>
  <c r="C34" i="48"/>
  <c r="C35" i="48"/>
  <c r="C36" i="48"/>
  <c r="C97" i="48"/>
  <c r="C98" i="48"/>
  <c r="C99" i="48"/>
  <c r="P66" i="48"/>
  <c r="P67" i="48"/>
  <c r="P68" i="48"/>
  <c r="I407" i="49"/>
  <c r="I408" i="49"/>
  <c r="I409" i="49"/>
  <c r="E407" i="49"/>
  <c r="F407" i="49" s="1"/>
  <c r="E408" i="49"/>
  <c r="F408" i="49" s="1"/>
  <c r="E409" i="49"/>
  <c r="F409" i="49" s="1"/>
  <c r="I374" i="49"/>
  <c r="I375" i="49"/>
  <c r="I376" i="49"/>
  <c r="E374" i="49"/>
  <c r="F374" i="49" s="1"/>
  <c r="E375" i="49"/>
  <c r="F375" i="49" s="1"/>
  <c r="E376" i="49"/>
  <c r="F376" i="49" s="1"/>
  <c r="I341" i="49"/>
  <c r="I342" i="49"/>
  <c r="I343" i="49"/>
  <c r="E341" i="49"/>
  <c r="F341" i="49" s="1"/>
  <c r="E342" i="49"/>
  <c r="F342" i="49" s="1"/>
  <c r="E343" i="49"/>
  <c r="F343" i="49" s="1"/>
  <c r="I308" i="49"/>
  <c r="I309" i="49"/>
  <c r="I310" i="49"/>
  <c r="E308" i="49"/>
  <c r="F308" i="49" s="1"/>
  <c r="E309" i="49"/>
  <c r="F309" i="49" s="1"/>
  <c r="E310" i="49"/>
  <c r="F310" i="49" s="1"/>
  <c r="I275" i="49"/>
  <c r="I276" i="49"/>
  <c r="I277" i="49"/>
  <c r="E275" i="49"/>
  <c r="F275" i="49" s="1"/>
  <c r="E276" i="49"/>
  <c r="F276" i="49" s="1"/>
  <c r="E277" i="49"/>
  <c r="F277" i="49" s="1"/>
  <c r="I242" i="49"/>
  <c r="I243" i="49"/>
  <c r="I244" i="49"/>
  <c r="E242" i="49"/>
  <c r="F242" i="49" s="1"/>
  <c r="E243" i="49"/>
  <c r="F243" i="49" s="1"/>
  <c r="E244" i="49"/>
  <c r="F244" i="49" s="1"/>
  <c r="I209" i="49"/>
  <c r="I210" i="49"/>
  <c r="I211" i="49"/>
  <c r="E209" i="49"/>
  <c r="F209" i="49" s="1"/>
  <c r="E210" i="49"/>
  <c r="F210" i="49" s="1"/>
  <c r="E211" i="49"/>
  <c r="F211" i="49" s="1"/>
  <c r="I176" i="49"/>
  <c r="I177" i="49"/>
  <c r="I178" i="49"/>
  <c r="E176" i="49"/>
  <c r="E177" i="49"/>
  <c r="E178" i="49"/>
  <c r="I145" i="49"/>
  <c r="E145" i="49"/>
  <c r="F145" i="49" s="1"/>
  <c r="I143" i="49"/>
  <c r="I144" i="49"/>
  <c r="E143" i="49"/>
  <c r="F143" i="49" s="1"/>
  <c r="E144" i="49"/>
  <c r="F144" i="49" s="1"/>
  <c r="I110" i="49"/>
  <c r="I111" i="49"/>
  <c r="I112" i="49"/>
  <c r="E110" i="49"/>
  <c r="F110" i="49" s="1"/>
  <c r="E111" i="49"/>
  <c r="F111" i="49" s="1"/>
  <c r="E112" i="49"/>
  <c r="F112" i="49" s="1"/>
  <c r="D134" i="48"/>
  <c r="D133" i="48"/>
  <c r="D132" i="48"/>
  <c r="D131" i="48"/>
  <c r="D130" i="48"/>
  <c r="D129" i="48"/>
  <c r="D128" i="48"/>
  <c r="D127" i="48"/>
  <c r="D120" i="48"/>
  <c r="D119" i="48"/>
  <c r="F272" i="61"/>
  <c r="F123" i="64"/>
  <c r="E123" i="64"/>
  <c r="D123" i="64"/>
  <c r="F118" i="64"/>
  <c r="F117" i="64"/>
  <c r="E118" i="64"/>
  <c r="E117" i="64"/>
  <c r="D118" i="64"/>
  <c r="D117" i="64"/>
  <c r="D24" i="64"/>
  <c r="C120" i="48" s="1"/>
  <c r="L80" i="64"/>
  <c r="M110" i="21" s="1"/>
  <c r="K12" i="64"/>
  <c r="K80" i="64" s="1"/>
  <c r="L110" i="21" s="1"/>
  <c r="J12" i="64"/>
  <c r="J80" i="64" s="1"/>
  <c r="K110" i="21" s="1"/>
  <c r="I12" i="64"/>
  <c r="I80" i="64" s="1"/>
  <c r="J110" i="21" s="1"/>
  <c r="H12" i="64"/>
  <c r="H80" i="64" s="1"/>
  <c r="I110" i="21" s="1"/>
  <c r="G12" i="64"/>
  <c r="G80" i="64" s="1"/>
  <c r="H110" i="21" s="1"/>
  <c r="F12" i="64"/>
  <c r="F80" i="64" s="1"/>
  <c r="G110" i="21" s="1"/>
  <c r="E12" i="64"/>
  <c r="E80" i="64" s="1"/>
  <c r="D12" i="64"/>
  <c r="C24" i="64"/>
  <c r="C119" i="48" s="1"/>
  <c r="C12" i="64"/>
  <c r="B148" i="64"/>
  <c r="A75" i="64"/>
  <c r="A76" i="64" s="1"/>
  <c r="A77" i="64" s="1"/>
  <c r="A78" i="64" s="1"/>
  <c r="A79" i="64" s="1"/>
  <c r="A80" i="64" s="1"/>
  <c r="A13" i="64"/>
  <c r="A14" i="64" s="1"/>
  <c r="A15" i="64" s="1"/>
  <c r="A16" i="64" s="1"/>
  <c r="A17" i="64" s="1"/>
  <c r="A18" i="64" s="1"/>
  <c r="A19" i="64" s="1"/>
  <c r="A20" i="64" s="1"/>
  <c r="A21" i="64" s="1"/>
  <c r="A22" i="64" s="1"/>
  <c r="A23" i="64" s="1"/>
  <c r="A24" i="64" s="1"/>
  <c r="A25" i="64" s="1"/>
  <c r="A43" i="64" s="1"/>
  <c r="A45" i="64" s="1"/>
  <c r="O19" i="48"/>
  <c r="J88" i="8"/>
  <c r="E89" i="8" s="1"/>
  <c r="C117" i="48"/>
  <c r="H26" i="8"/>
  <c r="I31" i="1"/>
  <c r="A33" i="79"/>
  <c r="A34" i="79"/>
  <c r="A35" i="79"/>
  <c r="A36" i="79"/>
  <c r="A37" i="79"/>
  <c r="A38" i="79"/>
  <c r="A39" i="79"/>
  <c r="D17" i="71"/>
  <c r="D16" i="71"/>
  <c r="D15" i="71"/>
  <c r="D14" i="71"/>
  <c r="D13" i="71"/>
  <c r="D12" i="71"/>
  <c r="D11" i="71"/>
  <c r="D10" i="71"/>
  <c r="D56" i="71" s="1"/>
  <c r="D9" i="71"/>
  <c r="D57" i="7"/>
  <c r="D53" i="7"/>
  <c r="E34" i="11"/>
  <c r="E33" i="11"/>
  <c r="E32" i="11"/>
  <c r="E31" i="11"/>
  <c r="E30" i="11"/>
  <c r="E29" i="11"/>
  <c r="E28" i="11"/>
  <c r="E27" i="11"/>
  <c r="E26" i="11"/>
  <c r="I406" i="49"/>
  <c r="I405" i="49"/>
  <c r="I404" i="49"/>
  <c r="I403" i="49"/>
  <c r="I402" i="49"/>
  <c r="I401" i="49"/>
  <c r="I400" i="49"/>
  <c r="I399" i="49"/>
  <c r="I398" i="49"/>
  <c r="I397" i="49"/>
  <c r="I396" i="49"/>
  <c r="I395" i="49"/>
  <c r="I394" i="49"/>
  <c r="I393" i="49"/>
  <c r="I392" i="49"/>
  <c r="I391" i="49"/>
  <c r="I390" i="49"/>
  <c r="I389" i="49"/>
  <c r="I388" i="49"/>
  <c r="I387" i="49"/>
  <c r="I386" i="49"/>
  <c r="E406" i="49"/>
  <c r="F406" i="49" s="1"/>
  <c r="E405" i="49"/>
  <c r="F405" i="49" s="1"/>
  <c r="E404" i="49"/>
  <c r="F404" i="49" s="1"/>
  <c r="E403" i="49"/>
  <c r="F403" i="49" s="1"/>
  <c r="E402" i="49"/>
  <c r="F402" i="49" s="1"/>
  <c r="E401" i="49"/>
  <c r="F401" i="49" s="1"/>
  <c r="E400" i="49"/>
  <c r="F400" i="49" s="1"/>
  <c r="E399" i="49"/>
  <c r="F399" i="49" s="1"/>
  <c r="E398" i="49"/>
  <c r="F398" i="49" s="1"/>
  <c r="E397" i="49"/>
  <c r="F397" i="49" s="1"/>
  <c r="E396" i="49"/>
  <c r="F396" i="49" s="1"/>
  <c r="E395" i="49"/>
  <c r="F395" i="49" s="1"/>
  <c r="E394" i="49"/>
  <c r="F394" i="49" s="1"/>
  <c r="E393" i="49"/>
  <c r="F393" i="49" s="1"/>
  <c r="E392" i="49"/>
  <c r="F392" i="49" s="1"/>
  <c r="E391" i="49"/>
  <c r="F391" i="49" s="1"/>
  <c r="E390" i="49"/>
  <c r="F390" i="49" s="1"/>
  <c r="E389" i="49"/>
  <c r="F389" i="49" s="1"/>
  <c r="E388" i="49"/>
  <c r="F388" i="49" s="1"/>
  <c r="E387" i="49"/>
  <c r="F387" i="49" s="1"/>
  <c r="E386" i="49"/>
  <c r="F386" i="49" s="1"/>
  <c r="I373" i="49"/>
  <c r="I372" i="49"/>
  <c r="I371" i="49"/>
  <c r="I370" i="49"/>
  <c r="I369" i="49"/>
  <c r="I368" i="49"/>
  <c r="I367" i="49"/>
  <c r="I366" i="49"/>
  <c r="I365" i="49"/>
  <c r="I364" i="49"/>
  <c r="I363" i="49"/>
  <c r="I362" i="49"/>
  <c r="I361" i="49"/>
  <c r="I360" i="49"/>
  <c r="I359" i="49"/>
  <c r="I358" i="49"/>
  <c r="I357" i="49"/>
  <c r="I356" i="49"/>
  <c r="I355" i="49"/>
  <c r="I354" i="49"/>
  <c r="I353" i="49"/>
  <c r="E373" i="49"/>
  <c r="F373" i="49" s="1"/>
  <c r="E372" i="49"/>
  <c r="F372" i="49" s="1"/>
  <c r="E371" i="49"/>
  <c r="F371" i="49" s="1"/>
  <c r="E370" i="49"/>
  <c r="F370" i="49" s="1"/>
  <c r="E369" i="49"/>
  <c r="F369" i="49" s="1"/>
  <c r="E368" i="49"/>
  <c r="F368" i="49" s="1"/>
  <c r="E367" i="49"/>
  <c r="F367" i="49" s="1"/>
  <c r="E366" i="49"/>
  <c r="F366" i="49" s="1"/>
  <c r="E365" i="49"/>
  <c r="F365" i="49" s="1"/>
  <c r="E364" i="49"/>
  <c r="F364" i="49" s="1"/>
  <c r="E363" i="49"/>
  <c r="F363" i="49" s="1"/>
  <c r="E362" i="49"/>
  <c r="F362" i="49" s="1"/>
  <c r="E361" i="49"/>
  <c r="F361" i="49" s="1"/>
  <c r="E360" i="49"/>
  <c r="F360" i="49" s="1"/>
  <c r="E359" i="49"/>
  <c r="F359" i="49" s="1"/>
  <c r="E358" i="49"/>
  <c r="F358" i="49" s="1"/>
  <c r="E357" i="49"/>
  <c r="F357" i="49" s="1"/>
  <c r="E356" i="49"/>
  <c r="F356" i="49" s="1"/>
  <c r="E355" i="49"/>
  <c r="F355" i="49" s="1"/>
  <c r="E354" i="49"/>
  <c r="F354" i="49" s="1"/>
  <c r="E353" i="49"/>
  <c r="F353" i="49" s="1"/>
  <c r="I340" i="49"/>
  <c r="I339" i="49"/>
  <c r="I338" i="49"/>
  <c r="I337" i="49"/>
  <c r="I336" i="49"/>
  <c r="I335" i="49"/>
  <c r="I334" i="49"/>
  <c r="I333" i="49"/>
  <c r="I332" i="49"/>
  <c r="I331" i="49"/>
  <c r="I330" i="49"/>
  <c r="I329" i="49"/>
  <c r="I328" i="49"/>
  <c r="I327" i="49"/>
  <c r="I326" i="49"/>
  <c r="I325" i="49"/>
  <c r="I324" i="49"/>
  <c r="I323" i="49"/>
  <c r="I322" i="49"/>
  <c r="I321" i="49"/>
  <c r="I320" i="49"/>
  <c r="E340" i="49"/>
  <c r="F340" i="49" s="1"/>
  <c r="E339" i="49"/>
  <c r="F339" i="49" s="1"/>
  <c r="E338" i="49"/>
  <c r="F338" i="49" s="1"/>
  <c r="E337" i="49"/>
  <c r="F337" i="49" s="1"/>
  <c r="E336" i="49"/>
  <c r="F336" i="49" s="1"/>
  <c r="E335" i="49"/>
  <c r="F335" i="49" s="1"/>
  <c r="E334" i="49"/>
  <c r="F334" i="49" s="1"/>
  <c r="E333" i="49"/>
  <c r="F333" i="49" s="1"/>
  <c r="E332" i="49"/>
  <c r="F332" i="49" s="1"/>
  <c r="E331" i="49"/>
  <c r="F331" i="49" s="1"/>
  <c r="E330" i="49"/>
  <c r="F330" i="49" s="1"/>
  <c r="E329" i="49"/>
  <c r="F329" i="49" s="1"/>
  <c r="E328" i="49"/>
  <c r="F328" i="49" s="1"/>
  <c r="E327" i="49"/>
  <c r="F327" i="49" s="1"/>
  <c r="E326" i="49"/>
  <c r="E325" i="49"/>
  <c r="F325" i="49" s="1"/>
  <c r="E324" i="49"/>
  <c r="F324" i="49" s="1"/>
  <c r="E323" i="49"/>
  <c r="F323" i="49" s="1"/>
  <c r="E322" i="49"/>
  <c r="F322" i="49" s="1"/>
  <c r="E321" i="49"/>
  <c r="F321" i="49" s="1"/>
  <c r="E320" i="49"/>
  <c r="F320" i="49" s="1"/>
  <c r="I307" i="49"/>
  <c r="I306" i="49"/>
  <c r="I305" i="49"/>
  <c r="I304" i="49"/>
  <c r="I303" i="49"/>
  <c r="I302" i="49"/>
  <c r="I301" i="49"/>
  <c r="I300" i="49"/>
  <c r="I299" i="49"/>
  <c r="I298" i="49"/>
  <c r="I297" i="49"/>
  <c r="I296" i="49"/>
  <c r="I295" i="49"/>
  <c r="I294" i="49"/>
  <c r="I293" i="49"/>
  <c r="I292" i="49"/>
  <c r="I291" i="49"/>
  <c r="I290" i="49"/>
  <c r="I289" i="49"/>
  <c r="I288" i="49"/>
  <c r="I287" i="49"/>
  <c r="E307" i="49"/>
  <c r="F307" i="49" s="1"/>
  <c r="E306" i="49"/>
  <c r="F306" i="49" s="1"/>
  <c r="E305" i="49"/>
  <c r="F305" i="49" s="1"/>
  <c r="E304" i="49"/>
  <c r="F304" i="49" s="1"/>
  <c r="E303" i="49"/>
  <c r="F303" i="49" s="1"/>
  <c r="E302" i="49"/>
  <c r="F302" i="49" s="1"/>
  <c r="E301" i="49"/>
  <c r="F301" i="49" s="1"/>
  <c r="E300" i="49"/>
  <c r="F300" i="49" s="1"/>
  <c r="E299" i="49"/>
  <c r="F299" i="49" s="1"/>
  <c r="E298" i="49"/>
  <c r="F298" i="49" s="1"/>
  <c r="E297" i="49"/>
  <c r="F297" i="49" s="1"/>
  <c r="E296" i="49"/>
  <c r="F296" i="49" s="1"/>
  <c r="E295" i="49"/>
  <c r="F295" i="49" s="1"/>
  <c r="E294" i="49"/>
  <c r="F294" i="49" s="1"/>
  <c r="E293" i="49"/>
  <c r="F293" i="49" s="1"/>
  <c r="E292" i="49"/>
  <c r="F292" i="49" s="1"/>
  <c r="E291" i="49"/>
  <c r="F291" i="49" s="1"/>
  <c r="E290" i="49"/>
  <c r="E289" i="49"/>
  <c r="F289" i="49" s="1"/>
  <c r="E288" i="49"/>
  <c r="F288" i="49" s="1"/>
  <c r="E287" i="49"/>
  <c r="F287" i="49" s="1"/>
  <c r="I274" i="49"/>
  <c r="I273" i="49"/>
  <c r="I272" i="49"/>
  <c r="I271" i="49"/>
  <c r="I270" i="49"/>
  <c r="I269" i="49"/>
  <c r="I268" i="49"/>
  <c r="I267" i="49"/>
  <c r="I266" i="49"/>
  <c r="I265" i="49"/>
  <c r="I264" i="49"/>
  <c r="I263" i="49"/>
  <c r="I262" i="49"/>
  <c r="I261" i="49"/>
  <c r="I260" i="49"/>
  <c r="I259" i="49"/>
  <c r="I258" i="49"/>
  <c r="I257" i="49"/>
  <c r="I256" i="49"/>
  <c r="I255" i="49"/>
  <c r="I254" i="49"/>
  <c r="E274" i="49"/>
  <c r="F274" i="49" s="1"/>
  <c r="E273" i="49"/>
  <c r="F273" i="49" s="1"/>
  <c r="E272" i="49"/>
  <c r="F272" i="49" s="1"/>
  <c r="E271" i="49"/>
  <c r="F271" i="49" s="1"/>
  <c r="E270" i="49"/>
  <c r="F270" i="49" s="1"/>
  <c r="E269" i="49"/>
  <c r="F269" i="49" s="1"/>
  <c r="E268" i="49"/>
  <c r="F268" i="49" s="1"/>
  <c r="E267" i="49"/>
  <c r="F267" i="49" s="1"/>
  <c r="E266" i="49"/>
  <c r="F266" i="49" s="1"/>
  <c r="E265" i="49"/>
  <c r="F265" i="49" s="1"/>
  <c r="E264" i="49"/>
  <c r="F264" i="49" s="1"/>
  <c r="E263" i="49"/>
  <c r="F263" i="49" s="1"/>
  <c r="E262" i="49"/>
  <c r="F262" i="49" s="1"/>
  <c r="E261" i="49"/>
  <c r="F261" i="49" s="1"/>
  <c r="E260" i="49"/>
  <c r="E259" i="49"/>
  <c r="F259" i="49" s="1"/>
  <c r="E258" i="49"/>
  <c r="F258" i="49" s="1"/>
  <c r="E257" i="49"/>
  <c r="F257" i="49" s="1"/>
  <c r="E256" i="49"/>
  <c r="F256" i="49" s="1"/>
  <c r="E255" i="49"/>
  <c r="F255" i="49" s="1"/>
  <c r="E254" i="49"/>
  <c r="F254" i="49" s="1"/>
  <c r="I241" i="49"/>
  <c r="I240" i="49"/>
  <c r="I239" i="49"/>
  <c r="I238" i="49"/>
  <c r="I237" i="49"/>
  <c r="I236" i="49"/>
  <c r="I235" i="49"/>
  <c r="I234" i="49"/>
  <c r="I233" i="49"/>
  <c r="I232" i="49"/>
  <c r="I231" i="49"/>
  <c r="I230" i="49"/>
  <c r="I229" i="49"/>
  <c r="I228" i="49"/>
  <c r="I227" i="49"/>
  <c r="I226" i="49"/>
  <c r="I225" i="49"/>
  <c r="I224" i="49"/>
  <c r="I223" i="49"/>
  <c r="I222" i="49"/>
  <c r="I221" i="49"/>
  <c r="E241" i="49"/>
  <c r="F241" i="49" s="1"/>
  <c r="E240" i="49"/>
  <c r="F240" i="49" s="1"/>
  <c r="E239" i="49"/>
  <c r="F239" i="49" s="1"/>
  <c r="E238" i="49"/>
  <c r="F238" i="49" s="1"/>
  <c r="E237" i="49"/>
  <c r="F237" i="49" s="1"/>
  <c r="E236" i="49"/>
  <c r="F236" i="49" s="1"/>
  <c r="E235" i="49"/>
  <c r="F235" i="49" s="1"/>
  <c r="E234" i="49"/>
  <c r="E233" i="49"/>
  <c r="F233" i="49" s="1"/>
  <c r="E232" i="49"/>
  <c r="F232" i="49" s="1"/>
  <c r="E231" i="49"/>
  <c r="F231" i="49" s="1"/>
  <c r="E230" i="49"/>
  <c r="F230" i="49" s="1"/>
  <c r="E229" i="49"/>
  <c r="E228" i="49"/>
  <c r="F228" i="49" s="1"/>
  <c r="E227" i="49"/>
  <c r="F227" i="49" s="1"/>
  <c r="E226" i="49"/>
  <c r="F226" i="49" s="1"/>
  <c r="E225" i="49"/>
  <c r="F225" i="49" s="1"/>
  <c r="E224" i="49"/>
  <c r="F224" i="49" s="1"/>
  <c r="E223" i="49"/>
  <c r="F223" i="49" s="1"/>
  <c r="E221" i="49"/>
  <c r="F221" i="49" s="1"/>
  <c r="I189" i="49"/>
  <c r="I190" i="49"/>
  <c r="I191" i="49"/>
  <c r="I192" i="49"/>
  <c r="I193" i="49"/>
  <c r="I194" i="49"/>
  <c r="I195" i="49"/>
  <c r="I196" i="49"/>
  <c r="I197" i="49"/>
  <c r="I198" i="49"/>
  <c r="I199" i="49"/>
  <c r="I200" i="49"/>
  <c r="I201" i="49"/>
  <c r="I202" i="49"/>
  <c r="I203" i="49"/>
  <c r="I204" i="49"/>
  <c r="I205" i="49"/>
  <c r="I206" i="49"/>
  <c r="I207" i="49"/>
  <c r="I208" i="49"/>
  <c r="I188" i="49"/>
  <c r="E189" i="49"/>
  <c r="F189" i="49" s="1"/>
  <c r="E190" i="49"/>
  <c r="F190" i="49" s="1"/>
  <c r="E191" i="49"/>
  <c r="F191" i="49" s="1"/>
  <c r="E192" i="49"/>
  <c r="F192" i="49" s="1"/>
  <c r="E193" i="49"/>
  <c r="F193" i="49" s="1"/>
  <c r="E194" i="49"/>
  <c r="F194" i="49" s="1"/>
  <c r="E195" i="49"/>
  <c r="F195" i="49" s="1"/>
  <c r="E196" i="49"/>
  <c r="F196" i="49" s="1"/>
  <c r="E197" i="49"/>
  <c r="F197" i="49" s="1"/>
  <c r="E198" i="49"/>
  <c r="F198" i="49" s="1"/>
  <c r="E199" i="49"/>
  <c r="F199" i="49" s="1"/>
  <c r="E200" i="49"/>
  <c r="F200" i="49" s="1"/>
  <c r="E201" i="49"/>
  <c r="F201" i="49" s="1"/>
  <c r="E202" i="49"/>
  <c r="F202" i="49" s="1"/>
  <c r="E203" i="49"/>
  <c r="F203" i="49" s="1"/>
  <c r="E204" i="49"/>
  <c r="F204" i="49" s="1"/>
  <c r="E205" i="49"/>
  <c r="F205" i="49" s="1"/>
  <c r="E206" i="49"/>
  <c r="F206" i="49" s="1"/>
  <c r="E207" i="49"/>
  <c r="F207" i="49" s="1"/>
  <c r="E208" i="49"/>
  <c r="F208" i="49" s="1"/>
  <c r="E188" i="49"/>
  <c r="F188" i="49" s="1"/>
  <c r="I175" i="49"/>
  <c r="I174" i="49"/>
  <c r="I173" i="49"/>
  <c r="I172" i="49"/>
  <c r="I171" i="49"/>
  <c r="I170" i="49"/>
  <c r="I169" i="49"/>
  <c r="I168" i="49"/>
  <c r="I167" i="49"/>
  <c r="I166" i="49"/>
  <c r="I165" i="49"/>
  <c r="I164" i="49"/>
  <c r="I163" i="49"/>
  <c r="I162" i="49"/>
  <c r="I161" i="49"/>
  <c r="I160" i="49"/>
  <c r="I159" i="49"/>
  <c r="I158" i="49"/>
  <c r="I157" i="49"/>
  <c r="I156" i="49"/>
  <c r="I155" i="49"/>
  <c r="E175" i="49"/>
  <c r="E174" i="49"/>
  <c r="E173" i="49"/>
  <c r="E172" i="49"/>
  <c r="E171" i="49"/>
  <c r="E170" i="49"/>
  <c r="E169" i="49"/>
  <c r="E168" i="49"/>
  <c r="E167" i="49"/>
  <c r="E166" i="49"/>
  <c r="E165" i="49"/>
  <c r="F165" i="49" s="1"/>
  <c r="E164" i="49"/>
  <c r="E163" i="49"/>
  <c r="E162" i="49"/>
  <c r="E161" i="49"/>
  <c r="E160" i="49"/>
  <c r="E159" i="49"/>
  <c r="E158" i="49"/>
  <c r="E157" i="49"/>
  <c r="E156" i="49"/>
  <c r="I142" i="49"/>
  <c r="I141" i="49"/>
  <c r="I140" i="49"/>
  <c r="I139" i="49"/>
  <c r="I138" i="49"/>
  <c r="I137" i="49"/>
  <c r="I136" i="49"/>
  <c r="I135" i="49"/>
  <c r="I134" i="49"/>
  <c r="I133" i="49"/>
  <c r="I132" i="49"/>
  <c r="I131" i="49"/>
  <c r="I130" i="49"/>
  <c r="I129" i="49"/>
  <c r="I128" i="49"/>
  <c r="I127" i="49"/>
  <c r="I126" i="49"/>
  <c r="I125" i="49"/>
  <c r="I124" i="49"/>
  <c r="I123" i="49"/>
  <c r="I122" i="49"/>
  <c r="E142" i="49"/>
  <c r="F142" i="49" s="1"/>
  <c r="E141" i="49"/>
  <c r="F141" i="49" s="1"/>
  <c r="E140" i="49"/>
  <c r="F140" i="49" s="1"/>
  <c r="E139" i="49"/>
  <c r="F139" i="49" s="1"/>
  <c r="E138" i="49"/>
  <c r="F138" i="49" s="1"/>
  <c r="E137" i="49"/>
  <c r="F137" i="49" s="1"/>
  <c r="E136" i="49"/>
  <c r="E135" i="49"/>
  <c r="F135" i="49" s="1"/>
  <c r="E134" i="49"/>
  <c r="F134" i="49" s="1"/>
  <c r="E133" i="49"/>
  <c r="F133" i="49" s="1"/>
  <c r="E132" i="49"/>
  <c r="F132" i="49" s="1"/>
  <c r="E131" i="49"/>
  <c r="F131" i="49" s="1"/>
  <c r="E130" i="49"/>
  <c r="F130" i="49" s="1"/>
  <c r="E129" i="49"/>
  <c r="F129" i="49" s="1"/>
  <c r="E128" i="49"/>
  <c r="F128" i="49" s="1"/>
  <c r="E127" i="49"/>
  <c r="F127" i="49" s="1"/>
  <c r="E126" i="49"/>
  <c r="F126" i="49" s="1"/>
  <c r="E125" i="49"/>
  <c r="F125" i="49" s="1"/>
  <c r="E124" i="49"/>
  <c r="F124" i="49" s="1"/>
  <c r="E123" i="49"/>
  <c r="F123" i="49" s="1"/>
  <c r="E122" i="49"/>
  <c r="F122" i="49" s="1"/>
  <c r="I109" i="49"/>
  <c r="I108" i="49"/>
  <c r="I107" i="49"/>
  <c r="I106" i="49"/>
  <c r="I105" i="49"/>
  <c r="I104" i="49"/>
  <c r="I103" i="49"/>
  <c r="I102" i="49"/>
  <c r="I101" i="49"/>
  <c r="I100" i="49"/>
  <c r="I99" i="49"/>
  <c r="I98" i="49"/>
  <c r="I97" i="49"/>
  <c r="I96" i="49"/>
  <c r="I95" i="49"/>
  <c r="I94" i="49"/>
  <c r="I93" i="49"/>
  <c r="I92" i="49"/>
  <c r="I91" i="49"/>
  <c r="I90" i="49"/>
  <c r="I89" i="49"/>
  <c r="E109" i="49"/>
  <c r="F109" i="49" s="1"/>
  <c r="E108" i="49"/>
  <c r="F108" i="49" s="1"/>
  <c r="E107" i="49"/>
  <c r="E106" i="49"/>
  <c r="F106" i="49" s="1"/>
  <c r="E105" i="49"/>
  <c r="F105" i="49" s="1"/>
  <c r="E104" i="49"/>
  <c r="F104" i="49" s="1"/>
  <c r="E103" i="49"/>
  <c r="F103" i="49" s="1"/>
  <c r="E102" i="49"/>
  <c r="F102" i="49" s="1"/>
  <c r="E101" i="49"/>
  <c r="F101" i="49" s="1"/>
  <c r="E100" i="49"/>
  <c r="E99" i="49"/>
  <c r="F99" i="49" s="1"/>
  <c r="E98" i="49"/>
  <c r="F98" i="49" s="1"/>
  <c r="E97" i="49"/>
  <c r="F97" i="49" s="1"/>
  <c r="E96" i="49"/>
  <c r="F96" i="49" s="1"/>
  <c r="E95" i="49"/>
  <c r="F95" i="49" s="1"/>
  <c r="E94" i="49"/>
  <c r="F94" i="49" s="1"/>
  <c r="E93" i="49"/>
  <c r="F93" i="49" s="1"/>
  <c r="E92" i="49"/>
  <c r="F92" i="49" s="1"/>
  <c r="E91" i="49"/>
  <c r="F91" i="49" s="1"/>
  <c r="E90" i="49"/>
  <c r="F90" i="49" s="1"/>
  <c r="E89" i="49"/>
  <c r="F89" i="49" s="1"/>
  <c r="C137" i="48"/>
  <c r="P52" i="48"/>
  <c r="C96" i="48"/>
  <c r="C95" i="48"/>
  <c r="C94" i="48"/>
  <c r="C93" i="48"/>
  <c r="O29" i="48"/>
  <c r="C92" i="48"/>
  <c r="C91" i="48"/>
  <c r="O27" i="48"/>
  <c r="C90" i="48"/>
  <c r="O26" i="48"/>
  <c r="C89" i="48"/>
  <c r="O25" i="48"/>
  <c r="C88" i="48"/>
  <c r="O24" i="48"/>
  <c r="C87" i="48"/>
  <c r="O23" i="48"/>
  <c r="C86" i="48"/>
  <c r="C85" i="48"/>
  <c r="O21" i="48"/>
  <c r="C84" i="48"/>
  <c r="C83" i="48"/>
  <c r="C82" i="48"/>
  <c r="O18" i="48"/>
  <c r="C81" i="48"/>
  <c r="O17" i="48"/>
  <c r="C80" i="48"/>
  <c r="C79" i="48"/>
  <c r="C78" i="48"/>
  <c r="C77" i="48"/>
  <c r="O13" i="48"/>
  <c r="C76" i="48"/>
  <c r="P75" i="48"/>
  <c r="O75" i="48"/>
  <c r="N75" i="48"/>
  <c r="M75" i="48"/>
  <c r="L75" i="48"/>
  <c r="K75" i="48"/>
  <c r="J75" i="48"/>
  <c r="I75" i="48"/>
  <c r="H75" i="48"/>
  <c r="D75" i="48"/>
  <c r="C75" i="48"/>
  <c r="P74" i="48"/>
  <c r="O74" i="48"/>
  <c r="M74" i="48"/>
  <c r="L74" i="48"/>
  <c r="K74" i="48"/>
  <c r="I74" i="48"/>
  <c r="H74" i="48"/>
  <c r="C74" i="48"/>
  <c r="P73" i="48"/>
  <c r="O73" i="48"/>
  <c r="I73" i="48"/>
  <c r="C73" i="48"/>
  <c r="N72" i="48"/>
  <c r="I72" i="48"/>
  <c r="P44" i="48"/>
  <c r="O44" i="48"/>
  <c r="N44" i="48"/>
  <c r="M44" i="48"/>
  <c r="L44" i="48"/>
  <c r="K44" i="48"/>
  <c r="J44" i="48"/>
  <c r="I44" i="48"/>
  <c r="H44" i="48"/>
  <c r="D44" i="48"/>
  <c r="C44" i="48"/>
  <c r="P43" i="48"/>
  <c r="O43" i="48"/>
  <c r="L43" i="48"/>
  <c r="K43" i="48"/>
  <c r="I43" i="48"/>
  <c r="H43" i="48"/>
  <c r="C43" i="48"/>
  <c r="P42" i="48"/>
  <c r="O42" i="48"/>
  <c r="I42" i="48"/>
  <c r="C42" i="48"/>
  <c r="O33" i="48"/>
  <c r="C33" i="48"/>
  <c r="C32" i="48"/>
  <c r="O31" i="48"/>
  <c r="C31" i="48"/>
  <c r="C30" i="48"/>
  <c r="C29" i="48"/>
  <c r="C28" i="48"/>
  <c r="C27" i="48"/>
  <c r="C26" i="48"/>
  <c r="C25" i="48"/>
  <c r="C24" i="48"/>
  <c r="C23" i="48"/>
  <c r="C22" i="48"/>
  <c r="C21" i="48"/>
  <c r="C20" i="48"/>
  <c r="C19" i="48"/>
  <c r="C18" i="48"/>
  <c r="C17" i="48"/>
  <c r="C16" i="48"/>
  <c r="C15" i="48"/>
  <c r="C14" i="48"/>
  <c r="A14" i="48"/>
  <c r="A15" i="48"/>
  <c r="A16" i="48"/>
  <c r="A17" i="48"/>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L13" i="48"/>
  <c r="C13" i="48"/>
  <c r="G75" i="48"/>
  <c r="E75" i="48"/>
  <c r="G74" i="48"/>
  <c r="F43" i="48"/>
  <c r="E73" i="48"/>
  <c r="K384" i="49"/>
  <c r="J384" i="49"/>
  <c r="I384" i="49"/>
  <c r="H384" i="49"/>
  <c r="G384" i="49"/>
  <c r="F384" i="49"/>
  <c r="E384" i="49"/>
  <c r="D384" i="49"/>
  <c r="K383" i="49"/>
  <c r="J383" i="49"/>
  <c r="I383" i="49"/>
  <c r="H383" i="49"/>
  <c r="G383" i="49"/>
  <c r="F383" i="49"/>
  <c r="E383" i="49"/>
  <c r="D383" i="49"/>
  <c r="G382" i="49"/>
  <c r="J352" i="49"/>
  <c r="K351" i="49"/>
  <c r="J351" i="49"/>
  <c r="I351" i="49"/>
  <c r="H351" i="49"/>
  <c r="G351" i="49"/>
  <c r="F351" i="49"/>
  <c r="E351" i="49"/>
  <c r="D351" i="49"/>
  <c r="K350" i="49"/>
  <c r="J350" i="49"/>
  <c r="I350" i="49"/>
  <c r="H350" i="49"/>
  <c r="G350" i="49"/>
  <c r="F350" i="49"/>
  <c r="E350" i="49"/>
  <c r="D350" i="49"/>
  <c r="G349" i="49"/>
  <c r="F326" i="49"/>
  <c r="K318" i="49"/>
  <c r="J318" i="49"/>
  <c r="I318" i="49"/>
  <c r="H318" i="49"/>
  <c r="G318" i="49"/>
  <c r="F318" i="49"/>
  <c r="E318" i="49"/>
  <c r="D318" i="49"/>
  <c r="K317" i="49"/>
  <c r="J317" i="49"/>
  <c r="I317" i="49"/>
  <c r="H317" i="49"/>
  <c r="G317" i="49"/>
  <c r="F317" i="49"/>
  <c r="E317" i="49"/>
  <c r="D317" i="49"/>
  <c r="G316" i="49"/>
  <c r="J286" i="49"/>
  <c r="K285" i="49"/>
  <c r="J285" i="49"/>
  <c r="I285" i="49"/>
  <c r="H285" i="49"/>
  <c r="G285" i="49"/>
  <c r="F285" i="49"/>
  <c r="E285" i="49"/>
  <c r="D285" i="49"/>
  <c r="K284" i="49"/>
  <c r="J284" i="49"/>
  <c r="I284" i="49"/>
  <c r="H284" i="49"/>
  <c r="G284" i="49"/>
  <c r="F284" i="49"/>
  <c r="E284" i="49"/>
  <c r="D284" i="49"/>
  <c r="G283" i="49"/>
  <c r="F260" i="49"/>
  <c r="J253" i="49"/>
  <c r="K252" i="49"/>
  <c r="J252" i="49"/>
  <c r="I252" i="49"/>
  <c r="H252" i="49"/>
  <c r="F252" i="49"/>
  <c r="E252" i="49"/>
  <c r="D252" i="49"/>
  <c r="K251" i="49"/>
  <c r="J251" i="49"/>
  <c r="I251" i="49"/>
  <c r="H251" i="49"/>
  <c r="F251" i="49"/>
  <c r="E251" i="49"/>
  <c r="D251" i="49"/>
  <c r="J220" i="49"/>
  <c r="K219" i="49"/>
  <c r="J219" i="49"/>
  <c r="I219" i="49"/>
  <c r="H219" i="49"/>
  <c r="G219" i="49"/>
  <c r="F219" i="49"/>
  <c r="E219" i="49"/>
  <c r="D219" i="49"/>
  <c r="K218" i="49"/>
  <c r="J218" i="49"/>
  <c r="I218" i="49"/>
  <c r="H218" i="49"/>
  <c r="G218" i="49"/>
  <c r="F218" i="49"/>
  <c r="E218" i="49"/>
  <c r="D218" i="49"/>
  <c r="G217" i="49"/>
  <c r="J187" i="49"/>
  <c r="K186" i="49"/>
  <c r="J186" i="49"/>
  <c r="I186" i="49"/>
  <c r="H186" i="49"/>
  <c r="G186" i="49"/>
  <c r="F186" i="49"/>
  <c r="E186" i="49"/>
  <c r="D186" i="49"/>
  <c r="K185" i="49"/>
  <c r="J185" i="49"/>
  <c r="I185" i="49"/>
  <c r="H185" i="49"/>
  <c r="G185" i="49"/>
  <c r="F185" i="49"/>
  <c r="E185" i="49"/>
  <c r="D185" i="49"/>
  <c r="G184" i="49"/>
  <c r="G516" i="49" s="1"/>
  <c r="J154" i="49"/>
  <c r="K153" i="49"/>
  <c r="J153" i="49"/>
  <c r="I153" i="49"/>
  <c r="H153" i="49"/>
  <c r="G153" i="49"/>
  <c r="F153" i="49"/>
  <c r="E153" i="49"/>
  <c r="D153" i="49"/>
  <c r="K152" i="49"/>
  <c r="J152" i="49"/>
  <c r="I152" i="49"/>
  <c r="H152" i="49"/>
  <c r="G152" i="49"/>
  <c r="G483" i="49" s="1"/>
  <c r="F152" i="49"/>
  <c r="E152" i="49"/>
  <c r="D152" i="49"/>
  <c r="G151" i="49"/>
  <c r="G482" i="49" s="1"/>
  <c r="J121" i="49"/>
  <c r="K120" i="49"/>
  <c r="J120" i="49"/>
  <c r="I120" i="49"/>
  <c r="H120" i="49"/>
  <c r="G120" i="49"/>
  <c r="G450" i="49" s="1"/>
  <c r="F120" i="49"/>
  <c r="E120" i="49"/>
  <c r="D120" i="49"/>
  <c r="K119" i="49"/>
  <c r="J119" i="49"/>
  <c r="I119" i="49"/>
  <c r="H119" i="49"/>
  <c r="G119" i="49"/>
  <c r="G449" i="49" s="1"/>
  <c r="F119" i="49"/>
  <c r="E119" i="49"/>
  <c r="D119" i="49"/>
  <c r="G118" i="49"/>
  <c r="G448" i="49" s="1"/>
  <c r="J88" i="49"/>
  <c r="K87" i="49"/>
  <c r="J87" i="49"/>
  <c r="I87" i="49"/>
  <c r="H87" i="49"/>
  <c r="G87" i="49"/>
  <c r="G417" i="49" s="1"/>
  <c r="F87" i="49"/>
  <c r="E87" i="49"/>
  <c r="D87" i="49"/>
  <c r="K86" i="49"/>
  <c r="J86" i="49"/>
  <c r="I86" i="49"/>
  <c r="H86" i="49"/>
  <c r="G86" i="49"/>
  <c r="G416" i="49" s="1"/>
  <c r="F86" i="49"/>
  <c r="E86" i="49"/>
  <c r="D86" i="49"/>
  <c r="G85" i="49"/>
  <c r="G415" i="49" s="1"/>
  <c r="A14" i="49"/>
  <c r="A15" i="49" s="1"/>
  <c r="A16" i="49" s="1"/>
  <c r="A17" i="49" s="1"/>
  <c r="A18" i="49" s="1"/>
  <c r="A19" i="49" s="1"/>
  <c r="A20" i="49" s="1"/>
  <c r="A21" i="49" s="1"/>
  <c r="A22" i="49" s="1"/>
  <c r="A23" i="49" s="1"/>
  <c r="A24" i="49" s="1"/>
  <c r="A25" i="49" s="1"/>
  <c r="F34" i="11"/>
  <c r="D46" i="7"/>
  <c r="F28" i="11"/>
  <c r="P95" i="48"/>
  <c r="P78" i="48"/>
  <c r="F74" i="48"/>
  <c r="E44" i="48"/>
  <c r="P92" i="48"/>
  <c r="P79" i="48"/>
  <c r="P87" i="48"/>
  <c r="P94" i="48"/>
  <c r="P54" i="48"/>
  <c r="G44" i="48"/>
  <c r="P50" i="48"/>
  <c r="P57" i="48"/>
  <c r="P84" i="48"/>
  <c r="P93" i="48"/>
  <c r="P49" i="48"/>
  <c r="P56" i="48"/>
  <c r="P58" i="48"/>
  <c r="P85" i="48"/>
  <c r="P91" i="48"/>
  <c r="F75" i="48"/>
  <c r="F44" i="48"/>
  <c r="O15" i="48"/>
  <c r="P89" i="48"/>
  <c r="P60" i="48"/>
  <c r="P65" i="48"/>
  <c r="P76" i="48"/>
  <c r="P82" i="48"/>
  <c r="P83" i="48"/>
  <c r="O28" i="48"/>
  <c r="E42" i="48"/>
  <c r="P46" i="48"/>
  <c r="P64" i="48"/>
  <c r="P77" i="48"/>
  <c r="P14" i="48" s="1"/>
  <c r="O14" i="48"/>
  <c r="O20" i="48"/>
  <c r="P48" i="48"/>
  <c r="P62" i="48"/>
  <c r="P80" i="48"/>
  <c r="P61" i="48"/>
  <c r="P53" i="48"/>
  <c r="P45" i="48"/>
  <c r="P96" i="48"/>
  <c r="P88" i="48"/>
  <c r="P59" i="48"/>
  <c r="P51" i="48"/>
  <c r="P63" i="48"/>
  <c r="P47" i="48"/>
  <c r="P86" i="48"/>
  <c r="P90" i="48"/>
  <c r="E74" i="48"/>
  <c r="E43" i="48"/>
  <c r="P81" i="48"/>
  <c r="O16" i="48"/>
  <c r="O32" i="48"/>
  <c r="G43" i="48"/>
  <c r="O22" i="48"/>
  <c r="O30" i="48"/>
  <c r="I130" i="15"/>
  <c r="A130" i="15"/>
  <c r="E135" i="15" s="1"/>
  <c r="I117" i="15"/>
  <c r="E91" i="15"/>
  <c r="A87" i="15"/>
  <c r="A88" i="15" s="1"/>
  <c r="I86" i="15"/>
  <c r="I68" i="15"/>
  <c r="E73" i="15"/>
  <c r="I66" i="15"/>
  <c r="A11" i="15"/>
  <c r="A12" i="15" s="1"/>
  <c r="A13" i="15" s="1"/>
  <c r="E14" i="15" s="1"/>
  <c r="I54" i="15"/>
  <c r="G56" i="46"/>
  <c r="A10" i="22"/>
  <c r="A11" i="22"/>
  <c r="A12" i="22"/>
  <c r="A13" i="22"/>
  <c r="A14" i="22"/>
  <c r="A15" i="22"/>
  <c r="A16" i="22"/>
  <c r="A17" i="22"/>
  <c r="A18" i="22"/>
  <c r="A19" i="22"/>
  <c r="A20" i="22"/>
  <c r="A21" i="22"/>
  <c r="G23" i="22"/>
  <c r="D47" i="2"/>
  <c r="D48" i="2" s="1"/>
  <c r="D41" i="2"/>
  <c r="D42" i="2" s="1"/>
  <c r="F101" i="46" s="1"/>
  <c r="D35" i="2"/>
  <c r="D36" i="2" s="1"/>
  <c r="F82" i="46" s="1"/>
  <c r="C29" i="46"/>
  <c r="G29" i="46"/>
  <c r="E12" i="2"/>
  <c r="E11" i="2"/>
  <c r="E44" i="71"/>
  <c r="H27" i="8"/>
  <c r="H25" i="8"/>
  <c r="H9" i="8"/>
  <c r="H8" i="8"/>
  <c r="G27" i="32"/>
  <c r="G21" i="32"/>
  <c r="G13" i="32"/>
  <c r="B212" i="71"/>
  <c r="F153" i="71"/>
  <c r="F152" i="71"/>
  <c r="D64" i="46"/>
  <c r="G70" i="8"/>
  <c r="G72" i="8"/>
  <c r="E51" i="7"/>
  <c r="I136" i="1"/>
  <c r="I135" i="1"/>
  <c r="I132" i="1"/>
  <c r="I130" i="1"/>
  <c r="I128" i="1"/>
  <c r="I102" i="1"/>
  <c r="I32" i="1"/>
  <c r="I30" i="1"/>
  <c r="I12" i="1"/>
  <c r="I11" i="1"/>
  <c r="F269" i="61"/>
  <c r="F270" i="61"/>
  <c r="F267" i="61"/>
  <c r="F273" i="61"/>
  <c r="J46" i="8"/>
  <c r="C110" i="26"/>
  <c r="E19" i="55"/>
  <c r="E17" i="55"/>
  <c r="E18" i="55"/>
  <c r="I21" i="45"/>
  <c r="H64" i="26"/>
  <c r="F71" i="26"/>
  <c r="B112" i="12"/>
  <c r="K135" i="1"/>
  <c r="E27" i="12"/>
  <c r="D58" i="7" s="1"/>
  <c r="E26" i="12"/>
  <c r="H305" i="11"/>
  <c r="G305" i="11"/>
  <c r="H304" i="11"/>
  <c r="G304" i="11"/>
  <c r="H303" i="11"/>
  <c r="G303" i="11"/>
  <c r="H302" i="11"/>
  <c r="G302" i="11"/>
  <c r="H301" i="11"/>
  <c r="G301" i="11"/>
  <c r="H300" i="11"/>
  <c r="G300" i="11"/>
  <c r="H299" i="11"/>
  <c r="G299" i="11"/>
  <c r="H298" i="11"/>
  <c r="G298" i="11"/>
  <c r="H297" i="11"/>
  <c r="G297" i="11"/>
  <c r="H296" i="11"/>
  <c r="G296" i="11"/>
  <c r="H295" i="11"/>
  <c r="G295" i="11"/>
  <c r="H294" i="11"/>
  <c r="G294" i="11"/>
  <c r="H293" i="11"/>
  <c r="G293" i="11"/>
  <c r="H286" i="11"/>
  <c r="G286" i="11"/>
  <c r="H285" i="11"/>
  <c r="G285" i="11"/>
  <c r="H284" i="11"/>
  <c r="G284" i="11"/>
  <c r="H283" i="11"/>
  <c r="G283" i="11"/>
  <c r="H282" i="11"/>
  <c r="G282" i="11"/>
  <c r="H281" i="11"/>
  <c r="G281" i="11"/>
  <c r="H280" i="11"/>
  <c r="G280" i="11"/>
  <c r="H279" i="11"/>
  <c r="G279" i="11"/>
  <c r="H278" i="11"/>
  <c r="G278" i="11"/>
  <c r="H277" i="11"/>
  <c r="G277" i="11"/>
  <c r="H276" i="11"/>
  <c r="G276" i="11"/>
  <c r="H275" i="11"/>
  <c r="G275" i="11"/>
  <c r="H274" i="11"/>
  <c r="G274" i="11"/>
  <c r="H267" i="11"/>
  <c r="G267" i="11"/>
  <c r="H266" i="11"/>
  <c r="G266" i="11"/>
  <c r="H265" i="11"/>
  <c r="G265" i="11"/>
  <c r="H264" i="11"/>
  <c r="G264" i="11"/>
  <c r="H263" i="11"/>
  <c r="G263" i="11"/>
  <c r="H262" i="11"/>
  <c r="G262" i="11"/>
  <c r="H261" i="11"/>
  <c r="G261" i="11"/>
  <c r="H260" i="11"/>
  <c r="G260" i="11"/>
  <c r="H259" i="11"/>
  <c r="G259" i="11"/>
  <c r="H258" i="11"/>
  <c r="G258" i="11"/>
  <c r="H257" i="11"/>
  <c r="G257" i="11"/>
  <c r="H256" i="11"/>
  <c r="G256" i="11"/>
  <c r="H255" i="11"/>
  <c r="G255" i="11"/>
  <c r="H248" i="11"/>
  <c r="G248" i="11"/>
  <c r="H247" i="11"/>
  <c r="G247" i="11"/>
  <c r="H246" i="11"/>
  <c r="G246" i="11"/>
  <c r="H245" i="11"/>
  <c r="G245" i="11"/>
  <c r="H244" i="11"/>
  <c r="G244" i="11"/>
  <c r="H243" i="11"/>
  <c r="G243" i="11"/>
  <c r="H242" i="11"/>
  <c r="G242" i="11"/>
  <c r="H241" i="11"/>
  <c r="G241" i="11"/>
  <c r="H240" i="11"/>
  <c r="G240" i="11"/>
  <c r="H239" i="11"/>
  <c r="G239" i="11"/>
  <c r="H238" i="11"/>
  <c r="G238" i="11"/>
  <c r="H237" i="11"/>
  <c r="G237" i="11"/>
  <c r="H236" i="11"/>
  <c r="G236" i="11"/>
  <c r="H229" i="11"/>
  <c r="G229" i="11"/>
  <c r="H228" i="11"/>
  <c r="G228" i="11"/>
  <c r="H227" i="11"/>
  <c r="G227" i="11"/>
  <c r="H226" i="11"/>
  <c r="G226" i="11"/>
  <c r="H225" i="11"/>
  <c r="G225" i="11"/>
  <c r="H224" i="11"/>
  <c r="G224" i="11"/>
  <c r="H223" i="11"/>
  <c r="G223" i="11"/>
  <c r="H222" i="11"/>
  <c r="G222" i="11"/>
  <c r="H221" i="11"/>
  <c r="G221" i="11"/>
  <c r="H220" i="11"/>
  <c r="G220" i="11"/>
  <c r="H219" i="11"/>
  <c r="G219" i="11"/>
  <c r="H218" i="11"/>
  <c r="G218" i="11"/>
  <c r="H217" i="11"/>
  <c r="G217" i="11"/>
  <c r="H210" i="11"/>
  <c r="G210" i="11"/>
  <c r="H209" i="11"/>
  <c r="G209" i="11"/>
  <c r="H208" i="11"/>
  <c r="G208" i="11"/>
  <c r="H207" i="11"/>
  <c r="G207" i="11"/>
  <c r="H206" i="11"/>
  <c r="G206" i="11"/>
  <c r="H205" i="11"/>
  <c r="G205" i="11"/>
  <c r="H204" i="11"/>
  <c r="G204" i="11"/>
  <c r="H203" i="11"/>
  <c r="G203" i="11"/>
  <c r="H202" i="11"/>
  <c r="G202" i="11"/>
  <c r="H201" i="11"/>
  <c r="G201" i="11"/>
  <c r="H200" i="11"/>
  <c r="G200" i="11"/>
  <c r="H199" i="11"/>
  <c r="G199" i="11"/>
  <c r="H198" i="11"/>
  <c r="G198" i="11"/>
  <c r="H191" i="11"/>
  <c r="G191" i="11"/>
  <c r="H190" i="11"/>
  <c r="G190" i="11"/>
  <c r="H189" i="11"/>
  <c r="G189" i="11"/>
  <c r="H188" i="11"/>
  <c r="G188" i="11"/>
  <c r="H187" i="11"/>
  <c r="G187" i="11"/>
  <c r="H186" i="11"/>
  <c r="G186" i="11"/>
  <c r="H185" i="11"/>
  <c r="G185" i="11"/>
  <c r="H184" i="11"/>
  <c r="G184" i="11"/>
  <c r="H183" i="11"/>
  <c r="G183" i="11"/>
  <c r="H182" i="11"/>
  <c r="G182" i="11"/>
  <c r="H181" i="11"/>
  <c r="G181" i="11"/>
  <c r="H180" i="11"/>
  <c r="G180" i="11"/>
  <c r="H179" i="11"/>
  <c r="G179" i="11"/>
  <c r="H172" i="11"/>
  <c r="G172" i="11"/>
  <c r="G87" i="11" s="1"/>
  <c r="G51" i="11" s="1"/>
  <c r="H171" i="11"/>
  <c r="G171" i="11"/>
  <c r="G86" i="11" s="1"/>
  <c r="H170" i="11"/>
  <c r="G170" i="11"/>
  <c r="G85" i="11" s="1"/>
  <c r="H169" i="11"/>
  <c r="G169" i="11"/>
  <c r="G84" i="11" s="1"/>
  <c r="H168" i="11"/>
  <c r="G168" i="11"/>
  <c r="G83" i="11" s="1"/>
  <c r="H167" i="11"/>
  <c r="G167" i="11"/>
  <c r="G82" i="11" s="1"/>
  <c r="H166" i="11"/>
  <c r="G166" i="11"/>
  <c r="G81" i="11" s="1"/>
  <c r="H165" i="11"/>
  <c r="G165" i="11"/>
  <c r="G80" i="11" s="1"/>
  <c r="H164" i="11"/>
  <c r="G164" i="11"/>
  <c r="G79" i="11" s="1"/>
  <c r="H163" i="11"/>
  <c r="G163" i="11"/>
  <c r="G78" i="11" s="1"/>
  <c r="H162" i="11"/>
  <c r="G162" i="11"/>
  <c r="G77" i="11" s="1"/>
  <c r="H161" i="11"/>
  <c r="G161" i="11"/>
  <c r="G76" i="11" s="1"/>
  <c r="H160" i="11"/>
  <c r="G160" i="11"/>
  <c r="G75" i="11" s="1"/>
  <c r="H152" i="11"/>
  <c r="G152" i="11"/>
  <c r="H87" i="11" s="1"/>
  <c r="G49" i="11" s="1"/>
  <c r="E49" i="11" s="1"/>
  <c r="E39" i="12" s="1"/>
  <c r="H151" i="11"/>
  <c r="G151" i="11"/>
  <c r="H86" i="11" s="1"/>
  <c r="H150" i="11"/>
  <c r="G150" i="11"/>
  <c r="H85" i="11" s="1"/>
  <c r="H149" i="11"/>
  <c r="G149" i="11"/>
  <c r="H84" i="11" s="1"/>
  <c r="H148" i="11"/>
  <c r="G148" i="11"/>
  <c r="H83" i="11" s="1"/>
  <c r="H147" i="11"/>
  <c r="G147" i="11"/>
  <c r="H82" i="11" s="1"/>
  <c r="H146" i="11"/>
  <c r="G146" i="11"/>
  <c r="H81" i="11" s="1"/>
  <c r="H145" i="11"/>
  <c r="G145" i="11"/>
  <c r="H80" i="11" s="1"/>
  <c r="H144" i="11"/>
  <c r="G144" i="11"/>
  <c r="H79" i="11" s="1"/>
  <c r="H143" i="11"/>
  <c r="G143" i="11"/>
  <c r="H78" i="11" s="1"/>
  <c r="H142" i="11"/>
  <c r="G142" i="11"/>
  <c r="H77" i="11" s="1"/>
  <c r="H141" i="11"/>
  <c r="G141" i="11"/>
  <c r="H76" i="11" s="1"/>
  <c r="H140" i="11"/>
  <c r="G140" i="11"/>
  <c r="H75" i="11" s="1"/>
  <c r="H132" i="11"/>
  <c r="G132" i="11"/>
  <c r="F87" i="11" s="1"/>
  <c r="H131" i="11"/>
  <c r="G131" i="11"/>
  <c r="F86" i="11" s="1"/>
  <c r="H130" i="11"/>
  <c r="G130" i="11"/>
  <c r="F85" i="11" s="1"/>
  <c r="H129" i="11"/>
  <c r="G129" i="11"/>
  <c r="F84" i="11" s="1"/>
  <c r="H128" i="11"/>
  <c r="G128" i="11"/>
  <c r="F83" i="11" s="1"/>
  <c r="H127" i="11"/>
  <c r="G127" i="11"/>
  <c r="F82" i="11" s="1"/>
  <c r="H126" i="11"/>
  <c r="G126" i="11"/>
  <c r="F81" i="11" s="1"/>
  <c r="H125" i="11"/>
  <c r="G125" i="11"/>
  <c r="F80" i="11" s="1"/>
  <c r="H124" i="11"/>
  <c r="G124" i="11"/>
  <c r="F79" i="11" s="1"/>
  <c r="H123" i="11"/>
  <c r="G123" i="11"/>
  <c r="F78" i="11" s="1"/>
  <c r="H122" i="11"/>
  <c r="G122" i="11"/>
  <c r="F77" i="11" s="1"/>
  <c r="H121" i="11"/>
  <c r="G121" i="11"/>
  <c r="F76" i="11" s="1"/>
  <c r="H120" i="11"/>
  <c r="G120" i="11"/>
  <c r="F75" i="11" s="1"/>
  <c r="F110" i="11"/>
  <c r="G24" i="2"/>
  <c r="F100" i="12"/>
  <c r="B108" i="12"/>
  <c r="B34" i="31"/>
  <c r="G14" i="26"/>
  <c r="F49" i="71"/>
  <c r="A10" i="71"/>
  <c r="F56" i="71" s="1"/>
  <c r="A11" i="71"/>
  <c r="A12" i="71" s="1"/>
  <c r="A13" i="71" s="1"/>
  <c r="A14" i="71" s="1"/>
  <c r="A15" i="71" s="1"/>
  <c r="A16" i="71" s="1"/>
  <c r="A17" i="71" s="1"/>
  <c r="A18" i="71" s="1"/>
  <c r="A19" i="71" s="1"/>
  <c r="A20" i="71" s="1"/>
  <c r="J58" i="61"/>
  <c r="M58" i="61" s="1"/>
  <c r="G12" i="2"/>
  <c r="C64" i="46"/>
  <c r="G64" i="26"/>
  <c r="G65" i="26" s="1"/>
  <c r="C56" i="46"/>
  <c r="L57" i="46"/>
  <c r="E120" i="46" s="1"/>
  <c r="I120" i="46" s="1"/>
  <c r="K56" i="46"/>
  <c r="D119" i="46" s="1"/>
  <c r="H119" i="46" s="1"/>
  <c r="G55" i="46"/>
  <c r="L55" i="46"/>
  <c r="E118" i="46" s="1"/>
  <c r="K55" i="46"/>
  <c r="D118" i="46" s="1"/>
  <c r="C55" i="46"/>
  <c r="G54" i="46"/>
  <c r="L54" i="46"/>
  <c r="E117" i="46" s="1"/>
  <c r="K54" i="46"/>
  <c r="D117" i="46" s="1"/>
  <c r="C54" i="46"/>
  <c r="G53" i="46"/>
  <c r="L53" i="46"/>
  <c r="E116" i="46" s="1"/>
  <c r="K53" i="46"/>
  <c r="D116" i="46" s="1"/>
  <c r="C53" i="46"/>
  <c r="G52" i="46"/>
  <c r="L56" i="46"/>
  <c r="K52" i="46"/>
  <c r="D115" i="46" s="1"/>
  <c r="C52" i="46"/>
  <c r="G41" i="46"/>
  <c r="G40" i="46"/>
  <c r="C40" i="46"/>
  <c r="G39" i="46"/>
  <c r="C39" i="46"/>
  <c r="G38" i="46"/>
  <c r="C38" i="46"/>
  <c r="G37" i="46"/>
  <c r="C37" i="46"/>
  <c r="G36" i="46"/>
  <c r="C36" i="46"/>
  <c r="G35" i="46"/>
  <c r="C35" i="46"/>
  <c r="G34" i="46"/>
  <c r="C34" i="46"/>
  <c r="G33" i="46"/>
  <c r="C33" i="46"/>
  <c r="G32" i="46"/>
  <c r="C32" i="46"/>
  <c r="G31" i="46"/>
  <c r="C31" i="46"/>
  <c r="G30" i="46"/>
  <c r="C30" i="46"/>
  <c r="G28" i="46"/>
  <c r="C28" i="46"/>
  <c r="G27" i="46"/>
  <c r="C27" i="46"/>
  <c r="G26" i="46"/>
  <c r="C26" i="46"/>
  <c r="C25" i="46"/>
  <c r="G24" i="46"/>
  <c r="C24" i="46"/>
  <c r="G23" i="46"/>
  <c r="C23" i="46"/>
  <c r="G22" i="46"/>
  <c r="C22" i="46"/>
  <c r="G21" i="46"/>
  <c r="C21" i="46"/>
  <c r="C20" i="46"/>
  <c r="G19" i="46"/>
  <c r="C19" i="46"/>
  <c r="G18" i="46"/>
  <c r="C18" i="46"/>
  <c r="G17" i="46"/>
  <c r="C17" i="46"/>
  <c r="G16" i="46"/>
  <c r="C16" i="46"/>
  <c r="G15" i="46"/>
  <c r="C15" i="46"/>
  <c r="G14" i="46"/>
  <c r="C14" i="46"/>
  <c r="G13" i="46"/>
  <c r="C13" i="46"/>
  <c r="G12" i="46"/>
  <c r="A12" i="46"/>
  <c r="A13" i="46" s="1"/>
  <c r="A14" i="46" s="1"/>
  <c r="A15" i="46" s="1"/>
  <c r="A16" i="46" s="1"/>
  <c r="A17" i="46" s="1"/>
  <c r="A18" i="46" s="1"/>
  <c r="A19" i="46" s="1"/>
  <c r="A20" i="46" s="1"/>
  <c r="A21" i="46" s="1"/>
  <c r="A22" i="46" s="1"/>
  <c r="A23" i="46" s="1"/>
  <c r="A24" i="46" s="1"/>
  <c r="A25" i="46" s="1"/>
  <c r="A26" i="46" s="1"/>
  <c r="A27" i="46" s="1"/>
  <c r="A28" i="46" s="1"/>
  <c r="A29" i="46" s="1"/>
  <c r="A30" i="46" s="1"/>
  <c r="A31" i="46" s="1"/>
  <c r="A32" i="46" s="1"/>
  <c r="A33" i="46" s="1"/>
  <c r="A34" i="46" s="1"/>
  <c r="A35" i="46" s="1"/>
  <c r="A36" i="46" s="1"/>
  <c r="A37" i="46" s="1"/>
  <c r="A38" i="46" s="1"/>
  <c r="A39" i="46" s="1"/>
  <c r="A40" i="46" s="1"/>
  <c r="A41" i="46" s="1"/>
  <c r="A42" i="46" s="1"/>
  <c r="A43" i="46" s="1"/>
  <c r="G11" i="46"/>
  <c r="B55" i="54"/>
  <c r="C10" i="9"/>
  <c r="A5" i="31"/>
  <c r="E15" i="66"/>
  <c r="J25" i="8" s="1"/>
  <c r="F15" i="66"/>
  <c r="D54" i="7"/>
  <c r="F42" i="54"/>
  <c r="F39" i="54"/>
  <c r="F30" i="54"/>
  <c r="A8" i="2"/>
  <c r="A9" i="2"/>
  <c r="A10" i="2"/>
  <c r="A11" i="2"/>
  <c r="K128" i="1"/>
  <c r="A11" i="7"/>
  <c r="A12" i="7"/>
  <c r="A13" i="7"/>
  <c r="A14" i="7"/>
  <c r="A15" i="7"/>
  <c r="A16" i="7"/>
  <c r="K32" i="1"/>
  <c r="A14" i="65"/>
  <c r="A15" i="65" s="1"/>
  <c r="A16" i="65" s="1"/>
  <c r="A17" i="65" s="1"/>
  <c r="A18" i="65" s="1"/>
  <c r="A19" i="65" s="1"/>
  <c r="A20" i="65" s="1"/>
  <c r="A21" i="65" s="1"/>
  <c r="A22" i="65" s="1"/>
  <c r="A23" i="65" s="1"/>
  <c r="A24" i="65" s="1"/>
  <c r="A25" i="12"/>
  <c r="A26" i="12"/>
  <c r="E271" i="61"/>
  <c r="N218" i="61"/>
  <c r="N215" i="61"/>
  <c r="N213" i="61"/>
  <c r="N210" i="61"/>
  <c r="N209" i="61"/>
  <c r="N204" i="61"/>
  <c r="M204" i="61"/>
  <c r="L204" i="61"/>
  <c r="J204" i="61"/>
  <c r="I204" i="61"/>
  <c r="H204" i="61"/>
  <c r="G204" i="61"/>
  <c r="J180" i="61"/>
  <c r="M180" i="61" s="1"/>
  <c r="N127" i="61"/>
  <c r="H65" i="61"/>
  <c r="G65" i="61"/>
  <c r="J64" i="61"/>
  <c r="M64" i="61" s="1"/>
  <c r="N63" i="61"/>
  <c r="N62" i="61"/>
  <c r="J61" i="61"/>
  <c r="M61" i="61" s="1"/>
  <c r="J60" i="61"/>
  <c r="M60" i="61" s="1"/>
  <c r="J59" i="61"/>
  <c r="M59" i="61" s="1"/>
  <c r="G18" i="61"/>
  <c r="I18" i="61" s="1"/>
  <c r="J17" i="61"/>
  <c r="M17" i="61" s="1"/>
  <c r="N16" i="61"/>
  <c r="J15" i="61"/>
  <c r="M15" i="61" s="1"/>
  <c r="G14" i="61"/>
  <c r="I14" i="61" s="1"/>
  <c r="J13" i="61"/>
  <c r="M13" i="61" s="1"/>
  <c r="J12" i="61"/>
  <c r="M12" i="61" s="1"/>
  <c r="J11" i="61"/>
  <c r="M11" i="61" s="1"/>
  <c r="J5" i="61"/>
  <c r="M5" i="61" s="1"/>
  <c r="G4" i="61"/>
  <c r="I4" i="61" s="1"/>
  <c r="A8" i="17"/>
  <c r="A9" i="17"/>
  <c r="A10" i="17"/>
  <c r="A11" i="17"/>
  <c r="A12" i="17"/>
  <c r="A13" i="17"/>
  <c r="A14" i="17"/>
  <c r="I103" i="1"/>
  <c r="D54" i="26"/>
  <c r="G20" i="26" s="1"/>
  <c r="D53" i="26"/>
  <c r="G19" i="26" s="1"/>
  <c r="D52" i="26"/>
  <c r="G18" i="26" s="1"/>
  <c r="D51" i="26"/>
  <c r="G17" i="26" s="1"/>
  <c r="D50" i="26"/>
  <c r="G16" i="26" s="1"/>
  <c r="D49" i="26"/>
  <c r="G15" i="26" s="1"/>
  <c r="D46" i="26"/>
  <c r="G12" i="26" s="1"/>
  <c r="D45" i="26"/>
  <c r="G11" i="26" s="1"/>
  <c r="D44" i="26"/>
  <c r="G10" i="26" s="1"/>
  <c r="D43" i="26"/>
  <c r="G9" i="26" s="1"/>
  <c r="D42" i="26"/>
  <c r="G8" i="26" s="1"/>
  <c r="A10" i="57"/>
  <c r="A11" i="57"/>
  <c r="A12" i="57"/>
  <c r="A13" i="57"/>
  <c r="A14" i="57"/>
  <c r="A15" i="57"/>
  <c r="A16" i="57"/>
  <c r="A17" i="57"/>
  <c r="A18" i="57"/>
  <c r="A19" i="57"/>
  <c r="A20" i="57"/>
  <c r="A21" i="57"/>
  <c r="A22" i="57"/>
  <c r="A23" i="57"/>
  <c r="A24" i="57"/>
  <c r="A25" i="57"/>
  <c r="A26" i="57"/>
  <c r="A27" i="57"/>
  <c r="A28" i="57"/>
  <c r="K18" i="57"/>
  <c r="J18" i="57"/>
  <c r="I18" i="57"/>
  <c r="H18" i="57"/>
  <c r="G18" i="57"/>
  <c r="K12" i="57"/>
  <c r="J12" i="57"/>
  <c r="I12" i="57"/>
  <c r="H12" i="57"/>
  <c r="G12" i="57"/>
  <c r="F11" i="56"/>
  <c r="A9" i="56"/>
  <c r="A10" i="56" s="1"/>
  <c r="F51" i="56"/>
  <c r="F25" i="56"/>
  <c r="F24" i="56"/>
  <c r="F23" i="56"/>
  <c r="F22" i="56"/>
  <c r="F21" i="56"/>
  <c r="F20" i="56"/>
  <c r="K30" i="1"/>
  <c r="K136" i="1"/>
  <c r="A13" i="32"/>
  <c r="G14" i="32"/>
  <c r="A8" i="26"/>
  <c r="A9" i="26" s="1"/>
  <c r="A10" i="26" s="1"/>
  <c r="A11" i="26" s="1"/>
  <c r="A27" i="11"/>
  <c r="K102" i="1"/>
  <c r="A7" i="8"/>
  <c r="A8" i="8" s="1"/>
  <c r="A9" i="8" s="1"/>
  <c r="A12" i="8" s="1"/>
  <c r="E27" i="32"/>
  <c r="F26" i="12"/>
  <c r="F40" i="12" s="1"/>
  <c r="F25" i="12"/>
  <c r="F39" i="12" s="1"/>
  <c r="F22" i="31"/>
  <c r="E22" i="31"/>
  <c r="D22" i="31"/>
  <c r="F15" i="56"/>
  <c r="L52" i="46"/>
  <c r="E115" i="46" s="1"/>
  <c r="A10" i="1"/>
  <c r="A11" i="1" s="1"/>
  <c r="A12" i="1" s="1"/>
  <c r="J14" i="61"/>
  <c r="M14" i="61" s="1"/>
  <c r="G16" i="61"/>
  <c r="I16" i="61" s="1"/>
  <c r="J16" i="61"/>
  <c r="M16" i="61" s="1"/>
  <c r="J56" i="61"/>
  <c r="M56" i="61" s="1"/>
  <c r="G15" i="61"/>
  <c r="I15" i="61" s="1"/>
  <c r="N12" i="61"/>
  <c r="N216" i="61"/>
  <c r="E10" i="2"/>
  <c r="F50" i="71"/>
  <c r="E54" i="7"/>
  <c r="A29" i="57"/>
  <c r="J62" i="61"/>
  <c r="M62" i="61" s="1"/>
  <c r="N61" i="61"/>
  <c r="G179" i="61"/>
  <c r="I179" i="61" s="1"/>
  <c r="N15" i="61"/>
  <c r="G60" i="61"/>
  <c r="I60" i="61" s="1"/>
  <c r="G11" i="61"/>
  <c r="I11" i="61" s="1"/>
  <c r="N220" i="61"/>
  <c r="N5" i="61"/>
  <c r="G61" i="61"/>
  <c r="I61" i="61" s="1"/>
  <c r="N17" i="61"/>
  <c r="N14" i="61"/>
  <c r="N18" i="61"/>
  <c r="G5" i="61"/>
  <c r="I5" i="61" s="1"/>
  <c r="N4" i="61"/>
  <c r="N214" i="61"/>
  <c r="N217" i="61"/>
  <c r="J57" i="61"/>
  <c r="M57" i="61" s="1"/>
  <c r="J65" i="61"/>
  <c r="M65" i="61" s="1"/>
  <c r="N13" i="61"/>
  <c r="N128" i="61"/>
  <c r="G17" i="61"/>
  <c r="I17" i="61" s="1"/>
  <c r="G13" i="61"/>
  <c r="I13" i="61" s="1"/>
  <c r="N211" i="61"/>
  <c r="N11" i="61"/>
  <c r="N212" i="61"/>
  <c r="N60" i="61"/>
  <c r="G59" i="61"/>
  <c r="I59" i="61" s="1"/>
  <c r="N65" i="61"/>
  <c r="N219" i="61"/>
  <c r="G62" i="61"/>
  <c r="I62" i="61" s="1"/>
  <c r="J4" i="61"/>
  <c r="J67" i="61"/>
  <c r="M67" i="61" s="1"/>
  <c r="A12" i="2"/>
  <c r="A13" i="2"/>
  <c r="J27" i="8"/>
  <c r="K103" i="1"/>
  <c r="A15" i="17"/>
  <c r="A16" i="17"/>
  <c r="A17" i="17"/>
  <c r="A18" i="17"/>
  <c r="A19" i="17"/>
  <c r="A20" i="17"/>
  <c r="A21" i="17"/>
  <c r="A22" i="17"/>
  <c r="A23" i="17"/>
  <c r="A17" i="7"/>
  <c r="A18" i="7"/>
  <c r="A19" i="7"/>
  <c r="A20" i="7"/>
  <c r="A21" i="7"/>
  <c r="A22" i="7"/>
  <c r="A23" i="7"/>
  <c r="A24" i="7"/>
  <c r="A25" i="7"/>
  <c r="A23" i="22"/>
  <c r="A14" i="32"/>
  <c r="A20" i="32"/>
  <c r="A27" i="12"/>
  <c r="D50" i="71"/>
  <c r="E50" i="71"/>
  <c r="A6" i="31"/>
  <c r="A7" i="31"/>
  <c r="A8" i="31"/>
  <c r="B39" i="31"/>
  <c r="A30" i="57"/>
  <c r="A31" i="57"/>
  <c r="G31" i="57"/>
  <c r="F57" i="71"/>
  <c r="E58" i="7"/>
  <c r="F121" i="71"/>
  <c r="E25" i="7"/>
  <c r="E13" i="2"/>
  <c r="E14" i="2"/>
  <c r="A14" i="2"/>
  <c r="A9" i="31"/>
  <c r="H22" i="31"/>
  <c r="A28" i="12"/>
  <c r="A29" i="12"/>
  <c r="A39" i="12"/>
  <c r="A40" i="12"/>
  <c r="A41" i="12"/>
  <c r="A42" i="12"/>
  <c r="A43" i="12"/>
  <c r="A44" i="12"/>
  <c r="I137" i="1"/>
  <c r="E83" i="7"/>
  <c r="E47" i="7"/>
  <c r="A26" i="7"/>
  <c r="A27" i="7"/>
  <c r="A28" i="7"/>
  <c r="A29" i="7"/>
  <c r="A30" i="7"/>
  <c r="A31" i="7"/>
  <c r="A32" i="7"/>
  <c r="A33" i="7"/>
  <c r="A34" i="7"/>
  <c r="A35" i="7"/>
  <c r="A36" i="7"/>
  <c r="A24" i="22"/>
  <c r="G27" i="22"/>
  <c r="A32" i="57"/>
  <c r="A33" i="57"/>
  <c r="E15" i="2"/>
  <c r="A15" i="2"/>
  <c r="A37" i="7"/>
  <c r="A38" i="7"/>
  <c r="A39" i="7"/>
  <c r="A40" i="7"/>
  <c r="A41" i="7"/>
  <c r="A42" i="7"/>
  <c r="A43" i="7"/>
  <c r="A44" i="7"/>
  <c r="A45" i="7"/>
  <c r="A46" i="7"/>
  <c r="A54" i="12"/>
  <c r="B40" i="31"/>
  <c r="B35" i="31"/>
  <c r="A10" i="31"/>
  <c r="A26" i="22"/>
  <c r="I15" i="1"/>
  <c r="G26" i="22"/>
  <c r="A21" i="32"/>
  <c r="A22" i="32"/>
  <c r="A26" i="32"/>
  <c r="G92" i="21"/>
  <c r="G99" i="21"/>
  <c r="G84" i="4"/>
  <c r="G79" i="4"/>
  <c r="A34" i="57"/>
  <c r="A35" i="57"/>
  <c r="A36" i="57"/>
  <c r="A37" i="57"/>
  <c r="A38" i="57"/>
  <c r="A39" i="57"/>
  <c r="A40" i="57"/>
  <c r="A41" i="57"/>
  <c r="A42" i="57"/>
  <c r="A43" i="57"/>
  <c r="A44" i="57"/>
  <c r="A45" i="57"/>
  <c r="G40" i="57"/>
  <c r="G33" i="57"/>
  <c r="I136" i="64"/>
  <c r="A47" i="7"/>
  <c r="A48" i="7"/>
  <c r="A49" i="7"/>
  <c r="A50" i="7"/>
  <c r="A51" i="7"/>
  <c r="A52" i="7"/>
  <c r="A53" i="7"/>
  <c r="A54" i="7"/>
  <c r="A55" i="7"/>
  <c r="G30" i="26"/>
  <c r="G50" i="22"/>
  <c r="F29" i="54"/>
  <c r="G54" i="22"/>
  <c r="G24" i="22"/>
  <c r="I55" i="1"/>
  <c r="A16" i="2"/>
  <c r="A17" i="2"/>
  <c r="A18" i="2"/>
  <c r="A19" i="2"/>
  <c r="A20" i="2"/>
  <c r="A21" i="2"/>
  <c r="A22" i="2"/>
  <c r="G22" i="32"/>
  <c r="A55" i="12"/>
  <c r="A56" i="12"/>
  <c r="A57" i="12"/>
  <c r="A58" i="12"/>
  <c r="A59" i="12"/>
  <c r="H62" i="8"/>
  <c r="A27" i="22"/>
  <c r="H12" i="8"/>
  <c r="A27" i="32"/>
  <c r="A28" i="32"/>
  <c r="B41" i="31"/>
  <c r="B36" i="31"/>
  <c r="A18" i="31"/>
  <c r="E40" i="7"/>
  <c r="G43" i="57"/>
  <c r="G45" i="57"/>
  <c r="A46" i="57"/>
  <c r="A47" i="57"/>
  <c r="G9" i="31"/>
  <c r="G10" i="31"/>
  <c r="E48" i="7"/>
  <c r="E23" i="2"/>
  <c r="A23" i="2"/>
  <c r="B109" i="12"/>
  <c r="A68" i="12"/>
  <c r="A19" i="31"/>
  <c r="A20" i="31"/>
  <c r="A22" i="31"/>
  <c r="A24" i="31"/>
  <c r="A27" i="31"/>
  <c r="A56" i="7"/>
  <c r="A57" i="7"/>
  <c r="A58" i="7"/>
  <c r="A59" i="7"/>
  <c r="A60" i="7"/>
  <c r="A61" i="7"/>
  <c r="E55" i="7"/>
  <c r="G28" i="32"/>
  <c r="A34" i="22"/>
  <c r="G12" i="32"/>
  <c r="G26" i="32"/>
  <c r="G20" i="32"/>
  <c r="A35" i="22"/>
  <c r="A36" i="22"/>
  <c r="A37" i="22"/>
  <c r="A38" i="22"/>
  <c r="A39" i="22"/>
  <c r="A40" i="22"/>
  <c r="A41" i="22"/>
  <c r="A42" i="22"/>
  <c r="A43" i="22"/>
  <c r="A44" i="22"/>
  <c r="A45" i="22"/>
  <c r="A46" i="22"/>
  <c r="G49" i="22"/>
  <c r="A24" i="2"/>
  <c r="E63" i="7"/>
  <c r="A69" i="12"/>
  <c r="A70" i="12"/>
  <c r="A71" i="12"/>
  <c r="A81" i="12"/>
  <c r="A82" i="12"/>
  <c r="A83" i="12"/>
  <c r="A84" i="12"/>
  <c r="A85" i="12"/>
  <c r="A86" i="12"/>
  <c r="B38" i="31"/>
  <c r="H27" i="31"/>
  <c r="A62" i="7"/>
  <c r="A63" i="7"/>
  <c r="E59" i="7"/>
  <c r="E64" i="7"/>
  <c r="E69" i="7"/>
  <c r="E25" i="2"/>
  <c r="A25" i="2"/>
  <c r="G53" i="22"/>
  <c r="A64" i="7"/>
  <c r="A65" i="7"/>
  <c r="B110" i="12"/>
  <c r="A90" i="12"/>
  <c r="A49" i="22"/>
  <c r="A26" i="2"/>
  <c r="A27" i="2"/>
  <c r="A28" i="2"/>
  <c r="E65" i="7"/>
  <c r="A66" i="7"/>
  <c r="A67" i="7"/>
  <c r="A68" i="7"/>
  <c r="A69" i="7"/>
  <c r="A70" i="7"/>
  <c r="A50" i="22"/>
  <c r="A51" i="22"/>
  <c r="H13" i="8"/>
  <c r="A91" i="12"/>
  <c r="A92" i="12"/>
  <c r="A53" i="22"/>
  <c r="I131" i="15"/>
  <c r="I87" i="15"/>
  <c r="I69" i="15"/>
  <c r="E28" i="2"/>
  <c r="A29" i="2"/>
  <c r="A30" i="2"/>
  <c r="A31" i="2"/>
  <c r="A32" i="2"/>
  <c r="I40" i="1"/>
  <c r="G32" i="26"/>
  <c r="G92" i="12"/>
  <c r="A71" i="7"/>
  <c r="E71" i="7"/>
  <c r="A54" i="22"/>
  <c r="A55" i="22"/>
  <c r="I16" i="1"/>
  <c r="G51" i="22"/>
  <c r="A93" i="12"/>
  <c r="A94" i="12"/>
  <c r="G98" i="12"/>
  <c r="C22" i="17"/>
  <c r="A72" i="7"/>
  <c r="A73" i="7"/>
  <c r="A74" i="7"/>
  <c r="A75" i="7"/>
  <c r="A76" i="7"/>
  <c r="A77" i="7"/>
  <c r="A78" i="7"/>
  <c r="A79" i="7"/>
  <c r="A80" i="7"/>
  <c r="A81" i="7"/>
  <c r="A82" i="7"/>
  <c r="A83" i="7"/>
  <c r="A84" i="7"/>
  <c r="A85" i="7"/>
  <c r="A86" i="7"/>
  <c r="E88" i="7"/>
  <c r="A87" i="7"/>
  <c r="A88" i="7"/>
  <c r="A89" i="7"/>
  <c r="C23" i="17"/>
  <c r="I53" i="1"/>
  <c r="G55" i="22"/>
  <c r="A98" i="12"/>
  <c r="G94" i="12"/>
  <c r="E73" i="7"/>
  <c r="E89" i="7"/>
  <c r="E79" i="7"/>
  <c r="A90" i="7"/>
  <c r="A91" i="7"/>
  <c r="I150" i="1"/>
  <c r="A99" i="12"/>
  <c r="A100" i="12"/>
  <c r="A101" i="12"/>
  <c r="E91" i="7"/>
  <c r="E80" i="7"/>
  <c r="E86" i="7"/>
  <c r="E84" i="7"/>
  <c r="G101" i="12"/>
  <c r="A33" i="2"/>
  <c r="A34" i="2"/>
  <c r="A35" i="2"/>
  <c r="A36" i="2"/>
  <c r="E36" i="2"/>
  <c r="E35" i="2"/>
  <c r="A37" i="2"/>
  <c r="A38" i="2"/>
  <c r="A39" i="2"/>
  <c r="A40" i="2"/>
  <c r="A41" i="2"/>
  <c r="A42" i="2"/>
  <c r="E41" i="2"/>
  <c r="E42" i="2"/>
  <c r="A43" i="2"/>
  <c r="A44" i="2"/>
  <c r="A45" i="2"/>
  <c r="A46" i="2"/>
  <c r="A47" i="2"/>
  <c r="A48" i="2"/>
  <c r="A49" i="2"/>
  <c r="A50" i="2"/>
  <c r="A51" i="2"/>
  <c r="A52" i="2"/>
  <c r="A53" i="2"/>
  <c r="A54" i="2"/>
  <c r="E48" i="2"/>
  <c r="E47" i="2"/>
  <c r="E54" i="2"/>
  <c r="E53" i="2"/>
  <c r="L26" i="82"/>
  <c r="K64" i="1"/>
  <c r="P23" i="48" l="1"/>
  <c r="E78" i="7"/>
  <c r="G41" i="57"/>
  <c r="A45" i="48"/>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3" i="48" s="1"/>
  <c r="I62" i="49"/>
  <c r="G52" i="48" s="1"/>
  <c r="G20" i="48" s="1"/>
  <c r="P15" i="48"/>
  <c r="P13" i="48"/>
  <c r="I17" i="26"/>
  <c r="E56" i="49"/>
  <c r="I63" i="49"/>
  <c r="G53" i="48" s="1"/>
  <c r="G21" i="48" s="1"/>
  <c r="I76" i="49"/>
  <c r="G66" i="48" s="1"/>
  <c r="G34" i="48" s="1"/>
  <c r="I60" i="49"/>
  <c r="G50" i="48" s="1"/>
  <c r="G18" i="48" s="1"/>
  <c r="L32" i="84"/>
  <c r="M32" i="84"/>
  <c r="L42" i="84"/>
  <c r="L43" i="84"/>
  <c r="E28" i="56"/>
  <c r="H194" i="4"/>
  <c r="E143" i="4"/>
  <c r="E202" i="4" s="1"/>
  <c r="M106" i="4"/>
  <c r="E13" i="32"/>
  <c r="D49" i="71"/>
  <c r="D23" i="71"/>
  <c r="D34" i="71" s="1"/>
  <c r="E49" i="71"/>
  <c r="A23" i="71"/>
  <c r="G23" i="71"/>
  <c r="P28" i="48"/>
  <c r="E97" i="11"/>
  <c r="G97" i="11" s="1"/>
  <c r="E104" i="11"/>
  <c r="G104" i="11" s="1"/>
  <c r="E103" i="11"/>
  <c r="G103" i="11" s="1"/>
  <c r="E98" i="11"/>
  <c r="G98" i="11" s="1"/>
  <c r="E106" i="11"/>
  <c r="G106" i="11" s="1"/>
  <c r="E100" i="11"/>
  <c r="G100" i="11" s="1"/>
  <c r="E107" i="11"/>
  <c r="G107" i="11" s="1"/>
  <c r="E108" i="11"/>
  <c r="G108" i="11" s="1"/>
  <c r="E102" i="11"/>
  <c r="G102" i="11" s="1"/>
  <c r="E109" i="11"/>
  <c r="G109" i="11" s="1"/>
  <c r="E105" i="11"/>
  <c r="G105" i="11" s="1"/>
  <c r="E99" i="11"/>
  <c r="E101" i="11"/>
  <c r="G101" i="11" s="1"/>
  <c r="I56" i="49"/>
  <c r="G46" i="48" s="1"/>
  <c r="G14" i="48" s="1"/>
  <c r="I70" i="49"/>
  <c r="G60" i="48" s="1"/>
  <c r="G28" i="48" s="1"/>
  <c r="E65" i="49"/>
  <c r="F65" i="49"/>
  <c r="I58" i="49"/>
  <c r="G48" i="48" s="1"/>
  <c r="G16" i="48" s="1"/>
  <c r="I72" i="49"/>
  <c r="G62" i="48" s="1"/>
  <c r="G30" i="48" s="1"/>
  <c r="I71" i="49"/>
  <c r="G61" i="48" s="1"/>
  <c r="G29" i="48" s="1"/>
  <c r="I59" i="49"/>
  <c r="G49" i="48" s="1"/>
  <c r="G17" i="48" s="1"/>
  <c r="I73" i="49"/>
  <c r="G63" i="48" s="1"/>
  <c r="G31" i="48" s="1"/>
  <c r="I57" i="49"/>
  <c r="G47" i="48" s="1"/>
  <c r="G15" i="48" s="1"/>
  <c r="I64" i="49"/>
  <c r="G54" i="48" s="1"/>
  <c r="G22" i="48" s="1"/>
  <c r="I55" i="49"/>
  <c r="G45" i="48" s="1"/>
  <c r="K45" i="48" s="1"/>
  <c r="I69" i="49"/>
  <c r="G59" i="48" s="1"/>
  <c r="G27" i="48" s="1"/>
  <c r="I74" i="49"/>
  <c r="G64" i="48" s="1"/>
  <c r="G32" i="48" s="1"/>
  <c r="I65" i="49"/>
  <c r="G55" i="48" s="1"/>
  <c r="G23" i="48" s="1"/>
  <c r="E64" i="49"/>
  <c r="E72" i="49"/>
  <c r="E71" i="49"/>
  <c r="I66" i="49"/>
  <c r="G56" i="48" s="1"/>
  <c r="G24" i="48" s="1"/>
  <c r="I67" i="49"/>
  <c r="G57" i="48" s="1"/>
  <c r="G25" i="48" s="1"/>
  <c r="I68" i="49"/>
  <c r="G58" i="48" s="1"/>
  <c r="G26" i="48" s="1"/>
  <c r="I78" i="49"/>
  <c r="G68" i="48" s="1"/>
  <c r="G36" i="48" s="1"/>
  <c r="I61" i="49"/>
  <c r="G51" i="48" s="1"/>
  <c r="G19" i="48" s="1"/>
  <c r="I75" i="49"/>
  <c r="G65" i="48" s="1"/>
  <c r="G33" i="48" s="1"/>
  <c r="I77" i="49"/>
  <c r="G67" i="48" s="1"/>
  <c r="G35" i="48" s="1"/>
  <c r="F159" i="49"/>
  <c r="F59" i="49" s="1"/>
  <c r="E59" i="49"/>
  <c r="F173" i="49"/>
  <c r="E73" i="49"/>
  <c r="F172" i="49"/>
  <c r="F72" i="49" s="1"/>
  <c r="F160" i="49"/>
  <c r="F60" i="49" s="1"/>
  <c r="E60" i="49"/>
  <c r="F174" i="49"/>
  <c r="F74" i="49" s="1"/>
  <c r="E74" i="49"/>
  <c r="F170" i="49"/>
  <c r="F70" i="49" s="1"/>
  <c r="E70" i="49"/>
  <c r="F156" i="49"/>
  <c r="F56" i="49" s="1"/>
  <c r="F157" i="49"/>
  <c r="F57" i="49" s="1"/>
  <c r="E57" i="49"/>
  <c r="F164" i="49"/>
  <c r="F64" i="49" s="1"/>
  <c r="F158" i="49"/>
  <c r="E58" i="49"/>
  <c r="F161" i="49"/>
  <c r="F61" i="49" s="1"/>
  <c r="E61" i="49"/>
  <c r="F175" i="49"/>
  <c r="F75" i="49" s="1"/>
  <c r="E75" i="49"/>
  <c r="F162" i="49"/>
  <c r="F62" i="49" s="1"/>
  <c r="E62" i="49"/>
  <c r="F155" i="49"/>
  <c r="F55" i="49" s="1"/>
  <c r="E55" i="49"/>
  <c r="F178" i="49"/>
  <c r="F78" i="49" s="1"/>
  <c r="E78" i="49"/>
  <c r="F176" i="49"/>
  <c r="F76" i="49" s="1"/>
  <c r="E76" i="49"/>
  <c r="F166" i="49"/>
  <c r="E66" i="49"/>
  <c r="F167" i="49"/>
  <c r="F67" i="49" s="1"/>
  <c r="E67" i="49"/>
  <c r="F163" i="49"/>
  <c r="E63" i="49"/>
  <c r="F177" i="49"/>
  <c r="F77" i="49" s="1"/>
  <c r="E77" i="49"/>
  <c r="F168" i="49"/>
  <c r="F68" i="49" s="1"/>
  <c r="E68" i="49"/>
  <c r="F169" i="49"/>
  <c r="E69" i="49"/>
  <c r="F30" i="11"/>
  <c r="F50" i="11"/>
  <c r="E40" i="11"/>
  <c r="H54" i="15"/>
  <c r="H68" i="15" s="1"/>
  <c r="H117" i="15"/>
  <c r="H130" i="15" s="1"/>
  <c r="J27" i="82"/>
  <c r="E128" i="48"/>
  <c r="K22" i="1"/>
  <c r="D39" i="7"/>
  <c r="D80" i="64"/>
  <c r="E110" i="21" s="1"/>
  <c r="E111" i="85"/>
  <c r="F111" i="85"/>
  <c r="I16" i="26"/>
  <c r="G74" i="8"/>
  <c r="I152" i="1"/>
  <c r="G105" i="85"/>
  <c r="E253" i="61" s="1"/>
  <c r="N253" i="61" s="1"/>
  <c r="N255" i="61" s="1"/>
  <c r="G94" i="85"/>
  <c r="G80" i="85"/>
  <c r="F178" i="1" s="1"/>
  <c r="H178" i="1" s="1"/>
  <c r="K39" i="1" s="1"/>
  <c r="G73" i="85"/>
  <c r="G49" i="85"/>
  <c r="E226" i="4"/>
  <c r="K192" i="4"/>
  <c r="F200" i="4"/>
  <c r="I15" i="26"/>
  <c r="I18" i="26"/>
  <c r="I19" i="26"/>
  <c r="E62" i="46"/>
  <c r="A44" i="46"/>
  <c r="A52" i="46" s="1"/>
  <c r="A53" i="46" s="1"/>
  <c r="A54" i="46" s="1"/>
  <c r="A55" i="46" s="1"/>
  <c r="A56" i="46" s="1"/>
  <c r="A57" i="46" s="1"/>
  <c r="A58" i="46" s="1"/>
  <c r="E120" i="48"/>
  <c r="E119" i="48"/>
  <c r="E129" i="48"/>
  <c r="A84" i="21"/>
  <c r="A85" i="21" s="1"/>
  <c r="A86" i="21" s="1"/>
  <c r="A91" i="21" s="1"/>
  <c r="G195" i="4"/>
  <c r="C201" i="4"/>
  <c r="E24" i="64"/>
  <c r="C127" i="48" s="1"/>
  <c r="E127" i="48" s="1"/>
  <c r="C195" i="4"/>
  <c r="C80" i="64"/>
  <c r="A81" i="64"/>
  <c r="A82" i="64" s="1"/>
  <c r="A83" i="64" s="1"/>
  <c r="A84" i="64" s="1"/>
  <c r="A85" i="64" s="1"/>
  <c r="A86" i="64" s="1"/>
  <c r="A87" i="64" s="1"/>
  <c r="A88" i="64" s="1"/>
  <c r="A89" i="64" s="1"/>
  <c r="A90" i="64" s="1"/>
  <c r="A91" i="64" s="1"/>
  <c r="A92" i="64" s="1"/>
  <c r="A93" i="64" s="1"/>
  <c r="K194" i="4"/>
  <c r="K195" i="4"/>
  <c r="H196" i="4"/>
  <c r="L200" i="4"/>
  <c r="C194" i="4"/>
  <c r="C197" i="4"/>
  <c r="D198" i="4"/>
  <c r="J197" i="4"/>
  <c r="D194" i="4"/>
  <c r="G200" i="4"/>
  <c r="I192" i="4"/>
  <c r="G226" i="4"/>
  <c r="D202" i="4"/>
  <c r="C199" i="4"/>
  <c r="J198" i="4"/>
  <c r="H195" i="4"/>
  <c r="I199" i="4"/>
  <c r="K202" i="4"/>
  <c r="I200" i="4"/>
  <c r="F58" i="4"/>
  <c r="F192" i="4"/>
  <c r="E197" i="4"/>
  <c r="H199" i="4"/>
  <c r="I201" i="4"/>
  <c r="A11" i="56"/>
  <c r="A12" i="56" s="1"/>
  <c r="D57" i="71"/>
  <c r="E57" i="71"/>
  <c r="F27" i="12"/>
  <c r="F41" i="12" s="1"/>
  <c r="J452" i="49"/>
  <c r="J453" i="49" s="1"/>
  <c r="F27" i="11"/>
  <c r="F65" i="11" s="1"/>
  <c r="F26" i="11"/>
  <c r="E57" i="7"/>
  <c r="E46" i="7"/>
  <c r="A26" i="49"/>
  <c r="A33" i="49" s="1"/>
  <c r="A34" i="49" s="1"/>
  <c r="A35" i="49" s="1"/>
  <c r="A36" i="49" s="1"/>
  <c r="A37" i="49" s="1"/>
  <c r="A38" i="49" s="1"/>
  <c r="A39" i="49" s="1"/>
  <c r="A40" i="49" s="1"/>
  <c r="A41" i="49" s="1"/>
  <c r="A42" i="49" s="1"/>
  <c r="A43" i="49" s="1"/>
  <c r="A44" i="49" s="1"/>
  <c r="A45" i="49" s="1"/>
  <c r="E53" i="7"/>
  <c r="A28" i="11"/>
  <c r="A29" i="11" s="1"/>
  <c r="A30" i="11" s="1"/>
  <c r="A31" i="11" s="1"/>
  <c r="A32" i="11" s="1"/>
  <c r="A33" i="11" s="1"/>
  <c r="A34" i="11" s="1"/>
  <c r="A35" i="11" s="1"/>
  <c r="A36" i="11" s="1"/>
  <c r="A37" i="11" s="1"/>
  <c r="A38" i="11" s="1"/>
  <c r="A39" i="11" s="1"/>
  <c r="A40" i="11" s="1"/>
  <c r="F56" i="12"/>
  <c r="P29" i="48"/>
  <c r="P18" i="48"/>
  <c r="F32" i="11"/>
  <c r="L260" i="61"/>
  <c r="C15" i="57"/>
  <c r="E18" i="57"/>
  <c r="J53" i="46"/>
  <c r="C116" i="46" s="1"/>
  <c r="J54" i="46"/>
  <c r="C117" i="46" s="1"/>
  <c r="G192" i="4"/>
  <c r="E196" i="4"/>
  <c r="J194" i="4"/>
  <c r="E199" i="4"/>
  <c r="E119" i="64"/>
  <c r="E128" i="64" s="1"/>
  <c r="K122" i="53"/>
  <c r="F68" i="15"/>
  <c r="F70" i="15" s="1"/>
  <c r="I8" i="26"/>
  <c r="E86" i="21"/>
  <c r="F91" i="21" s="1"/>
  <c r="B194" i="21"/>
  <c r="A25" i="21"/>
  <c r="F53" i="56"/>
  <c r="F12" i="56"/>
  <c r="M55" i="61"/>
  <c r="M89" i="61" s="1"/>
  <c r="J89" i="61"/>
  <c r="P30" i="48"/>
  <c r="P16" i="48"/>
  <c r="P22" i="48"/>
  <c r="P32" i="48"/>
  <c r="P24" i="48"/>
  <c r="P17" i="48"/>
  <c r="C10" i="57"/>
  <c r="L126" i="53"/>
  <c r="K121" i="53"/>
  <c r="L121" i="53" s="1"/>
  <c r="K125" i="53"/>
  <c r="K128" i="53"/>
  <c r="I20" i="26"/>
  <c r="F119" i="64"/>
  <c r="F128" i="64" s="1"/>
  <c r="H202" i="4"/>
  <c r="F196" i="4"/>
  <c r="E192" i="4"/>
  <c r="F197" i="4"/>
  <c r="G194" i="4"/>
  <c r="K191" i="4"/>
  <c r="K200" i="4"/>
  <c r="G28" i="26"/>
  <c r="A12" i="26"/>
  <c r="A13" i="26" s="1"/>
  <c r="A14" i="26" s="1"/>
  <c r="A15" i="26" s="1"/>
  <c r="A16" i="26" s="1"/>
  <c r="A17" i="26" s="1"/>
  <c r="A18" i="26" s="1"/>
  <c r="A19" i="26" s="1"/>
  <c r="I12" i="26"/>
  <c r="I14" i="26"/>
  <c r="G41" i="26"/>
  <c r="D41" i="26" s="1"/>
  <c r="G7" i="26" s="1"/>
  <c r="I7" i="26" s="1"/>
  <c r="I9" i="26"/>
  <c r="I10" i="26"/>
  <c r="I11" i="26"/>
  <c r="J51" i="8"/>
  <c r="A13" i="8"/>
  <c r="A14" i="8" s="1"/>
  <c r="A15" i="8" s="1"/>
  <c r="A18" i="8" s="1"/>
  <c r="F55" i="12"/>
  <c r="J155" i="49"/>
  <c r="K155" i="49" s="1"/>
  <c r="F35" i="11"/>
  <c r="F33" i="11"/>
  <c r="F29" i="11"/>
  <c r="A26" i="4"/>
  <c r="M178" i="4"/>
  <c r="G193" i="4"/>
  <c r="F194" i="4"/>
  <c r="G191" i="4"/>
  <c r="L193" i="4"/>
  <c r="L201" i="4"/>
  <c r="I24" i="64"/>
  <c r="C131" i="48" s="1"/>
  <c r="E131" i="48" s="1"/>
  <c r="D196" i="4"/>
  <c r="H193" i="4"/>
  <c r="E193" i="4"/>
  <c r="I195" i="4"/>
  <c r="L202" i="4"/>
  <c r="L196" i="4"/>
  <c r="D191" i="4"/>
  <c r="J201" i="4"/>
  <c r="J199" i="4"/>
  <c r="C144" i="4"/>
  <c r="M136" i="4"/>
  <c r="L195" i="4"/>
  <c r="H201" i="4"/>
  <c r="P26" i="48"/>
  <c r="P21" i="48"/>
  <c r="I91" i="48"/>
  <c r="J91" i="48" s="1"/>
  <c r="J28" i="48" s="1"/>
  <c r="H28" i="48"/>
  <c r="I99" i="48"/>
  <c r="J99" i="48" s="1"/>
  <c r="J36" i="48" s="1"/>
  <c r="H20" i="48"/>
  <c r="P19" i="48"/>
  <c r="J353" i="49"/>
  <c r="J354" i="49" s="1"/>
  <c r="E70" i="8"/>
  <c r="E152" i="71"/>
  <c r="D111" i="85"/>
  <c r="I13" i="26"/>
  <c r="E90" i="46"/>
  <c r="K27" i="46"/>
  <c r="C90" i="46" s="1"/>
  <c r="M12" i="46"/>
  <c r="E75" i="46" s="1"/>
  <c r="I75" i="46" s="1"/>
  <c r="J43" i="46"/>
  <c r="K26" i="46"/>
  <c r="C89" i="46" s="1"/>
  <c r="K11" i="46"/>
  <c r="C74" i="46" s="1"/>
  <c r="G94" i="46"/>
  <c r="K16" i="46"/>
  <c r="C79" i="46" s="1"/>
  <c r="K18" i="46"/>
  <c r="C81" i="46" s="1"/>
  <c r="G67" i="61"/>
  <c r="H89" i="61"/>
  <c r="G52" i="61"/>
  <c r="N248" i="61"/>
  <c r="G248" i="61"/>
  <c r="N236" i="61"/>
  <c r="G8" i="61"/>
  <c r="I8" i="61"/>
  <c r="J8" i="61"/>
  <c r="N8" i="61"/>
  <c r="L38" i="84"/>
  <c r="M38" i="84"/>
  <c r="H28" i="84"/>
  <c r="H48" i="84" s="1"/>
  <c r="I49" i="84" s="1"/>
  <c r="K107" i="1" s="1"/>
  <c r="J46" i="84"/>
  <c r="L18" i="84"/>
  <c r="M35" i="84"/>
  <c r="L26" i="84"/>
  <c r="M43" i="84"/>
  <c r="H49" i="83"/>
  <c r="H27" i="83"/>
  <c r="K20" i="57"/>
  <c r="D12" i="57"/>
  <c r="C11" i="57"/>
  <c r="J20" i="57"/>
  <c r="D27" i="57" s="1"/>
  <c r="L44" i="84"/>
  <c r="M44" i="84"/>
  <c r="L33" i="84"/>
  <c r="M33" i="84"/>
  <c r="L40" i="84"/>
  <c r="M40" i="84"/>
  <c r="L20" i="84"/>
  <c r="M20" i="84"/>
  <c r="M36" i="84"/>
  <c r="L36" i="84"/>
  <c r="M41" i="84"/>
  <c r="L41" i="84"/>
  <c r="K46" i="84"/>
  <c r="M31" i="84"/>
  <c r="L31" i="84"/>
  <c r="L39" i="84"/>
  <c r="M39" i="84"/>
  <c r="L35" i="84"/>
  <c r="F48" i="84"/>
  <c r="M42" i="84"/>
  <c r="I49" i="83"/>
  <c r="J14" i="84"/>
  <c r="J28" i="84" s="1"/>
  <c r="J48" i="84" s="1"/>
  <c r="L34" i="84"/>
  <c r="M37" i="84"/>
  <c r="M34" i="84"/>
  <c r="D48" i="84"/>
  <c r="M18" i="84"/>
  <c r="A131" i="15"/>
  <c r="A132" i="15" s="1"/>
  <c r="E12" i="15" s="1"/>
  <c r="A52" i="15"/>
  <c r="A70" i="15"/>
  <c r="I70" i="15"/>
  <c r="E11" i="15"/>
  <c r="A91" i="15"/>
  <c r="A14" i="15"/>
  <c r="I88" i="15"/>
  <c r="E28" i="84"/>
  <c r="E48" i="84" s="1"/>
  <c r="E49" i="84" s="1"/>
  <c r="H17" i="83"/>
  <c r="H31" i="83" s="1"/>
  <c r="H51" i="83" s="1"/>
  <c r="F54" i="12"/>
  <c r="G75" i="21"/>
  <c r="J19" i="8" s="1"/>
  <c r="K38" i="46"/>
  <c r="C101" i="46" s="1"/>
  <c r="K14" i="46"/>
  <c r="C77" i="46" s="1"/>
  <c r="K24" i="46"/>
  <c r="C87" i="46" s="1"/>
  <c r="D79" i="46"/>
  <c r="K32" i="46"/>
  <c r="C95" i="46" s="1"/>
  <c r="K30" i="46"/>
  <c r="C93" i="46" s="1"/>
  <c r="K28" i="46"/>
  <c r="C91" i="46" s="1"/>
  <c r="D89" i="46"/>
  <c r="H89" i="46" s="1"/>
  <c r="G89" i="46" s="1"/>
  <c r="E60" i="46"/>
  <c r="L122" i="53"/>
  <c r="K116" i="53"/>
  <c r="K124" i="53"/>
  <c r="L124" i="53" s="1"/>
  <c r="L123" i="53"/>
  <c r="I130" i="53"/>
  <c r="K118" i="53"/>
  <c r="L118" i="53" s="1"/>
  <c r="I191" i="4"/>
  <c r="L198" i="4"/>
  <c r="M175" i="4"/>
  <c r="M174" i="4"/>
  <c r="H184" i="4"/>
  <c r="H231" i="4" s="1"/>
  <c r="H236" i="4" s="1"/>
  <c r="H191" i="4"/>
  <c r="G202" i="4"/>
  <c r="M177" i="4"/>
  <c r="M173" i="4"/>
  <c r="K184" i="4"/>
  <c r="K231" i="4" s="1"/>
  <c r="K236" i="4" s="1"/>
  <c r="F198" i="4"/>
  <c r="G196" i="4"/>
  <c r="K201" i="4"/>
  <c r="L197" i="4"/>
  <c r="E194" i="4"/>
  <c r="F202" i="4"/>
  <c r="C192" i="4"/>
  <c r="F199" i="4"/>
  <c r="D119" i="64"/>
  <c r="D128" i="64" s="1"/>
  <c r="K24" i="64"/>
  <c r="C133" i="48" s="1"/>
  <c r="E133" i="48" s="1"/>
  <c r="L24" i="64"/>
  <c r="C134" i="48" s="1"/>
  <c r="E134" i="48" s="1"/>
  <c r="F226" i="4"/>
  <c r="P33" i="48"/>
  <c r="P27" i="48"/>
  <c r="F78" i="4"/>
  <c r="F130" i="53"/>
  <c r="L115" i="53"/>
  <c r="L125" i="53"/>
  <c r="K127" i="53"/>
  <c r="L127" i="53" s="1"/>
  <c r="J130" i="53"/>
  <c r="K120" i="53"/>
  <c r="L120" i="53" s="1"/>
  <c r="L119" i="53"/>
  <c r="J28" i="53"/>
  <c r="K117" i="53"/>
  <c r="I20" i="57"/>
  <c r="C27" i="57" s="1"/>
  <c r="C16" i="57"/>
  <c r="H20" i="57"/>
  <c r="D26" i="57" s="1"/>
  <c r="E12" i="57"/>
  <c r="F83" i="46"/>
  <c r="I83" i="46" s="1"/>
  <c r="M248" i="61"/>
  <c r="G236" i="61"/>
  <c r="J236" i="61"/>
  <c r="G13" i="2"/>
  <c r="G14" i="2" s="1"/>
  <c r="J52" i="46"/>
  <c r="C115" i="46" s="1"/>
  <c r="C58" i="46"/>
  <c r="L58" i="46"/>
  <c r="K23" i="46"/>
  <c r="C86" i="46" s="1"/>
  <c r="K22" i="46"/>
  <c r="C85" i="46" s="1"/>
  <c r="K19" i="46"/>
  <c r="C82" i="46" s="1"/>
  <c r="K37" i="46"/>
  <c r="C100" i="46" s="1"/>
  <c r="K13" i="46"/>
  <c r="C76" i="46" s="1"/>
  <c r="C43" i="46"/>
  <c r="K31" i="46"/>
  <c r="C94" i="46" s="1"/>
  <c r="K39" i="46"/>
  <c r="C102" i="46" s="1"/>
  <c r="K15" i="46"/>
  <c r="C78" i="46" s="1"/>
  <c r="I95" i="48"/>
  <c r="J95" i="48" s="1"/>
  <c r="J32" i="48" s="1"/>
  <c r="H32" i="48"/>
  <c r="I79" i="48"/>
  <c r="I82" i="48"/>
  <c r="I19" i="48" s="1"/>
  <c r="H17" i="48"/>
  <c r="I85" i="48"/>
  <c r="J85" i="48" s="1"/>
  <c r="J22" i="48" s="1"/>
  <c r="I86" i="48"/>
  <c r="I77" i="48"/>
  <c r="J77" i="48" s="1"/>
  <c r="J14" i="48" s="1"/>
  <c r="I96" i="48"/>
  <c r="I33" i="48" s="1"/>
  <c r="P35" i="48"/>
  <c r="P31" i="48"/>
  <c r="H88" i="11"/>
  <c r="G63" i="11" s="1"/>
  <c r="E63" i="11" s="1"/>
  <c r="E83" i="11"/>
  <c r="E81" i="11"/>
  <c r="F49" i="22"/>
  <c r="J386" i="49"/>
  <c r="J387" i="49" s="1"/>
  <c r="J188" i="49"/>
  <c r="J189" i="49" s="1"/>
  <c r="F107" i="49"/>
  <c r="F31" i="11"/>
  <c r="K28" i="1"/>
  <c r="M26" i="84"/>
  <c r="M19" i="84"/>
  <c r="L19" i="84"/>
  <c r="K17" i="84"/>
  <c r="L22" i="84"/>
  <c r="M22" i="84"/>
  <c r="I24" i="83"/>
  <c r="K21" i="84" s="1"/>
  <c r="G28" i="84"/>
  <c r="G48" i="84" s="1"/>
  <c r="L11" i="84"/>
  <c r="M11" i="84"/>
  <c r="L12" i="84"/>
  <c r="M12" i="84"/>
  <c r="L10" i="84"/>
  <c r="M10" i="84"/>
  <c r="I12" i="83"/>
  <c r="D130" i="15"/>
  <c r="F130" i="15"/>
  <c r="F132" i="15" s="1"/>
  <c r="D68" i="15"/>
  <c r="N146" i="21"/>
  <c r="H144" i="4"/>
  <c r="H24" i="64"/>
  <c r="C130" i="48" s="1"/>
  <c r="E130" i="48" s="1"/>
  <c r="I184" i="4"/>
  <c r="I231" i="4" s="1"/>
  <c r="I236" i="4" s="1"/>
  <c r="F191" i="4"/>
  <c r="J196" i="4"/>
  <c r="K193" i="4"/>
  <c r="K196" i="4"/>
  <c r="E184" i="4"/>
  <c r="E231" i="4" s="1"/>
  <c r="C193" i="4"/>
  <c r="D197" i="4"/>
  <c r="G198" i="4"/>
  <c r="M172" i="4"/>
  <c r="D184" i="4"/>
  <c r="D231" i="4" s="1"/>
  <c r="D236" i="4" s="1"/>
  <c r="L184" i="4"/>
  <c r="L231" i="4" s="1"/>
  <c r="L236" i="4" s="1"/>
  <c r="D199" i="4"/>
  <c r="J195" i="4"/>
  <c r="M183" i="4"/>
  <c r="G184" i="4"/>
  <c r="G231" i="4" s="1"/>
  <c r="F195" i="4"/>
  <c r="G199" i="4"/>
  <c r="I194" i="4"/>
  <c r="K198" i="4"/>
  <c r="L194" i="4"/>
  <c r="M181" i="4"/>
  <c r="M180" i="4"/>
  <c r="M179" i="4"/>
  <c r="J184" i="4"/>
  <c r="J231" i="4" s="1"/>
  <c r="M176" i="4"/>
  <c r="F184" i="4"/>
  <c r="F231" i="4" s="1"/>
  <c r="M182" i="4"/>
  <c r="M140" i="4"/>
  <c r="H198" i="4"/>
  <c r="M135" i="4"/>
  <c r="J191" i="4"/>
  <c r="I197" i="4"/>
  <c r="J202" i="4"/>
  <c r="M139" i="4"/>
  <c r="I144" i="4"/>
  <c r="I198" i="4"/>
  <c r="M141" i="4"/>
  <c r="M138" i="4"/>
  <c r="D144" i="4"/>
  <c r="M134" i="4"/>
  <c r="M132" i="4"/>
  <c r="M137" i="4"/>
  <c r="I89" i="65"/>
  <c r="A25" i="65"/>
  <c r="B8" i="65"/>
  <c r="E72" i="8"/>
  <c r="E153" i="71"/>
  <c r="A15" i="1"/>
  <c r="K44" i="1"/>
  <c r="J59" i="8"/>
  <c r="J53" i="8"/>
  <c r="K104" i="1"/>
  <c r="J58" i="8"/>
  <c r="G21" i="45"/>
  <c r="J9" i="8" s="1"/>
  <c r="N79" i="61"/>
  <c r="I60" i="46"/>
  <c r="E119" i="46"/>
  <c r="I119" i="46" s="1"/>
  <c r="G119" i="46" s="1"/>
  <c r="J55" i="46"/>
  <c r="C118" i="46" s="1"/>
  <c r="D60" i="46"/>
  <c r="C145" i="46" s="1"/>
  <c r="H57" i="46" s="1"/>
  <c r="K57" i="46" s="1"/>
  <c r="J56" i="46"/>
  <c r="C119" i="46" s="1"/>
  <c r="D81" i="46"/>
  <c r="H81" i="46" s="1"/>
  <c r="G81" i="46" s="1"/>
  <c r="K20" i="46"/>
  <c r="C83" i="46" s="1"/>
  <c r="K36" i="46"/>
  <c r="C99" i="46" s="1"/>
  <c r="K33" i="46"/>
  <c r="C96" i="46" s="1"/>
  <c r="G84" i="46"/>
  <c r="G77" i="46"/>
  <c r="G91" i="46"/>
  <c r="D75" i="46"/>
  <c r="H75" i="46" s="1"/>
  <c r="G92" i="46"/>
  <c r="G85" i="46"/>
  <c r="G98" i="46"/>
  <c r="G80" i="46"/>
  <c r="G102" i="46"/>
  <c r="G78" i="46"/>
  <c r="G88" i="46"/>
  <c r="G100" i="46"/>
  <c r="G86" i="46"/>
  <c r="K40" i="46"/>
  <c r="C103" i="46" s="1"/>
  <c r="K25" i="46"/>
  <c r="C88" i="46" s="1"/>
  <c r="K21" i="46"/>
  <c r="C84" i="46" s="1"/>
  <c r="K17" i="46"/>
  <c r="C80" i="46" s="1"/>
  <c r="D96" i="46"/>
  <c r="H96" i="46" s="1"/>
  <c r="G96" i="46" s="1"/>
  <c r="K34" i="46"/>
  <c r="C97" i="46" s="1"/>
  <c r="K29" i="46"/>
  <c r="C92" i="46" s="1"/>
  <c r="K35" i="46"/>
  <c r="C98" i="46" s="1"/>
  <c r="L128" i="53"/>
  <c r="L116" i="53"/>
  <c r="N66" i="61"/>
  <c r="I65" i="61"/>
  <c r="I89" i="61" s="1"/>
  <c r="G66" i="61"/>
  <c r="N80" i="61"/>
  <c r="I245" i="61"/>
  <c r="I248" i="61" s="1"/>
  <c r="J248" i="61"/>
  <c r="I236" i="61"/>
  <c r="M236" i="61"/>
  <c r="H193" i="61"/>
  <c r="I172" i="61"/>
  <c r="I193" i="61" s="1"/>
  <c r="N193" i="61"/>
  <c r="M193" i="61"/>
  <c r="G193" i="61"/>
  <c r="J193" i="61"/>
  <c r="M253" i="61"/>
  <c r="M255" i="61" s="1"/>
  <c r="I47" i="61"/>
  <c r="I52" i="61" s="1"/>
  <c r="G255" i="61"/>
  <c r="N64" i="61"/>
  <c r="M52" i="61"/>
  <c r="J52" i="61"/>
  <c r="I44" i="61"/>
  <c r="J44" i="61"/>
  <c r="N44" i="61"/>
  <c r="M44" i="61"/>
  <c r="G44" i="61"/>
  <c r="M4" i="61"/>
  <c r="M8" i="61" s="1"/>
  <c r="F118" i="46"/>
  <c r="F115" i="46"/>
  <c r="F117" i="46"/>
  <c r="F116" i="46"/>
  <c r="F79" i="46"/>
  <c r="F74" i="46"/>
  <c r="F87" i="46"/>
  <c r="F76" i="46"/>
  <c r="F97" i="46"/>
  <c r="F95" i="46"/>
  <c r="F93" i="46"/>
  <c r="F103" i="46"/>
  <c r="I101" i="46"/>
  <c r="H101" i="46"/>
  <c r="H82" i="46"/>
  <c r="I82" i="46"/>
  <c r="F90" i="46"/>
  <c r="F99" i="46"/>
  <c r="P36" i="48"/>
  <c r="P25" i="48"/>
  <c r="P20" i="48"/>
  <c r="P34" i="48"/>
  <c r="H27" i="48"/>
  <c r="I90" i="48"/>
  <c r="H34" i="48"/>
  <c r="I97" i="48"/>
  <c r="I20" i="48"/>
  <c r="J83" i="48"/>
  <c r="J20" i="48" s="1"/>
  <c r="J80" i="48"/>
  <c r="J17" i="48" s="1"/>
  <c r="I17" i="48"/>
  <c r="I25" i="48"/>
  <c r="J88" i="48"/>
  <c r="J25" i="48" s="1"/>
  <c r="I94" i="48"/>
  <c r="H31" i="48"/>
  <c r="I76" i="48"/>
  <c r="H13" i="48"/>
  <c r="H24" i="48"/>
  <c r="I87" i="48"/>
  <c r="I81" i="48"/>
  <c r="H18" i="48"/>
  <c r="J92" i="48"/>
  <c r="J29" i="48" s="1"/>
  <c r="I29" i="48"/>
  <c r="I78" i="48"/>
  <c r="H93" i="48"/>
  <c r="H30" i="48" s="1"/>
  <c r="H25" i="48"/>
  <c r="H89" i="48"/>
  <c r="H26" i="48" s="1"/>
  <c r="H29" i="48"/>
  <c r="H98" i="48"/>
  <c r="H35" i="48" s="1"/>
  <c r="H84" i="48"/>
  <c r="H21" i="48" s="1"/>
  <c r="G88" i="11"/>
  <c r="G65" i="11" s="1"/>
  <c r="E70" i="12" s="1"/>
  <c r="E84" i="11"/>
  <c r="E75" i="11"/>
  <c r="E79" i="11"/>
  <c r="E76" i="11"/>
  <c r="E82" i="11"/>
  <c r="E86" i="11"/>
  <c r="E80" i="11"/>
  <c r="E77" i="11"/>
  <c r="E78" i="11"/>
  <c r="E85" i="11"/>
  <c r="G50" i="11"/>
  <c r="E87" i="11"/>
  <c r="F88" i="11"/>
  <c r="G64" i="11" s="1"/>
  <c r="E69" i="12" s="1"/>
  <c r="J419" i="49"/>
  <c r="K419" i="49" s="1"/>
  <c r="J320" i="49"/>
  <c r="J321" i="49" s="1"/>
  <c r="K321" i="49" s="1"/>
  <c r="J287" i="49"/>
  <c r="J288" i="49" s="1"/>
  <c r="F290" i="49"/>
  <c r="J254" i="49"/>
  <c r="K254" i="49" s="1"/>
  <c r="J221" i="49"/>
  <c r="J222" i="49" s="1"/>
  <c r="F229" i="49"/>
  <c r="F234" i="49"/>
  <c r="F171" i="49"/>
  <c r="F71" i="49" s="1"/>
  <c r="J122" i="49"/>
  <c r="J123" i="49" s="1"/>
  <c r="K123" i="49" s="1"/>
  <c r="F136" i="49"/>
  <c r="F100" i="49"/>
  <c r="J89" i="49"/>
  <c r="E19" i="71"/>
  <c r="E23" i="71" s="1"/>
  <c r="D26" i="49"/>
  <c r="F51" i="11"/>
  <c r="E51" i="11" s="1"/>
  <c r="E41" i="12" s="1"/>
  <c r="L35" i="82"/>
  <c r="K69" i="1" s="1"/>
  <c r="L45" i="82"/>
  <c r="K73" i="1" s="1"/>
  <c r="L29" i="82"/>
  <c r="K68" i="1" s="1"/>
  <c r="L12" i="82"/>
  <c r="L23" i="82" s="1"/>
  <c r="K65" i="1" s="1"/>
  <c r="C196" i="4"/>
  <c r="D200" i="4"/>
  <c r="E201" i="4"/>
  <c r="I202" i="4"/>
  <c r="C184" i="4"/>
  <c r="C231" i="4" s="1"/>
  <c r="C236" i="4" s="1"/>
  <c r="E198" i="4"/>
  <c r="E191" i="4"/>
  <c r="D201" i="4"/>
  <c r="G201" i="4"/>
  <c r="I193" i="4"/>
  <c r="L191" i="4"/>
  <c r="E195" i="4"/>
  <c r="F201" i="4"/>
  <c r="L192" i="4"/>
  <c r="L199" i="4"/>
  <c r="D195" i="4"/>
  <c r="J192" i="4"/>
  <c r="J200" i="4"/>
  <c r="K197" i="4"/>
  <c r="H192" i="4"/>
  <c r="H197" i="4"/>
  <c r="J193" i="4"/>
  <c r="C202" i="4"/>
  <c r="F193" i="4"/>
  <c r="G197" i="4"/>
  <c r="H200" i="4"/>
  <c r="K199" i="4"/>
  <c r="J144" i="4"/>
  <c r="L144" i="4"/>
  <c r="F144" i="4"/>
  <c r="K144" i="4"/>
  <c r="M142" i="4"/>
  <c r="G144" i="4"/>
  <c r="C200" i="4"/>
  <c r="I196" i="4"/>
  <c r="D193" i="4"/>
  <c r="C198" i="4"/>
  <c r="M133" i="4"/>
  <c r="D192" i="4"/>
  <c r="F110" i="21"/>
  <c r="D18" i="57"/>
  <c r="G20" i="57"/>
  <c r="C26" i="57" s="1"/>
  <c r="G21" i="2"/>
  <c r="F55" i="56"/>
  <c r="J24" i="64"/>
  <c r="C132" i="48" s="1"/>
  <c r="E132" i="48" s="1"/>
  <c r="J226" i="4"/>
  <c r="F17" i="56"/>
  <c r="F66" i="49" l="1"/>
  <c r="G72" i="48"/>
  <c r="A107" i="48"/>
  <c r="E39" i="56"/>
  <c r="E38" i="56"/>
  <c r="E37" i="56"/>
  <c r="E40" i="56" s="1"/>
  <c r="E42" i="56" s="1"/>
  <c r="E144" i="4"/>
  <c r="M144" i="4" s="1"/>
  <c r="E20" i="57"/>
  <c r="C12" i="57"/>
  <c r="C28" i="57"/>
  <c r="I24" i="26"/>
  <c r="K452" i="49"/>
  <c r="F58" i="49"/>
  <c r="F63" i="49"/>
  <c r="F69" i="49"/>
  <c r="F73" i="49"/>
  <c r="E50" i="11"/>
  <c r="E40" i="12" s="1"/>
  <c r="M46" i="84"/>
  <c r="M143" i="4"/>
  <c r="G46" i="4"/>
  <c r="F46" i="4"/>
  <c r="E46" i="4"/>
  <c r="D46" i="4"/>
  <c r="C38" i="4"/>
  <c r="G45" i="4"/>
  <c r="F45" i="4"/>
  <c r="E45" i="4"/>
  <c r="D45" i="4"/>
  <c r="F44" i="4"/>
  <c r="E44" i="4"/>
  <c r="D44" i="4"/>
  <c r="G43" i="4"/>
  <c r="F43" i="4"/>
  <c r="E43" i="4"/>
  <c r="D43" i="4"/>
  <c r="G42" i="4"/>
  <c r="F42" i="4"/>
  <c r="E42" i="4"/>
  <c r="D42" i="4"/>
  <c r="G41" i="4"/>
  <c r="F41" i="4"/>
  <c r="E41" i="4"/>
  <c r="D41" i="4"/>
  <c r="G40" i="4"/>
  <c r="F40" i="4"/>
  <c r="D40" i="4"/>
  <c r="F39" i="4"/>
  <c r="D39" i="4"/>
  <c r="F38" i="4"/>
  <c r="E38" i="4"/>
  <c r="F37" i="4"/>
  <c r="F36" i="4"/>
  <c r="F35" i="4"/>
  <c r="G44" i="4"/>
  <c r="E40" i="4"/>
  <c r="G39" i="4"/>
  <c r="E39" i="4"/>
  <c r="G38" i="4"/>
  <c r="D38" i="4"/>
  <c r="G37" i="4"/>
  <c r="E37" i="4"/>
  <c r="D37" i="4"/>
  <c r="G36" i="4"/>
  <c r="E36" i="4"/>
  <c r="D36" i="4"/>
  <c r="G35" i="4"/>
  <c r="E35" i="4"/>
  <c r="D35" i="4"/>
  <c r="I46" i="21"/>
  <c r="C35" i="4"/>
  <c r="C45" i="4"/>
  <c r="C44" i="4"/>
  <c r="C42" i="4"/>
  <c r="I45" i="21"/>
  <c r="I44" i="21"/>
  <c r="I43" i="21"/>
  <c r="I42" i="21"/>
  <c r="I41" i="21"/>
  <c r="I40" i="21"/>
  <c r="I39" i="21"/>
  <c r="I38" i="21"/>
  <c r="C39" i="4"/>
  <c r="C41" i="4"/>
  <c r="C40" i="4"/>
  <c r="I37" i="21"/>
  <c r="I36" i="21"/>
  <c r="C37" i="4"/>
  <c r="C36" i="4"/>
  <c r="C43" i="4"/>
  <c r="I35" i="21"/>
  <c r="C46" i="4"/>
  <c r="M226" i="4"/>
  <c r="H45" i="4"/>
  <c r="H45" i="21"/>
  <c r="G45" i="21"/>
  <c r="F45" i="21"/>
  <c r="E45" i="21"/>
  <c r="D45" i="21"/>
  <c r="H36" i="21"/>
  <c r="H44" i="4"/>
  <c r="H44" i="21"/>
  <c r="G44" i="21"/>
  <c r="F44" i="21"/>
  <c r="E44" i="21"/>
  <c r="D44" i="21"/>
  <c r="G43" i="21"/>
  <c r="H43" i="4"/>
  <c r="H43" i="21"/>
  <c r="H42" i="4"/>
  <c r="H42" i="21"/>
  <c r="G42" i="21"/>
  <c r="F42" i="21"/>
  <c r="E42" i="21"/>
  <c r="D42" i="21"/>
  <c r="F41" i="21"/>
  <c r="F39" i="21"/>
  <c r="E39" i="21"/>
  <c r="G38" i="21"/>
  <c r="G37" i="21"/>
  <c r="F36" i="21"/>
  <c r="E36" i="21"/>
  <c r="D36" i="21"/>
  <c r="H41" i="4"/>
  <c r="H41" i="21"/>
  <c r="G41" i="21"/>
  <c r="E41" i="21"/>
  <c r="D41" i="21"/>
  <c r="G39" i="21"/>
  <c r="D39" i="21"/>
  <c r="H38" i="4"/>
  <c r="H38" i="21"/>
  <c r="F38" i="21"/>
  <c r="E38" i="21"/>
  <c r="D38" i="21"/>
  <c r="H37" i="4"/>
  <c r="H37" i="21"/>
  <c r="F37" i="21"/>
  <c r="D37" i="21"/>
  <c r="H36" i="4"/>
  <c r="H40" i="4"/>
  <c r="H40" i="21"/>
  <c r="G40" i="21"/>
  <c r="F40" i="21"/>
  <c r="E40" i="21"/>
  <c r="D40" i="21"/>
  <c r="H39" i="4"/>
  <c r="H39" i="21"/>
  <c r="E37" i="21"/>
  <c r="G36" i="21"/>
  <c r="H35" i="4"/>
  <c r="H35" i="21"/>
  <c r="G35" i="21"/>
  <c r="F35" i="21"/>
  <c r="E35" i="21"/>
  <c r="D35" i="21"/>
  <c r="H46" i="21"/>
  <c r="G46" i="21"/>
  <c r="F46" i="21"/>
  <c r="E46" i="21"/>
  <c r="D46" i="21"/>
  <c r="F43" i="21"/>
  <c r="E43" i="21"/>
  <c r="D43" i="21"/>
  <c r="H46" i="4"/>
  <c r="D116" i="85"/>
  <c r="K152" i="1" s="1"/>
  <c r="C9" i="9" s="1"/>
  <c r="E203" i="4"/>
  <c r="C18" i="57"/>
  <c r="D20" i="57"/>
  <c r="E27" i="71"/>
  <c r="F34" i="71"/>
  <c r="B209" i="71"/>
  <c r="F27" i="71"/>
  <c r="A27" i="71"/>
  <c r="F120" i="71"/>
  <c r="E255" i="61"/>
  <c r="E110" i="11"/>
  <c r="G99" i="11"/>
  <c r="G110" i="11" s="1"/>
  <c r="J55" i="49"/>
  <c r="F64" i="11"/>
  <c r="E64" i="11" s="1"/>
  <c r="E55" i="12" s="1"/>
  <c r="F40" i="11"/>
  <c r="J24" i="8" s="1"/>
  <c r="F91" i="12" s="1"/>
  <c r="K110" i="1"/>
  <c r="J44" i="8" s="1"/>
  <c r="G117" i="15"/>
  <c r="G130" i="15" s="1"/>
  <c r="E117" i="15"/>
  <c r="E130" i="15" s="1"/>
  <c r="G54" i="15"/>
  <c r="G68" i="15" s="1"/>
  <c r="E54" i="15"/>
  <c r="E68" i="15" s="1"/>
  <c r="D110" i="21"/>
  <c r="N110" i="21" s="1"/>
  <c r="H86" i="21"/>
  <c r="G98" i="21"/>
  <c r="G91" i="21"/>
  <c r="E236" i="4"/>
  <c r="D12" i="56"/>
  <c r="F27" i="26"/>
  <c r="C60" i="46"/>
  <c r="A59" i="46"/>
  <c r="A60" i="46" s="1"/>
  <c r="D145" i="46" s="1"/>
  <c r="E63" i="46"/>
  <c r="A94" i="64"/>
  <c r="B192" i="21"/>
  <c r="G128" i="64"/>
  <c r="F143" i="64" s="1"/>
  <c r="G236" i="4"/>
  <c r="A13" i="56"/>
  <c r="A14" i="56" s="1"/>
  <c r="A15" i="56" s="1"/>
  <c r="A16" i="56" s="1"/>
  <c r="A17" i="56" s="1"/>
  <c r="E54" i="12"/>
  <c r="K453" i="49"/>
  <c r="J454" i="49"/>
  <c r="A46" i="49"/>
  <c r="A54" i="49" s="1"/>
  <c r="A55" i="49" s="1"/>
  <c r="A56" i="49" s="1"/>
  <c r="A57" i="49" s="1"/>
  <c r="A58" i="49" s="1"/>
  <c r="A59" i="49" s="1"/>
  <c r="A60" i="49" s="1"/>
  <c r="A61" i="49" s="1"/>
  <c r="A62" i="49" s="1"/>
  <c r="A63" i="49" s="1"/>
  <c r="A64" i="49" s="1"/>
  <c r="A65" i="49" s="1"/>
  <c r="A66" i="49" s="1"/>
  <c r="A67" i="49" s="1"/>
  <c r="A68" i="49" s="1"/>
  <c r="A69" i="49" s="1"/>
  <c r="A70" i="49" s="1"/>
  <c r="A71" i="49" s="1"/>
  <c r="A72" i="49" s="1"/>
  <c r="A73" i="49" s="1"/>
  <c r="A74" i="49" s="1"/>
  <c r="A75" i="49" s="1"/>
  <c r="A76" i="49" s="1"/>
  <c r="A77" i="49" s="1"/>
  <c r="A78" i="49" s="1"/>
  <c r="A79" i="49" s="1"/>
  <c r="H24" i="8"/>
  <c r="I28" i="1"/>
  <c r="A49" i="11"/>
  <c r="K353" i="49"/>
  <c r="J156" i="49"/>
  <c r="K156" i="49" s="1"/>
  <c r="K221" i="49"/>
  <c r="E263" i="61"/>
  <c r="E264" i="61" s="1"/>
  <c r="N89" i="61"/>
  <c r="E26" i="57"/>
  <c r="A135" i="15"/>
  <c r="I132" i="15"/>
  <c r="K12" i="46"/>
  <c r="C75" i="46" s="1"/>
  <c r="A73" i="21"/>
  <c r="B187" i="21" s="1"/>
  <c r="A92" i="21"/>
  <c r="A93" i="21" s="1"/>
  <c r="I36" i="48"/>
  <c r="J82" i="48"/>
  <c r="J19" i="48" s="1"/>
  <c r="E68" i="12"/>
  <c r="E31" i="57"/>
  <c r="F236" i="4"/>
  <c r="C87" i="26"/>
  <c r="A19" i="8"/>
  <c r="A20" i="8" s="1"/>
  <c r="A21" i="8" s="1"/>
  <c r="H15" i="8"/>
  <c r="I32" i="48"/>
  <c r="I28" i="48"/>
  <c r="J96" i="48"/>
  <c r="J33" i="48" s="1"/>
  <c r="I14" i="48"/>
  <c r="K386" i="49"/>
  <c r="K188" i="49"/>
  <c r="M194" i="4"/>
  <c r="A56" i="4"/>
  <c r="G203" i="4"/>
  <c r="J236" i="4"/>
  <c r="M184" i="4"/>
  <c r="M231" i="4" s="1"/>
  <c r="D27" i="71"/>
  <c r="I22" i="48"/>
  <c r="I84" i="48"/>
  <c r="I21" i="48" s="1"/>
  <c r="J124" i="49"/>
  <c r="J125" i="49" s="1"/>
  <c r="M43" i="46"/>
  <c r="L60" i="46" s="1"/>
  <c r="E106" i="46"/>
  <c r="G75" i="46"/>
  <c r="G89" i="61"/>
  <c r="C20" i="57"/>
  <c r="D28" i="57"/>
  <c r="E28" i="57" s="1"/>
  <c r="C29" i="57" s="1"/>
  <c r="E27" i="57"/>
  <c r="L46" i="84"/>
  <c r="A15" i="15"/>
  <c r="A16" i="15" s="1"/>
  <c r="A17" i="15" s="1"/>
  <c r="A18" i="15" s="1"/>
  <c r="A19" i="15" s="1"/>
  <c r="A20" i="15" s="1"/>
  <c r="A21" i="15" s="1"/>
  <c r="A22" i="15" s="1"/>
  <c r="A23" i="15" s="1"/>
  <c r="A24" i="15" s="1"/>
  <c r="H23" i="8" s="1"/>
  <c r="E19" i="15"/>
  <c r="I26" i="1"/>
  <c r="A73" i="15"/>
  <c r="E10" i="15"/>
  <c r="K130" i="53"/>
  <c r="K203" i="4"/>
  <c r="M199" i="4"/>
  <c r="M201" i="4"/>
  <c r="M197" i="4"/>
  <c r="P37" i="48"/>
  <c r="D41" i="57" s="1"/>
  <c r="L117" i="53"/>
  <c r="L130" i="53" s="1"/>
  <c r="M120" i="53" s="1"/>
  <c r="C18" i="53" s="1"/>
  <c r="H83" i="46"/>
  <c r="G83" i="46" s="1"/>
  <c r="G101" i="46"/>
  <c r="J79" i="48"/>
  <c r="J16" i="48" s="1"/>
  <c r="I16" i="48"/>
  <c r="I23" i="48"/>
  <c r="J86" i="48"/>
  <c r="J23" i="48" s="1"/>
  <c r="J322" i="49"/>
  <c r="K322" i="49" s="1"/>
  <c r="K320" i="49"/>
  <c r="J255" i="49"/>
  <c r="K255" i="49" s="1"/>
  <c r="K122" i="49"/>
  <c r="M21" i="84"/>
  <c r="L21" i="84"/>
  <c r="K24" i="84"/>
  <c r="M17" i="84"/>
  <c r="L17" i="84"/>
  <c r="I27" i="83"/>
  <c r="K9" i="84"/>
  <c r="I17" i="83"/>
  <c r="M195" i="4"/>
  <c r="H203" i="4"/>
  <c r="H210" i="4" s="1"/>
  <c r="L203" i="4"/>
  <c r="F203" i="4"/>
  <c r="J203" i="4"/>
  <c r="A26" i="65"/>
  <c r="A27" i="65" s="1"/>
  <c r="A28" i="65" s="1"/>
  <c r="A29" i="65" s="1"/>
  <c r="A30" i="65" s="1"/>
  <c r="A31" i="65" s="1"/>
  <c r="A32" i="65" s="1"/>
  <c r="A33" i="65" s="1"/>
  <c r="A34" i="65" s="1"/>
  <c r="A35" i="65" s="1"/>
  <c r="A36" i="65" s="1"/>
  <c r="B98" i="65" s="1"/>
  <c r="B103" i="65"/>
  <c r="K52" i="1"/>
  <c r="L51" i="84"/>
  <c r="D23" i="7"/>
  <c r="J43" i="8"/>
  <c r="E36" i="71"/>
  <c r="D36" i="71"/>
  <c r="G16" i="12"/>
  <c r="M51" i="84"/>
  <c r="A16" i="1"/>
  <c r="A17" i="1" s="1"/>
  <c r="C144" i="46"/>
  <c r="H42" i="46" s="1"/>
  <c r="L42" i="46" s="1"/>
  <c r="E121" i="46"/>
  <c r="G82" i="46"/>
  <c r="H58" i="46"/>
  <c r="G57" i="46"/>
  <c r="G58" i="46" s="1"/>
  <c r="J57" i="46"/>
  <c r="K58" i="46"/>
  <c r="D120" i="46"/>
  <c r="H116" i="46"/>
  <c r="I116" i="46"/>
  <c r="I117" i="46"/>
  <c r="H117" i="46"/>
  <c r="I115" i="46"/>
  <c r="H115" i="46"/>
  <c r="I118" i="46"/>
  <c r="H118" i="46"/>
  <c r="H93" i="46"/>
  <c r="I93" i="46"/>
  <c r="H95" i="46"/>
  <c r="I95" i="46"/>
  <c r="I97" i="46"/>
  <c r="H97" i="46"/>
  <c r="I76" i="46"/>
  <c r="H76" i="46"/>
  <c r="I87" i="46"/>
  <c r="H87" i="46"/>
  <c r="I74" i="46"/>
  <c r="H74" i="46"/>
  <c r="H103" i="46"/>
  <c r="I103" i="46"/>
  <c r="H79" i="46"/>
  <c r="I79" i="46"/>
  <c r="I90" i="46"/>
  <c r="H90" i="46"/>
  <c r="I99" i="46"/>
  <c r="H99" i="46"/>
  <c r="J76" i="48"/>
  <c r="J13" i="48" s="1"/>
  <c r="I13" i="48"/>
  <c r="I18" i="48"/>
  <c r="J81" i="48"/>
  <c r="J18" i="48" s="1"/>
  <c r="I34" i="48"/>
  <c r="J97" i="48"/>
  <c r="J34" i="48" s="1"/>
  <c r="I98" i="48"/>
  <c r="I89" i="48"/>
  <c r="I15" i="48"/>
  <c r="J78" i="48"/>
  <c r="J15" i="48" s="1"/>
  <c r="I93" i="48"/>
  <c r="I31" i="48"/>
  <c r="J94" i="48"/>
  <c r="J31" i="48" s="1"/>
  <c r="J90" i="48"/>
  <c r="J27" i="48" s="1"/>
  <c r="I27" i="48"/>
  <c r="J87" i="48"/>
  <c r="J24" i="48" s="1"/>
  <c r="I24" i="48"/>
  <c r="E65" i="11"/>
  <c r="E56" i="12" s="1"/>
  <c r="E88" i="11"/>
  <c r="J420" i="49"/>
  <c r="J421" i="49" s="1"/>
  <c r="K387" i="49"/>
  <c r="J388" i="49"/>
  <c r="K354" i="49"/>
  <c r="J355" i="49"/>
  <c r="K287" i="49"/>
  <c r="G13" i="48"/>
  <c r="K46" i="48"/>
  <c r="K47" i="48" s="1"/>
  <c r="N45" i="48"/>
  <c r="K89" i="49"/>
  <c r="J90" i="49"/>
  <c r="E34" i="71"/>
  <c r="J289" i="49"/>
  <c r="K288" i="49"/>
  <c r="K189" i="49"/>
  <c r="J190" i="49"/>
  <c r="K222" i="49"/>
  <c r="J223" i="49"/>
  <c r="L37" i="82"/>
  <c r="K70" i="1" s="1"/>
  <c r="K63" i="1"/>
  <c r="K85" i="1"/>
  <c r="M198" i="4"/>
  <c r="M193" i="4"/>
  <c r="C203" i="4"/>
  <c r="C209" i="4" s="1"/>
  <c r="M191" i="4"/>
  <c r="M200" i="4"/>
  <c r="I203" i="4"/>
  <c r="D203" i="4"/>
  <c r="M192" i="4"/>
  <c r="M202" i="4"/>
  <c r="M196" i="4"/>
  <c r="E136" i="48"/>
  <c r="E137" i="48"/>
  <c r="J84" i="48" l="1"/>
  <c r="J21" i="48" s="1"/>
  <c r="H72" i="48"/>
  <c r="A111" i="48"/>
  <c r="E74" i="8"/>
  <c r="E54" i="11"/>
  <c r="L24" i="84"/>
  <c r="E40" i="64"/>
  <c r="E109" i="64" s="1"/>
  <c r="D35" i="64"/>
  <c r="D104" i="64" s="1"/>
  <c r="D36" i="64"/>
  <c r="D105" i="64" s="1"/>
  <c r="F35" i="64"/>
  <c r="F104" i="64" s="1"/>
  <c r="E36" i="64"/>
  <c r="E105" i="64" s="1"/>
  <c r="D33" i="64"/>
  <c r="D102" i="64" s="1"/>
  <c r="E37" i="64"/>
  <c r="E106" i="64" s="1"/>
  <c r="G37" i="64"/>
  <c r="G106" i="64" s="1"/>
  <c r="H33" i="64"/>
  <c r="H102" i="64" s="1"/>
  <c r="H37" i="64"/>
  <c r="H106" i="64" s="1"/>
  <c r="H34" i="64"/>
  <c r="H103" i="64" s="1"/>
  <c r="E39" i="64"/>
  <c r="E108" i="64" s="1"/>
  <c r="E30" i="64"/>
  <c r="E99" i="64" s="1"/>
  <c r="F38" i="64"/>
  <c r="F107" i="64" s="1"/>
  <c r="F39" i="64"/>
  <c r="F108" i="64" s="1"/>
  <c r="F40" i="64"/>
  <c r="F109" i="64" s="1"/>
  <c r="F32" i="64"/>
  <c r="F101" i="64" s="1"/>
  <c r="G35" i="64"/>
  <c r="G104" i="64" s="1"/>
  <c r="G33" i="64"/>
  <c r="G102" i="64" s="1"/>
  <c r="H31" i="64"/>
  <c r="H100" i="64" s="1"/>
  <c r="F34" i="64"/>
  <c r="F103" i="64" s="1"/>
  <c r="H38" i="64"/>
  <c r="H107" i="64" s="1"/>
  <c r="G39" i="64"/>
  <c r="G108" i="64" s="1"/>
  <c r="G40" i="64"/>
  <c r="G109" i="64" s="1"/>
  <c r="F100" i="64"/>
  <c r="D37" i="64"/>
  <c r="D106" i="64" s="1"/>
  <c r="D39" i="64"/>
  <c r="D108" i="64" s="1"/>
  <c r="D41" i="64"/>
  <c r="G30" i="64"/>
  <c r="G99" i="64" s="1"/>
  <c r="E32" i="64"/>
  <c r="E101" i="64" s="1"/>
  <c r="G31" i="64"/>
  <c r="G100" i="64" s="1"/>
  <c r="D31" i="64"/>
  <c r="D100" i="64" s="1"/>
  <c r="H39" i="64"/>
  <c r="H108" i="64" s="1"/>
  <c r="H40" i="64"/>
  <c r="H109" i="64" s="1"/>
  <c r="E31" i="64"/>
  <c r="E100" i="64" s="1"/>
  <c r="E33" i="64"/>
  <c r="E102" i="64" s="1"/>
  <c r="F37" i="64"/>
  <c r="F106" i="64" s="1"/>
  <c r="E34" i="64"/>
  <c r="E103" i="64" s="1"/>
  <c r="F33" i="64"/>
  <c r="F102" i="64" s="1"/>
  <c r="G36" i="64"/>
  <c r="G105" i="64" s="1"/>
  <c r="D40" i="64"/>
  <c r="D109" i="64" s="1"/>
  <c r="D34" i="64"/>
  <c r="D103" i="64" s="1"/>
  <c r="F30" i="64"/>
  <c r="F99" i="64" s="1"/>
  <c r="E41" i="64"/>
  <c r="H30" i="64"/>
  <c r="H99" i="64" s="1"/>
  <c r="H32" i="64"/>
  <c r="H101" i="64" s="1"/>
  <c r="G41" i="64"/>
  <c r="G32" i="64"/>
  <c r="G101" i="64" s="1"/>
  <c r="E35" i="64"/>
  <c r="E104" i="64" s="1"/>
  <c r="F36" i="64"/>
  <c r="F105" i="64" s="1"/>
  <c r="H35" i="64"/>
  <c r="H104" i="64" s="1"/>
  <c r="G34" i="64"/>
  <c r="G103" i="64" s="1"/>
  <c r="H36" i="64"/>
  <c r="H105" i="64" s="1"/>
  <c r="D30" i="64"/>
  <c r="D99" i="64" s="1"/>
  <c r="F41" i="64"/>
  <c r="D32" i="64"/>
  <c r="D101" i="64" s="1"/>
  <c r="E38" i="64"/>
  <c r="E107" i="64" s="1"/>
  <c r="D38" i="64"/>
  <c r="D107" i="64" s="1"/>
  <c r="C47" i="4"/>
  <c r="G47" i="21"/>
  <c r="F47" i="21"/>
  <c r="H47" i="21"/>
  <c r="G20" i="2"/>
  <c r="H213" i="4"/>
  <c r="H247" i="4" s="1"/>
  <c r="A28" i="71"/>
  <c r="A29" i="71" s="1"/>
  <c r="K55" i="49"/>
  <c r="J91" i="49"/>
  <c r="K91" i="49" s="1"/>
  <c r="J56" i="49"/>
  <c r="H41" i="64"/>
  <c r="D17" i="56"/>
  <c r="G117" i="46"/>
  <c r="A61" i="46"/>
  <c r="A62" i="46" s="1"/>
  <c r="A63" i="46" s="1"/>
  <c r="A64" i="46" s="1"/>
  <c r="A74" i="46" s="1"/>
  <c r="A75" i="46" s="1"/>
  <c r="A76" i="46" s="1"/>
  <c r="A77" i="46" s="1"/>
  <c r="A78" i="46" s="1"/>
  <c r="A79" i="46" s="1"/>
  <c r="A80" i="46" s="1"/>
  <c r="A81" i="46" s="1"/>
  <c r="A82" i="46" s="1"/>
  <c r="A83" i="46" s="1"/>
  <c r="A84" i="46" s="1"/>
  <c r="A85" i="46" s="1"/>
  <c r="A86" i="46" s="1"/>
  <c r="A87" i="46" s="1"/>
  <c r="A88" i="46" s="1"/>
  <c r="A89" i="46" s="1"/>
  <c r="A90" i="46" s="1"/>
  <c r="A91" i="46" s="1"/>
  <c r="A92" i="46" s="1"/>
  <c r="A93" i="46" s="1"/>
  <c r="A94" i="46" s="1"/>
  <c r="A95" i="46" s="1"/>
  <c r="A96" i="46" s="1"/>
  <c r="A97" i="46" s="1"/>
  <c r="A98" i="46" s="1"/>
  <c r="A99" i="46" s="1"/>
  <c r="A100" i="46" s="1"/>
  <c r="A101" i="46" s="1"/>
  <c r="A102" i="46" s="1"/>
  <c r="A103" i="46" s="1"/>
  <c r="A104" i="46" s="1"/>
  <c r="A105" i="46" s="1"/>
  <c r="A106" i="46" s="1"/>
  <c r="D144" i="46"/>
  <c r="A114" i="64"/>
  <c r="A115" i="64" s="1"/>
  <c r="A116" i="64" s="1"/>
  <c r="A117" i="64" s="1"/>
  <c r="A118" i="64" s="1"/>
  <c r="A119" i="64" s="1"/>
  <c r="B149" i="64" s="1"/>
  <c r="L214" i="4"/>
  <c r="L248" i="4" s="1"/>
  <c r="H218" i="4"/>
  <c r="I138" i="21" s="1"/>
  <c r="G216" i="4"/>
  <c r="H136" i="21" s="1"/>
  <c r="I214" i="4"/>
  <c r="I248" i="4" s="1"/>
  <c r="D211" i="4"/>
  <c r="E131" i="21" s="1"/>
  <c r="J209" i="4"/>
  <c r="K129" i="21" s="1"/>
  <c r="F214" i="4"/>
  <c r="F248" i="4" s="1"/>
  <c r="K220" i="4"/>
  <c r="L140" i="21" s="1"/>
  <c r="A18" i="56"/>
  <c r="A19" i="56" s="1"/>
  <c r="A20" i="56" s="1"/>
  <c r="G213" i="4"/>
  <c r="H133" i="21" s="1"/>
  <c r="E68" i="11"/>
  <c r="K124" i="49"/>
  <c r="J157" i="49"/>
  <c r="J158" i="49" s="1"/>
  <c r="K158" i="49" s="1"/>
  <c r="G42" i="57"/>
  <c r="E82" i="7"/>
  <c r="A88" i="49"/>
  <c r="A89" i="49" s="1"/>
  <c r="A90" i="49" s="1"/>
  <c r="A91" i="49" s="1"/>
  <c r="A92" i="49" s="1"/>
  <c r="A93" i="49" s="1"/>
  <c r="A94" i="49" s="1"/>
  <c r="A95" i="49" s="1"/>
  <c r="A96" i="49" s="1"/>
  <c r="A97" i="49" s="1"/>
  <c r="A98" i="49" s="1"/>
  <c r="A99" i="49" s="1"/>
  <c r="A100" i="49" s="1"/>
  <c r="A101" i="49" s="1"/>
  <c r="A102" i="49" s="1"/>
  <c r="A103" i="49" s="1"/>
  <c r="A104" i="49" s="1"/>
  <c r="A105" i="49" s="1"/>
  <c r="A106" i="49" s="1"/>
  <c r="A107" i="49" s="1"/>
  <c r="A108" i="49" s="1"/>
  <c r="A109" i="49" s="1"/>
  <c r="A110" i="49" s="1"/>
  <c r="A111" i="49" s="1"/>
  <c r="A112" i="49" s="1"/>
  <c r="A113" i="49" s="1"/>
  <c r="K454" i="49"/>
  <c r="J455" i="49"/>
  <c r="A50" i="11"/>
  <c r="H39" i="12"/>
  <c r="G97" i="46"/>
  <c r="G218" i="4"/>
  <c r="H138" i="21" s="1"/>
  <c r="G219" i="4"/>
  <c r="H139" i="21" s="1"/>
  <c r="G220" i="4"/>
  <c r="H140" i="21" s="1"/>
  <c r="A98" i="21"/>
  <c r="H20" i="8"/>
  <c r="G93" i="21"/>
  <c r="H75" i="21"/>
  <c r="J213" i="4"/>
  <c r="K133" i="21" s="1"/>
  <c r="J220" i="4"/>
  <c r="K140" i="21" s="1"/>
  <c r="H216" i="4"/>
  <c r="H250" i="4" s="1"/>
  <c r="H209" i="4"/>
  <c r="H243" i="4" s="1"/>
  <c r="H220" i="4"/>
  <c r="H254" i="4" s="1"/>
  <c r="H219" i="4"/>
  <c r="I139" i="21" s="1"/>
  <c r="H211" i="4"/>
  <c r="I131" i="21" s="1"/>
  <c r="H214" i="4"/>
  <c r="I134" i="21" s="1"/>
  <c r="H217" i="4"/>
  <c r="I137" i="21" s="1"/>
  <c r="H212" i="4"/>
  <c r="I132" i="21" s="1"/>
  <c r="G212" i="4"/>
  <c r="G246" i="4" s="1"/>
  <c r="G211" i="4"/>
  <c r="G245" i="4" s="1"/>
  <c r="G209" i="4"/>
  <c r="G243" i="4" s="1"/>
  <c r="G214" i="4"/>
  <c r="H134" i="21" s="1"/>
  <c r="G215" i="4"/>
  <c r="H135" i="21" s="1"/>
  <c r="E124" i="46"/>
  <c r="C31" i="57"/>
  <c r="C33" i="57" s="1"/>
  <c r="C40" i="57" s="1"/>
  <c r="J217" i="4"/>
  <c r="K137" i="21" s="1"/>
  <c r="J216" i="4"/>
  <c r="K136" i="21" s="1"/>
  <c r="J218" i="4"/>
  <c r="K138" i="21" s="1"/>
  <c r="G217" i="4"/>
  <c r="H137" i="21" s="1"/>
  <c r="G210" i="4"/>
  <c r="G244" i="4" s="1"/>
  <c r="G27" i="26"/>
  <c r="A27" i="26"/>
  <c r="H21" i="8"/>
  <c r="I18" i="1"/>
  <c r="A23" i="8"/>
  <c r="H29" i="8"/>
  <c r="K219" i="4"/>
  <c r="K253" i="4" s="1"/>
  <c r="B270" i="4"/>
  <c r="A57" i="4"/>
  <c r="K214" i="4"/>
  <c r="L134" i="21" s="1"/>
  <c r="J214" i="4"/>
  <c r="K134" i="21" s="1"/>
  <c r="K210" i="4"/>
  <c r="K244" i="4" s="1"/>
  <c r="J215" i="4"/>
  <c r="K135" i="21" s="1"/>
  <c r="K216" i="4"/>
  <c r="K250" i="4" s="1"/>
  <c r="K218" i="4"/>
  <c r="K252" i="4" s="1"/>
  <c r="K217" i="4"/>
  <c r="K251" i="4" s="1"/>
  <c r="K215" i="4"/>
  <c r="L135" i="21" s="1"/>
  <c r="K209" i="4"/>
  <c r="L129" i="21" s="1"/>
  <c r="F215" i="4"/>
  <c r="F249" i="4" s="1"/>
  <c r="K212" i="4"/>
  <c r="L132" i="21" s="1"/>
  <c r="K211" i="4"/>
  <c r="L131" i="21" s="1"/>
  <c r="F219" i="4"/>
  <c r="G139" i="21" s="1"/>
  <c r="K213" i="4"/>
  <c r="K247" i="4" s="1"/>
  <c r="F210" i="4"/>
  <c r="F244" i="4" s="1"/>
  <c r="J210" i="4"/>
  <c r="K130" i="21" s="1"/>
  <c r="J323" i="49"/>
  <c r="K323" i="49" s="1"/>
  <c r="J256" i="49"/>
  <c r="J257" i="49" s="1"/>
  <c r="K90" i="49"/>
  <c r="G99" i="46"/>
  <c r="M24" i="84"/>
  <c r="I31" i="83"/>
  <c r="I51" i="83" s="1"/>
  <c r="J212" i="4"/>
  <c r="K132" i="21" s="1"/>
  <c r="L217" i="4"/>
  <c r="M137" i="21" s="1"/>
  <c r="L216" i="4"/>
  <c r="M136" i="21" s="1"/>
  <c r="L211" i="4"/>
  <c r="M131" i="21" s="1"/>
  <c r="L220" i="4"/>
  <c r="M140" i="21" s="1"/>
  <c r="L213" i="4"/>
  <c r="M133" i="21" s="1"/>
  <c r="L218" i="4"/>
  <c r="M138" i="21" s="1"/>
  <c r="F212" i="4"/>
  <c r="G132" i="21" s="1"/>
  <c r="F213" i="4"/>
  <c r="G133" i="21" s="1"/>
  <c r="F220" i="4"/>
  <c r="F254" i="4" s="1"/>
  <c r="M118" i="53"/>
  <c r="C16" i="53" s="1"/>
  <c r="M127" i="53"/>
  <c r="C25" i="53" s="1"/>
  <c r="M128" i="53"/>
  <c r="C26" i="53" s="1"/>
  <c r="M116" i="53"/>
  <c r="C13" i="53" s="1"/>
  <c r="M117" i="53"/>
  <c r="C15" i="53" s="1"/>
  <c r="M124" i="53"/>
  <c r="C22" i="53" s="1"/>
  <c r="K420" i="49"/>
  <c r="K14" i="84"/>
  <c r="K28" i="84" s="1"/>
  <c r="K48" i="84" s="1"/>
  <c r="M9" i="84"/>
  <c r="M14" i="84" s="1"/>
  <c r="L9" i="84"/>
  <c r="L14" i="84" s="1"/>
  <c r="L28" i="84" s="1"/>
  <c r="L48" i="84" s="1"/>
  <c r="L52" i="84" s="1"/>
  <c r="J211" i="4"/>
  <c r="F216" i="4"/>
  <c r="F250" i="4" s="1"/>
  <c r="F211" i="4"/>
  <c r="G131" i="21" s="1"/>
  <c r="F218" i="4"/>
  <c r="F252" i="4" s="1"/>
  <c r="F209" i="4"/>
  <c r="G129" i="21" s="1"/>
  <c r="J219" i="4"/>
  <c r="H215" i="4"/>
  <c r="F217" i="4"/>
  <c r="G137" i="21" s="1"/>
  <c r="L210" i="4"/>
  <c r="M130" i="21" s="1"/>
  <c r="L212" i="4"/>
  <c r="M132" i="21" s="1"/>
  <c r="L219" i="4"/>
  <c r="M139" i="21" s="1"/>
  <c r="L209" i="4"/>
  <c r="M129" i="21" s="1"/>
  <c r="L215" i="4"/>
  <c r="L249" i="4" s="1"/>
  <c r="B116" i="65"/>
  <c r="A38" i="65"/>
  <c r="A39" i="65" s="1"/>
  <c r="A40" i="65" s="1"/>
  <c r="F40" i="65"/>
  <c r="B9" i="65"/>
  <c r="B7" i="65"/>
  <c r="B94" i="65"/>
  <c r="G76" i="46"/>
  <c r="K75" i="1"/>
  <c r="K86" i="1"/>
  <c r="A18" i="1"/>
  <c r="H14" i="8"/>
  <c r="F20" i="17"/>
  <c r="F22" i="17" s="1"/>
  <c r="G42" i="46"/>
  <c r="G43" i="46" s="1"/>
  <c r="G60" i="46" s="1"/>
  <c r="H43" i="46"/>
  <c r="H60" i="46" s="1"/>
  <c r="G118" i="46"/>
  <c r="G90" i="46"/>
  <c r="G87" i="46"/>
  <c r="G103" i="46"/>
  <c r="D121" i="46"/>
  <c r="H120" i="46"/>
  <c r="G120" i="46" s="1"/>
  <c r="C120" i="46"/>
  <c r="C121" i="46" s="1"/>
  <c r="J58" i="46"/>
  <c r="D105" i="46"/>
  <c r="D106" i="46" s="1"/>
  <c r="K42" i="46"/>
  <c r="L43" i="46"/>
  <c r="K60" i="46" s="1"/>
  <c r="M122" i="53"/>
  <c r="C20" i="53" s="1"/>
  <c r="M126" i="53"/>
  <c r="C24" i="53" s="1"/>
  <c r="M125" i="53"/>
  <c r="C23" i="53" s="1"/>
  <c r="M115" i="53"/>
  <c r="M123" i="53"/>
  <c r="C21" i="53" s="1"/>
  <c r="M119" i="53"/>
  <c r="C17" i="53" s="1"/>
  <c r="M121" i="53"/>
  <c r="C19" i="53" s="1"/>
  <c r="G115" i="46"/>
  <c r="I121" i="46"/>
  <c r="G116" i="46"/>
  <c r="G79" i="46"/>
  <c r="C149" i="46"/>
  <c r="G74" i="46"/>
  <c r="I106" i="46"/>
  <c r="G95" i="46"/>
  <c r="G93" i="46"/>
  <c r="I30" i="48"/>
  <c r="J93" i="48"/>
  <c r="J30" i="48" s="1"/>
  <c r="J89" i="48"/>
  <c r="J26" i="48" s="1"/>
  <c r="I26" i="48"/>
  <c r="I35" i="48"/>
  <c r="J98" i="48"/>
  <c r="J35" i="48" s="1"/>
  <c r="K76" i="48"/>
  <c r="K388" i="49"/>
  <c r="J389" i="49"/>
  <c r="J356" i="49"/>
  <c r="K355" i="49"/>
  <c r="K48" i="48"/>
  <c r="K421" i="49"/>
  <c r="J422" i="49"/>
  <c r="J290" i="49"/>
  <c r="K289" i="49"/>
  <c r="J191" i="49"/>
  <c r="K190" i="49"/>
  <c r="K125" i="49"/>
  <c r="J126" i="49"/>
  <c r="K223" i="49"/>
  <c r="J224" i="49"/>
  <c r="C211" i="4"/>
  <c r="C219" i="4"/>
  <c r="C213" i="4"/>
  <c r="C212" i="4"/>
  <c r="C220" i="4"/>
  <c r="C217" i="4"/>
  <c r="C210" i="4"/>
  <c r="C215" i="4"/>
  <c r="C214" i="4"/>
  <c r="D210" i="4"/>
  <c r="I218" i="4"/>
  <c r="I210" i="4"/>
  <c r="I216" i="4"/>
  <c r="I217" i="4"/>
  <c r="I213" i="4"/>
  <c r="I220" i="4"/>
  <c r="I215" i="4"/>
  <c r="I212" i="4"/>
  <c r="I209" i="4"/>
  <c r="I211" i="4"/>
  <c r="I219" i="4"/>
  <c r="C218" i="4"/>
  <c r="C216" i="4"/>
  <c r="E210" i="4"/>
  <c r="E211" i="4"/>
  <c r="E216" i="4"/>
  <c r="E214" i="4"/>
  <c r="E209" i="4"/>
  <c r="E217" i="4"/>
  <c r="E213" i="4"/>
  <c r="E212" i="4"/>
  <c r="E218" i="4"/>
  <c r="E219" i="4"/>
  <c r="E215" i="4"/>
  <c r="D214" i="4"/>
  <c r="D212" i="4"/>
  <c r="D220" i="4"/>
  <c r="D216" i="4"/>
  <c r="D215" i="4"/>
  <c r="D213" i="4"/>
  <c r="D217" i="4"/>
  <c r="D209" i="4"/>
  <c r="D243" i="4" s="1"/>
  <c r="D218" i="4"/>
  <c r="D219" i="4"/>
  <c r="E220" i="4"/>
  <c r="M203" i="4"/>
  <c r="E33" i="57"/>
  <c r="E40" i="57" s="1"/>
  <c r="D29" i="57"/>
  <c r="D31" i="57" s="1"/>
  <c r="D33" i="57" s="1"/>
  <c r="D40" i="57" s="1"/>
  <c r="D43" i="57" s="1"/>
  <c r="E139" i="48"/>
  <c r="K56" i="49" l="1"/>
  <c r="J72" i="48"/>
  <c r="A119" i="48"/>
  <c r="J92" i="49"/>
  <c r="J58" i="49" s="1"/>
  <c r="M28" i="84"/>
  <c r="M48" i="84" s="1"/>
  <c r="C31" i="64"/>
  <c r="C100" i="64" s="1"/>
  <c r="C37" i="64"/>
  <c r="C106" i="64" s="1"/>
  <c r="C35" i="64"/>
  <c r="C104" i="64" s="1"/>
  <c r="C34" i="64"/>
  <c r="C103" i="64" s="1"/>
  <c r="C40" i="64"/>
  <c r="C109" i="64" s="1"/>
  <c r="C38" i="64"/>
  <c r="C107" i="64" s="1"/>
  <c r="C36" i="64"/>
  <c r="C105" i="64" s="1"/>
  <c r="C39" i="64"/>
  <c r="C108" i="64" s="1"/>
  <c r="C33" i="64"/>
  <c r="C102" i="64" s="1"/>
  <c r="C41" i="64"/>
  <c r="C32" i="64"/>
  <c r="C101" i="64" s="1"/>
  <c r="C30" i="64"/>
  <c r="C99" i="64" s="1"/>
  <c r="J46" i="21"/>
  <c r="I46" i="4"/>
  <c r="F29" i="71"/>
  <c r="F67" i="71"/>
  <c r="A34" i="71"/>
  <c r="A35" i="71" s="1"/>
  <c r="B203" i="71"/>
  <c r="B206" i="71"/>
  <c r="J159" i="49"/>
  <c r="K159" i="49" s="1"/>
  <c r="K157" i="49"/>
  <c r="J57" i="49"/>
  <c r="G250" i="4"/>
  <c r="A107" i="46"/>
  <c r="A115" i="46" s="1"/>
  <c r="A116" i="46" s="1"/>
  <c r="A117" i="46" s="1"/>
  <c r="A118" i="46" s="1"/>
  <c r="A119" i="46" s="1"/>
  <c r="A120" i="46" s="1"/>
  <c r="A121" i="46" s="1"/>
  <c r="A122" i="46" s="1"/>
  <c r="A123" i="46" s="1"/>
  <c r="A124" i="46" s="1"/>
  <c r="A120" i="64"/>
  <c r="A121" i="64" s="1"/>
  <c r="A122" i="64" s="1"/>
  <c r="A123" i="64" s="1"/>
  <c r="A124" i="64" s="1"/>
  <c r="A125" i="64" s="1"/>
  <c r="A126" i="64" s="1"/>
  <c r="A127" i="64" s="1"/>
  <c r="A128" i="64" s="1"/>
  <c r="J243" i="4"/>
  <c r="J14" i="4" s="1"/>
  <c r="J13" i="64" s="1"/>
  <c r="J81" i="64" s="1"/>
  <c r="K254" i="4"/>
  <c r="G134" i="21"/>
  <c r="M134" i="21"/>
  <c r="J134" i="21"/>
  <c r="D245" i="4"/>
  <c r="H252" i="4"/>
  <c r="B150" i="64"/>
  <c r="K243" i="4"/>
  <c r="K14" i="4" s="1"/>
  <c r="H132" i="21"/>
  <c r="H130" i="21"/>
  <c r="I133" i="21"/>
  <c r="J252" i="4"/>
  <c r="G249" i="4"/>
  <c r="J251" i="4"/>
  <c r="H248" i="4"/>
  <c r="I140" i="21"/>
  <c r="M135" i="21"/>
  <c r="H131" i="21"/>
  <c r="G254" i="4"/>
  <c r="G247" i="4"/>
  <c r="A21" i="56"/>
  <c r="A22" i="56" s="1"/>
  <c r="A23" i="56" s="1"/>
  <c r="A24" i="56" s="1"/>
  <c r="A25" i="56" s="1"/>
  <c r="A26" i="56" s="1"/>
  <c r="D28" i="56" s="1"/>
  <c r="H253" i="4"/>
  <c r="G252" i="4"/>
  <c r="H245" i="4"/>
  <c r="H246" i="4"/>
  <c r="G253" i="4"/>
  <c r="J250" i="4"/>
  <c r="H251" i="4"/>
  <c r="L139" i="21"/>
  <c r="H129" i="21"/>
  <c r="K455" i="49"/>
  <c r="J456" i="49"/>
  <c r="A121" i="49"/>
  <c r="A122" i="49" s="1"/>
  <c r="A123" i="49" s="1"/>
  <c r="A124" i="49" s="1"/>
  <c r="A125" i="49" s="1"/>
  <c r="A126" i="49" s="1"/>
  <c r="A127" i="49" s="1"/>
  <c r="A128" i="49" s="1"/>
  <c r="A129" i="49" s="1"/>
  <c r="A130" i="49" s="1"/>
  <c r="A131" i="49" s="1"/>
  <c r="A132" i="49" s="1"/>
  <c r="A133" i="49" s="1"/>
  <c r="A134" i="49" s="1"/>
  <c r="A135" i="49" s="1"/>
  <c r="A136" i="49" s="1"/>
  <c r="A137" i="49" s="1"/>
  <c r="A138" i="49" s="1"/>
  <c r="A139" i="49" s="1"/>
  <c r="A140" i="49" s="1"/>
  <c r="A141" i="49" s="1"/>
  <c r="A142" i="49" s="1"/>
  <c r="A143" i="49" s="1"/>
  <c r="A144" i="49" s="1"/>
  <c r="A145" i="49" s="1"/>
  <c r="A146" i="49" s="1"/>
  <c r="G9" i="71"/>
  <c r="H26" i="11"/>
  <c r="H40" i="12"/>
  <c r="A51" i="11"/>
  <c r="L138" i="21"/>
  <c r="I136" i="21"/>
  <c r="L133" i="21"/>
  <c r="F247" i="4"/>
  <c r="G248" i="4"/>
  <c r="J246" i="4"/>
  <c r="J254" i="4"/>
  <c r="L136" i="21"/>
  <c r="I129" i="21"/>
  <c r="L137" i="21"/>
  <c r="A99" i="21"/>
  <c r="A100" i="21" s="1"/>
  <c r="L246" i="4"/>
  <c r="L245" i="4"/>
  <c r="K248" i="4"/>
  <c r="K246" i="4"/>
  <c r="L130" i="21"/>
  <c r="J247" i="4"/>
  <c r="G251" i="4"/>
  <c r="F253" i="4"/>
  <c r="F246" i="4"/>
  <c r="G135" i="21"/>
  <c r="L251" i="4"/>
  <c r="J248" i="4"/>
  <c r="A28" i="26"/>
  <c r="A29" i="26" s="1"/>
  <c r="K81" i="1"/>
  <c r="A24" i="8"/>
  <c r="K256" i="49"/>
  <c r="J324" i="49"/>
  <c r="K324" i="49" s="1"/>
  <c r="B271" i="4"/>
  <c r="A58" i="4"/>
  <c r="L254" i="4"/>
  <c r="G140" i="21"/>
  <c r="J249" i="4"/>
  <c r="K245" i="4"/>
  <c r="J244" i="4"/>
  <c r="K249" i="4"/>
  <c r="L252" i="4"/>
  <c r="G130" i="21"/>
  <c r="L244" i="4"/>
  <c r="L247" i="4"/>
  <c r="F251" i="4"/>
  <c r="G136" i="21"/>
  <c r="L250" i="4"/>
  <c r="G138" i="21"/>
  <c r="L243" i="4"/>
  <c r="L14" i="4" s="1"/>
  <c r="L13" i="64" s="1"/>
  <c r="L81" i="64" s="1"/>
  <c r="M111" i="21" s="1"/>
  <c r="I130" i="21"/>
  <c r="H244" i="4"/>
  <c r="F245" i="4"/>
  <c r="M49" i="84"/>
  <c r="D13" i="15" s="1"/>
  <c r="M52" i="84"/>
  <c r="K131" i="21"/>
  <c r="J245" i="4"/>
  <c r="F243" i="4"/>
  <c r="K139" i="21"/>
  <c r="J253" i="4"/>
  <c r="I135" i="21"/>
  <c r="H249" i="4"/>
  <c r="L253" i="4"/>
  <c r="A41" i="65"/>
  <c r="A21" i="1"/>
  <c r="F23" i="17"/>
  <c r="K53" i="1"/>
  <c r="K82" i="1"/>
  <c r="I124" i="46"/>
  <c r="D124" i="46"/>
  <c r="K43" i="46"/>
  <c r="J60" i="46" s="1"/>
  <c r="C105" i="46"/>
  <c r="C106" i="46" s="1"/>
  <c r="C124" i="46" s="1"/>
  <c r="H105" i="46"/>
  <c r="G105" i="46" s="1"/>
  <c r="G106" i="46" s="1"/>
  <c r="H121" i="46"/>
  <c r="M130" i="53"/>
  <c r="C12" i="53"/>
  <c r="C28" i="53" s="1"/>
  <c r="G121" i="46"/>
  <c r="K77" i="48"/>
  <c r="L78" i="48" s="1"/>
  <c r="N76" i="48"/>
  <c r="N13" i="48" s="1"/>
  <c r="K13" i="48"/>
  <c r="K389" i="49"/>
  <c r="J390" i="49"/>
  <c r="J357" i="49"/>
  <c r="K356" i="49"/>
  <c r="K49" i="48"/>
  <c r="L50" i="48" s="1"/>
  <c r="K290" i="49"/>
  <c r="J291" i="49"/>
  <c r="J423" i="49"/>
  <c r="K422" i="49"/>
  <c r="K257" i="49"/>
  <c r="J258" i="49"/>
  <c r="K126" i="49"/>
  <c r="J127" i="49"/>
  <c r="J225" i="49"/>
  <c r="K224" i="49"/>
  <c r="J192" i="49"/>
  <c r="K191" i="49"/>
  <c r="K92" i="49"/>
  <c r="J93" i="49"/>
  <c r="E129" i="21"/>
  <c r="D129" i="21"/>
  <c r="C243" i="4"/>
  <c r="F132" i="21"/>
  <c r="E246" i="4"/>
  <c r="J132" i="21"/>
  <c r="I246" i="4"/>
  <c r="D132" i="21"/>
  <c r="C246" i="4"/>
  <c r="E135" i="21"/>
  <c r="D249" i="4"/>
  <c r="E243" i="4"/>
  <c r="F129" i="21"/>
  <c r="D136" i="21"/>
  <c r="C250" i="4"/>
  <c r="J133" i="21"/>
  <c r="I247" i="4"/>
  <c r="D134" i="21"/>
  <c r="C248" i="4"/>
  <c r="D131" i="21"/>
  <c r="C245" i="4"/>
  <c r="F140" i="21"/>
  <c r="E254" i="4"/>
  <c r="D133" i="21"/>
  <c r="C247" i="4"/>
  <c r="H14" i="4"/>
  <c r="J140" i="21"/>
  <c r="I254" i="4"/>
  <c r="E136" i="21"/>
  <c r="D250" i="4"/>
  <c r="F134" i="21"/>
  <c r="E248" i="4"/>
  <c r="J137" i="21"/>
  <c r="I251" i="4"/>
  <c r="E130" i="21"/>
  <c r="D244" i="4"/>
  <c r="D135" i="21"/>
  <c r="C249" i="4"/>
  <c r="E137" i="21"/>
  <c r="D251" i="4"/>
  <c r="J135" i="21"/>
  <c r="I249" i="4"/>
  <c r="E133" i="21"/>
  <c r="D247" i="4"/>
  <c r="D138" i="21"/>
  <c r="C252" i="4"/>
  <c r="D139" i="21"/>
  <c r="C253" i="4"/>
  <c r="E140" i="21"/>
  <c r="D254" i="4"/>
  <c r="F135" i="21"/>
  <c r="E249" i="4"/>
  <c r="F136" i="21"/>
  <c r="E250" i="4"/>
  <c r="J139" i="21"/>
  <c r="I253" i="4"/>
  <c r="J136" i="21"/>
  <c r="I250" i="4"/>
  <c r="D130" i="21"/>
  <c r="C244" i="4"/>
  <c r="F137" i="21"/>
  <c r="E251" i="4"/>
  <c r="E139" i="21"/>
  <c r="D253" i="4"/>
  <c r="E132" i="21"/>
  <c r="D246" i="4"/>
  <c r="F139" i="21"/>
  <c r="E253" i="4"/>
  <c r="F131" i="21"/>
  <c r="E245" i="4"/>
  <c r="J131" i="21"/>
  <c r="I245" i="4"/>
  <c r="J130" i="21"/>
  <c r="I244" i="4"/>
  <c r="D137" i="21"/>
  <c r="C251" i="4"/>
  <c r="F133" i="21"/>
  <c r="E247" i="4"/>
  <c r="G14" i="4"/>
  <c r="E138" i="21"/>
  <c r="D252" i="4"/>
  <c r="E134" i="21"/>
  <c r="D248" i="4"/>
  <c r="F138" i="21"/>
  <c r="E252" i="4"/>
  <c r="F130" i="21"/>
  <c r="E244" i="4"/>
  <c r="J129" i="21"/>
  <c r="I243" i="4"/>
  <c r="J138" i="21"/>
  <c r="I252" i="4"/>
  <c r="D140" i="21"/>
  <c r="C254" i="4"/>
  <c r="L77" i="48"/>
  <c r="L47" i="48"/>
  <c r="L49" i="48"/>
  <c r="L48" i="48"/>
  <c r="L46" i="48"/>
  <c r="A120" i="48" l="1"/>
  <c r="A127" i="48" s="1"/>
  <c r="A128" i="48" s="1"/>
  <c r="A129" i="48" s="1"/>
  <c r="A130" i="48" s="1"/>
  <c r="A131" i="48" s="1"/>
  <c r="A132" i="48" s="1"/>
  <c r="A133" i="48" s="1"/>
  <c r="A134" i="48" s="1"/>
  <c r="A135" i="48" s="1"/>
  <c r="A136" i="48" s="1"/>
  <c r="J160" i="49"/>
  <c r="K160" i="49" s="1"/>
  <c r="G38" i="64"/>
  <c r="G107" i="64" s="1"/>
  <c r="G29" i="64"/>
  <c r="G98" i="64" s="1"/>
  <c r="G47" i="4"/>
  <c r="F29" i="64"/>
  <c r="F98" i="64" s="1"/>
  <c r="F110" i="64" s="1"/>
  <c r="F47" i="4"/>
  <c r="I34" i="4"/>
  <c r="I29" i="64" s="1"/>
  <c r="C29" i="64"/>
  <c r="C98" i="64" s="1"/>
  <c r="D38" i="7"/>
  <c r="K21" i="1"/>
  <c r="E29" i="64"/>
  <c r="E98" i="64" s="1"/>
  <c r="E110" i="64" s="1"/>
  <c r="E47" i="4"/>
  <c r="H47" i="4"/>
  <c r="H29" i="64"/>
  <c r="H98" i="64" s="1"/>
  <c r="H110" i="64" s="1"/>
  <c r="D29" i="64"/>
  <c r="D98" i="64" s="1"/>
  <c r="D110" i="64" s="1"/>
  <c r="D47" i="4"/>
  <c r="D26" i="56"/>
  <c r="M243" i="4"/>
  <c r="D65" i="4"/>
  <c r="K9" i="1" s="1"/>
  <c r="M236" i="4"/>
  <c r="D36" i="7"/>
  <c r="I41" i="64"/>
  <c r="A36" i="71"/>
  <c r="A37" i="71" s="1"/>
  <c r="K57" i="49"/>
  <c r="J59" i="49"/>
  <c r="K58" i="49"/>
  <c r="K91" i="1"/>
  <c r="E98" i="8" s="1"/>
  <c r="I126" i="1"/>
  <c r="A125" i="46"/>
  <c r="E7" i="2"/>
  <c r="B125" i="46"/>
  <c r="J15" i="4"/>
  <c r="J14" i="64" s="1"/>
  <c r="J82" i="64" s="1"/>
  <c r="K112" i="21" s="1"/>
  <c r="B155" i="64"/>
  <c r="G143" i="64"/>
  <c r="A129" i="64"/>
  <c r="A130" i="64" s="1"/>
  <c r="A131" i="64" s="1"/>
  <c r="A132" i="64" s="1"/>
  <c r="A133" i="64" s="1"/>
  <c r="A27" i="56"/>
  <c r="G255" i="4"/>
  <c r="A154" i="49"/>
  <c r="A155" i="49" s="1"/>
  <c r="A156" i="49" s="1"/>
  <c r="A157" i="49" s="1"/>
  <c r="A158" i="49" s="1"/>
  <c r="A159" i="49" s="1"/>
  <c r="A160" i="49" s="1"/>
  <c r="A161" i="49" s="1"/>
  <c r="A162" i="49" s="1"/>
  <c r="A163" i="49" s="1"/>
  <c r="A164" i="49" s="1"/>
  <c r="A165" i="49" s="1"/>
  <c r="A166" i="49" s="1"/>
  <c r="A167" i="49" s="1"/>
  <c r="A168" i="49" s="1"/>
  <c r="A169" i="49" s="1"/>
  <c r="A170" i="49" s="1"/>
  <c r="A171" i="49" s="1"/>
  <c r="A172" i="49" s="1"/>
  <c r="A173" i="49" s="1"/>
  <c r="A174" i="49" s="1"/>
  <c r="A175" i="49" s="1"/>
  <c r="A176" i="49" s="1"/>
  <c r="A177" i="49" s="1"/>
  <c r="A178" i="49" s="1"/>
  <c r="A179" i="49" s="1"/>
  <c r="H27" i="11"/>
  <c r="G10" i="71"/>
  <c r="J457" i="49"/>
  <c r="K456" i="49"/>
  <c r="H41" i="12"/>
  <c r="A52" i="11"/>
  <c r="A53" i="11" s="1"/>
  <c r="A54" i="11" s="1"/>
  <c r="A63" i="11" s="1"/>
  <c r="K255" i="4"/>
  <c r="A110" i="21"/>
  <c r="A111" i="21" s="1"/>
  <c r="A112" i="21" s="1"/>
  <c r="A113" i="21" s="1"/>
  <c r="A114" i="21" s="1"/>
  <c r="A115" i="21" s="1"/>
  <c r="A116" i="21" s="1"/>
  <c r="A117" i="21" s="1"/>
  <c r="A118" i="21" s="1"/>
  <c r="A119" i="21" s="1"/>
  <c r="A120" i="21" s="1"/>
  <c r="A121" i="21" s="1"/>
  <c r="A122" i="21" s="1"/>
  <c r="I23" i="1"/>
  <c r="G100" i="21"/>
  <c r="A30" i="26"/>
  <c r="A31" i="26" s="1"/>
  <c r="G29" i="26"/>
  <c r="G91" i="12"/>
  <c r="A25" i="8"/>
  <c r="J325" i="49"/>
  <c r="J326" i="49" s="1"/>
  <c r="A64" i="4"/>
  <c r="H255" i="4"/>
  <c r="M254" i="4"/>
  <c r="L15" i="4"/>
  <c r="L14" i="64" s="1"/>
  <c r="L82" i="64" s="1"/>
  <c r="M112" i="21" s="1"/>
  <c r="L255" i="4"/>
  <c r="F255" i="4"/>
  <c r="J255" i="4"/>
  <c r="F14" i="4"/>
  <c r="F13" i="64" s="1"/>
  <c r="F81" i="64" s="1"/>
  <c r="G111" i="21" s="1"/>
  <c r="M251" i="4"/>
  <c r="B95" i="65"/>
  <c r="A42" i="65"/>
  <c r="F42" i="65"/>
  <c r="G15" i="12"/>
  <c r="G17" i="12" s="1"/>
  <c r="F93" i="12"/>
  <c r="E99" i="8"/>
  <c r="K92" i="1"/>
  <c r="K54" i="1"/>
  <c r="K80" i="1"/>
  <c r="A22" i="1"/>
  <c r="A23" i="1" s="1"/>
  <c r="A24" i="1" s="1"/>
  <c r="G124" i="46"/>
  <c r="K126" i="1" s="1"/>
  <c r="H106" i="46"/>
  <c r="H124" i="46" s="1"/>
  <c r="K78" i="48"/>
  <c r="K14" i="48"/>
  <c r="K390" i="49"/>
  <c r="J391" i="49"/>
  <c r="K357" i="49"/>
  <c r="J358" i="49"/>
  <c r="K50" i="48"/>
  <c r="J292" i="49"/>
  <c r="K291" i="49"/>
  <c r="K423" i="49"/>
  <c r="J424" i="49"/>
  <c r="K258" i="49"/>
  <c r="J259" i="49"/>
  <c r="J94" i="49"/>
  <c r="K93" i="49"/>
  <c r="J226" i="49"/>
  <c r="K225" i="49"/>
  <c r="J193" i="49"/>
  <c r="K192" i="49"/>
  <c r="J128" i="49"/>
  <c r="K127" i="49"/>
  <c r="J161" i="49"/>
  <c r="M244" i="4"/>
  <c r="M252" i="4"/>
  <c r="M249" i="4"/>
  <c r="M250" i="4"/>
  <c r="I255" i="4"/>
  <c r="I14" i="4"/>
  <c r="I13" i="64" s="1"/>
  <c r="I81" i="64" s="1"/>
  <c r="J111" i="21" s="1"/>
  <c r="E14" i="4"/>
  <c r="E13" i="64" s="1"/>
  <c r="E81" i="64" s="1"/>
  <c r="F111" i="21" s="1"/>
  <c r="E255" i="4"/>
  <c r="K13" i="64"/>
  <c r="K81" i="64" s="1"/>
  <c r="L111" i="21" s="1"/>
  <c r="K15" i="4"/>
  <c r="G13" i="64"/>
  <c r="G81" i="64" s="1"/>
  <c r="H111" i="21" s="1"/>
  <c r="G15" i="4"/>
  <c r="M248" i="4"/>
  <c r="C255" i="4"/>
  <c r="C14" i="4"/>
  <c r="M245" i="4"/>
  <c r="H15" i="4"/>
  <c r="H16" i="4" s="1"/>
  <c r="H13" i="64"/>
  <c r="H81" i="64" s="1"/>
  <c r="I111" i="21" s="1"/>
  <c r="M253" i="4"/>
  <c r="M247" i="4"/>
  <c r="M246" i="4"/>
  <c r="D14" i="4"/>
  <c r="D15" i="4" s="1"/>
  <c r="D255" i="4"/>
  <c r="L15" i="48"/>
  <c r="K111" i="21"/>
  <c r="N77" i="48"/>
  <c r="L14" i="48"/>
  <c r="F137" i="48" l="1"/>
  <c r="A137" i="48"/>
  <c r="A138" i="48" s="1"/>
  <c r="A139" i="48" s="1"/>
  <c r="F136" i="48"/>
  <c r="G110" i="64"/>
  <c r="D40" i="7"/>
  <c r="C110" i="64"/>
  <c r="I98" i="64"/>
  <c r="C39" i="71"/>
  <c r="F68" i="71"/>
  <c r="A38" i="71"/>
  <c r="A39" i="71" s="1"/>
  <c r="B204" i="71"/>
  <c r="B207" i="71"/>
  <c r="K59" i="49"/>
  <c r="J60" i="49"/>
  <c r="E47" i="21"/>
  <c r="J16" i="4"/>
  <c r="J15" i="64" s="1"/>
  <c r="J83" i="64" s="1"/>
  <c r="K113" i="21" s="1"/>
  <c r="I47" i="21"/>
  <c r="A134" i="64"/>
  <c r="A135" i="64" s="1"/>
  <c r="J458" i="49"/>
  <c r="K457" i="49"/>
  <c r="A187" i="49"/>
  <c r="A188" i="49" s="1"/>
  <c r="A189" i="49" s="1"/>
  <c r="A190" i="49" s="1"/>
  <c r="A191" i="49" s="1"/>
  <c r="A192" i="49" s="1"/>
  <c r="A193" i="49" s="1"/>
  <c r="A194" i="49" s="1"/>
  <c r="A195" i="49" s="1"/>
  <c r="A196" i="49" s="1"/>
  <c r="A197" i="49" s="1"/>
  <c r="A198" i="49" s="1"/>
  <c r="A199" i="49" s="1"/>
  <c r="A200" i="49" s="1"/>
  <c r="A201" i="49" s="1"/>
  <c r="A202" i="49" s="1"/>
  <c r="A203" i="49" s="1"/>
  <c r="A204" i="49" s="1"/>
  <c r="A205" i="49" s="1"/>
  <c r="A206" i="49" s="1"/>
  <c r="A207" i="49" s="1"/>
  <c r="A208" i="49" s="1"/>
  <c r="A209" i="49" s="1"/>
  <c r="A210" i="49" s="1"/>
  <c r="A211" i="49" s="1"/>
  <c r="A212" i="49" s="1"/>
  <c r="G11" i="71"/>
  <c r="H28" i="11"/>
  <c r="H54" i="12"/>
  <c r="A64" i="11"/>
  <c r="F68" i="12"/>
  <c r="A129" i="21"/>
  <c r="A130" i="21" s="1"/>
  <c r="A131" i="21" s="1"/>
  <c r="A132" i="21" s="1"/>
  <c r="A133" i="21" s="1"/>
  <c r="A134" i="21" s="1"/>
  <c r="A135" i="21" s="1"/>
  <c r="A136" i="21" s="1"/>
  <c r="A137" i="21" s="1"/>
  <c r="A138" i="21" s="1"/>
  <c r="A139" i="21" s="1"/>
  <c r="A140" i="21" s="1"/>
  <c r="A146" i="21" s="1"/>
  <c r="B195" i="21"/>
  <c r="E105" i="8"/>
  <c r="J42" i="8" s="1"/>
  <c r="K325" i="49"/>
  <c r="A32" i="26"/>
  <c r="G31" i="26"/>
  <c r="I24" i="1"/>
  <c r="A26" i="8"/>
  <c r="A27" i="8" s="1"/>
  <c r="A29" i="8" s="1"/>
  <c r="L16" i="4"/>
  <c r="L17" i="4" s="1"/>
  <c r="H6" i="8"/>
  <c r="A65" i="4"/>
  <c r="F15" i="4"/>
  <c r="F14" i="64" s="1"/>
  <c r="F82" i="64" s="1"/>
  <c r="G112" i="21" s="1"/>
  <c r="E15" i="4"/>
  <c r="E14" i="64" s="1"/>
  <c r="E82" i="64" s="1"/>
  <c r="F112" i="21" s="1"/>
  <c r="A43" i="65"/>
  <c r="A44" i="65" s="1"/>
  <c r="F43" i="65"/>
  <c r="G7" i="2"/>
  <c r="G15" i="2" s="1"/>
  <c r="K95" i="1"/>
  <c r="J49" i="8"/>
  <c r="A26" i="1"/>
  <c r="I34" i="1"/>
  <c r="E83" i="12"/>
  <c r="F83" i="12" s="1"/>
  <c r="G39" i="12"/>
  <c r="G54" i="12"/>
  <c r="E82" i="12"/>
  <c r="F82" i="12" s="1"/>
  <c r="G56" i="12"/>
  <c r="D44" i="71"/>
  <c r="D51" i="7"/>
  <c r="G40" i="12"/>
  <c r="E81" i="12"/>
  <c r="F81" i="12" s="1"/>
  <c r="G41" i="12"/>
  <c r="G55" i="12"/>
  <c r="K90" i="1"/>
  <c r="K83" i="1"/>
  <c r="K79" i="48"/>
  <c r="K15" i="48"/>
  <c r="L79" i="48"/>
  <c r="L16" i="48" s="1"/>
  <c r="K391" i="49"/>
  <c r="J392" i="49"/>
  <c r="K358" i="49"/>
  <c r="J359" i="49"/>
  <c r="K51" i="48"/>
  <c r="L51" i="48"/>
  <c r="J293" i="49"/>
  <c r="K292" i="49"/>
  <c r="K259" i="49"/>
  <c r="J260" i="49"/>
  <c r="K424" i="49"/>
  <c r="J425" i="49"/>
  <c r="J327" i="49"/>
  <c r="K326" i="49"/>
  <c r="J129" i="49"/>
  <c r="K128" i="49"/>
  <c r="J95" i="49"/>
  <c r="K94" i="49"/>
  <c r="K193" i="49"/>
  <c r="J194" i="49"/>
  <c r="K161" i="49"/>
  <c r="J162" i="49"/>
  <c r="K226" i="49"/>
  <c r="J227" i="49"/>
  <c r="M255" i="4"/>
  <c r="I15" i="4"/>
  <c r="K14" i="64"/>
  <c r="K82" i="64" s="1"/>
  <c r="L112" i="21" s="1"/>
  <c r="K16" i="4"/>
  <c r="D14" i="64"/>
  <c r="D82" i="64" s="1"/>
  <c r="E112" i="21" s="1"/>
  <c r="D16" i="4"/>
  <c r="D13" i="64"/>
  <c r="D81" i="64" s="1"/>
  <c r="H14" i="64"/>
  <c r="H82" i="64" s="1"/>
  <c r="I112" i="21" s="1"/>
  <c r="G16" i="4"/>
  <c r="G14" i="64"/>
  <c r="G82" i="64" s="1"/>
  <c r="H112" i="21" s="1"/>
  <c r="C13" i="64"/>
  <c r="C81" i="64" s="1"/>
  <c r="C15" i="4"/>
  <c r="N78" i="48"/>
  <c r="M14" i="48"/>
  <c r="M47" i="48"/>
  <c r="N46" i="48"/>
  <c r="N14" i="48" s="1"/>
  <c r="F139" i="48" l="1"/>
  <c r="I30" i="64"/>
  <c r="I135" i="64"/>
  <c r="F37" i="71"/>
  <c r="A40" i="71"/>
  <c r="A41" i="71" s="1"/>
  <c r="A44" i="71" s="1"/>
  <c r="A49" i="71" s="1"/>
  <c r="A50" i="71" s="1"/>
  <c r="A51" i="71" s="1"/>
  <c r="K60" i="49"/>
  <c r="J61" i="49"/>
  <c r="I99" i="64"/>
  <c r="J17" i="4"/>
  <c r="J18" i="4" s="1"/>
  <c r="J17" i="64" s="1"/>
  <c r="J85" i="64" s="1"/>
  <c r="K115" i="21" s="1"/>
  <c r="L16" i="64"/>
  <c r="L84" i="64" s="1"/>
  <c r="M114" i="21" s="1"/>
  <c r="A136" i="64"/>
  <c r="A137" i="64" s="1"/>
  <c r="A220" i="49"/>
  <c r="A221" i="49" s="1"/>
  <c r="A222" i="49" s="1"/>
  <c r="A223" i="49" s="1"/>
  <c r="A224" i="49" s="1"/>
  <c r="A225" i="49" s="1"/>
  <c r="A226" i="49" s="1"/>
  <c r="A227" i="49" s="1"/>
  <c r="A228" i="49" s="1"/>
  <c r="A229" i="49" s="1"/>
  <c r="A230" i="49" s="1"/>
  <c r="A231" i="49" s="1"/>
  <c r="A232" i="49" s="1"/>
  <c r="A233" i="49" s="1"/>
  <c r="A234" i="49" s="1"/>
  <c r="A235" i="49" s="1"/>
  <c r="A236" i="49" s="1"/>
  <c r="A237" i="49" s="1"/>
  <c r="A238" i="49" s="1"/>
  <c r="A239" i="49" s="1"/>
  <c r="A240" i="49" s="1"/>
  <c r="A241" i="49" s="1"/>
  <c r="A242" i="49" s="1"/>
  <c r="A243" i="49" s="1"/>
  <c r="A244" i="49" s="1"/>
  <c r="A245" i="49" s="1"/>
  <c r="H29" i="11"/>
  <c r="G12" i="71"/>
  <c r="K458" i="49"/>
  <c r="J459" i="49"/>
  <c r="A65" i="11"/>
  <c r="H55" i="12"/>
  <c r="F69" i="12"/>
  <c r="A149" i="21"/>
  <c r="A152" i="21" s="1"/>
  <c r="A159" i="21" s="1"/>
  <c r="A160" i="21" s="1"/>
  <c r="A161" i="21" s="1"/>
  <c r="A162" i="21" s="1"/>
  <c r="A163" i="21" s="1"/>
  <c r="A164" i="21" s="1"/>
  <c r="A165" i="21" s="1"/>
  <c r="A166" i="21" s="1"/>
  <c r="A167" i="21" s="1"/>
  <c r="A168" i="21" s="1"/>
  <c r="A169" i="21" s="1"/>
  <c r="A170" i="21" s="1"/>
  <c r="A171" i="21" s="1"/>
  <c r="F16" i="4"/>
  <c r="F17" i="4" s="1"/>
  <c r="L18" i="4"/>
  <c r="L19" i="4" s="1"/>
  <c r="L15" i="64"/>
  <c r="L83" i="64" s="1"/>
  <c r="M113" i="21" s="1"/>
  <c r="G23" i="2"/>
  <c r="H12" i="86"/>
  <c r="H13" i="86" s="1"/>
  <c r="H15" i="86" s="1"/>
  <c r="A33" i="26"/>
  <c r="G33" i="26"/>
  <c r="H30" i="8"/>
  <c r="H41" i="8"/>
  <c r="A33" i="8"/>
  <c r="A34" i="8" s="1"/>
  <c r="G90" i="12"/>
  <c r="E16" i="4"/>
  <c r="E15" i="64" s="1"/>
  <c r="E83" i="64" s="1"/>
  <c r="F113" i="21" s="1"/>
  <c r="A74" i="4"/>
  <c r="I9" i="1"/>
  <c r="F24" i="22"/>
  <c r="F26" i="22" s="1"/>
  <c r="K15" i="1" s="1"/>
  <c r="D29" i="54"/>
  <c r="D30" i="54" s="1"/>
  <c r="D39" i="54" s="1"/>
  <c r="E29" i="54"/>
  <c r="E30" i="54" s="1"/>
  <c r="E39" i="54" s="1"/>
  <c r="K11" i="1" s="1"/>
  <c r="G31" i="79"/>
  <c r="G32" i="79" s="1"/>
  <c r="G18" i="79" s="1"/>
  <c r="I26" i="79"/>
  <c r="I27" i="79" s="1"/>
  <c r="I17" i="79" s="1"/>
  <c r="F54" i="22"/>
  <c r="F55" i="22" s="1"/>
  <c r="K16" i="1" s="1"/>
  <c r="I38" i="79"/>
  <c r="I39" i="79" s="1"/>
  <c r="I19" i="79" s="1"/>
  <c r="H87" i="15"/>
  <c r="H88" i="15" s="1"/>
  <c r="H136" i="64"/>
  <c r="H137" i="64" s="1"/>
  <c r="F144" i="64" s="1"/>
  <c r="F79" i="4"/>
  <c r="F80" i="4" s="1"/>
  <c r="J7" i="8" s="1"/>
  <c r="F50" i="22"/>
  <c r="F51" i="22" s="1"/>
  <c r="J13" i="8" s="1"/>
  <c r="G38" i="79"/>
  <c r="G39" i="79" s="1"/>
  <c r="G19" i="79" s="1"/>
  <c r="H131" i="15"/>
  <c r="H132" i="15" s="1"/>
  <c r="K55" i="1"/>
  <c r="I31" i="79"/>
  <c r="I32" i="79" s="1"/>
  <c r="I18" i="79" s="1"/>
  <c r="F30" i="26"/>
  <c r="F31" i="26" s="1"/>
  <c r="G25" i="2"/>
  <c r="F99" i="21"/>
  <c r="F100" i="21" s="1"/>
  <c r="K23" i="1" s="1"/>
  <c r="N79" i="48"/>
  <c r="G44" i="12"/>
  <c r="K137" i="1" s="1"/>
  <c r="F86" i="12"/>
  <c r="F44" i="65"/>
  <c r="A45" i="65"/>
  <c r="A46" i="65" s="1"/>
  <c r="A47" i="65" s="1"/>
  <c r="A48" i="65" s="1"/>
  <c r="A49" i="65" s="1"/>
  <c r="A50" i="65" s="1"/>
  <c r="A51" i="65" s="1"/>
  <c r="A52" i="65" s="1"/>
  <c r="A53" i="65" s="1"/>
  <c r="A54" i="65" s="1"/>
  <c r="F41" i="65"/>
  <c r="I151" i="1"/>
  <c r="G26" i="79"/>
  <c r="G27" i="79" s="1"/>
  <c r="G17" i="79" s="1"/>
  <c r="F84" i="4"/>
  <c r="F85" i="4" s="1"/>
  <c r="K10" i="1" s="1"/>
  <c r="H69" i="15"/>
  <c r="H70" i="15" s="1"/>
  <c r="F92" i="21"/>
  <c r="F93" i="21" s="1"/>
  <c r="J20" i="8" s="1"/>
  <c r="D59" i="7"/>
  <c r="D55" i="7"/>
  <c r="A28" i="1"/>
  <c r="A30" i="1" s="1"/>
  <c r="A31" i="1" s="1"/>
  <c r="A32" i="1" s="1"/>
  <c r="A34" i="1" s="1"/>
  <c r="D58" i="71"/>
  <c r="E58" i="71"/>
  <c r="D51" i="71"/>
  <c r="E51" i="71"/>
  <c r="E97" i="8"/>
  <c r="E100" i="8" s="1"/>
  <c r="J33" i="8" s="1"/>
  <c r="D21" i="7"/>
  <c r="K93" i="1"/>
  <c r="D35" i="71"/>
  <c r="D37" i="71" s="1"/>
  <c r="E35" i="71"/>
  <c r="E37" i="71" s="1"/>
  <c r="D22" i="7"/>
  <c r="G59" i="12"/>
  <c r="J62" i="8" s="1"/>
  <c r="K80" i="48"/>
  <c r="L80" i="48"/>
  <c r="L17" i="48" s="1"/>
  <c r="K16" i="48"/>
  <c r="J393" i="49"/>
  <c r="K392" i="49"/>
  <c r="K359" i="49"/>
  <c r="J360" i="49"/>
  <c r="K52" i="48"/>
  <c r="L52" i="48"/>
  <c r="K327" i="49"/>
  <c r="J328" i="49"/>
  <c r="J426" i="49"/>
  <c r="K425" i="49"/>
  <c r="K293" i="49"/>
  <c r="J294" i="49"/>
  <c r="J261" i="49"/>
  <c r="K260" i="49"/>
  <c r="K194" i="49"/>
  <c r="J195" i="49"/>
  <c r="K95" i="49"/>
  <c r="J96" i="49"/>
  <c r="J163" i="49"/>
  <c r="K162" i="49"/>
  <c r="K227" i="49"/>
  <c r="J228" i="49"/>
  <c r="K129" i="49"/>
  <c r="J130" i="49"/>
  <c r="G17" i="4"/>
  <c r="G15" i="64"/>
  <c r="G83" i="64" s="1"/>
  <c r="H113" i="21" s="1"/>
  <c r="D17" i="4"/>
  <c r="D15" i="64"/>
  <c r="D83" i="64" s="1"/>
  <c r="E113" i="21" s="1"/>
  <c r="K15" i="64"/>
  <c r="K83" i="64" s="1"/>
  <c r="L113" i="21" s="1"/>
  <c r="K17" i="4"/>
  <c r="C14" i="64"/>
  <c r="C82" i="64" s="1"/>
  <c r="C16" i="4"/>
  <c r="H15" i="64"/>
  <c r="H83" i="64" s="1"/>
  <c r="I113" i="21" s="1"/>
  <c r="H17" i="4"/>
  <c r="I14" i="64"/>
  <c r="I82" i="64" s="1"/>
  <c r="J112" i="21" s="1"/>
  <c r="I16" i="4"/>
  <c r="D111" i="21"/>
  <c r="E111" i="21"/>
  <c r="M48" i="48"/>
  <c r="N47" i="48"/>
  <c r="N15" i="48" s="1"/>
  <c r="M15" i="48"/>
  <c r="J63" i="8" l="1"/>
  <c r="I31" i="64"/>
  <c r="E112" i="71"/>
  <c r="E111" i="71"/>
  <c r="E92" i="71"/>
  <c r="E91" i="71"/>
  <c r="F69" i="71"/>
  <c r="A56" i="71"/>
  <c r="A57" i="71" s="1"/>
  <c r="A58" i="71" s="1"/>
  <c r="K61" i="49"/>
  <c r="J62" i="49"/>
  <c r="I100" i="64"/>
  <c r="I137" i="64"/>
  <c r="I37" i="4"/>
  <c r="J16" i="64"/>
  <c r="J84" i="64" s="1"/>
  <c r="K114" i="21" s="1"/>
  <c r="B196" i="21"/>
  <c r="L17" i="64"/>
  <c r="L85" i="64" s="1"/>
  <c r="M115" i="21" s="1"/>
  <c r="G144" i="64"/>
  <c r="A138" i="64"/>
  <c r="A139" i="64" s="1"/>
  <c r="A140" i="64" s="1"/>
  <c r="A141" i="64" s="1"/>
  <c r="A142" i="64" s="1"/>
  <c r="G28" i="2"/>
  <c r="F32" i="26" s="1"/>
  <c r="J19" i="4"/>
  <c r="J20" i="4" s="1"/>
  <c r="K459" i="49"/>
  <c r="J460" i="49"/>
  <c r="A253" i="49"/>
  <c r="A254" i="49" s="1"/>
  <c r="A255" i="49" s="1"/>
  <c r="A256" i="49" s="1"/>
  <c r="A257" i="49" s="1"/>
  <c r="A258" i="49" s="1"/>
  <c r="A259" i="49" s="1"/>
  <c r="A260" i="49" s="1"/>
  <c r="A261" i="49" s="1"/>
  <c r="A262" i="49" s="1"/>
  <c r="A263" i="49" s="1"/>
  <c r="A264" i="49" s="1"/>
  <c r="A265" i="49" s="1"/>
  <c r="A266" i="49" s="1"/>
  <c r="A267" i="49" s="1"/>
  <c r="A268" i="49" s="1"/>
  <c r="A269" i="49" s="1"/>
  <c r="A270" i="49" s="1"/>
  <c r="A271" i="49" s="1"/>
  <c r="A272" i="49" s="1"/>
  <c r="A273" i="49" s="1"/>
  <c r="A274" i="49" s="1"/>
  <c r="A275" i="49" s="1"/>
  <c r="A276" i="49" s="1"/>
  <c r="A277" i="49" s="1"/>
  <c r="A278" i="49" s="1"/>
  <c r="G13" i="71"/>
  <c r="H30" i="11"/>
  <c r="H56" i="12"/>
  <c r="A66" i="11"/>
  <c r="A67" i="11" s="1"/>
  <c r="A68" i="11" s="1"/>
  <c r="A75" i="11" s="1"/>
  <c r="A76" i="11" s="1"/>
  <c r="A77" i="11" s="1"/>
  <c r="A78" i="11" s="1"/>
  <c r="A79" i="11" s="1"/>
  <c r="A80" i="11" s="1"/>
  <c r="A81" i="11" s="1"/>
  <c r="A82" i="11" s="1"/>
  <c r="A83" i="11" s="1"/>
  <c r="A84" i="11" s="1"/>
  <c r="A85" i="11" s="1"/>
  <c r="A86" i="11" s="1"/>
  <c r="A87" i="11" s="1"/>
  <c r="F70" i="12"/>
  <c r="F15" i="64"/>
  <c r="F83" i="64" s="1"/>
  <c r="G113" i="21" s="1"/>
  <c r="F27" i="22"/>
  <c r="J12" i="8" s="1"/>
  <c r="H19" i="86"/>
  <c r="H23" i="86" s="1"/>
  <c r="E17" i="4"/>
  <c r="A34" i="26"/>
  <c r="G34" i="26"/>
  <c r="K56" i="1"/>
  <c r="K138" i="1"/>
  <c r="K24" i="1"/>
  <c r="H34" i="8"/>
  <c r="H56" i="8"/>
  <c r="A38" i="8"/>
  <c r="N80" i="48"/>
  <c r="A75" i="4"/>
  <c r="G78" i="4" s="1"/>
  <c r="D42" i="54"/>
  <c r="J8" i="8" s="1"/>
  <c r="I20" i="79"/>
  <c r="K9" i="79" s="1"/>
  <c r="K31" i="1" s="1"/>
  <c r="K27" i="79"/>
  <c r="K18" i="79"/>
  <c r="K19" i="79"/>
  <c r="K39" i="79"/>
  <c r="K32" i="79"/>
  <c r="D25" i="7"/>
  <c r="D83" i="7" s="1"/>
  <c r="I35" i="1"/>
  <c r="A55" i="65"/>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F81" i="71"/>
  <c r="D70" i="71"/>
  <c r="E70" i="71"/>
  <c r="F101" i="71"/>
  <c r="A39" i="1"/>
  <c r="I117" i="1"/>
  <c r="E105" i="71"/>
  <c r="E107" i="71"/>
  <c r="E68" i="71"/>
  <c r="E106" i="71"/>
  <c r="E103" i="71"/>
  <c r="E109" i="71"/>
  <c r="E108" i="71"/>
  <c r="E110" i="71"/>
  <c r="E104" i="71"/>
  <c r="E101" i="71"/>
  <c r="E100" i="71"/>
  <c r="E102" i="71"/>
  <c r="E81" i="71"/>
  <c r="E82" i="71"/>
  <c r="E90" i="71"/>
  <c r="E86" i="71"/>
  <c r="E88" i="71"/>
  <c r="E83" i="71"/>
  <c r="E87" i="71"/>
  <c r="E89" i="71"/>
  <c r="D68" i="71"/>
  <c r="E85" i="71"/>
  <c r="E80" i="71"/>
  <c r="E84" i="71"/>
  <c r="E69" i="71"/>
  <c r="F100" i="71"/>
  <c r="D28" i="71"/>
  <c r="D29" i="71" s="1"/>
  <c r="E28" i="71"/>
  <c r="E29" i="71" s="1"/>
  <c r="F80" i="71"/>
  <c r="D69" i="71"/>
  <c r="K17" i="79"/>
  <c r="G20" i="79"/>
  <c r="K81" i="48"/>
  <c r="L81" i="48"/>
  <c r="L18" i="48" s="1"/>
  <c r="K17" i="48"/>
  <c r="J394" i="49"/>
  <c r="K393" i="49"/>
  <c r="J361" i="49"/>
  <c r="K360" i="49"/>
  <c r="K53" i="48"/>
  <c r="L53" i="48"/>
  <c r="K328" i="49"/>
  <c r="J329" i="49"/>
  <c r="J427" i="49"/>
  <c r="K426" i="49"/>
  <c r="J262" i="49"/>
  <c r="K261" i="49"/>
  <c r="J295" i="49"/>
  <c r="K294" i="49"/>
  <c r="J131" i="49"/>
  <c r="K130" i="49"/>
  <c r="K96" i="49"/>
  <c r="J97" i="49"/>
  <c r="K228" i="49"/>
  <c r="J229" i="49"/>
  <c r="K195" i="49"/>
  <c r="J196" i="49"/>
  <c r="J164" i="49"/>
  <c r="K163" i="49"/>
  <c r="F16" i="64"/>
  <c r="F84" i="64" s="1"/>
  <c r="G114" i="21" s="1"/>
  <c r="F18" i="4"/>
  <c r="I15" i="64"/>
  <c r="I83" i="64" s="1"/>
  <c r="J113" i="21" s="1"/>
  <c r="I17" i="4"/>
  <c r="H18" i="4"/>
  <c r="H16" i="64"/>
  <c r="H84" i="64" s="1"/>
  <c r="I114" i="21" s="1"/>
  <c r="L18" i="64"/>
  <c r="L86" i="64" s="1"/>
  <c r="M116" i="21" s="1"/>
  <c r="L20" i="4"/>
  <c r="C17" i="4"/>
  <c r="C15" i="64"/>
  <c r="C83" i="64" s="1"/>
  <c r="D16" i="64"/>
  <c r="D84" i="64" s="1"/>
  <c r="E114" i="21" s="1"/>
  <c r="D18" i="4"/>
  <c r="N111" i="21"/>
  <c r="D112" i="21"/>
  <c r="N112" i="21" s="1"/>
  <c r="G16" i="64"/>
  <c r="G84" i="64" s="1"/>
  <c r="H114" i="21" s="1"/>
  <c r="G18" i="4"/>
  <c r="K16" i="64"/>
  <c r="K84" i="64" s="1"/>
  <c r="L114" i="21" s="1"/>
  <c r="K18" i="4"/>
  <c r="M16" i="48"/>
  <c r="N48" i="48"/>
  <c r="N16" i="48" s="1"/>
  <c r="M49" i="48"/>
  <c r="I32" i="64" l="1"/>
  <c r="F33" i="26"/>
  <c r="F34" i="26" s="1"/>
  <c r="K127" i="1" s="1"/>
  <c r="D112" i="71"/>
  <c r="H112" i="71" s="1"/>
  <c r="D111" i="71"/>
  <c r="H111" i="71" s="1"/>
  <c r="D92" i="71"/>
  <c r="D91" i="71"/>
  <c r="D195" i="71" s="1"/>
  <c r="A59" i="71"/>
  <c r="A60" i="71" s="1"/>
  <c r="F70" i="71"/>
  <c r="K62" i="49"/>
  <c r="J63" i="49"/>
  <c r="I101" i="64"/>
  <c r="I38" i="4"/>
  <c r="G87" i="15"/>
  <c r="G88" i="15" s="1"/>
  <c r="D88" i="15" s="1"/>
  <c r="D11" i="15" s="1"/>
  <c r="G131" i="15"/>
  <c r="G132" i="15" s="1"/>
  <c r="D132" i="15" s="1"/>
  <c r="D12" i="15" s="1"/>
  <c r="A143" i="64"/>
  <c r="A144" i="64" s="1"/>
  <c r="A145" i="64" s="1"/>
  <c r="I129" i="1" s="1"/>
  <c r="J18" i="64"/>
  <c r="J86" i="64" s="1"/>
  <c r="K116" i="21" s="1"/>
  <c r="K40" i="1"/>
  <c r="G69" i="15"/>
  <c r="G70" i="15" s="1"/>
  <c r="D70" i="15" s="1"/>
  <c r="D10" i="15" s="1"/>
  <c r="E21" i="2"/>
  <c r="D55" i="56"/>
  <c r="D53" i="56"/>
  <c r="A286" i="49"/>
  <c r="A287" i="49" s="1"/>
  <c r="A288" i="49" s="1"/>
  <c r="A289" i="49" s="1"/>
  <c r="A290" i="49" s="1"/>
  <c r="A291" i="49" s="1"/>
  <c r="A292" i="49" s="1"/>
  <c r="A293" i="49" s="1"/>
  <c r="A294" i="49" s="1"/>
  <c r="A295" i="49" s="1"/>
  <c r="A296" i="49" s="1"/>
  <c r="A297" i="49" s="1"/>
  <c r="A298" i="49" s="1"/>
  <c r="A299" i="49" s="1"/>
  <c r="A300" i="49" s="1"/>
  <c r="A301" i="49" s="1"/>
  <c r="A302" i="49" s="1"/>
  <c r="A303" i="49" s="1"/>
  <c r="A304" i="49" s="1"/>
  <c r="A305" i="49" s="1"/>
  <c r="A306" i="49" s="1"/>
  <c r="A307" i="49" s="1"/>
  <c r="A308" i="49" s="1"/>
  <c r="A309" i="49" s="1"/>
  <c r="A310" i="49" s="1"/>
  <c r="A311" i="49" s="1"/>
  <c r="G14" i="71"/>
  <c r="H31" i="11"/>
  <c r="K460" i="49"/>
  <c r="J461" i="49"/>
  <c r="H49" i="11"/>
  <c r="H50" i="11"/>
  <c r="H51" i="11"/>
  <c r="A88" i="11"/>
  <c r="E16" i="64"/>
  <c r="E84" i="64" s="1"/>
  <c r="F114" i="21" s="1"/>
  <c r="E18" i="4"/>
  <c r="I127" i="1"/>
  <c r="A41" i="26"/>
  <c r="H57" i="8"/>
  <c r="A41" i="8"/>
  <c r="A42" i="8" s="1"/>
  <c r="A43" i="8" s="1"/>
  <c r="A44" i="8" s="1"/>
  <c r="A46" i="8" s="1"/>
  <c r="A49" i="8" s="1"/>
  <c r="E22" i="2"/>
  <c r="G83" i="4"/>
  <c r="A78" i="4"/>
  <c r="E24" i="2"/>
  <c r="K20" i="79"/>
  <c r="K10" i="79" s="1"/>
  <c r="J26" i="8" s="1"/>
  <c r="E121" i="71"/>
  <c r="D47" i="7"/>
  <c r="D48" i="7" s="1"/>
  <c r="D63" i="7" s="1"/>
  <c r="D69" i="7" s="1"/>
  <c r="F114" i="71"/>
  <c r="F94" i="71"/>
  <c r="B115" i="65"/>
  <c r="A78" i="65"/>
  <c r="A79" i="65" s="1"/>
  <c r="A80" i="65" s="1"/>
  <c r="A81" i="65" s="1"/>
  <c r="A82" i="65" s="1"/>
  <c r="A83" i="65" s="1"/>
  <c r="A84" i="65" s="1"/>
  <c r="A85" i="65" s="1"/>
  <c r="A86" i="65" s="1"/>
  <c r="A87" i="65" s="1"/>
  <c r="A88" i="65" s="1"/>
  <c r="A89" i="65" s="1"/>
  <c r="A90" i="65" s="1"/>
  <c r="A91" i="65" s="1"/>
  <c r="B109" i="65" s="1"/>
  <c r="D102" i="71"/>
  <c r="G102" i="71" s="1"/>
  <c r="H102" i="71" s="1"/>
  <c r="D106" i="71"/>
  <c r="E67" i="71"/>
  <c r="E71" i="71" s="1"/>
  <c r="E72" i="71" s="1"/>
  <c r="D107" i="71"/>
  <c r="G107" i="71" s="1"/>
  <c r="H107" i="71" s="1"/>
  <c r="D101" i="71"/>
  <c r="G101" i="71" s="1"/>
  <c r="H101" i="71" s="1"/>
  <c r="D110" i="71"/>
  <c r="G110" i="71" s="1"/>
  <c r="H110" i="71" s="1"/>
  <c r="D103" i="71"/>
  <c r="D105" i="71"/>
  <c r="G105" i="71" s="1"/>
  <c r="H105" i="71" s="1"/>
  <c r="D108" i="71"/>
  <c r="G108" i="71" s="1"/>
  <c r="H108" i="71" s="1"/>
  <c r="D100" i="71"/>
  <c r="D104" i="71"/>
  <c r="G104" i="71" s="1"/>
  <c r="H104" i="71" s="1"/>
  <c r="D109" i="71"/>
  <c r="G109" i="71" s="1"/>
  <c r="H109" i="71" s="1"/>
  <c r="D67" i="71"/>
  <c r="D84" i="71"/>
  <c r="D90" i="71"/>
  <c r="D89" i="71"/>
  <c r="D88" i="71"/>
  <c r="D83" i="71"/>
  <c r="D80" i="71"/>
  <c r="D85" i="71"/>
  <c r="D86" i="71"/>
  <c r="D81" i="71"/>
  <c r="D82" i="71"/>
  <c r="D87" i="71"/>
  <c r="A40" i="1"/>
  <c r="A41" i="1" s="1"/>
  <c r="E114" i="71"/>
  <c r="E94" i="71"/>
  <c r="K82" i="48"/>
  <c r="L82" i="48"/>
  <c r="L19" i="48" s="1"/>
  <c r="K18" i="48"/>
  <c r="N81" i="48"/>
  <c r="K394" i="49"/>
  <c r="J395" i="49"/>
  <c r="J362" i="49"/>
  <c r="K361" i="49"/>
  <c r="K54" i="48"/>
  <c r="L54" i="48"/>
  <c r="K427" i="49"/>
  <c r="J428" i="49"/>
  <c r="K295" i="49"/>
  <c r="J296" i="49"/>
  <c r="K329" i="49"/>
  <c r="J330" i="49"/>
  <c r="J263" i="49"/>
  <c r="K262" i="49"/>
  <c r="K229" i="49"/>
  <c r="J230" i="49"/>
  <c r="J165" i="49"/>
  <c r="K164" i="49"/>
  <c r="K131" i="49"/>
  <c r="J132" i="49"/>
  <c r="K97" i="49"/>
  <c r="J98" i="49"/>
  <c r="K196" i="49"/>
  <c r="J197" i="49"/>
  <c r="G17" i="64"/>
  <c r="G85" i="64" s="1"/>
  <c r="H115" i="21" s="1"/>
  <c r="G19" i="4"/>
  <c r="D19" i="4"/>
  <c r="D17" i="64"/>
  <c r="D85" i="64" s="1"/>
  <c r="H19" i="4"/>
  <c r="H17" i="64"/>
  <c r="H85" i="64" s="1"/>
  <c r="I115" i="21" s="1"/>
  <c r="K17" i="64"/>
  <c r="K85" i="64" s="1"/>
  <c r="L115" i="21" s="1"/>
  <c r="K19" i="4"/>
  <c r="D113" i="21"/>
  <c r="I16" i="64"/>
  <c r="I84" i="64" s="1"/>
  <c r="J114" i="21" s="1"/>
  <c r="I18" i="4"/>
  <c r="C16" i="64"/>
  <c r="C84" i="64" s="1"/>
  <c r="C18" i="4"/>
  <c r="L19" i="64"/>
  <c r="L87" i="64" s="1"/>
  <c r="M117" i="21" s="1"/>
  <c r="L21" i="4"/>
  <c r="F17" i="64"/>
  <c r="F85" i="64" s="1"/>
  <c r="G115" i="21" s="1"/>
  <c r="F19" i="4"/>
  <c r="J21" i="4"/>
  <c r="J19" i="64"/>
  <c r="J87" i="64" s="1"/>
  <c r="K117" i="21" s="1"/>
  <c r="N49" i="48"/>
  <c r="N17" i="48" s="1"/>
  <c r="M50" i="48"/>
  <c r="M17" i="48"/>
  <c r="D175" i="71" l="1"/>
  <c r="D196" i="71"/>
  <c r="I33" i="64"/>
  <c r="D72" i="7"/>
  <c r="J50" i="8"/>
  <c r="K17" i="1"/>
  <c r="H91" i="71"/>
  <c r="D174" i="71"/>
  <c r="H92" i="71"/>
  <c r="F51" i="71"/>
  <c r="F58" i="71"/>
  <c r="A67" i="71"/>
  <c r="K63" i="49"/>
  <c r="J64" i="49"/>
  <c r="I102" i="64"/>
  <c r="K41" i="1"/>
  <c r="I39" i="4"/>
  <c r="D14" i="15"/>
  <c r="K26" i="1" s="1"/>
  <c r="G145" i="64"/>
  <c r="K461" i="49"/>
  <c r="J462" i="49"/>
  <c r="A319" i="49"/>
  <c r="A320" i="49" s="1"/>
  <c r="A321" i="49" s="1"/>
  <c r="A322" i="49" s="1"/>
  <c r="A323" i="49" s="1"/>
  <c r="A324" i="49" s="1"/>
  <c r="A325" i="49" s="1"/>
  <c r="A326" i="49" s="1"/>
  <c r="A327" i="49" s="1"/>
  <c r="A328" i="49" s="1"/>
  <c r="A329" i="49" s="1"/>
  <c r="A330" i="49" s="1"/>
  <c r="A331" i="49" s="1"/>
  <c r="A332" i="49" s="1"/>
  <c r="A333" i="49" s="1"/>
  <c r="A334" i="49" s="1"/>
  <c r="A335" i="49" s="1"/>
  <c r="A336" i="49" s="1"/>
  <c r="A337" i="49" s="1"/>
  <c r="A338" i="49" s="1"/>
  <c r="A339" i="49" s="1"/>
  <c r="A340" i="49" s="1"/>
  <c r="A341" i="49" s="1"/>
  <c r="A342" i="49" s="1"/>
  <c r="A343" i="49" s="1"/>
  <c r="A344" i="49" s="1"/>
  <c r="H32" i="11"/>
  <c r="G15" i="71"/>
  <c r="A97" i="11"/>
  <c r="A98" i="11" s="1"/>
  <c r="A99" i="11" s="1"/>
  <c r="A100" i="11" s="1"/>
  <c r="A101" i="11" s="1"/>
  <c r="A102" i="11" s="1"/>
  <c r="A103" i="11" s="1"/>
  <c r="A104" i="11" s="1"/>
  <c r="A105" i="11" s="1"/>
  <c r="A106" i="11" s="1"/>
  <c r="A107" i="11" s="1"/>
  <c r="A108" i="11" s="1"/>
  <c r="A109" i="11" s="1"/>
  <c r="A110" i="11" s="1"/>
  <c r="A120" i="11" s="1"/>
  <c r="H63" i="11"/>
  <c r="H64" i="11"/>
  <c r="H65" i="11"/>
  <c r="E17" i="64"/>
  <c r="E85" i="64" s="1"/>
  <c r="F115" i="21" s="1"/>
  <c r="E19" i="4"/>
  <c r="A42" i="26"/>
  <c r="A43" i="26" s="1"/>
  <c r="A44" i="26" s="1"/>
  <c r="A45" i="26" s="1"/>
  <c r="A46" i="26" s="1"/>
  <c r="A47" i="26" s="1"/>
  <c r="G88" i="26"/>
  <c r="A50" i="8"/>
  <c r="A51" i="8" s="1"/>
  <c r="A52" i="8" s="1"/>
  <c r="A53" i="8" s="1"/>
  <c r="A54" i="8" s="1"/>
  <c r="A55" i="8" s="1"/>
  <c r="A56" i="8" s="1"/>
  <c r="A57" i="8" s="1"/>
  <c r="A58" i="8" s="1"/>
  <c r="A59" i="8" s="1"/>
  <c r="A60" i="8" s="1"/>
  <c r="D64" i="7"/>
  <c r="D65" i="7" s="1"/>
  <c r="A79" i="4"/>
  <c r="A80" i="4" s="1"/>
  <c r="N82" i="48"/>
  <c r="B108" i="65"/>
  <c r="B119" i="65"/>
  <c r="D71" i="71"/>
  <c r="D72" i="71" s="1"/>
  <c r="E149" i="71"/>
  <c r="D167" i="71"/>
  <c r="D188" i="71"/>
  <c r="G84" i="71"/>
  <c r="H84" i="71" s="1"/>
  <c r="D189" i="71"/>
  <c r="D168" i="71"/>
  <c r="G85" i="71"/>
  <c r="H85" i="71" s="1"/>
  <c r="D169" i="71"/>
  <c r="D190" i="71"/>
  <c r="G86" i="71"/>
  <c r="H86" i="71" s="1"/>
  <c r="I41" i="1"/>
  <c r="G83" i="71"/>
  <c r="H83" i="71" s="1"/>
  <c r="D187" i="71"/>
  <c r="D166" i="71"/>
  <c r="G100" i="71"/>
  <c r="D114" i="71"/>
  <c r="G106" i="71"/>
  <c r="H106" i="71" s="1"/>
  <c r="D185" i="71"/>
  <c r="G81" i="71"/>
  <c r="H81" i="71" s="1"/>
  <c r="D164" i="71"/>
  <c r="D94" i="71"/>
  <c r="D184" i="71"/>
  <c r="D163" i="71"/>
  <c r="G80" i="71"/>
  <c r="H80" i="71" s="1"/>
  <c r="A43" i="1"/>
  <c r="A44" i="1" s="1"/>
  <c r="G88" i="71"/>
  <c r="H88" i="71" s="1"/>
  <c r="D171" i="71"/>
  <c r="D192" i="71"/>
  <c r="D191" i="71"/>
  <c r="D170" i="71"/>
  <c r="G87" i="71"/>
  <c r="H87" i="71" s="1"/>
  <c r="D193" i="71"/>
  <c r="D172" i="71"/>
  <c r="G89" i="71"/>
  <c r="H89" i="71" s="1"/>
  <c r="D165" i="71"/>
  <c r="D186" i="71"/>
  <c r="G82" i="71"/>
  <c r="H82" i="71" s="1"/>
  <c r="D194" i="71"/>
  <c r="D173" i="71"/>
  <c r="G90" i="71"/>
  <c r="H90" i="71" s="1"/>
  <c r="G103" i="71"/>
  <c r="H103" i="71" s="1"/>
  <c r="K83" i="48"/>
  <c r="L83" i="48"/>
  <c r="L20" i="48" s="1"/>
  <c r="K19" i="48"/>
  <c r="K395" i="49"/>
  <c r="J396" i="49"/>
  <c r="J363" i="49"/>
  <c r="K362" i="49"/>
  <c r="K55" i="48"/>
  <c r="L55" i="48"/>
  <c r="J331" i="49"/>
  <c r="K330" i="49"/>
  <c r="K263" i="49"/>
  <c r="J264" i="49"/>
  <c r="K296" i="49"/>
  <c r="J297" i="49"/>
  <c r="J429" i="49"/>
  <c r="K428" i="49"/>
  <c r="J133" i="49"/>
  <c r="K132" i="49"/>
  <c r="J166" i="49"/>
  <c r="K165" i="49"/>
  <c r="J198" i="49"/>
  <c r="K197" i="49"/>
  <c r="J99" i="49"/>
  <c r="K98" i="49"/>
  <c r="K230" i="49"/>
  <c r="J231" i="49"/>
  <c r="N113" i="21"/>
  <c r="K18" i="64"/>
  <c r="K86" i="64" s="1"/>
  <c r="L116" i="21" s="1"/>
  <c r="K20" i="4"/>
  <c r="C19" i="4"/>
  <c r="C17" i="64"/>
  <c r="C85" i="64" s="1"/>
  <c r="E115" i="21"/>
  <c r="D114" i="21"/>
  <c r="N114" i="21" s="1"/>
  <c r="D18" i="64"/>
  <c r="D86" i="64" s="1"/>
  <c r="E116" i="21" s="1"/>
  <c r="D20" i="4"/>
  <c r="G18" i="64"/>
  <c r="G86" i="64" s="1"/>
  <c r="H116" i="21" s="1"/>
  <c r="G20" i="4"/>
  <c r="H20" i="4"/>
  <c r="H18" i="64"/>
  <c r="H86" i="64" s="1"/>
  <c r="I116" i="21" s="1"/>
  <c r="F18" i="64"/>
  <c r="F86" i="64" s="1"/>
  <c r="G116" i="21" s="1"/>
  <c r="F20" i="4"/>
  <c r="I17" i="64"/>
  <c r="I85" i="64" s="1"/>
  <c r="J115" i="21" s="1"/>
  <c r="I19" i="4"/>
  <c r="L20" i="64"/>
  <c r="L88" i="64" s="1"/>
  <c r="M118" i="21" s="1"/>
  <c r="L22" i="4"/>
  <c r="J20" i="64"/>
  <c r="J88" i="64" s="1"/>
  <c r="K118" i="21" s="1"/>
  <c r="J22" i="4"/>
  <c r="M51" i="48"/>
  <c r="M18" i="48"/>
  <c r="N50" i="48"/>
  <c r="N18" i="48" s="1"/>
  <c r="I34" i="64" l="1"/>
  <c r="J14" i="8"/>
  <c r="K18" i="1"/>
  <c r="J65" i="49"/>
  <c r="A68" i="71"/>
  <c r="A69" i="71" s="1"/>
  <c r="K58" i="1"/>
  <c r="K64" i="49"/>
  <c r="I103" i="64"/>
  <c r="I40" i="4"/>
  <c r="D24" i="15"/>
  <c r="J23" i="8" s="1"/>
  <c r="A352" i="49"/>
  <c r="A353" i="49" s="1"/>
  <c r="A354" i="49" s="1"/>
  <c r="A355" i="49" s="1"/>
  <c r="A356" i="49" s="1"/>
  <c r="A357" i="49" s="1"/>
  <c r="A358" i="49" s="1"/>
  <c r="A359" i="49" s="1"/>
  <c r="A360" i="49" s="1"/>
  <c r="A361" i="49" s="1"/>
  <c r="A362" i="49" s="1"/>
  <c r="A363" i="49" s="1"/>
  <c r="A364" i="49" s="1"/>
  <c r="A365" i="49" s="1"/>
  <c r="A366" i="49" s="1"/>
  <c r="A367" i="49" s="1"/>
  <c r="A368" i="49" s="1"/>
  <c r="A369" i="49" s="1"/>
  <c r="A370" i="49" s="1"/>
  <c r="A371" i="49" s="1"/>
  <c r="A372" i="49" s="1"/>
  <c r="A373" i="49" s="1"/>
  <c r="A374" i="49" s="1"/>
  <c r="A375" i="49" s="1"/>
  <c r="A376" i="49" s="1"/>
  <c r="A377" i="49" s="1"/>
  <c r="G16" i="71"/>
  <c r="H33" i="11"/>
  <c r="K462" i="49"/>
  <c r="J463" i="49"/>
  <c r="A121" i="11"/>
  <c r="A122" i="11" s="1"/>
  <c r="A123" i="11" s="1"/>
  <c r="A124" i="11" s="1"/>
  <c r="A125" i="11" s="1"/>
  <c r="A126" i="11" s="1"/>
  <c r="A127" i="11" s="1"/>
  <c r="A128" i="11" s="1"/>
  <c r="A129" i="11" s="1"/>
  <c r="A130" i="11" s="1"/>
  <c r="A131" i="11" s="1"/>
  <c r="A132" i="11" s="1"/>
  <c r="A140" i="11" s="1"/>
  <c r="E20" i="4"/>
  <c r="E18" i="64"/>
  <c r="E86" i="64" s="1"/>
  <c r="F116" i="21" s="1"/>
  <c r="A48" i="26"/>
  <c r="C89" i="26"/>
  <c r="H60" i="8"/>
  <c r="H65" i="8"/>
  <c r="A62" i="8"/>
  <c r="A65" i="8" s="1"/>
  <c r="H7" i="8"/>
  <c r="A83" i="4"/>
  <c r="G80" i="4"/>
  <c r="D198" i="71"/>
  <c r="H94" i="71"/>
  <c r="G114" i="71"/>
  <c r="H100" i="71"/>
  <c r="H114" i="71" s="1"/>
  <c r="A45" i="1"/>
  <c r="G94" i="71"/>
  <c r="D177" i="71"/>
  <c r="K84" i="48"/>
  <c r="L84" i="48"/>
  <c r="L21" i="48" s="1"/>
  <c r="K20" i="48"/>
  <c r="J397" i="49"/>
  <c r="K396" i="49"/>
  <c r="J364" i="49"/>
  <c r="K363" i="49"/>
  <c r="K56" i="48"/>
  <c r="L56" i="48"/>
  <c r="K264" i="49"/>
  <c r="J265" i="49"/>
  <c r="J298" i="49"/>
  <c r="K297" i="49"/>
  <c r="J430" i="49"/>
  <c r="K429" i="49"/>
  <c r="J332" i="49"/>
  <c r="K331" i="49"/>
  <c r="K231" i="49"/>
  <c r="J232" i="49"/>
  <c r="J134" i="49"/>
  <c r="K133" i="49"/>
  <c r="K99" i="49"/>
  <c r="J100" i="49"/>
  <c r="J167" i="49"/>
  <c r="K166" i="49"/>
  <c r="K198" i="49"/>
  <c r="J199" i="49"/>
  <c r="I20" i="4"/>
  <c r="I18" i="64"/>
  <c r="I86" i="64" s="1"/>
  <c r="J116" i="21" s="1"/>
  <c r="F21" i="4"/>
  <c r="F19" i="64"/>
  <c r="F87" i="64" s="1"/>
  <c r="G117" i="21" s="1"/>
  <c r="K19" i="64"/>
  <c r="K87" i="64" s="1"/>
  <c r="L117" i="21" s="1"/>
  <c r="K21" i="4"/>
  <c r="D19" i="64"/>
  <c r="D87" i="64" s="1"/>
  <c r="E117" i="21" s="1"/>
  <c r="D21" i="4"/>
  <c r="D22" i="4" s="1"/>
  <c r="L21" i="64"/>
  <c r="L89" i="64" s="1"/>
  <c r="M119" i="21" s="1"/>
  <c r="L23" i="4"/>
  <c r="D115" i="21"/>
  <c r="N115" i="21" s="1"/>
  <c r="H21" i="4"/>
  <c r="H19" i="64"/>
  <c r="H87" i="64" s="1"/>
  <c r="I117" i="21" s="1"/>
  <c r="C18" i="64"/>
  <c r="C86" i="64" s="1"/>
  <c r="C20" i="4"/>
  <c r="G19" i="64"/>
  <c r="G87" i="64" s="1"/>
  <c r="H117" i="21" s="1"/>
  <c r="G21" i="4"/>
  <c r="J23" i="4"/>
  <c r="J21" i="64"/>
  <c r="J89" i="64" s="1"/>
  <c r="K119" i="21" s="1"/>
  <c r="M52" i="48"/>
  <c r="M19" i="48"/>
  <c r="N51" i="48"/>
  <c r="N19" i="48" s="1"/>
  <c r="J15" i="8" l="1"/>
  <c r="K34" i="1"/>
  <c r="K131" i="1"/>
  <c r="A70" i="71"/>
  <c r="B205" i="71" s="1"/>
  <c r="J66" i="49"/>
  <c r="K65" i="49"/>
  <c r="I104" i="64"/>
  <c r="I35" i="64"/>
  <c r="I41" i="4"/>
  <c r="K463" i="49"/>
  <c r="J464" i="49"/>
  <c r="A385" i="49"/>
  <c r="A386" i="49" s="1"/>
  <c r="A387" i="49" s="1"/>
  <c r="A388" i="49" s="1"/>
  <c r="A389" i="49" s="1"/>
  <c r="A390" i="49" s="1"/>
  <c r="A391" i="49" s="1"/>
  <c r="A392" i="49" s="1"/>
  <c r="A393" i="49" s="1"/>
  <c r="A394" i="49" s="1"/>
  <c r="A395" i="49" s="1"/>
  <c r="A396" i="49" s="1"/>
  <c r="A397" i="49" s="1"/>
  <c r="A398" i="49" s="1"/>
  <c r="A399" i="49" s="1"/>
  <c r="A400" i="49" s="1"/>
  <c r="A401" i="49" s="1"/>
  <c r="A402" i="49" s="1"/>
  <c r="A403" i="49" s="1"/>
  <c r="A404" i="49" s="1"/>
  <c r="A405" i="49" s="1"/>
  <c r="A406" i="49" s="1"/>
  <c r="A407" i="49" s="1"/>
  <c r="A408" i="49" s="1"/>
  <c r="A409" i="49" s="1"/>
  <c r="A410" i="49" s="1"/>
  <c r="H34" i="11"/>
  <c r="G17" i="71"/>
  <c r="F72" i="11"/>
  <c r="A141" i="11"/>
  <c r="A142" i="11" s="1"/>
  <c r="A143" i="11" s="1"/>
  <c r="A144" i="11" s="1"/>
  <c r="A145" i="11" s="1"/>
  <c r="A146" i="11" s="1"/>
  <c r="A147" i="11" s="1"/>
  <c r="A148" i="11" s="1"/>
  <c r="A149" i="11" s="1"/>
  <c r="A150" i="11" s="1"/>
  <c r="A151" i="11" s="1"/>
  <c r="A152" i="11" s="1"/>
  <c r="A160" i="11" s="1"/>
  <c r="E19" i="64"/>
  <c r="E87" i="64" s="1"/>
  <c r="F117" i="21" s="1"/>
  <c r="E21" i="4"/>
  <c r="C80" i="26"/>
  <c r="A49" i="26"/>
  <c r="A50" i="26" s="1"/>
  <c r="A51" i="26" s="1"/>
  <c r="A52" i="26" s="1"/>
  <c r="A53" i="26" s="1"/>
  <c r="A54" i="26" s="1"/>
  <c r="G69" i="8"/>
  <c r="A69" i="8"/>
  <c r="N84" i="48"/>
  <c r="A84" i="4"/>
  <c r="A85" i="4" s="1"/>
  <c r="N83" i="48"/>
  <c r="A46" i="1"/>
  <c r="A47" i="1" s="1"/>
  <c r="A48" i="1" s="1"/>
  <c r="K85" i="48"/>
  <c r="L85" i="48"/>
  <c r="L22" i="48" s="1"/>
  <c r="K21" i="48"/>
  <c r="K397" i="49"/>
  <c r="J398" i="49"/>
  <c r="J365" i="49"/>
  <c r="K364" i="49"/>
  <c r="K57" i="48"/>
  <c r="L57" i="48"/>
  <c r="J266" i="49"/>
  <c r="K265" i="49"/>
  <c r="J333" i="49"/>
  <c r="K332" i="49"/>
  <c r="J299" i="49"/>
  <c r="K298" i="49"/>
  <c r="K430" i="49"/>
  <c r="J431" i="49"/>
  <c r="K167" i="49"/>
  <c r="J168" i="49"/>
  <c r="K100" i="49"/>
  <c r="J101" i="49"/>
  <c r="K134" i="49"/>
  <c r="J135" i="49"/>
  <c r="K199" i="49"/>
  <c r="J200" i="49"/>
  <c r="J233" i="49"/>
  <c r="K232" i="49"/>
  <c r="D20" i="64"/>
  <c r="D88" i="64" s="1"/>
  <c r="E118" i="21" s="1"/>
  <c r="G22" i="4"/>
  <c r="G20" i="64"/>
  <c r="G88" i="64" s="1"/>
  <c r="H118" i="21" s="1"/>
  <c r="C19" i="64"/>
  <c r="C87" i="64" s="1"/>
  <c r="C21" i="4"/>
  <c r="D116" i="21"/>
  <c r="N116" i="21" s="1"/>
  <c r="K22" i="4"/>
  <c r="K20" i="64"/>
  <c r="K88" i="64" s="1"/>
  <c r="L118" i="21" s="1"/>
  <c r="H22" i="4"/>
  <c r="H20" i="64"/>
  <c r="H88" i="64" s="1"/>
  <c r="I118" i="21" s="1"/>
  <c r="L24" i="4"/>
  <c r="L22" i="64"/>
  <c r="L90" i="64" s="1"/>
  <c r="M120" i="21" s="1"/>
  <c r="F20" i="64"/>
  <c r="F88" i="64" s="1"/>
  <c r="G118" i="21" s="1"/>
  <c r="F22" i="4"/>
  <c r="I21" i="4"/>
  <c r="I19" i="64"/>
  <c r="I87" i="64" s="1"/>
  <c r="J117" i="21" s="1"/>
  <c r="J24" i="4"/>
  <c r="J22" i="64"/>
  <c r="J90" i="64" s="1"/>
  <c r="K120" i="21" s="1"/>
  <c r="M20" i="48"/>
  <c r="M53" i="48"/>
  <c r="N52" i="48"/>
  <c r="K112" i="1" l="1"/>
  <c r="K97" i="1"/>
  <c r="J54" i="8"/>
  <c r="I105" i="64"/>
  <c r="I36" i="64"/>
  <c r="B208" i="71"/>
  <c r="A71" i="71"/>
  <c r="F149" i="71"/>
  <c r="B201" i="71"/>
  <c r="B202" i="71"/>
  <c r="J67" i="49"/>
  <c r="K66" i="49"/>
  <c r="I42" i="4"/>
  <c r="G85" i="4"/>
  <c r="A418" i="49"/>
  <c r="A419" i="49" s="1"/>
  <c r="A420" i="49" s="1"/>
  <c r="A421" i="49" s="1"/>
  <c r="A422" i="49" s="1"/>
  <c r="A423" i="49" s="1"/>
  <c r="A424" i="49" s="1"/>
  <c r="A425" i="49" s="1"/>
  <c r="A426" i="49" s="1"/>
  <c r="A427" i="49" s="1"/>
  <c r="A428" i="49" s="1"/>
  <c r="A429" i="49" s="1"/>
  <c r="A430" i="49" s="1"/>
  <c r="A431" i="49" s="1"/>
  <c r="A432" i="49" s="1"/>
  <c r="A433" i="49" s="1"/>
  <c r="A434" i="49" s="1"/>
  <c r="A435" i="49" s="1"/>
  <c r="A436" i="49" s="1"/>
  <c r="A437" i="49" s="1"/>
  <c r="A438" i="49" s="1"/>
  <c r="A439" i="49" s="1"/>
  <c r="A440" i="49" s="1"/>
  <c r="A441" i="49" s="1"/>
  <c r="A442" i="49" s="1"/>
  <c r="A443" i="49" s="1"/>
  <c r="G18" i="71"/>
  <c r="H35" i="11"/>
  <c r="J465" i="49"/>
  <c r="K464" i="49"/>
  <c r="A161" i="11"/>
  <c r="A162" i="11" s="1"/>
  <c r="A163" i="11" s="1"/>
  <c r="A164" i="11" s="1"/>
  <c r="A165" i="11" s="1"/>
  <c r="A166" i="11" s="1"/>
  <c r="A167" i="11" s="1"/>
  <c r="A168" i="11" s="1"/>
  <c r="A169" i="11" s="1"/>
  <c r="A170" i="11" s="1"/>
  <c r="A171" i="11" s="1"/>
  <c r="A172" i="11" s="1"/>
  <c r="A179" i="11" s="1"/>
  <c r="A180" i="11" s="1"/>
  <c r="A181" i="11" s="1"/>
  <c r="A182" i="11" s="1"/>
  <c r="A183" i="11" s="1"/>
  <c r="A184" i="11" s="1"/>
  <c r="A185" i="11" s="1"/>
  <c r="A186" i="11" s="1"/>
  <c r="A187" i="11" s="1"/>
  <c r="A188" i="11" s="1"/>
  <c r="A189" i="11" s="1"/>
  <c r="A190" i="11" s="1"/>
  <c r="A191" i="11" s="1"/>
  <c r="A198" i="11" s="1"/>
  <c r="A199" i="11" s="1"/>
  <c r="A200" i="11" s="1"/>
  <c r="A201" i="11" s="1"/>
  <c r="A202" i="11" s="1"/>
  <c r="A203" i="11" s="1"/>
  <c r="A204" i="11" s="1"/>
  <c r="A205" i="11" s="1"/>
  <c r="A206" i="11" s="1"/>
  <c r="A207" i="11" s="1"/>
  <c r="A208" i="11" s="1"/>
  <c r="A209" i="11" s="1"/>
  <c r="A210" i="11" s="1"/>
  <c r="A217" i="11" s="1"/>
  <c r="A218" i="11" s="1"/>
  <c r="A219" i="11" s="1"/>
  <c r="A220" i="11" s="1"/>
  <c r="A221" i="11" s="1"/>
  <c r="A222" i="11" s="1"/>
  <c r="A223" i="11" s="1"/>
  <c r="A224" i="11" s="1"/>
  <c r="A225" i="11" s="1"/>
  <c r="A226" i="11" s="1"/>
  <c r="A227" i="11" s="1"/>
  <c r="A228" i="11" s="1"/>
  <c r="A229" i="11" s="1"/>
  <c r="A236" i="11" s="1"/>
  <c r="A237" i="11" s="1"/>
  <c r="A238" i="11" s="1"/>
  <c r="A239" i="11" s="1"/>
  <c r="A240" i="11" s="1"/>
  <c r="A241" i="11" s="1"/>
  <c r="A242" i="11" s="1"/>
  <c r="A243" i="11" s="1"/>
  <c r="A244" i="11" s="1"/>
  <c r="A245" i="11" s="1"/>
  <c r="A246" i="11" s="1"/>
  <c r="A247" i="11" s="1"/>
  <c r="A248" i="11" s="1"/>
  <c r="A255" i="11" s="1"/>
  <c r="A256" i="11" s="1"/>
  <c r="A257" i="11" s="1"/>
  <c r="A258" i="11" s="1"/>
  <c r="A259" i="11" s="1"/>
  <c r="A260" i="11" s="1"/>
  <c r="A261" i="11" s="1"/>
  <c r="A262" i="11" s="1"/>
  <c r="A263" i="11" s="1"/>
  <c r="A264" i="11" s="1"/>
  <c r="A265" i="11" s="1"/>
  <c r="A266" i="11" s="1"/>
  <c r="A267" i="11" s="1"/>
  <c r="A274" i="11" s="1"/>
  <c r="A275" i="11" s="1"/>
  <c r="A276" i="11" s="1"/>
  <c r="A277" i="11" s="1"/>
  <c r="A278" i="11" s="1"/>
  <c r="A279" i="11" s="1"/>
  <c r="A280" i="11" s="1"/>
  <c r="A281" i="11" s="1"/>
  <c r="A282" i="11" s="1"/>
  <c r="A283" i="11" s="1"/>
  <c r="A284" i="11" s="1"/>
  <c r="A285" i="11" s="1"/>
  <c r="A286" i="11" s="1"/>
  <c r="A293" i="11" s="1"/>
  <c r="A294" i="11" s="1"/>
  <c r="A295" i="11" s="1"/>
  <c r="A296" i="11" s="1"/>
  <c r="A297" i="11" s="1"/>
  <c r="A298" i="11" s="1"/>
  <c r="A299" i="11" s="1"/>
  <c r="A300" i="11" s="1"/>
  <c r="A301" i="11" s="1"/>
  <c r="A302" i="11" s="1"/>
  <c r="A303" i="11" s="1"/>
  <c r="A304" i="11" s="1"/>
  <c r="A305" i="11" s="1"/>
  <c r="A312" i="11" s="1"/>
  <c r="A313" i="11" s="1"/>
  <c r="A314" i="11" s="1"/>
  <c r="A315" i="11" s="1"/>
  <c r="A316" i="11" s="1"/>
  <c r="A317" i="11" s="1"/>
  <c r="A318" i="11" s="1"/>
  <c r="A319" i="11" s="1"/>
  <c r="A320" i="11" s="1"/>
  <c r="A321" i="11" s="1"/>
  <c r="A322" i="11" s="1"/>
  <c r="A323" i="11" s="1"/>
  <c r="A324" i="11" s="1"/>
  <c r="A332" i="11" s="1"/>
  <c r="A333" i="11" s="1"/>
  <c r="A334" i="11" s="1"/>
  <c r="A335" i="11" s="1"/>
  <c r="A336" i="11" s="1"/>
  <c r="A337" i="11" s="1"/>
  <c r="A338" i="11" s="1"/>
  <c r="A339" i="11" s="1"/>
  <c r="A340" i="11" s="1"/>
  <c r="A341" i="11" s="1"/>
  <c r="A342" i="11" s="1"/>
  <c r="A343" i="11" s="1"/>
  <c r="A344" i="11" s="1"/>
  <c r="H72" i="11"/>
  <c r="E22" i="4"/>
  <c r="E20" i="64"/>
  <c r="E88" i="64" s="1"/>
  <c r="F118" i="21" s="1"/>
  <c r="I44" i="1"/>
  <c r="A70" i="8"/>
  <c r="A71" i="8" s="1"/>
  <c r="A72" i="8" s="1"/>
  <c r="A73" i="8" s="1"/>
  <c r="A75" i="8" s="1"/>
  <c r="H14" i="65" s="1"/>
  <c r="N20" i="48"/>
  <c r="A94" i="4"/>
  <c r="A95" i="4" s="1"/>
  <c r="A96" i="4" s="1"/>
  <c r="A97" i="4" s="1"/>
  <c r="A98" i="4" s="1"/>
  <c r="A99" i="4" s="1"/>
  <c r="A100" i="4" s="1"/>
  <c r="A101" i="4" s="1"/>
  <c r="A102" i="4" s="1"/>
  <c r="A103" i="4" s="1"/>
  <c r="I10" i="1"/>
  <c r="A49" i="1"/>
  <c r="A50" i="1" s="1"/>
  <c r="A51" i="1" s="1"/>
  <c r="A52" i="1" s="1"/>
  <c r="K86" i="48"/>
  <c r="L86" i="48"/>
  <c r="L23" i="48" s="1"/>
  <c r="K22" i="48"/>
  <c r="N85" i="48"/>
  <c r="K398" i="49"/>
  <c r="J399" i="49"/>
  <c r="K365" i="49"/>
  <c r="J366" i="49"/>
  <c r="K58" i="48"/>
  <c r="L58" i="48"/>
  <c r="J300" i="49"/>
  <c r="K299" i="49"/>
  <c r="K333" i="49"/>
  <c r="J334" i="49"/>
  <c r="K431" i="49"/>
  <c r="J432" i="49"/>
  <c r="K266" i="49"/>
  <c r="J267" i="49"/>
  <c r="J102" i="49"/>
  <c r="K101" i="49"/>
  <c r="J234" i="49"/>
  <c r="K233" i="49"/>
  <c r="K200" i="49"/>
  <c r="J201" i="49"/>
  <c r="J169" i="49"/>
  <c r="K168" i="49"/>
  <c r="K135" i="49"/>
  <c r="J136" i="49"/>
  <c r="F21" i="64"/>
  <c r="F89" i="64" s="1"/>
  <c r="G119" i="21" s="1"/>
  <c r="F23" i="4"/>
  <c r="K23" i="4"/>
  <c r="K21" i="64"/>
  <c r="K89" i="64" s="1"/>
  <c r="L119" i="21" s="1"/>
  <c r="G23" i="4"/>
  <c r="G21" i="64"/>
  <c r="G89" i="64" s="1"/>
  <c r="H119" i="21" s="1"/>
  <c r="L26" i="4"/>
  <c r="L23" i="64"/>
  <c r="L91" i="64" s="1"/>
  <c r="I20" i="64"/>
  <c r="I88" i="64" s="1"/>
  <c r="I22" i="4"/>
  <c r="C20" i="64"/>
  <c r="C88" i="64" s="1"/>
  <c r="C22" i="4"/>
  <c r="D21" i="64"/>
  <c r="D89" i="64" s="1"/>
  <c r="E119" i="21" s="1"/>
  <c r="D23" i="4"/>
  <c r="H21" i="64"/>
  <c r="H89" i="64" s="1"/>
  <c r="I119" i="21" s="1"/>
  <c r="H23" i="4"/>
  <c r="D117" i="21"/>
  <c r="N117" i="21" s="1"/>
  <c r="J26" i="4"/>
  <c r="J23" i="64"/>
  <c r="J91" i="64" s="1"/>
  <c r="K121" i="21" s="1"/>
  <c r="K122" i="21" s="1"/>
  <c r="K149" i="21" s="1"/>
  <c r="K152" i="21" s="1"/>
  <c r="M21" i="48"/>
  <c r="M54" i="48"/>
  <c r="N53" i="48"/>
  <c r="N21" i="48" s="1"/>
  <c r="G71" i="8" l="1"/>
  <c r="I37" i="64"/>
  <c r="K133" i="1"/>
  <c r="K134" i="1"/>
  <c r="A72" i="71"/>
  <c r="A80" i="71" s="1"/>
  <c r="F72" i="71"/>
  <c r="K67" i="49"/>
  <c r="J68" i="49"/>
  <c r="I106" i="64"/>
  <c r="I43" i="4"/>
  <c r="A104" i="4"/>
  <c r="A105" i="4" s="1"/>
  <c r="A106" i="4" s="1"/>
  <c r="A132" i="4" s="1"/>
  <c r="A133" i="4" s="1"/>
  <c r="A134" i="4" s="1"/>
  <c r="A135" i="4" s="1"/>
  <c r="A136" i="4" s="1"/>
  <c r="A137" i="4" s="1"/>
  <c r="A138" i="4" s="1"/>
  <c r="A139" i="4" s="1"/>
  <c r="A140" i="4" s="1"/>
  <c r="A141" i="4" s="1"/>
  <c r="A142" i="4" s="1"/>
  <c r="A143" i="4" s="1"/>
  <c r="A144" i="4" s="1"/>
  <c r="A152" i="4" s="1"/>
  <c r="A153" i="4" s="1"/>
  <c r="A154" i="4" s="1"/>
  <c r="A155" i="4" s="1"/>
  <c r="A156" i="4" s="1"/>
  <c r="A157" i="4" s="1"/>
  <c r="A158" i="4" s="1"/>
  <c r="A159" i="4" s="1"/>
  <c r="A160" i="4" s="1"/>
  <c r="A161" i="4" s="1"/>
  <c r="A162" i="4" s="1"/>
  <c r="A163" i="4" s="1"/>
  <c r="A164" i="4" s="1"/>
  <c r="A172" i="4" s="1"/>
  <c r="A173" i="4" s="1"/>
  <c r="A174" i="4" s="1"/>
  <c r="A175" i="4" s="1"/>
  <c r="A176" i="4" s="1"/>
  <c r="A177" i="4" s="1"/>
  <c r="A178" i="4" s="1"/>
  <c r="A179" i="4" s="1"/>
  <c r="A180" i="4" s="1"/>
  <c r="A181" i="4" s="1"/>
  <c r="A182" i="4" s="1"/>
  <c r="A183" i="4" s="1"/>
  <c r="A184" i="4" s="1"/>
  <c r="B285" i="4" s="1"/>
  <c r="J466" i="49"/>
  <c r="K465" i="49"/>
  <c r="A451" i="49"/>
  <c r="A452" i="49" s="1"/>
  <c r="A453" i="49" s="1"/>
  <c r="A454" i="49" s="1"/>
  <c r="A455" i="49" s="1"/>
  <c r="A456" i="49" s="1"/>
  <c r="A457" i="49" s="1"/>
  <c r="A458" i="49" s="1"/>
  <c r="A459" i="49" s="1"/>
  <c r="A460" i="49" s="1"/>
  <c r="A461" i="49" s="1"/>
  <c r="A462" i="49" s="1"/>
  <c r="A463" i="49" s="1"/>
  <c r="A464" i="49" s="1"/>
  <c r="A465" i="49" s="1"/>
  <c r="A466" i="49" s="1"/>
  <c r="A467" i="49" s="1"/>
  <c r="A468" i="49" s="1"/>
  <c r="A469" i="49" s="1"/>
  <c r="A470" i="49" s="1"/>
  <c r="A471" i="49" s="1"/>
  <c r="A472" i="49" s="1"/>
  <c r="A473" i="49" s="1"/>
  <c r="A474" i="49" s="1"/>
  <c r="A475" i="49" s="1"/>
  <c r="H36" i="11"/>
  <c r="G19" i="71"/>
  <c r="A407" i="11"/>
  <c r="A351" i="11"/>
  <c r="A352" i="11" s="1"/>
  <c r="A353" i="11" s="1"/>
  <c r="A354" i="11" s="1"/>
  <c r="A355" i="11" s="1"/>
  <c r="A356" i="11" s="1"/>
  <c r="A357" i="11" s="1"/>
  <c r="A358" i="11" s="1"/>
  <c r="A359" i="11" s="1"/>
  <c r="A360" i="11" s="1"/>
  <c r="A361" i="11" s="1"/>
  <c r="A362" i="11" s="1"/>
  <c r="G72" i="11"/>
  <c r="E23" i="4"/>
  <c r="E21" i="64"/>
  <c r="E89" i="64" s="1"/>
  <c r="F119" i="21" s="1"/>
  <c r="G75" i="8"/>
  <c r="G73" i="8"/>
  <c r="N86" i="48"/>
  <c r="I52" i="1"/>
  <c r="A53" i="1"/>
  <c r="A54" i="1" s="1"/>
  <c r="C20" i="17"/>
  <c r="K87" i="48"/>
  <c r="L87" i="48"/>
  <c r="L24" i="48" s="1"/>
  <c r="K23" i="48"/>
  <c r="K399" i="49"/>
  <c r="J400" i="49"/>
  <c r="J367" i="49"/>
  <c r="K366" i="49"/>
  <c r="K59" i="48"/>
  <c r="L59" i="48"/>
  <c r="K432" i="49"/>
  <c r="J433" i="49"/>
  <c r="J268" i="49"/>
  <c r="K267" i="49"/>
  <c r="J335" i="49"/>
  <c r="K334" i="49"/>
  <c r="K300" i="49"/>
  <c r="J301" i="49"/>
  <c r="K201" i="49"/>
  <c r="J202" i="49"/>
  <c r="J235" i="49"/>
  <c r="K234" i="49"/>
  <c r="J170" i="49"/>
  <c r="K169" i="49"/>
  <c r="J137" i="49"/>
  <c r="K136" i="49"/>
  <c r="J103" i="49"/>
  <c r="K102" i="49"/>
  <c r="C23" i="4"/>
  <c r="C21" i="64"/>
  <c r="C89" i="64" s="1"/>
  <c r="H22" i="64"/>
  <c r="H90" i="64" s="1"/>
  <c r="H24" i="4"/>
  <c r="H23" i="64" s="1"/>
  <c r="H91" i="64" s="1"/>
  <c r="I121" i="21" s="1"/>
  <c r="D118" i="21"/>
  <c r="G22" i="64"/>
  <c r="G90" i="64" s="1"/>
  <c r="H120" i="21" s="1"/>
  <c r="G24" i="4"/>
  <c r="G23" i="64" s="1"/>
  <c r="G91" i="64" s="1"/>
  <c r="H121" i="21" s="1"/>
  <c r="D22" i="64"/>
  <c r="D90" i="64" s="1"/>
  <c r="E120" i="21" s="1"/>
  <c r="D24" i="4"/>
  <c r="I21" i="64"/>
  <c r="I89" i="64" s="1"/>
  <c r="J119" i="21" s="1"/>
  <c r="I23" i="4"/>
  <c r="K24" i="4"/>
  <c r="K22" i="64"/>
  <c r="K90" i="64" s="1"/>
  <c r="L120" i="21" s="1"/>
  <c r="J118" i="21"/>
  <c r="F22" i="64"/>
  <c r="F90" i="64" s="1"/>
  <c r="G120" i="21" s="1"/>
  <c r="F24" i="4"/>
  <c r="L92" i="64"/>
  <c r="M121" i="21"/>
  <c r="M122" i="21" s="1"/>
  <c r="M149" i="21" s="1"/>
  <c r="M152" i="21" s="1"/>
  <c r="J92" i="64"/>
  <c r="K170" i="21"/>
  <c r="K159" i="21"/>
  <c r="K161" i="21"/>
  <c r="K166" i="21"/>
  <c r="K163" i="21"/>
  <c r="K168" i="21"/>
  <c r="K160" i="21"/>
  <c r="K162" i="21"/>
  <c r="K169" i="21"/>
  <c r="K167" i="21"/>
  <c r="K165" i="21"/>
  <c r="K164" i="21"/>
  <c r="M55" i="48"/>
  <c r="N54" i="48"/>
  <c r="N22" i="48" s="1"/>
  <c r="M22" i="48"/>
  <c r="I38" i="64" l="1"/>
  <c r="A81" i="71"/>
  <c r="A82" i="71" s="1"/>
  <c r="A83" i="71" s="1"/>
  <c r="A84" i="71" s="1"/>
  <c r="A85" i="71" s="1"/>
  <c r="A86" i="71" s="1"/>
  <c r="A87" i="71" s="1"/>
  <c r="A88" i="71" s="1"/>
  <c r="A89" i="71" s="1"/>
  <c r="A90" i="71" s="1"/>
  <c r="A93" i="71" s="1"/>
  <c r="A94" i="71" s="1"/>
  <c r="A100" i="71" s="1"/>
  <c r="J69" i="49"/>
  <c r="K68" i="49"/>
  <c r="I107" i="64"/>
  <c r="I44" i="4"/>
  <c r="D47" i="21"/>
  <c r="A191" i="4"/>
  <c r="A192" i="4" s="1"/>
  <c r="A193" i="4" s="1"/>
  <c r="A194" i="4" s="1"/>
  <c r="A195" i="4" s="1"/>
  <c r="A196" i="4" s="1"/>
  <c r="A197" i="4" s="1"/>
  <c r="A198" i="4" s="1"/>
  <c r="A199" i="4" s="1"/>
  <c r="A200" i="4" s="1"/>
  <c r="A201" i="4" s="1"/>
  <c r="A202" i="4" s="1"/>
  <c r="A203" i="4" s="1"/>
  <c r="A209" i="4" s="1"/>
  <c r="A210" i="4" s="1"/>
  <c r="A211" i="4" s="1"/>
  <c r="A212" i="4" s="1"/>
  <c r="A213" i="4" s="1"/>
  <c r="A214" i="4" s="1"/>
  <c r="A215" i="4" s="1"/>
  <c r="A216" i="4" s="1"/>
  <c r="A217" i="4" s="1"/>
  <c r="A218" i="4" s="1"/>
  <c r="A219" i="4" s="1"/>
  <c r="A220" i="4" s="1"/>
  <c r="A226" i="4" s="1"/>
  <c r="A363" i="11"/>
  <c r="A371" i="11"/>
  <c r="A372" i="11" s="1"/>
  <c r="A373" i="11" s="1"/>
  <c r="A374" i="11" s="1"/>
  <c r="A375" i="11" s="1"/>
  <c r="A376" i="11" s="1"/>
  <c r="A377" i="11" s="1"/>
  <c r="A378" i="11" s="1"/>
  <c r="A379" i="11" s="1"/>
  <c r="A380" i="11" s="1"/>
  <c r="A476" i="49"/>
  <c r="A484" i="49" s="1"/>
  <c r="A485" i="49" s="1"/>
  <c r="A486" i="49" s="1"/>
  <c r="A487" i="49" s="1"/>
  <c r="A488" i="49" s="1"/>
  <c r="A489" i="49" s="1"/>
  <c r="A490" i="49" s="1"/>
  <c r="A491" i="49" s="1"/>
  <c r="A492" i="49" s="1"/>
  <c r="A493" i="49" s="1"/>
  <c r="A494" i="49" s="1"/>
  <c r="A495" i="49" s="1"/>
  <c r="A496" i="49" s="1"/>
  <c r="A497" i="49" s="1"/>
  <c r="A498" i="49" s="1"/>
  <c r="A499" i="49" s="1"/>
  <c r="A500" i="49" s="1"/>
  <c r="A501" i="49" s="1"/>
  <c r="A502" i="49" s="1"/>
  <c r="A503" i="49" s="1"/>
  <c r="A504" i="49" s="1"/>
  <c r="A505" i="49" s="1"/>
  <c r="A506" i="49" s="1"/>
  <c r="A507" i="49" s="1"/>
  <c r="A508" i="49" s="1"/>
  <c r="K466" i="49"/>
  <c r="J467" i="49"/>
  <c r="G25" i="12"/>
  <c r="A408" i="11"/>
  <c r="A411" i="11" s="1"/>
  <c r="A412" i="11" s="1"/>
  <c r="G26" i="4"/>
  <c r="E24" i="4"/>
  <c r="E22" i="64"/>
  <c r="E90" i="64" s="1"/>
  <c r="F120" i="21" s="1"/>
  <c r="I54" i="1"/>
  <c r="N118" i="21"/>
  <c r="H122" i="21"/>
  <c r="H149" i="21" s="1"/>
  <c r="H152" i="21" s="1"/>
  <c r="H160" i="21" s="1"/>
  <c r="H26" i="4"/>
  <c r="G92" i="64"/>
  <c r="A55" i="1"/>
  <c r="A56" i="1" s="1"/>
  <c r="K88" i="48"/>
  <c r="L88" i="48"/>
  <c r="L25" i="48" s="1"/>
  <c r="K24" i="48"/>
  <c r="J401" i="49"/>
  <c r="K400" i="49"/>
  <c r="K367" i="49"/>
  <c r="J368" i="49"/>
  <c r="K60" i="48"/>
  <c r="L60" i="48"/>
  <c r="K268" i="49"/>
  <c r="J269" i="49"/>
  <c r="K301" i="49"/>
  <c r="J302" i="49"/>
  <c r="K433" i="49"/>
  <c r="J434" i="49"/>
  <c r="J336" i="49"/>
  <c r="K335" i="49"/>
  <c r="K103" i="49"/>
  <c r="J104" i="49"/>
  <c r="K202" i="49"/>
  <c r="J203" i="49"/>
  <c r="K235" i="49"/>
  <c r="J236" i="49"/>
  <c r="K137" i="49"/>
  <c r="J138" i="49"/>
  <c r="J171" i="49"/>
  <c r="K170" i="49"/>
  <c r="M161" i="21"/>
  <c r="M160" i="21"/>
  <c r="M162" i="21"/>
  <c r="M170" i="21"/>
  <c r="M168" i="21"/>
  <c r="M165" i="21"/>
  <c r="M159" i="21"/>
  <c r="M166" i="21"/>
  <c r="M163" i="21"/>
  <c r="M169" i="21"/>
  <c r="M164" i="21"/>
  <c r="M167" i="21"/>
  <c r="K23" i="64"/>
  <c r="K91" i="64" s="1"/>
  <c r="L121" i="21" s="1"/>
  <c r="L122" i="21" s="1"/>
  <c r="L149" i="21" s="1"/>
  <c r="L152" i="21" s="1"/>
  <c r="L161" i="21" s="1"/>
  <c r="K26" i="4"/>
  <c r="D23" i="64"/>
  <c r="D91" i="64" s="1"/>
  <c r="D26" i="4"/>
  <c r="I120" i="21"/>
  <c r="I122" i="21" s="1"/>
  <c r="I149" i="21" s="1"/>
  <c r="I152" i="21" s="1"/>
  <c r="H92" i="64"/>
  <c r="F26" i="4"/>
  <c r="F23" i="64"/>
  <c r="F91" i="64" s="1"/>
  <c r="G121" i="21" s="1"/>
  <c r="G122" i="21" s="1"/>
  <c r="G149" i="21" s="1"/>
  <c r="G152" i="21" s="1"/>
  <c r="G162" i="21" s="1"/>
  <c r="D119" i="21"/>
  <c r="N119" i="21" s="1"/>
  <c r="I22" i="64"/>
  <c r="I90" i="64" s="1"/>
  <c r="J120" i="21" s="1"/>
  <c r="I24" i="4"/>
  <c r="I23" i="64" s="1"/>
  <c r="I91" i="64" s="1"/>
  <c r="J121" i="21" s="1"/>
  <c r="C22" i="64"/>
  <c r="C90" i="64" s="1"/>
  <c r="C24" i="4"/>
  <c r="K13" i="21"/>
  <c r="K171" i="21"/>
  <c r="M23" i="48"/>
  <c r="M56" i="48"/>
  <c r="N55" i="48"/>
  <c r="N23" i="48" s="1"/>
  <c r="I39" i="64" l="1"/>
  <c r="J70" i="49"/>
  <c r="B210" i="71"/>
  <c r="A101" i="71"/>
  <c r="A102" i="71" s="1"/>
  <c r="A103" i="71" s="1"/>
  <c r="A104" i="71" s="1"/>
  <c r="A105" i="71" s="1"/>
  <c r="A106" i="71" s="1"/>
  <c r="A107" i="71" s="1"/>
  <c r="A108" i="71" s="1"/>
  <c r="A109" i="71" s="1"/>
  <c r="A110" i="71" s="1"/>
  <c r="A113" i="71" s="1"/>
  <c r="A114" i="71" s="1"/>
  <c r="A120" i="71" s="1"/>
  <c r="I94" i="71"/>
  <c r="K69" i="49"/>
  <c r="I108" i="64"/>
  <c r="I45" i="4"/>
  <c r="B288" i="4"/>
  <c r="A381" i="11"/>
  <c r="A382" i="11" s="1"/>
  <c r="A390" i="11"/>
  <c r="A391" i="11" s="1"/>
  <c r="A392" i="11" s="1"/>
  <c r="A393" i="11" s="1"/>
  <c r="A394" i="11" s="1"/>
  <c r="A395" i="11" s="1"/>
  <c r="A396" i="11" s="1"/>
  <c r="A397" i="11" s="1"/>
  <c r="A398" i="11" s="1"/>
  <c r="A399" i="11" s="1"/>
  <c r="A400" i="11" s="1"/>
  <c r="A401" i="11" s="1"/>
  <c r="A509" i="49"/>
  <c r="A517" i="49" s="1"/>
  <c r="A518" i="49"/>
  <c r="A519" i="49" s="1"/>
  <c r="A520" i="49" s="1"/>
  <c r="A521" i="49" s="1"/>
  <c r="A522" i="49" s="1"/>
  <c r="A523" i="49" s="1"/>
  <c r="A524" i="49" s="1"/>
  <c r="A525" i="49" s="1"/>
  <c r="A526" i="49" s="1"/>
  <c r="A527" i="49" s="1"/>
  <c r="A528" i="49" s="1"/>
  <c r="A529" i="49" s="1"/>
  <c r="A530" i="49" s="1"/>
  <c r="A531" i="49" s="1"/>
  <c r="A532" i="49" s="1"/>
  <c r="A533" i="49" s="1"/>
  <c r="A534" i="49" s="1"/>
  <c r="A535" i="49" s="1"/>
  <c r="A536" i="49" s="1"/>
  <c r="A537" i="49" s="1"/>
  <c r="A538" i="49" s="1"/>
  <c r="A539" i="49" s="1"/>
  <c r="A540" i="49" s="1"/>
  <c r="A541" i="49" s="1"/>
  <c r="A542" i="49" s="1"/>
  <c r="K467" i="49"/>
  <c r="J468" i="49"/>
  <c r="H37" i="11"/>
  <c r="G20" i="71"/>
  <c r="G26" i="12"/>
  <c r="A413" i="11"/>
  <c r="A416" i="11" s="1"/>
  <c r="A417" i="11" s="1"/>
  <c r="H169" i="21"/>
  <c r="H168" i="21"/>
  <c r="H163" i="21"/>
  <c r="H162" i="21"/>
  <c r="H165" i="21"/>
  <c r="H170" i="21"/>
  <c r="H159" i="21"/>
  <c r="H13" i="21" s="1"/>
  <c r="H161" i="21"/>
  <c r="H164" i="21"/>
  <c r="H167" i="21"/>
  <c r="E23" i="64"/>
  <c r="E91" i="64" s="1"/>
  <c r="E26" i="4"/>
  <c r="H166" i="21"/>
  <c r="N88" i="48"/>
  <c r="A231" i="4"/>
  <c r="A236" i="4" s="1"/>
  <c r="I92" i="64"/>
  <c r="J122" i="21"/>
  <c r="J149" i="21" s="1"/>
  <c r="J152" i="21" s="1"/>
  <c r="J168" i="21" s="1"/>
  <c r="L163" i="21"/>
  <c r="G161" i="21"/>
  <c r="G160" i="21"/>
  <c r="I56" i="1"/>
  <c r="A58" i="1"/>
  <c r="I58" i="1"/>
  <c r="K89" i="48"/>
  <c r="L89" i="48"/>
  <c r="L26" i="48" s="1"/>
  <c r="K25" i="48"/>
  <c r="N87" i="48"/>
  <c r="K401" i="49"/>
  <c r="J402" i="49"/>
  <c r="K368" i="49"/>
  <c r="J369" i="49"/>
  <c r="K61" i="48"/>
  <c r="L61" i="48"/>
  <c r="J303" i="49"/>
  <c r="K302" i="49"/>
  <c r="J435" i="49"/>
  <c r="K434" i="49"/>
  <c r="K336" i="49"/>
  <c r="J337" i="49"/>
  <c r="J270" i="49"/>
  <c r="K269" i="49"/>
  <c r="J204" i="49"/>
  <c r="K203" i="49"/>
  <c r="J172" i="49"/>
  <c r="K171" i="49"/>
  <c r="J139" i="49"/>
  <c r="K138" i="49"/>
  <c r="K104" i="49"/>
  <c r="J105" i="49"/>
  <c r="J237" i="49"/>
  <c r="K236" i="49"/>
  <c r="L159" i="21"/>
  <c r="L13" i="21" s="1"/>
  <c r="G164" i="21"/>
  <c r="G159" i="21"/>
  <c r="G13" i="21" s="1"/>
  <c r="L167" i="21"/>
  <c r="L169" i="21"/>
  <c r="G165" i="21"/>
  <c r="L165" i="21"/>
  <c r="L170" i="21"/>
  <c r="K92" i="64"/>
  <c r="G163" i="21"/>
  <c r="G170" i="21"/>
  <c r="G167" i="21"/>
  <c r="L168" i="21"/>
  <c r="F92" i="64"/>
  <c r="G169" i="21"/>
  <c r="L162" i="21"/>
  <c r="G168" i="21"/>
  <c r="L160" i="21"/>
  <c r="G166" i="21"/>
  <c r="L166" i="21"/>
  <c r="M171" i="21"/>
  <c r="M13" i="21"/>
  <c r="M14" i="21" s="1"/>
  <c r="M15" i="21" s="1"/>
  <c r="M16" i="21" s="1"/>
  <c r="M17" i="21" s="1"/>
  <c r="M18" i="21" s="1"/>
  <c r="M19" i="21" s="1"/>
  <c r="M20" i="21" s="1"/>
  <c r="M21" i="21" s="1"/>
  <c r="M22" i="21" s="1"/>
  <c r="M23" i="21" s="1"/>
  <c r="E121" i="21"/>
  <c r="E122" i="21" s="1"/>
  <c r="E149" i="21" s="1"/>
  <c r="E152" i="21" s="1"/>
  <c r="D92" i="64"/>
  <c r="C23" i="64"/>
  <c r="C91" i="64" s="1"/>
  <c r="C26" i="4"/>
  <c r="I166" i="21"/>
  <c r="I169" i="21"/>
  <c r="I168" i="21"/>
  <c r="I170" i="21"/>
  <c r="I165" i="21"/>
  <c r="I161" i="21"/>
  <c r="I167" i="21"/>
  <c r="I164" i="21"/>
  <c r="I160" i="21"/>
  <c r="I159" i="21"/>
  <c r="I162" i="21"/>
  <c r="I163" i="21"/>
  <c r="D120" i="21"/>
  <c r="N120" i="21" s="1"/>
  <c r="I26" i="4"/>
  <c r="L164" i="21"/>
  <c r="K14" i="21"/>
  <c r="K15" i="21" s="1"/>
  <c r="K16" i="21" s="1"/>
  <c r="K17" i="21" s="1"/>
  <c r="K18" i="21" s="1"/>
  <c r="K19" i="21" s="1"/>
  <c r="K20" i="21" s="1"/>
  <c r="K21" i="21" s="1"/>
  <c r="K22" i="21" s="1"/>
  <c r="K23" i="21" s="1"/>
  <c r="N56" i="48"/>
  <c r="M24" i="48"/>
  <c r="M57" i="48"/>
  <c r="I47" i="4" l="1"/>
  <c r="D64" i="4" s="1"/>
  <c r="J6" i="8" s="1"/>
  <c r="I114" i="71"/>
  <c r="A121" i="71"/>
  <c r="A122" i="71" s="1"/>
  <c r="J71" i="49"/>
  <c r="K70" i="49"/>
  <c r="I109" i="64"/>
  <c r="I111" i="64" s="1"/>
  <c r="F142" i="64" s="1"/>
  <c r="I40" i="64"/>
  <c r="B286" i="4"/>
  <c r="K468" i="49"/>
  <c r="J469" i="49"/>
  <c r="G27" i="12"/>
  <c r="A418" i="11"/>
  <c r="A419" i="11" s="1"/>
  <c r="A422" i="11" s="1"/>
  <c r="A423" i="11" s="1"/>
  <c r="A424" i="11" s="1"/>
  <c r="A425" i="11" s="1"/>
  <c r="A426" i="11" s="1"/>
  <c r="A429" i="11" s="1"/>
  <c r="A430" i="11" s="1"/>
  <c r="A431" i="11" s="1"/>
  <c r="A434" i="11" s="1"/>
  <c r="A435" i="11" s="1"/>
  <c r="A436" i="11" s="1"/>
  <c r="A439" i="11" s="1"/>
  <c r="A440" i="11" s="1"/>
  <c r="A441" i="11" s="1"/>
  <c r="A444" i="11" s="1"/>
  <c r="A445" i="11" s="1"/>
  <c r="A446" i="11" s="1"/>
  <c r="A449" i="11" s="1"/>
  <c r="A450" i="11" s="1"/>
  <c r="A451" i="11" s="1"/>
  <c r="A454" i="11" s="1"/>
  <c r="A455" i="11" s="1"/>
  <c r="A456" i="11" s="1"/>
  <c r="A459" i="11" s="1"/>
  <c r="A460" i="11" s="1"/>
  <c r="A461" i="11" s="1"/>
  <c r="A464" i="11" s="1"/>
  <c r="A465" i="11" s="1"/>
  <c r="A466" i="11" s="1"/>
  <c r="A469" i="11" s="1"/>
  <c r="A470" i="11" s="1"/>
  <c r="A471" i="11" s="1"/>
  <c r="A474" i="11" s="1"/>
  <c r="A475" i="11" s="1"/>
  <c r="A476" i="11" s="1"/>
  <c r="A479" i="11" s="1"/>
  <c r="A480" i="11" s="1"/>
  <c r="A481" i="11" s="1"/>
  <c r="A484" i="11" s="1"/>
  <c r="A485" i="11" s="1"/>
  <c r="A486" i="11" s="1"/>
  <c r="H171" i="21"/>
  <c r="F121" i="21"/>
  <c r="F122" i="21" s="1"/>
  <c r="F149" i="21" s="1"/>
  <c r="F152" i="21" s="1"/>
  <c r="E92" i="64"/>
  <c r="J163" i="21"/>
  <c r="J167" i="21"/>
  <c r="B287" i="4"/>
  <c r="A243" i="4"/>
  <c r="J165" i="21"/>
  <c r="J164" i="21"/>
  <c r="N89" i="48"/>
  <c r="J161" i="21"/>
  <c r="J170" i="21"/>
  <c r="J169" i="21"/>
  <c r="J166" i="21"/>
  <c r="J159" i="21"/>
  <c r="J13" i="21" s="1"/>
  <c r="J160" i="21"/>
  <c r="J162" i="21"/>
  <c r="N24" i="48"/>
  <c r="G14" i="21"/>
  <c r="G15" i="21" s="1"/>
  <c r="G16" i="21" s="1"/>
  <c r="G17" i="21" s="1"/>
  <c r="G18" i="21" s="1"/>
  <c r="L171" i="21"/>
  <c r="G171" i="21"/>
  <c r="A63" i="1"/>
  <c r="I131" i="1"/>
  <c r="K90" i="48"/>
  <c r="L90" i="48"/>
  <c r="L27" i="48" s="1"/>
  <c r="K26" i="48"/>
  <c r="K402" i="49"/>
  <c r="J403" i="49"/>
  <c r="J370" i="49"/>
  <c r="K369" i="49"/>
  <c r="K62" i="48"/>
  <c r="L62" i="48"/>
  <c r="K337" i="49"/>
  <c r="J338" i="49"/>
  <c r="K435" i="49"/>
  <c r="J436" i="49"/>
  <c r="J271" i="49"/>
  <c r="K270" i="49"/>
  <c r="K303" i="49"/>
  <c r="J304" i="49"/>
  <c r="K139" i="49"/>
  <c r="J140" i="49"/>
  <c r="J238" i="49"/>
  <c r="K237" i="49"/>
  <c r="K172" i="49"/>
  <c r="J173" i="49"/>
  <c r="K105" i="49"/>
  <c r="J106" i="49"/>
  <c r="J205" i="49"/>
  <c r="K204" i="49"/>
  <c r="M25" i="21"/>
  <c r="C92" i="64"/>
  <c r="D121" i="21"/>
  <c r="E170" i="21"/>
  <c r="E167" i="21"/>
  <c r="E165" i="21"/>
  <c r="E169" i="21"/>
  <c r="E168" i="21"/>
  <c r="E159" i="21"/>
  <c r="E160" i="21"/>
  <c r="E163" i="21"/>
  <c r="E164" i="21"/>
  <c r="E162" i="21"/>
  <c r="E161" i="21"/>
  <c r="E166" i="21"/>
  <c r="I13" i="21"/>
  <c r="I171" i="21"/>
  <c r="K25" i="21"/>
  <c r="M58" i="48"/>
  <c r="N57" i="48"/>
  <c r="N25" i="48" s="1"/>
  <c r="M25" i="48"/>
  <c r="H14" i="21"/>
  <c r="H15" i="21" s="1"/>
  <c r="H16" i="21" s="1"/>
  <c r="H17" i="21" s="1"/>
  <c r="H18" i="21" s="1"/>
  <c r="H19" i="21" s="1"/>
  <c r="H20" i="21" s="1"/>
  <c r="H21" i="21" s="1"/>
  <c r="H22" i="21" s="1"/>
  <c r="H23" i="21" s="1"/>
  <c r="L14" i="21"/>
  <c r="L15" i="21" s="1"/>
  <c r="L16" i="21" s="1"/>
  <c r="L17" i="21" s="1"/>
  <c r="L18" i="21" s="1"/>
  <c r="L19" i="21" s="1"/>
  <c r="L20" i="21" s="1"/>
  <c r="L21" i="21" s="1"/>
  <c r="L22" i="21" s="1"/>
  <c r="L23" i="21" s="1"/>
  <c r="F122" i="71" l="1"/>
  <c r="A123" i="71"/>
  <c r="A124" i="71" s="1"/>
  <c r="A129" i="71" s="1"/>
  <c r="F123" i="71"/>
  <c r="F150" i="71"/>
  <c r="J72" i="49"/>
  <c r="K71" i="49"/>
  <c r="G19" i="21"/>
  <c r="G20" i="21" s="1"/>
  <c r="K469" i="49"/>
  <c r="J470" i="49"/>
  <c r="F163" i="21"/>
  <c r="F169" i="21"/>
  <c r="F167" i="21"/>
  <c r="F166" i="21"/>
  <c r="F164" i="21"/>
  <c r="F165" i="21"/>
  <c r="F162" i="21"/>
  <c r="F159" i="21"/>
  <c r="F170" i="21"/>
  <c r="F160" i="21"/>
  <c r="F161" i="21"/>
  <c r="F168" i="21"/>
  <c r="A244" i="4"/>
  <c r="A245" i="4" s="1"/>
  <c r="A246" i="4" s="1"/>
  <c r="A247" i="4" s="1"/>
  <c r="A248" i="4" s="1"/>
  <c r="A249" i="4" s="1"/>
  <c r="A250" i="4" s="1"/>
  <c r="A251" i="4" s="1"/>
  <c r="N90" i="48"/>
  <c r="J171" i="21"/>
  <c r="A64" i="1"/>
  <c r="A65" i="1" s="1"/>
  <c r="K91" i="48"/>
  <c r="L91" i="48"/>
  <c r="L28" i="48" s="1"/>
  <c r="K27" i="48"/>
  <c r="K403" i="49"/>
  <c r="J404" i="49"/>
  <c r="K370" i="49"/>
  <c r="J371" i="49"/>
  <c r="K63" i="48"/>
  <c r="L63" i="48"/>
  <c r="J437" i="49"/>
  <c r="K436" i="49"/>
  <c r="K304" i="49"/>
  <c r="J305" i="49"/>
  <c r="J272" i="49"/>
  <c r="K271" i="49"/>
  <c r="K338" i="49"/>
  <c r="J339" i="49"/>
  <c r="K173" i="49"/>
  <c r="J174" i="49"/>
  <c r="J239" i="49"/>
  <c r="K238" i="49"/>
  <c r="J206" i="49"/>
  <c r="K205" i="49"/>
  <c r="J141" i="49"/>
  <c r="K140" i="49"/>
  <c r="J107" i="49"/>
  <c r="K106" i="49"/>
  <c r="I14" i="21"/>
  <c r="I15" i="21" s="1"/>
  <c r="I16" i="21" s="1"/>
  <c r="I17" i="21" s="1"/>
  <c r="I18" i="21" s="1"/>
  <c r="I19" i="21" s="1"/>
  <c r="I20" i="21" s="1"/>
  <c r="I21" i="21" s="1"/>
  <c r="I22" i="21" s="1"/>
  <c r="I23" i="21" s="1"/>
  <c r="J14" i="21"/>
  <c r="J15" i="21" s="1"/>
  <c r="J16" i="21" s="1"/>
  <c r="J17" i="21" s="1"/>
  <c r="J18" i="21" s="1"/>
  <c r="J19" i="21" s="1"/>
  <c r="J20" i="21" s="1"/>
  <c r="J21" i="21" s="1"/>
  <c r="J22" i="21" s="1"/>
  <c r="J23" i="21" s="1"/>
  <c r="E13" i="21"/>
  <c r="E171" i="21"/>
  <c r="N121" i="21"/>
  <c r="D122" i="21"/>
  <c r="L25" i="21"/>
  <c r="H25" i="21"/>
  <c r="M59" i="48"/>
  <c r="M26" i="48"/>
  <c r="N58" i="48"/>
  <c r="N26" i="48" s="1"/>
  <c r="F124" i="71" l="1"/>
  <c r="A130" i="71"/>
  <c r="A131" i="71" s="1"/>
  <c r="A132" i="71" s="1"/>
  <c r="A133" i="71" s="1"/>
  <c r="A134" i="71" s="1"/>
  <c r="A135" i="71" s="1"/>
  <c r="A136" i="71" s="1"/>
  <c r="A137" i="71" s="1"/>
  <c r="A138" i="71" s="1"/>
  <c r="A139" i="71" s="1"/>
  <c r="A142" i="71" s="1"/>
  <c r="A143" i="71" s="1"/>
  <c r="A149" i="71" s="1"/>
  <c r="K72" i="49"/>
  <c r="J73" i="49"/>
  <c r="F145" i="64"/>
  <c r="K129" i="1" s="1"/>
  <c r="G21" i="21"/>
  <c r="G22" i="21" s="1"/>
  <c r="G23" i="21" s="1"/>
  <c r="A252" i="4"/>
  <c r="A253" i="4" s="1"/>
  <c r="A254" i="4" s="1"/>
  <c r="A255" i="4" s="1"/>
  <c r="K470" i="49"/>
  <c r="J471" i="49"/>
  <c r="F13" i="21"/>
  <c r="F14" i="21" s="1"/>
  <c r="F171" i="21"/>
  <c r="N91" i="48"/>
  <c r="A68" i="1"/>
  <c r="I85" i="1"/>
  <c r="K92" i="48"/>
  <c r="L92" i="48"/>
  <c r="L29" i="48" s="1"/>
  <c r="K28" i="48"/>
  <c r="J405" i="49"/>
  <c r="K404" i="49"/>
  <c r="K371" i="49"/>
  <c r="J372" i="49"/>
  <c r="K64" i="48"/>
  <c r="L64" i="48"/>
  <c r="K339" i="49"/>
  <c r="J340" i="49"/>
  <c r="K305" i="49"/>
  <c r="J306" i="49"/>
  <c r="J438" i="49"/>
  <c r="K437" i="49"/>
  <c r="J273" i="49"/>
  <c r="K272" i="49"/>
  <c r="J240" i="49"/>
  <c r="K239" i="49"/>
  <c r="J142" i="49"/>
  <c r="K141" i="49"/>
  <c r="K206" i="49"/>
  <c r="J207" i="49"/>
  <c r="J108" i="49"/>
  <c r="K107" i="49"/>
  <c r="J175" i="49"/>
  <c r="K174" i="49"/>
  <c r="J25" i="21"/>
  <c r="D149" i="21"/>
  <c r="N122" i="21"/>
  <c r="E14" i="21"/>
  <c r="I25" i="21"/>
  <c r="N59" i="48"/>
  <c r="N27" i="48" s="1"/>
  <c r="M60" i="48"/>
  <c r="M27" i="48"/>
  <c r="E15" i="21" l="1"/>
  <c r="E16" i="21" s="1"/>
  <c r="E17" i="21" s="1"/>
  <c r="E18" i="21" s="1"/>
  <c r="E19" i="21" s="1"/>
  <c r="E20" i="21" s="1"/>
  <c r="E21" i="21" s="1"/>
  <c r="E22" i="21" s="1"/>
  <c r="E23" i="21" s="1"/>
  <c r="A150" i="71"/>
  <c r="A151" i="71" s="1"/>
  <c r="B211" i="71"/>
  <c r="F143" i="71"/>
  <c r="K73" i="49"/>
  <c r="J74" i="49"/>
  <c r="J52" i="8"/>
  <c r="G25" i="21"/>
  <c r="B289" i="4"/>
  <c r="K471" i="49"/>
  <c r="J472" i="49"/>
  <c r="F15" i="21"/>
  <c r="F16" i="21" s="1"/>
  <c r="F17" i="21" s="1"/>
  <c r="F18" i="21" s="1"/>
  <c r="F19" i="21" s="1"/>
  <c r="F20" i="21" s="1"/>
  <c r="F21" i="21" s="1"/>
  <c r="F22" i="21" s="1"/>
  <c r="F23" i="21" s="1"/>
  <c r="N92" i="48"/>
  <c r="A69" i="1"/>
  <c r="A70" i="1" s="1"/>
  <c r="K93" i="48"/>
  <c r="L93" i="48"/>
  <c r="L30" i="48" s="1"/>
  <c r="K29" i="48"/>
  <c r="K405" i="49"/>
  <c r="J406" i="49"/>
  <c r="J373" i="49"/>
  <c r="K372" i="49"/>
  <c r="K65" i="48"/>
  <c r="L65" i="48"/>
  <c r="K306" i="49"/>
  <c r="J307" i="49"/>
  <c r="K273" i="49"/>
  <c r="J274" i="49"/>
  <c r="J439" i="49"/>
  <c r="K438" i="49"/>
  <c r="K340" i="49"/>
  <c r="J341" i="49"/>
  <c r="J176" i="49"/>
  <c r="K175" i="49"/>
  <c r="K142" i="49"/>
  <c r="J143" i="49"/>
  <c r="J109" i="49"/>
  <c r="K108" i="49"/>
  <c r="K207" i="49"/>
  <c r="J208" i="49"/>
  <c r="K240" i="49"/>
  <c r="J241" i="49"/>
  <c r="N149" i="21"/>
  <c r="D152" i="21"/>
  <c r="M28" i="48"/>
  <c r="M61" i="48"/>
  <c r="N60" i="48"/>
  <c r="N28" i="48" s="1"/>
  <c r="E25" i="21" l="1"/>
  <c r="A152" i="71"/>
  <c r="A153" i="71" s="1"/>
  <c r="A154" i="71" s="1"/>
  <c r="A155" i="71" s="1"/>
  <c r="A156" i="71" s="1"/>
  <c r="A157" i="71" s="1"/>
  <c r="F151" i="71"/>
  <c r="K74" i="49"/>
  <c r="J75" i="49"/>
  <c r="J473" i="49"/>
  <c r="K472" i="49"/>
  <c r="F25" i="21"/>
  <c r="N93" i="48"/>
  <c r="A73" i="1"/>
  <c r="I86" i="1"/>
  <c r="K94" i="48"/>
  <c r="L94" i="48"/>
  <c r="L31" i="48" s="1"/>
  <c r="K30" i="48"/>
  <c r="K406" i="49"/>
  <c r="J407" i="49"/>
  <c r="J374" i="49"/>
  <c r="K373" i="49"/>
  <c r="K66" i="48"/>
  <c r="L66" i="48"/>
  <c r="K341" i="49"/>
  <c r="J342" i="49"/>
  <c r="J440" i="49"/>
  <c r="K439" i="49"/>
  <c r="J275" i="49"/>
  <c r="K274" i="49"/>
  <c r="J308" i="49"/>
  <c r="K307" i="49"/>
  <c r="J110" i="49"/>
  <c r="K109" i="49"/>
  <c r="K143" i="49"/>
  <c r="J144" i="49"/>
  <c r="J242" i="49"/>
  <c r="K241" i="49"/>
  <c r="K208" i="49"/>
  <c r="J209" i="49"/>
  <c r="K176" i="49"/>
  <c r="J177" i="49"/>
  <c r="D163" i="21"/>
  <c r="N163" i="21" s="1"/>
  <c r="D165" i="21"/>
  <c r="N165" i="21" s="1"/>
  <c r="D159" i="21"/>
  <c r="D169" i="21"/>
  <c r="N169" i="21" s="1"/>
  <c r="D166" i="21"/>
  <c r="N166" i="21" s="1"/>
  <c r="D168" i="21"/>
  <c r="N168" i="21" s="1"/>
  <c r="D160" i="21"/>
  <c r="N160" i="21" s="1"/>
  <c r="D161" i="21"/>
  <c r="N161" i="21" s="1"/>
  <c r="D164" i="21"/>
  <c r="N164" i="21" s="1"/>
  <c r="D170" i="21"/>
  <c r="N170" i="21" s="1"/>
  <c r="D167" i="21"/>
  <c r="N167" i="21" s="1"/>
  <c r="D162" i="21"/>
  <c r="N162" i="21" s="1"/>
  <c r="N152" i="21"/>
  <c r="N61" i="48"/>
  <c r="N29" i="48" s="1"/>
  <c r="M62" i="48"/>
  <c r="M29" i="48"/>
  <c r="F154" i="71" l="1"/>
  <c r="F157" i="71"/>
  <c r="F155" i="71"/>
  <c r="B37" i="31"/>
  <c r="A163" i="71"/>
  <c r="A164" i="71" s="1"/>
  <c r="A165" i="71" s="1"/>
  <c r="A166" i="71" s="1"/>
  <c r="A167" i="71" s="1"/>
  <c r="A168" i="71" s="1"/>
  <c r="A169" i="71" s="1"/>
  <c r="A170" i="71" s="1"/>
  <c r="A171" i="71" s="1"/>
  <c r="A172" i="71" s="1"/>
  <c r="A173" i="71" s="1"/>
  <c r="A176" i="71" s="1"/>
  <c r="A177" i="71" s="1"/>
  <c r="A184" i="71" s="1"/>
  <c r="A185" i="71" s="1"/>
  <c r="A186" i="71" s="1"/>
  <c r="A187" i="71" s="1"/>
  <c r="A188" i="71" s="1"/>
  <c r="A189" i="71" s="1"/>
  <c r="A190" i="71" s="1"/>
  <c r="A191" i="71" s="1"/>
  <c r="A192" i="71" s="1"/>
  <c r="A193" i="71" s="1"/>
  <c r="A194" i="71" s="1"/>
  <c r="A197" i="71" s="1"/>
  <c r="A198" i="71" s="1"/>
  <c r="F156" i="71"/>
  <c r="K75" i="49"/>
  <c r="J76" i="49"/>
  <c r="J474" i="49"/>
  <c r="K473" i="49"/>
  <c r="N94" i="48"/>
  <c r="A75" i="1"/>
  <c r="I82" i="1" s="1"/>
  <c r="I75" i="1"/>
  <c r="K95" i="48"/>
  <c r="L95" i="48"/>
  <c r="L32" i="48" s="1"/>
  <c r="K31" i="48"/>
  <c r="J408" i="49"/>
  <c r="K407" i="49"/>
  <c r="K374" i="49"/>
  <c r="J375" i="49"/>
  <c r="K67" i="48"/>
  <c r="L67" i="48"/>
  <c r="K308" i="49"/>
  <c r="J309" i="49"/>
  <c r="K275" i="49"/>
  <c r="J276" i="49"/>
  <c r="J441" i="49"/>
  <c r="K440" i="49"/>
  <c r="J343" i="49"/>
  <c r="K343" i="49" s="1"/>
  <c r="K342" i="49"/>
  <c r="K144" i="49"/>
  <c r="J145" i="49"/>
  <c r="K145" i="49" s="1"/>
  <c r="J178" i="49"/>
  <c r="K178" i="49" s="1"/>
  <c r="K177" i="49"/>
  <c r="K110" i="49"/>
  <c r="J111" i="49"/>
  <c r="K209" i="49"/>
  <c r="J210" i="49"/>
  <c r="K242" i="49"/>
  <c r="J243" i="49"/>
  <c r="D13" i="21"/>
  <c r="J35" i="21" s="1"/>
  <c r="N159" i="21"/>
  <c r="N171" i="21" s="1"/>
  <c r="D171" i="21"/>
  <c r="N62" i="48"/>
  <c r="N30" i="48" s="1"/>
  <c r="M30" i="48"/>
  <c r="M63" i="48"/>
  <c r="K179" i="49" l="1"/>
  <c r="F11" i="71" s="1"/>
  <c r="K76" i="49"/>
  <c r="J77" i="49"/>
  <c r="K344" i="49"/>
  <c r="F16" i="71" s="1"/>
  <c r="K146" i="49"/>
  <c r="G27" i="11" s="1"/>
  <c r="K474" i="49"/>
  <c r="J475" i="49"/>
  <c r="K475" i="49" s="1"/>
  <c r="N95" i="48"/>
  <c r="A80" i="1"/>
  <c r="I81" i="1"/>
  <c r="K96" i="48"/>
  <c r="L96" i="48"/>
  <c r="L33" i="48" s="1"/>
  <c r="K32" i="48"/>
  <c r="K408" i="49"/>
  <c r="J409" i="49"/>
  <c r="K409" i="49" s="1"/>
  <c r="K375" i="49"/>
  <c r="J376" i="49"/>
  <c r="K376" i="49" s="1"/>
  <c r="K68" i="48"/>
  <c r="L68" i="48"/>
  <c r="K309" i="49"/>
  <c r="J310" i="49"/>
  <c r="K310" i="49" s="1"/>
  <c r="K276" i="49"/>
  <c r="J277" i="49"/>
  <c r="K277" i="49" s="1"/>
  <c r="J442" i="49"/>
  <c r="K442" i="49" s="1"/>
  <c r="K441" i="49"/>
  <c r="J112" i="49"/>
  <c r="K111" i="49"/>
  <c r="K210" i="49"/>
  <c r="J211" i="49"/>
  <c r="K211" i="49" s="1"/>
  <c r="K243" i="49"/>
  <c r="J244" i="49"/>
  <c r="K244" i="49" s="1"/>
  <c r="K245" i="49" s="1"/>
  <c r="D14" i="21"/>
  <c r="J36" i="21" s="1"/>
  <c r="M64" i="48"/>
  <c r="M31" i="48"/>
  <c r="N63" i="48"/>
  <c r="N31" i="48" s="1"/>
  <c r="K410" i="49" l="1"/>
  <c r="F10" i="71"/>
  <c r="K311" i="49"/>
  <c r="G33" i="11"/>
  <c r="G28" i="11"/>
  <c r="J78" i="49"/>
  <c r="K77" i="49"/>
  <c r="K476" i="49"/>
  <c r="G37" i="11" s="1"/>
  <c r="K443" i="49"/>
  <c r="G36" i="11" s="1"/>
  <c r="K377" i="49"/>
  <c r="F17" i="71" s="1"/>
  <c r="K212" i="49"/>
  <c r="G29" i="11" s="1"/>
  <c r="N96" i="48"/>
  <c r="A81" i="1"/>
  <c r="I90" i="1"/>
  <c r="K97" i="48"/>
  <c r="L97" i="48"/>
  <c r="L34" i="48" s="1"/>
  <c r="K33" i="48"/>
  <c r="G35" i="11"/>
  <c r="F18" i="71"/>
  <c r="K278" i="49"/>
  <c r="G31" i="11" s="1"/>
  <c r="G32" i="11"/>
  <c r="F15" i="71"/>
  <c r="F13" i="71"/>
  <c r="G30" i="11"/>
  <c r="K112" i="49"/>
  <c r="K78" i="49" s="1"/>
  <c r="D15" i="21"/>
  <c r="J37" i="21" s="1"/>
  <c r="N64" i="48"/>
  <c r="N32" i="48" s="1"/>
  <c r="M32" i="48"/>
  <c r="M65" i="48"/>
  <c r="F20" i="71" l="1"/>
  <c r="K79" i="49"/>
  <c r="F19" i="71"/>
  <c r="G34" i="11"/>
  <c r="F12" i="71"/>
  <c r="F14" i="71"/>
  <c r="A82" i="1"/>
  <c r="I80" i="1" s="1"/>
  <c r="I91" i="1"/>
  <c r="K98" i="48"/>
  <c r="L98" i="48"/>
  <c r="L35" i="48" s="1"/>
  <c r="K34" i="48"/>
  <c r="K113" i="49"/>
  <c r="D16" i="21"/>
  <c r="J38" i="21" s="1"/>
  <c r="M66" i="48"/>
  <c r="M33" i="48"/>
  <c r="N65" i="48"/>
  <c r="N33" i="48" s="1"/>
  <c r="N98" i="48" l="1"/>
  <c r="N97" i="48"/>
  <c r="G93" i="12"/>
  <c r="I15" i="12"/>
  <c r="F99" i="8"/>
  <c r="A85" i="1"/>
  <c r="A86" i="1" s="1"/>
  <c r="A87" i="1" s="1"/>
  <c r="I83" i="1"/>
  <c r="K99" i="48"/>
  <c r="K36" i="48" s="1"/>
  <c r="L99" i="48"/>
  <c r="L36" i="48" s="1"/>
  <c r="K35" i="48"/>
  <c r="F9" i="71"/>
  <c r="G26" i="11"/>
  <c r="G40" i="11" s="1"/>
  <c r="D82" i="7"/>
  <c r="D84" i="7" s="1"/>
  <c r="C42" i="57"/>
  <c r="D17" i="21"/>
  <c r="J39" i="21" s="1"/>
  <c r="N66" i="48"/>
  <c r="M67" i="48"/>
  <c r="M34" i="48"/>
  <c r="F23" i="71" l="1"/>
  <c r="E120" i="71" s="1"/>
  <c r="E122" i="71" s="1"/>
  <c r="N34" i="48"/>
  <c r="K37" i="48"/>
  <c r="C41" i="57" s="1"/>
  <c r="E41" i="57" s="1"/>
  <c r="N99" i="48"/>
  <c r="A90" i="1"/>
  <c r="G100" i="12"/>
  <c r="I92" i="1"/>
  <c r="E42" i="57"/>
  <c r="D18" i="21"/>
  <c r="J40" i="21" s="1"/>
  <c r="N67" i="48"/>
  <c r="N35" i="48" s="1"/>
  <c r="M68" i="48"/>
  <c r="M35" i="48"/>
  <c r="D141" i="71" l="1"/>
  <c r="D140" i="71"/>
  <c r="D135" i="71"/>
  <c r="E190" i="71" s="1"/>
  <c r="D136" i="71"/>
  <c r="E191" i="71" s="1"/>
  <c r="D129" i="71"/>
  <c r="E163" i="71" s="1"/>
  <c r="E123" i="71"/>
  <c r="E124" i="71" s="1"/>
  <c r="E135" i="71" s="1"/>
  <c r="D133" i="71"/>
  <c r="E188" i="71" s="1"/>
  <c r="D139" i="71"/>
  <c r="E194" i="71" s="1"/>
  <c r="D132" i="71"/>
  <c r="E166" i="71" s="1"/>
  <c r="D138" i="71"/>
  <c r="E172" i="71" s="1"/>
  <c r="D137" i="71"/>
  <c r="E192" i="71" s="1"/>
  <c r="D134" i="71"/>
  <c r="E189" i="71" s="1"/>
  <c r="D130" i="71"/>
  <c r="E164" i="71" s="1"/>
  <c r="D131" i="71"/>
  <c r="E165" i="71" s="1"/>
  <c r="E150" i="71"/>
  <c r="E151" i="71" s="1"/>
  <c r="E154" i="71" s="1"/>
  <c r="E157" i="71" s="1"/>
  <c r="C43" i="57"/>
  <c r="E43" i="57"/>
  <c r="E21" i="7"/>
  <c r="F97" i="8"/>
  <c r="A91" i="1"/>
  <c r="D19" i="21"/>
  <c r="J41" i="21" s="1"/>
  <c r="M36" i="48"/>
  <c r="N68" i="48"/>
  <c r="N36" i="48" s="1"/>
  <c r="N37" i="48" s="1"/>
  <c r="D78" i="7" s="1"/>
  <c r="E167" i="71" l="1"/>
  <c r="E173" i="71"/>
  <c r="E174" i="71"/>
  <c r="G174" i="71" s="1"/>
  <c r="E195" i="71"/>
  <c r="G195" i="71" s="1"/>
  <c r="E175" i="71"/>
  <c r="G175" i="71" s="1"/>
  <c r="E196" i="71"/>
  <c r="G196" i="71" s="1"/>
  <c r="E170" i="71"/>
  <c r="F170" i="71" s="1"/>
  <c r="G170" i="71" s="1"/>
  <c r="E130" i="71"/>
  <c r="E134" i="71"/>
  <c r="E155" i="71"/>
  <c r="E156" i="71" s="1"/>
  <c r="E169" i="71"/>
  <c r="F169" i="71" s="1"/>
  <c r="G169" i="71" s="1"/>
  <c r="E139" i="71"/>
  <c r="E133" i="71"/>
  <c r="E140" i="71"/>
  <c r="E141" i="71"/>
  <c r="E131" i="71"/>
  <c r="E193" i="71"/>
  <c r="F193" i="71" s="1"/>
  <c r="G193" i="71" s="1"/>
  <c r="E138" i="71"/>
  <c r="E184" i="71"/>
  <c r="F184" i="71" s="1"/>
  <c r="G184" i="71" s="1"/>
  <c r="E136" i="71"/>
  <c r="E137" i="71"/>
  <c r="E129" i="71"/>
  <c r="E187" i="71"/>
  <c r="F187" i="71" s="1"/>
  <c r="G187" i="71" s="1"/>
  <c r="E185" i="71"/>
  <c r="F185" i="71" s="1"/>
  <c r="G185" i="71" s="1"/>
  <c r="E186" i="71"/>
  <c r="F186" i="71" s="1"/>
  <c r="G186" i="71" s="1"/>
  <c r="E132" i="71"/>
  <c r="D143" i="71"/>
  <c r="E168" i="71"/>
  <c r="F168" i="71" s="1"/>
  <c r="G168" i="71" s="1"/>
  <c r="E171" i="71"/>
  <c r="F171" i="71" s="1"/>
  <c r="G171" i="71" s="1"/>
  <c r="C45" i="57"/>
  <c r="B9" i="31" s="1"/>
  <c r="D45" i="57"/>
  <c r="B10" i="31" s="1"/>
  <c r="F98" i="8"/>
  <c r="A92" i="1"/>
  <c r="A93" i="1" s="1"/>
  <c r="F172" i="71"/>
  <c r="G172" i="71" s="1"/>
  <c r="F190" i="71"/>
  <c r="G190" i="71" s="1"/>
  <c r="F167" i="71"/>
  <c r="G167" i="71" s="1"/>
  <c r="F192" i="71"/>
  <c r="G192" i="71" s="1"/>
  <c r="F164" i="71"/>
  <c r="G164" i="71" s="1"/>
  <c r="F189" i="71"/>
  <c r="G189" i="71" s="1"/>
  <c r="F188" i="71"/>
  <c r="G188" i="71" s="1"/>
  <c r="F163" i="71"/>
  <c r="F191" i="71"/>
  <c r="G191" i="71" s="1"/>
  <c r="F173" i="71"/>
  <c r="G173" i="71" s="1"/>
  <c r="E19" i="31"/>
  <c r="D19" i="31"/>
  <c r="F165" i="71"/>
  <c r="G165" i="71" s="1"/>
  <c r="F166" i="71"/>
  <c r="G166" i="71" s="1"/>
  <c r="F194" i="71"/>
  <c r="G194" i="71" s="1"/>
  <c r="D20" i="21"/>
  <c r="J42" i="21" s="1"/>
  <c r="I93" i="1" l="1"/>
  <c r="E198" i="71"/>
  <c r="E143" i="71"/>
  <c r="E177" i="71"/>
  <c r="I95" i="1"/>
  <c r="A95" i="1"/>
  <c r="F28" i="71"/>
  <c r="I97" i="1"/>
  <c r="G198" i="71"/>
  <c r="F198" i="71"/>
  <c r="F177" i="71"/>
  <c r="G163" i="71"/>
  <c r="G177" i="71" s="1"/>
  <c r="D21" i="21"/>
  <c r="J43" i="21" s="1"/>
  <c r="F35" i="71" l="1"/>
  <c r="A97" i="1"/>
  <c r="E22" i="7"/>
  <c r="I118" i="1"/>
  <c r="D22" i="21"/>
  <c r="J44" i="21" s="1"/>
  <c r="A102" i="1" l="1"/>
  <c r="I133" i="1"/>
  <c r="D23" i="21"/>
  <c r="J45" i="21" s="1"/>
  <c r="A103" i="1" l="1"/>
  <c r="A104" i="1" s="1"/>
  <c r="J47" i="21"/>
  <c r="D25" i="21"/>
  <c r="J18" i="8" l="1"/>
  <c r="I104" i="1"/>
  <c r="H43" i="8"/>
  <c r="A107" i="1"/>
  <c r="F36" i="71"/>
  <c r="I16" i="12"/>
  <c r="E23" i="7"/>
  <c r="I119" i="1"/>
  <c r="J21" i="8" l="1"/>
  <c r="A108" i="1"/>
  <c r="A109" i="1" s="1"/>
  <c r="A110" i="1" s="1"/>
  <c r="I120" i="1" l="1"/>
  <c r="A112" i="1"/>
  <c r="A114" i="1" l="1"/>
  <c r="I134" i="1"/>
  <c r="H46" i="8" l="1"/>
  <c r="I112" i="1"/>
  <c r="A126" i="1"/>
  <c r="A127" i="1" l="1"/>
  <c r="I17" i="1" s="1"/>
  <c r="H49" i="8"/>
  <c r="I139" i="1"/>
  <c r="E72" i="7" l="1"/>
  <c r="H50" i="8"/>
  <c r="A128" i="1"/>
  <c r="H51" i="8" l="1"/>
  <c r="A129" i="1"/>
  <c r="A130" i="1" l="1"/>
  <c r="H52" i="8"/>
  <c r="A131" i="1" l="1"/>
  <c r="H53" i="8"/>
  <c r="A132" i="1" l="1"/>
  <c r="H54" i="8"/>
  <c r="H55" i="8" l="1"/>
  <c r="A133" i="1"/>
  <c r="A134" i="1" s="1"/>
  <c r="A135" i="1" s="1"/>
  <c r="A136" i="1" l="1"/>
  <c r="H58" i="8"/>
  <c r="A137" i="1" l="1"/>
  <c r="A139" i="1" s="1"/>
  <c r="H59" i="8"/>
  <c r="I141" i="1" l="1"/>
  <c r="E70" i="7"/>
  <c r="I142" i="1"/>
  <c r="A141" i="1"/>
  <c r="A142" i="1" s="1"/>
  <c r="I144" i="1" l="1"/>
  <c r="A144" i="1"/>
  <c r="I149" i="1" l="1"/>
  <c r="A149" i="1"/>
  <c r="A150" i="1" l="1"/>
  <c r="A151" i="1" s="1"/>
  <c r="A153" i="1" s="1"/>
  <c r="A155" i="1" s="1"/>
  <c r="I155" i="1" l="1"/>
  <c r="A158" i="1"/>
  <c r="I158" i="1"/>
  <c r="A159" i="1" l="1"/>
  <c r="A160" i="1" s="1"/>
  <c r="G4" i="31" s="1"/>
  <c r="I160" i="1" l="1"/>
  <c r="G107" i="61" l="1"/>
  <c r="I107" i="61" s="1"/>
  <c r="N119" i="61"/>
  <c r="G131" i="61"/>
  <c r="I131" i="61" s="1"/>
  <c r="G143" i="61"/>
  <c r="I143" i="61" s="1"/>
  <c r="N155" i="61"/>
  <c r="G137" i="61"/>
  <c r="I137" i="61" s="1"/>
  <c r="G130" i="61"/>
  <c r="I130" i="61" s="1"/>
  <c r="G96" i="61"/>
  <c r="I96" i="61" s="1"/>
  <c r="J108" i="61"/>
  <c r="G120" i="61"/>
  <c r="I120" i="61" s="1"/>
  <c r="G132" i="61"/>
  <c r="I132" i="61" s="1"/>
  <c r="G144" i="61"/>
  <c r="I144" i="61" s="1"/>
  <c r="G156" i="61"/>
  <c r="I156" i="61" s="1"/>
  <c r="G94" i="61"/>
  <c r="I94" i="61" s="1"/>
  <c r="G142" i="61"/>
  <c r="I142" i="61" s="1"/>
  <c r="G97" i="61"/>
  <c r="I97" i="61" s="1"/>
  <c r="J109" i="61"/>
  <c r="M109" i="61" s="1"/>
  <c r="N121" i="61"/>
  <c r="G133" i="61"/>
  <c r="I133" i="61" s="1"/>
  <c r="H145" i="61"/>
  <c r="G157" i="61"/>
  <c r="I157" i="61" s="1"/>
  <c r="N149" i="61"/>
  <c r="J118" i="61"/>
  <c r="M118" i="61" s="1"/>
  <c r="G98" i="61"/>
  <c r="I98" i="61" s="1"/>
  <c r="J110" i="61"/>
  <c r="M110" i="61" s="1"/>
  <c r="N122" i="61"/>
  <c r="G134" i="61"/>
  <c r="I134" i="61" s="1"/>
  <c r="G146" i="61"/>
  <c r="I146" i="61" s="1"/>
  <c r="G158" i="61"/>
  <c r="I158" i="61" s="1"/>
  <c r="H101" i="61"/>
  <c r="G99" i="61"/>
  <c r="I99" i="61" s="1"/>
  <c r="J111" i="61"/>
  <c r="M111" i="61" s="1"/>
  <c r="N123" i="61"/>
  <c r="G135" i="61"/>
  <c r="I135" i="61" s="1"/>
  <c r="G147" i="61"/>
  <c r="H147" i="61" s="1"/>
  <c r="I147" i="61" s="1"/>
  <c r="G159" i="61"/>
  <c r="I159" i="61" s="1"/>
  <c r="N125" i="61"/>
  <c r="J112" i="61"/>
  <c r="M112" i="61" s="1"/>
  <c r="N124" i="61"/>
  <c r="G136" i="61"/>
  <c r="I136" i="61" s="1"/>
  <c r="J148" i="61"/>
  <c r="M148" i="61" s="1"/>
  <c r="G93" i="61"/>
  <c r="I93" i="61" s="1"/>
  <c r="J113" i="61"/>
  <c r="M113" i="61" s="1"/>
  <c r="G106" i="61"/>
  <c r="I106" i="61" s="1"/>
  <c r="G102" i="61"/>
  <c r="I102" i="61" s="1"/>
  <c r="J114" i="61"/>
  <c r="M114" i="61" s="1"/>
  <c r="N126" i="61"/>
  <c r="G138" i="61"/>
  <c r="I138" i="61" s="1"/>
  <c r="N150" i="61"/>
  <c r="G95" i="61"/>
  <c r="I95" i="61" s="1"/>
  <c r="G103" i="61"/>
  <c r="I103" i="61" s="1"/>
  <c r="J115" i="61"/>
  <c r="M115" i="61" s="1"/>
  <c r="J127" i="61"/>
  <c r="M127" i="61" s="1"/>
  <c r="G139" i="61"/>
  <c r="I139" i="61" s="1"/>
  <c r="G151" i="61"/>
  <c r="I151" i="61" s="1"/>
  <c r="N154" i="61"/>
  <c r="G104" i="61"/>
  <c r="I104" i="61" s="1"/>
  <c r="J116" i="61"/>
  <c r="M116" i="61" s="1"/>
  <c r="J128" i="61"/>
  <c r="M128" i="61" s="1"/>
  <c r="N140" i="61"/>
  <c r="G152" i="61"/>
  <c r="I152" i="61" s="1"/>
  <c r="G105" i="61"/>
  <c r="I105" i="61" s="1"/>
  <c r="J117" i="61"/>
  <c r="M117" i="61" s="1"/>
  <c r="G129" i="61"/>
  <c r="I129" i="61" s="1"/>
  <c r="N141" i="61"/>
  <c r="N153" i="61"/>
  <c r="E266" i="61" l="1"/>
  <c r="E267" i="61" s="1"/>
  <c r="E163" i="61"/>
  <c r="E260" i="61" s="1"/>
  <c r="G92" i="61"/>
  <c r="I92" i="61" s="1"/>
  <c r="M108" i="61"/>
  <c r="E268" i="61" s="1"/>
  <c r="J163" i="61"/>
  <c r="J260" i="61" s="1"/>
  <c r="N145" i="61"/>
  <c r="G145" i="61"/>
  <c r="N101" i="61"/>
  <c r="G101" i="61"/>
  <c r="G100" i="61"/>
  <c r="H100" i="61"/>
  <c r="H163" i="61" s="1"/>
  <c r="H260" i="61" s="1"/>
  <c r="G163" i="61" l="1"/>
  <c r="G260" i="61" s="1"/>
  <c r="N163" i="61"/>
  <c r="N260" i="61" s="1"/>
  <c r="M163" i="61"/>
  <c r="M260" i="61" s="1"/>
  <c r="E269" i="61"/>
  <c r="E270" i="61" s="1"/>
  <c r="E272" i="61" s="1"/>
  <c r="E273" i="61" s="1"/>
  <c r="E276" i="61" s="1"/>
  <c r="K132" i="1" s="1"/>
  <c r="I100" i="61"/>
  <c r="I163" i="61" s="1"/>
  <c r="I260" i="61" s="1"/>
  <c r="J55" i="8" l="1"/>
  <c r="K139" i="1"/>
  <c r="K141" i="1" l="1"/>
  <c r="D70" i="7"/>
  <c r="D71" i="7" s="1"/>
  <c r="D73" i="7" s="1"/>
  <c r="D79" i="7" s="1"/>
  <c r="D80" i="7" s="1"/>
  <c r="D86" i="7" s="1"/>
  <c r="K142" i="1"/>
  <c r="H20" i="86" l="1"/>
  <c r="K144" i="1"/>
  <c r="D88" i="7"/>
  <c r="D89" i="7"/>
  <c r="H21" i="86" s="1"/>
  <c r="H22" i="86" l="1"/>
  <c r="H24" i="86" s="1"/>
  <c r="K159" i="1" s="1"/>
  <c r="K149" i="1"/>
  <c r="C6" i="9"/>
  <c r="D91" i="7"/>
  <c r="K150" i="1" s="1"/>
  <c r="C7" i="9" l="1"/>
  <c r="J29" i="8" l="1"/>
  <c r="J41" i="8" l="1"/>
  <c r="F90" i="12"/>
  <c r="F92" i="12" s="1"/>
  <c r="F94" i="12" s="1"/>
  <c r="F98" i="12" s="1"/>
  <c r="F101" i="12" s="1"/>
  <c r="J34" i="8"/>
  <c r="J38" i="8"/>
  <c r="J56" i="8" l="1"/>
  <c r="J57" i="8"/>
  <c r="J60" i="8" l="1"/>
  <c r="J65" i="8" l="1"/>
  <c r="E69" i="8" l="1"/>
  <c r="E71" i="8" l="1"/>
  <c r="E73" i="8"/>
  <c r="E75" i="8" l="1"/>
  <c r="E14" i="65" l="1"/>
  <c r="E29" i="65" l="1"/>
  <c r="H29" i="65" s="1"/>
  <c r="E32" i="65"/>
  <c r="H32" i="65" s="1"/>
  <c r="E28" i="65"/>
  <c r="H28" i="65" s="1"/>
  <c r="E26" i="65"/>
  <c r="H26" i="65" s="1"/>
  <c r="E25" i="65"/>
  <c r="H25" i="65" s="1"/>
  <c r="J25" i="65" s="1"/>
  <c r="K25" i="65" s="1"/>
  <c r="L25" i="65" s="1"/>
  <c r="E36" i="65"/>
  <c r="H36" i="65" s="1"/>
  <c r="E30" i="65"/>
  <c r="H30" i="65" s="1"/>
  <c r="E35" i="65"/>
  <c r="H35" i="65" s="1"/>
  <c r="E33" i="65"/>
  <c r="H33" i="65" s="1"/>
  <c r="E27" i="65"/>
  <c r="H27" i="65" s="1"/>
  <c r="E34" i="65"/>
  <c r="H34" i="65" s="1"/>
  <c r="E31" i="65"/>
  <c r="H31" i="65" s="1"/>
  <c r="J26" i="65" l="1"/>
  <c r="K26" i="65" s="1"/>
  <c r="L26" i="65" s="1"/>
  <c r="J27" i="65" s="1"/>
  <c r="K27" i="65" s="1"/>
  <c r="L27" i="65" s="1"/>
  <c r="J28" i="65" s="1"/>
  <c r="K28" i="65" s="1"/>
  <c r="L28" i="65" s="1"/>
  <c r="J29" i="65" s="1"/>
  <c r="K29" i="65" s="1"/>
  <c r="L29" i="65" s="1"/>
  <c r="J30" i="65" s="1"/>
  <c r="K30" i="65" s="1"/>
  <c r="L30" i="65" s="1"/>
  <c r="J31" i="65" s="1"/>
  <c r="K31" i="65" s="1"/>
  <c r="L31" i="65" s="1"/>
  <c r="J32" i="65" s="1"/>
  <c r="K32" i="65" s="1"/>
  <c r="L32" i="65" s="1"/>
  <c r="J33" i="65" s="1"/>
  <c r="K33" i="65" s="1"/>
  <c r="L33" i="65" s="1"/>
  <c r="J34" i="65" s="1"/>
  <c r="K34" i="65" s="1"/>
  <c r="L34" i="65" s="1"/>
  <c r="J35" i="65" s="1"/>
  <c r="K35" i="65" s="1"/>
  <c r="L35" i="65" s="1"/>
  <c r="J36" i="65" s="1"/>
  <c r="K36" i="65" s="1"/>
  <c r="L36" i="65" s="1"/>
  <c r="E40" i="65" s="1"/>
  <c r="E42" i="65" s="1"/>
  <c r="E43" i="65" s="1"/>
  <c r="E44" i="65" s="1"/>
  <c r="K151" i="1" s="1"/>
  <c r="K155" i="1" l="1"/>
  <c r="C8" i="9"/>
  <c r="C11" i="9" s="1"/>
  <c r="D4" i="53" l="1"/>
  <c r="D26" i="53" s="1"/>
  <c r="K158" i="1"/>
  <c r="D12" i="53" l="1"/>
  <c r="D46" i="53" s="1"/>
  <c r="D21" i="53"/>
  <c r="L21" i="53" s="1"/>
  <c r="D19" i="53"/>
  <c r="H37" i="53" s="1"/>
  <c r="J37" i="53" s="1"/>
  <c r="D17" i="53"/>
  <c r="L17" i="53" s="1"/>
  <c r="D16" i="53"/>
  <c r="L16" i="53" s="1"/>
  <c r="D24" i="53"/>
  <c r="L24" i="53" s="1"/>
  <c r="D23" i="53"/>
  <c r="L23" i="53" s="1"/>
  <c r="D22" i="53"/>
  <c r="L22" i="53" s="1"/>
  <c r="D20" i="53"/>
  <c r="L20" i="53" s="1"/>
  <c r="D15" i="53"/>
  <c r="D48" i="53" s="1"/>
  <c r="D25" i="53"/>
  <c r="L25" i="53" s="1"/>
  <c r="D13" i="53"/>
  <c r="K13" i="53" s="1"/>
  <c r="M14" i="53" s="1"/>
  <c r="N14" i="53" s="1"/>
  <c r="L14" i="53" s="1"/>
  <c r="D18" i="53"/>
  <c r="H36" i="53" s="1"/>
  <c r="J36" i="53" s="1"/>
  <c r="K160" i="1"/>
  <c r="D59" i="53"/>
  <c r="K26" i="53"/>
  <c r="L19" i="53" l="1"/>
  <c r="C36" i="53"/>
  <c r="E36" i="53" s="1"/>
  <c r="I54" i="53" s="1"/>
  <c r="I47" i="53" s="1"/>
  <c r="E47" i="53" s="1"/>
  <c r="K12" i="53"/>
  <c r="K15" i="53"/>
  <c r="D28" i="53"/>
  <c r="C37" i="53"/>
  <c r="E37" i="53" s="1"/>
  <c r="I55" i="53" s="1"/>
  <c r="E55" i="53" s="1"/>
  <c r="C38" i="53"/>
  <c r="E38" i="53" s="1"/>
  <c r="I56" i="53" s="1"/>
  <c r="E56" i="53" s="1"/>
  <c r="L18" i="53"/>
  <c r="H38" i="53"/>
  <c r="J38" i="53" s="1"/>
  <c r="D56" i="53" s="1"/>
  <c r="B4" i="31"/>
  <c r="D18" i="31" s="1"/>
  <c r="E18" i="31" s="1"/>
  <c r="E20" i="31" s="1"/>
  <c r="H54" i="53"/>
  <c r="D54" i="53"/>
  <c r="D51" i="53"/>
  <c r="D52" i="53"/>
  <c r="D55" i="53"/>
  <c r="H55" i="53"/>
  <c r="C48" i="53"/>
  <c r="G48" i="53"/>
  <c r="G46" i="53"/>
  <c r="C46" i="53"/>
  <c r="C59" i="53"/>
  <c r="G59" i="53"/>
  <c r="I57" i="53" l="1"/>
  <c r="E57" i="53" s="1"/>
  <c r="D57" i="53" s="1"/>
  <c r="I49" i="53"/>
  <c r="E49" i="53" s="1"/>
  <c r="D49" i="53" s="1"/>
  <c r="C49" i="53" s="1"/>
  <c r="E54" i="53"/>
  <c r="C54" i="53" s="1"/>
  <c r="I50" i="53"/>
  <c r="E50" i="53" s="1"/>
  <c r="D50" i="53" s="1"/>
  <c r="H50" i="53" s="1"/>
  <c r="I58" i="53"/>
  <c r="E58" i="53" s="1"/>
  <c r="D58" i="53" s="1"/>
  <c r="C58" i="53" s="1"/>
  <c r="C56" i="53"/>
  <c r="H56" i="53"/>
  <c r="C55" i="53"/>
  <c r="F18" i="31"/>
  <c r="F20" i="31" s="1"/>
  <c r="D20" i="31"/>
  <c r="D53" i="53"/>
  <c r="M53" i="53" s="1"/>
  <c r="D47" i="53"/>
  <c r="H47" i="53"/>
  <c r="C52" i="53"/>
  <c r="M52" i="53"/>
  <c r="H52" i="53"/>
  <c r="M51" i="53"/>
  <c r="C51" i="53"/>
  <c r="H51" i="53"/>
  <c r="K57" i="53" l="1"/>
  <c r="H49" i="53"/>
  <c r="C50" i="53"/>
  <c r="M49" i="53"/>
  <c r="M50" i="53" s="1"/>
  <c r="H58" i="53"/>
  <c r="H53" i="53"/>
  <c r="C53" i="53"/>
  <c r="E61" i="53"/>
  <c r="B8" i="31" s="1"/>
  <c r="D24" i="31" s="1"/>
  <c r="D27" i="31" s="1"/>
  <c r="H57" i="53"/>
  <c r="J57" i="53" s="1"/>
  <c r="C57" i="53"/>
  <c r="M47" i="53"/>
  <c r="C47" i="53"/>
  <c r="G47" i="53"/>
  <c r="D61" i="53"/>
  <c r="E24" i="31" l="1"/>
  <c r="E27" i="31" s="1"/>
  <c r="E20" i="32" s="1"/>
  <c r="E22" i="32" s="1"/>
  <c r="F24" i="31"/>
  <c r="F27" i="31" s="1"/>
  <c r="E12" i="32" s="1"/>
  <c r="E14" i="32" s="1"/>
  <c r="C61" i="53"/>
  <c r="E26" i="32" l="1"/>
  <c r="E28" i="32" s="1"/>
</calcChain>
</file>

<file path=xl/sharedStrings.xml><?xml version="1.0" encoding="utf-8"?>
<sst xmlns="http://schemas.openxmlformats.org/spreadsheetml/2006/main" count="6962" uniqueCount="3111">
  <si>
    <t xml:space="preserve"> Attachment 2 to Appendix IX</t>
  </si>
  <si>
    <t>Formula Rate Spreadsheet</t>
  </si>
  <si>
    <t>Table of Contents</t>
  </si>
  <si>
    <t>Worksheet Name</t>
  </si>
  <si>
    <t>Schedule</t>
  </si>
  <si>
    <t>Purpose</t>
  </si>
  <si>
    <t>Overview</t>
  </si>
  <si>
    <t>Base TRR Components.</t>
  </si>
  <si>
    <t>BaseTRR</t>
  </si>
  <si>
    <t>Full Development of Retail and Wholesale Base TRRs</t>
  </si>
  <si>
    <t>IFPTRR</t>
  </si>
  <si>
    <t>Calculation of the Incremental Forecast Period TRR</t>
  </si>
  <si>
    <t>TrueUpAdjust</t>
  </si>
  <si>
    <t>Calculation of the True Up Adjustment</t>
  </si>
  <si>
    <t>TUTRR</t>
  </si>
  <si>
    <t>Calculation of the True Up TRR</t>
  </si>
  <si>
    <t>ROR</t>
  </si>
  <si>
    <t>Determination of Capital Structure</t>
  </si>
  <si>
    <t>PlantInService</t>
  </si>
  <si>
    <t xml:space="preserve">Determination of Plant In Service balances </t>
  </si>
  <si>
    <t>PlantStudy</t>
  </si>
  <si>
    <t>Summary of Split of T&amp;D Plant into ISO and Non-ISO</t>
  </si>
  <si>
    <t>AccDep</t>
  </si>
  <si>
    <t>Calculation of Accumulated Depreciation</t>
  </si>
  <si>
    <t>ADIT</t>
  </si>
  <si>
    <t>Calculation of Accumulated Deferred Income Taxes</t>
  </si>
  <si>
    <t>CWIP</t>
  </si>
  <si>
    <t>Presentation of Prior Year CWIP and Forecast Period Incremental CWIP</t>
  </si>
  <si>
    <t>PHFU</t>
  </si>
  <si>
    <t>Calculation of Plant Held for Future Use</t>
  </si>
  <si>
    <t>AbandonedPlant</t>
  </si>
  <si>
    <t>Calculation of Abandoned Plant</t>
  </si>
  <si>
    <t>WorkCap</t>
  </si>
  <si>
    <t xml:space="preserve">Calculation of Materials and Supplies and Prepayments </t>
  </si>
  <si>
    <t>IncentivePlant</t>
  </si>
  <si>
    <t>Summary of Incentive Plant balances in the Prior Year</t>
  </si>
  <si>
    <t>IncentiveAdder</t>
  </si>
  <si>
    <t>Calculation of Incentive Adder component of the Prior Year TRR</t>
  </si>
  <si>
    <t>PlantAdditions</t>
  </si>
  <si>
    <t>Forecast Additions to Net Plant</t>
  </si>
  <si>
    <t>Depreciation</t>
  </si>
  <si>
    <t>Calculation of Depreciation Expense</t>
  </si>
  <si>
    <t>DepRates</t>
  </si>
  <si>
    <t>Presentation of Depreciation Rates</t>
  </si>
  <si>
    <t>OandM</t>
  </si>
  <si>
    <t>Calculation of Operations and Maintenance Expense</t>
  </si>
  <si>
    <t>AandG</t>
  </si>
  <si>
    <t>Calculation of Administrative and General Expense</t>
  </si>
  <si>
    <t>RevenueCredits</t>
  </si>
  <si>
    <t>Calculation of Revenue Credits</t>
  </si>
  <si>
    <t>NUCs</t>
  </si>
  <si>
    <t>Calculation of Network Upgrade Credits and Network Upgrade Interest Expense</t>
  </si>
  <si>
    <t>RegAssets</t>
  </si>
  <si>
    <t>Calculation of Regulatory Assets/Liabilities and Regulatory Debits</t>
  </si>
  <si>
    <t>CWIPTRR</t>
  </si>
  <si>
    <t>Calculation of Contribution of CWIP to TRRs</t>
  </si>
  <si>
    <t>WholesaleDifference</t>
  </si>
  <si>
    <t>Calculation of the Wholesale Difference to the Base TRR</t>
  </si>
  <si>
    <t>TaxRates</t>
  </si>
  <si>
    <t>Calculation of Composite Tax Rate</t>
  </si>
  <si>
    <t>Allocators</t>
  </si>
  <si>
    <t>Calculation of Allocation Factors</t>
  </si>
  <si>
    <t>FFU</t>
  </si>
  <si>
    <t>Calculation of Franchise Fees Factor and Uncollectibles Expense Factor</t>
  </si>
  <si>
    <t>WholesaleTRRs</t>
  </si>
  <si>
    <t>Calculation of components of SCE's Wholesale TRR</t>
  </si>
  <si>
    <t>Wholesale Rates</t>
  </si>
  <si>
    <t>Calculation of SCE's Wholesale transmission rates</t>
  </si>
  <si>
    <t>HVLV</t>
  </si>
  <si>
    <t>Calculation of High and Low Voltage percentages of Gross Plant</t>
  </si>
  <si>
    <t>GrossLoad</t>
  </si>
  <si>
    <t>Presentation of forecast Gross Load for wholesale rate calculations</t>
  </si>
  <si>
    <t>RetailRates</t>
  </si>
  <si>
    <t>Calculation of retail transmission rates</t>
  </si>
  <si>
    <t>Unfunded Reserves</t>
  </si>
  <si>
    <t>Calculation of Unfunded Reserves</t>
  </si>
  <si>
    <t>OtherFormulaRevenue</t>
  </si>
  <si>
    <t>Presentation of Other Formula Revenue by Native Account</t>
  </si>
  <si>
    <t>Overview of SCE Retail Base TRR</t>
  </si>
  <si>
    <t>SCE's retail Base Transmission Revenue Requirement is the sum of the following components:</t>
  </si>
  <si>
    <t>TRR Component</t>
  </si>
  <si>
    <t>Amount</t>
  </si>
  <si>
    <t>Prior Year TRR</t>
  </si>
  <si>
    <t>Incremental Forecast Period TRR</t>
  </si>
  <si>
    <t>True-Up Adjustment</t>
  </si>
  <si>
    <t>O&amp;M Services Formula Revenue</t>
  </si>
  <si>
    <t xml:space="preserve">Cost Adjustment </t>
  </si>
  <si>
    <t>Base TRR (retail)</t>
  </si>
  <si>
    <t>These components represent the following costs that SCE incurs:</t>
  </si>
  <si>
    <t xml:space="preserve">1) The Prior Year TRR component is the TRR associated with the Prior Year (most recent calendar year).  </t>
  </si>
  <si>
    <t>The Prior Year TRR is calculated using End-of-Year Rate Base values, as set forth in the "1-BaseTRR" Worksheet.</t>
  </si>
  <si>
    <t>2) The Incremental Forecast Period TRR is the component of Base TRR associated with forecast additions to in-service</t>
  </si>
  <si>
    <t>plant or CWIP, as set forth in the "2-IFPTRR" Worksheet.</t>
  </si>
  <si>
    <t>3) The True Up Adjustment is a component of the Base TRR that reflects the difference between projected and</t>
  </si>
  <si>
    <t>actual costs, as set forth in the "3-TrueUpAdjust" Worksheet.</t>
  </si>
  <si>
    <t>4) The O&amp;M Services Formula Revenue is a component of the Base TRR representing revenue collected pursuant to</t>
  </si>
  <si>
    <t>an O&amp;M Services Formula presented on Schedule 35.  It is a credit to the Base TRR.  See Schedule 1.</t>
  </si>
  <si>
    <r>
      <rPr>
        <u/>
        <sz val="10"/>
        <rFont val="Arial"/>
        <family val="2"/>
      </rPr>
      <t>5</t>
    </r>
    <r>
      <rPr>
        <sz val="10"/>
        <rFont val="Arial"/>
        <family val="2"/>
      </rPr>
      <t xml:space="preserve">) The Cost Adjustment component may be included as provided in the Tariff protocols. </t>
    </r>
  </si>
  <si>
    <t>Southern California Edison Company</t>
  </si>
  <si>
    <t>Cells shaded yellow are input cells</t>
  </si>
  <si>
    <t>Formula Transmission Rate</t>
  </si>
  <si>
    <t xml:space="preserve">FERC Form 1 Reference </t>
  </si>
  <si>
    <t xml:space="preserve">Line </t>
  </si>
  <si>
    <t>Notes</t>
  </si>
  <si>
    <t>or Instruction</t>
  </si>
  <si>
    <t>Value</t>
  </si>
  <si>
    <t>RATE BASE</t>
  </si>
  <si>
    <t>ISO Transmission Plant</t>
  </si>
  <si>
    <t>General Plant + Electric Miscellaneous Intangible Plant</t>
  </si>
  <si>
    <t>Transmission Plant Held for Future Use</t>
  </si>
  <si>
    <t>Abandoned Plant</t>
  </si>
  <si>
    <t>Working Capital amounts</t>
  </si>
  <si>
    <t>Materials and Supplies</t>
  </si>
  <si>
    <t>Prepayments</t>
  </si>
  <si>
    <t>Cash Working Capital</t>
  </si>
  <si>
    <t>Working Capital</t>
  </si>
  <si>
    <t>Accumulated Depreciation Reserve Balances</t>
  </si>
  <si>
    <t xml:space="preserve">Transmission Depreciation Reserve - ISO </t>
  </si>
  <si>
    <t>Negative amount</t>
  </si>
  <si>
    <t xml:space="preserve">Distribution Depreciation Reserve - ISO </t>
  </si>
  <si>
    <t>General + Intangible Plant Depreciation Reserve</t>
  </si>
  <si>
    <t>Accumulated Depreciation Reserve</t>
  </si>
  <si>
    <t>Accum Net ADIT (Liab)/Asset and Net (Excess)/Deficient ADIT Amounts</t>
  </si>
  <si>
    <t>CWIP Plant</t>
  </si>
  <si>
    <t>Other Regulatory Assets/Liabilities</t>
  </si>
  <si>
    <t>Network Upgrade Credits</t>
  </si>
  <si>
    <t>Rate Base</t>
  </si>
  <si>
    <t>OTHER TAXES</t>
  </si>
  <si>
    <t>Sub-Total Local Taxes</t>
  </si>
  <si>
    <t>Note 6</t>
  </si>
  <si>
    <t>Transmission Plant Allocation Factor</t>
  </si>
  <si>
    <t>Property Taxes</t>
  </si>
  <si>
    <t xml:space="preserve"> </t>
  </si>
  <si>
    <t>Payroll Taxes Expense</t>
  </si>
  <si>
    <t>FICA</t>
  </si>
  <si>
    <t>Fed Ins Cont Amt -- Current</t>
  </si>
  <si>
    <t>FICA/OASDI Emp Incntv.</t>
  </si>
  <si>
    <t>FICA/HIT Emp Incntv.</t>
  </si>
  <si>
    <t>CA SUI Current</t>
  </si>
  <si>
    <t>Fed Unemp Tax Act- Current</t>
  </si>
  <si>
    <t>CADI Vol Plan Assess</t>
  </si>
  <si>
    <t>SF Pyrl Exp Tx - SCE</t>
  </si>
  <si>
    <t>Total Electric Payroll Tax Expense</t>
  </si>
  <si>
    <t>Capitalized Overhead portion of Electric Payroll Tax Expense</t>
  </si>
  <si>
    <t>Remaining Electric Payroll Tax Expense to Allocate</t>
  </si>
  <si>
    <t>Transmission Wages and Salaries Allocation Factor</t>
  </si>
  <si>
    <t>Other Taxes</t>
  </si>
  <si>
    <t>Note 1</t>
  </si>
  <si>
    <t>RETURN AND CAPITALIZATION CALCULATIONS</t>
  </si>
  <si>
    <t>Debt</t>
  </si>
  <si>
    <t>Long Term Debt Amount</t>
  </si>
  <si>
    <t>Cost of Long Term Debt</t>
  </si>
  <si>
    <t>Long Term Debt Cost Percentage</t>
  </si>
  <si>
    <t>Preferred Stock</t>
  </si>
  <si>
    <t>Preferred Stock Amount</t>
  </si>
  <si>
    <t>Cost of Preferred Stock</t>
  </si>
  <si>
    <t>Preferred Stock Cost Percentage</t>
  </si>
  <si>
    <t>Equity</t>
  </si>
  <si>
    <t>Common Stock Equity Amount</t>
  </si>
  <si>
    <t>Total Capital</t>
  </si>
  <si>
    <t>44a</t>
  </si>
  <si>
    <t xml:space="preserve">Minimum Common Stock Capital Percentage (Docket No. ER19-1553) </t>
  </si>
  <si>
    <t>Capital Percentages</t>
  </si>
  <si>
    <t>Long Term Debt Capital Percentage</t>
  </si>
  <si>
    <t>Preferred Stock Capital Percentage</t>
  </si>
  <si>
    <t>Common Stock Capital Percentage</t>
  </si>
  <si>
    <t>Annual Cost of Capital Components</t>
  </si>
  <si>
    <t>Return on Common Equity</t>
  </si>
  <si>
    <t>Note 2</t>
  </si>
  <si>
    <t>SCE Return on Equity</t>
  </si>
  <si>
    <t>Calculation of Cost of Capital Rate</t>
  </si>
  <si>
    <t>Weighted Cost of Long Term Debt</t>
  </si>
  <si>
    <t>Weighted Cost of Preferred Stock</t>
  </si>
  <si>
    <t>Weighted Cost of Common Stock</t>
  </si>
  <si>
    <t>Cost of Capital Rate</t>
  </si>
  <si>
    <t xml:space="preserve">Equity Rate of Return Including Common and Preferred Stock </t>
  </si>
  <si>
    <t>Used for Tax calculation</t>
  </si>
  <si>
    <t>Return on Capital: Rate Base times Cost of Capital Rate</t>
  </si>
  <si>
    <t>INCOME TAXES</t>
  </si>
  <si>
    <t>Federal Income Tax Rate</t>
  </si>
  <si>
    <t>State Income Tax Rate</t>
  </si>
  <si>
    <t>Composite Tax Rate</t>
  </si>
  <si>
    <t>= F + [S * (1 - F)]</t>
  </si>
  <si>
    <t>Calculation of Credits and Other:</t>
  </si>
  <si>
    <t>Amortization of Net (Excess)/Deficient Deferred Tax Liability Asset</t>
  </si>
  <si>
    <t>Negative of 9-ADIT-2, Line 500, Column 7</t>
  </si>
  <si>
    <t>Other Income Tax Adjustments</t>
  </si>
  <si>
    <t>Note 3             Workpaper:</t>
  </si>
  <si>
    <t>WP Schedule 1</t>
  </si>
  <si>
    <t>Not Used</t>
  </si>
  <si>
    <t>Credits and Other</t>
  </si>
  <si>
    <t>Line 60 + Line 61</t>
  </si>
  <si>
    <t>Income Taxes:</t>
  </si>
  <si>
    <t>Income Taxes = [((RB * ER) + D) * (CTR/(1 – CTR))]  + CO/(1 – CTR)</t>
  </si>
  <si>
    <t>Where:</t>
  </si>
  <si>
    <t>RB = Rate Base</t>
  </si>
  <si>
    <t>ER = Equity Rate of Return Including Common and Preferred Stock</t>
  </si>
  <si>
    <t>CTR = Composite Tax Rate</t>
  </si>
  <si>
    <t>CO = Credits and Other</t>
  </si>
  <si>
    <t>D = Book Depreciation of AFUDC Equity Book Basis</t>
  </si>
  <si>
    <t>Workpaper:</t>
  </si>
  <si>
    <t>PRIOR YEAR TRANSMISSION REVENUE REQUIREMENT</t>
  </si>
  <si>
    <t>Component of Prior Year TRR:</t>
  </si>
  <si>
    <t>O&amp;M Expense</t>
  </si>
  <si>
    <t>A&amp;G Expense</t>
  </si>
  <si>
    <t>Network Upgrade Interest Expense</t>
  </si>
  <si>
    <t>Depreciation Expense</t>
  </si>
  <si>
    <t>Abandoned Plant Amortization Expense</t>
  </si>
  <si>
    <t>Revenue Credits</t>
  </si>
  <si>
    <t>Return on Capital</t>
  </si>
  <si>
    <t>Income Taxes</t>
  </si>
  <si>
    <t>Gains and Losses on Trans. Plant Held for Future Use -- Land</t>
  </si>
  <si>
    <t>Gain negative, loss positive</t>
  </si>
  <si>
    <t>Amortization and Regulatory Debits/Credits</t>
  </si>
  <si>
    <t>Prior Year Incentive Adder</t>
  </si>
  <si>
    <t>77a</t>
  </si>
  <si>
    <t>Prior Year Incentive Adder Reversal</t>
  </si>
  <si>
    <t>Note 5</t>
  </si>
  <si>
    <t>Negative of Line 77</t>
  </si>
  <si>
    <t>Total without FF&amp;U</t>
  </si>
  <si>
    <t>Franchise Fees Expense</t>
  </si>
  <si>
    <t>Uncollectibles Expense</t>
  </si>
  <si>
    <t>TOTAL BASE TRANSMISSION REVENUE REQUIREMENT</t>
  </si>
  <si>
    <t>Calculation of Base Transmission Revenue Requirement</t>
  </si>
  <si>
    <t>True Up Adjustment</t>
  </si>
  <si>
    <t>84a</t>
  </si>
  <si>
    <t>Note 4</t>
  </si>
  <si>
    <t>Base Transmission Revenue Requirement (Retail)</t>
  </si>
  <si>
    <t>For Retail Purposes</t>
  </si>
  <si>
    <t>Wholesale Base Transmission Revenue Requirement</t>
  </si>
  <si>
    <t xml:space="preserve">Base TRR (Retail) </t>
  </si>
  <si>
    <t>Wholesale Difference to the Base TRR</t>
  </si>
  <si>
    <t>25-WholesaleDifference, Line 14</t>
  </si>
  <si>
    <t>Notes:</t>
  </si>
  <si>
    <t xml:space="preserve">1) Any amount of "Sub-Total Local Taxes" or "Payroll Taxes Expense" may be excluded if appropriate with the provision of a workpaper showing the </t>
  </si>
  <si>
    <t>reason for the exclusion and the amount of the exclusion.</t>
  </si>
  <si>
    <t xml:space="preserve">2) No change in Return on Common Equity will be made absent a Section 205 filing at the Commission. </t>
  </si>
  <si>
    <t>Does not include any project-specific ROE adders.  See Schedule 15 at Lines 31-39.</t>
  </si>
  <si>
    <t>In the event that the Return on Common Equity is revised from the initial value, enter cite to Commission Order approving the revised ROE on following line.</t>
  </si>
  <si>
    <t>Order approving revised ROE:</t>
  </si>
  <si>
    <t>Docket No. ER19-1553</t>
  </si>
  <si>
    <t>3) Other Income Tax Adjustments may be included as a component of "Credits and Other" in the Prior Year Income Tax calculation if filed with the Commission.</t>
  </si>
  <si>
    <t>4) Cost Adjustment may be included as provided in the Tariff protocols.</t>
  </si>
  <si>
    <t>5) Prior Year Incentive Adder Reversal backs out the revenue requirement associated with any project-specific Incentive Adders</t>
  </si>
  <si>
    <t>(Line 77).  Applicable pursuant to settlement under ER19-1553.</t>
  </si>
  <si>
    <t>6) "Sub Total Local Taxes" on Line 19 and Payroll Taxes on Lines 24-30 include O&amp;M Services Formula Revenues as follows, pursuant to Schedule 35, Note 2.</t>
  </si>
  <si>
    <t>O&amp;M</t>
  </si>
  <si>
    <t>FERC</t>
  </si>
  <si>
    <t>Services</t>
  </si>
  <si>
    <t>Form 1</t>
  </si>
  <si>
    <t>FERC Form 1 References</t>
  </si>
  <si>
    <t>Revenue</t>
  </si>
  <si>
    <t>Total</t>
  </si>
  <si>
    <t>Item</t>
  </si>
  <si>
    <t>Reference</t>
  </si>
  <si>
    <t>Line 19:</t>
  </si>
  <si>
    <t>FF1 263, Lines 39-47, Column o</t>
  </si>
  <si>
    <t>Schedule 35, Line 55, C 4</t>
  </si>
  <si>
    <t>Line 24:</t>
  </si>
  <si>
    <t>FF1 263, Line 5, Column o</t>
  </si>
  <si>
    <t>Schedule 35, Line 56, C 4</t>
  </si>
  <si>
    <t>Line 25:</t>
  </si>
  <si>
    <t>FF1 263, Line 6, Column o</t>
  </si>
  <si>
    <t>Schedule 35, Line 57, C 4</t>
  </si>
  <si>
    <t>Line 26:</t>
  </si>
  <si>
    <t>FF1 263, Line 7, Column o</t>
  </si>
  <si>
    <t>Schedule 35, Line 58, C 4</t>
  </si>
  <si>
    <t>Line 27:</t>
  </si>
  <si>
    <t>FF1 263, Line 8, Column o</t>
  </si>
  <si>
    <t>Schedule 35, Line 59, C 4</t>
  </si>
  <si>
    <t>Line 28:</t>
  </si>
  <si>
    <t>FF1 263, Line 15, Column o</t>
  </si>
  <si>
    <t>Schedule 35, Line 60, C 4</t>
  </si>
  <si>
    <t>Line 29:</t>
  </si>
  <si>
    <t>FF1 263, Line 13, Column o</t>
  </si>
  <si>
    <t>Schedule 35, Line 61, C 4</t>
  </si>
  <si>
    <t>Line 30:</t>
  </si>
  <si>
    <t>FF1 263, Line 12, Column o</t>
  </si>
  <si>
    <t>Schedule 35, Line 62, C 4</t>
  </si>
  <si>
    <t>Calculation of Incremental Forecast Period TRR ("IFPTRR")</t>
  </si>
  <si>
    <t>The IFP TRR is equal to the sum of:</t>
  </si>
  <si>
    <t>1) Forecast Plant Additions * AFCR</t>
  </si>
  <si>
    <t>2) Forecast Period Incremental CWIP * AFCR for CWIP</t>
  </si>
  <si>
    <t>1) Calculation of Annual Fixed Charge Rates:</t>
  </si>
  <si>
    <t>Line</t>
  </si>
  <si>
    <t>a) Annual Fixed Charge Rate for CWIP ("AFCRCWIP")</t>
  </si>
  <si>
    <t>AFCRCWIP represents the return and income tax costs associated with $1 of CWIP,</t>
  </si>
  <si>
    <t>expressed as a percent.</t>
  </si>
  <si>
    <t>AFCRCWIP = CLTD  + (COS * (1/(1 - CTR)))</t>
  </si>
  <si>
    <t>where:</t>
  </si>
  <si>
    <t>CLTD = Weighted Cost of Long Term Debt</t>
  </si>
  <si>
    <t>COS = Weighted Cost of Common and Preferred Stock</t>
  </si>
  <si>
    <t>Wtd. Cost of Long Term Debt:</t>
  </si>
  <si>
    <t>Wtd. Cost of Common + Pref. Stock:</t>
  </si>
  <si>
    <t>Composite Tax Rate:</t>
  </si>
  <si>
    <t>AFCRCWIP =</t>
  </si>
  <si>
    <t>b) Annual Fixed Charge Rate ("AFCR")</t>
  </si>
  <si>
    <t>The AFCR is calculated by dividing the Prior Year TRR (without CWIP related costs)</t>
  </si>
  <si>
    <t>by Net Plant:</t>
  </si>
  <si>
    <t>AFCR = (Prior Year TRR - CWIP-related costs) / Net Plant</t>
  </si>
  <si>
    <t>Determination of Net Plant:</t>
  </si>
  <si>
    <t>Transmission Plant - ISO:</t>
  </si>
  <si>
    <t>Distribution Plant - ISO:</t>
  </si>
  <si>
    <t>Transmission Dep. Reserve - ISO:</t>
  </si>
  <si>
    <t>Distribution Dep. Reserve - ISO:</t>
  </si>
  <si>
    <t>Net Plant:</t>
  </si>
  <si>
    <t>Determination of Prior Year TRR without CWIP related costs:</t>
  </si>
  <si>
    <t>a) Determination of CWIP-Related Costs</t>
  </si>
  <si>
    <t>1) Direct (without ROE adder) CWIP costs</t>
  </si>
  <si>
    <t>CWIP Plant - Prior Year:</t>
  </si>
  <si>
    <t>AFCRCWIP:</t>
  </si>
  <si>
    <t>Direct CWIP Related Costs:</t>
  </si>
  <si>
    <t>2) CWIP ROE Adder costs:</t>
  </si>
  <si>
    <t>IREF:</t>
  </si>
  <si>
    <t>Tehachapi CWIP Amount:</t>
  </si>
  <si>
    <t>Tehachapi ROE Adder %:</t>
  </si>
  <si>
    <t>Tehachapi ROE  Adder $:</t>
  </si>
  <si>
    <t>DCR CWIP Amount:</t>
  </si>
  <si>
    <t>DCR ROE Adder %:</t>
  </si>
  <si>
    <t>DCR ROE  Adder $:</t>
  </si>
  <si>
    <t>ROE Adder $ = (CWIP/$1,000,000) * IREF * (ROE Adder/1%)</t>
  </si>
  <si>
    <t>CWIP Related Costs wo FF&amp;U:</t>
  </si>
  <si>
    <t>FF&amp;U Expenses:</t>
  </si>
  <si>
    <t>CWIP Related Costs with FF&amp;U:</t>
  </si>
  <si>
    <t>b) Determination of AFCR:</t>
  </si>
  <si>
    <t>Prior Year TRR wo FF&amp;U:</t>
  </si>
  <si>
    <t>Prior Year TRR wo CWIP Related Costs:</t>
  </si>
  <si>
    <t>75% of O&amp;M and A&amp;G in Prior Year TRR:</t>
  </si>
  <si>
    <t>AFCR:</t>
  </si>
  <si>
    <t>2) Calculation of IFP TRR</t>
  </si>
  <si>
    <t>Forecast Plant Additions:</t>
  </si>
  <si>
    <t>AFCR * Forecast Plant Additions:</t>
  </si>
  <si>
    <t>Forecast Period Incremental CWIP:</t>
  </si>
  <si>
    <t>AFCRCWIP * FP Incremental CWIP:</t>
  </si>
  <si>
    <t>IFPTRR without FF&amp;U:</t>
  </si>
  <si>
    <t>Franchise Fees Expense:</t>
  </si>
  <si>
    <t>Uncollectibles Expense:</t>
  </si>
  <si>
    <t>Incremental Forecast Period TRR:</t>
  </si>
  <si>
    <t>Calculation of True Up Adjustment Component of TRR</t>
  </si>
  <si>
    <t>1) Summary of True Up Adjustment calculation:</t>
  </si>
  <si>
    <t xml:space="preserve">a) Attribute True Up TRR to months in the Prior Year (see Note #1) to determine "Monthly True Up TRR" for each month (see Note #2).  </t>
  </si>
  <si>
    <t>b) Determine monthly retail transmission revenues attributable to this formula transmission rate received during Prior Year.</t>
  </si>
  <si>
    <t>c) Compare costs in (a) to revenues in (b) on a monthly basis and determine "Cumulative Excess (-) or Shortfall (+) in Revenue with Interest".</t>
  </si>
  <si>
    <t>2) Comparison of True Up TRR and Actual Retail Transmission Revenues received during the Prior Year,</t>
  </si>
  <si>
    <t>Including previous Annual Update Cumulative Excess or Shortfall in Revenue.</t>
  </si>
  <si>
    <t>True Up TRR:</t>
  </si>
  <si>
    <t xml:space="preserve">Source:      From 4-TUTRR, </t>
  </si>
  <si>
    <t>Col 1</t>
  </si>
  <si>
    <t>Col 2</t>
  </si>
  <si>
    <t>Col 3</t>
  </si>
  <si>
    <t>Col 4</t>
  </si>
  <si>
    <t>Col 5</t>
  </si>
  <si>
    <t>Col 6</t>
  </si>
  <si>
    <t>Col 7</t>
  </si>
  <si>
    <t>Col 8</t>
  </si>
  <si>
    <t>Col 9</t>
  </si>
  <si>
    <t>Calculations:</t>
  </si>
  <si>
    <t>See Note 2</t>
  </si>
  <si>
    <t>See Note 3</t>
  </si>
  <si>
    <t>See Note 4</t>
  </si>
  <si>
    <t>= C2 - C3 + C 4</t>
  </si>
  <si>
    <t>See Note 5</t>
  </si>
  <si>
    <t>See Note 6</t>
  </si>
  <si>
    <t>See Note 7</t>
  </si>
  <si>
    <t>=C7 + C8</t>
  </si>
  <si>
    <t>One-Time</t>
  </si>
  <si>
    <t>Cumulative</t>
  </si>
  <si>
    <t>Adjustments and</t>
  </si>
  <si>
    <t>Excess (-) or</t>
  </si>
  <si>
    <t>Actual</t>
  </si>
  <si>
    <t>Shortfall/Excess</t>
  </si>
  <si>
    <t>Monthly</t>
  </si>
  <si>
    <t>Shortfall (+)</t>
  </si>
  <si>
    <t>Retail Base</t>
  </si>
  <si>
    <t>Revenue In</t>
  </si>
  <si>
    <t>in Revenue</t>
  </si>
  <si>
    <t>Interest</t>
  </si>
  <si>
    <t>True Up</t>
  </si>
  <si>
    <t>Transmission</t>
  </si>
  <si>
    <t>Previous</t>
  </si>
  <si>
    <t>wo Interest for</t>
  </si>
  <si>
    <t>for Current</t>
  </si>
  <si>
    <t>Month</t>
  </si>
  <si>
    <t>Year</t>
  </si>
  <si>
    <t>TRR</t>
  </si>
  <si>
    <t>Revenues</t>
  </si>
  <si>
    <t>Annual Update</t>
  </si>
  <si>
    <t>Rate</t>
  </si>
  <si>
    <t>Current Month</t>
  </si>
  <si>
    <t>with Interest</t>
  </si>
  <si>
    <t>December</t>
  </si>
  <si>
    <t>---</t>
  </si>
  <si>
    <t>January</t>
  </si>
  <si>
    <t>February</t>
  </si>
  <si>
    <t>March</t>
  </si>
  <si>
    <t>April</t>
  </si>
  <si>
    <t>May</t>
  </si>
  <si>
    <t xml:space="preserve">June </t>
  </si>
  <si>
    <t>July</t>
  </si>
  <si>
    <t>August</t>
  </si>
  <si>
    <t>September</t>
  </si>
  <si>
    <t>October</t>
  </si>
  <si>
    <t>November</t>
  </si>
  <si>
    <t>3) True Up Adjustment</t>
  </si>
  <si>
    <t>Shortfall or Excess Revenue in Prior Year:</t>
  </si>
  <si>
    <t>Previous Annual Update TU Adjustment:</t>
  </si>
  <si>
    <t>Previous Annual Update:</t>
  </si>
  <si>
    <t>TU Adjustment without Projected Interest</t>
  </si>
  <si>
    <t>Projected Interest to Rate Year Mid-Point:</t>
  </si>
  <si>
    <t>True Up Adjustment:</t>
  </si>
  <si>
    <t>Negative amount is to be returned to customers by SCE (included in Base TRR as a negative amount).</t>
  </si>
  <si>
    <t>4) Final True Up Adjustment</t>
  </si>
  <si>
    <t xml:space="preserve">The Final True Up Adjustment begins on the month after the last True Up Adjustment and extends through the termination date of </t>
  </si>
  <si>
    <t>this formula transmission rate.</t>
  </si>
  <si>
    <t>The Final True Up Adjustment shall be calculated as above, with interest to the termination date of the Formula Transmission Rate.</t>
  </si>
  <si>
    <t>Partial Year TRR Attribution Allocation Factors:</t>
  </si>
  <si>
    <t>Partial Year</t>
  </si>
  <si>
    <t>TRR AAF</t>
  </si>
  <si>
    <t>Note:</t>
  </si>
  <si>
    <t>See Note 2.</t>
  </si>
  <si>
    <t>Total:</t>
  </si>
  <si>
    <t>Transmission Revenues: (Note 8)</t>
  </si>
  <si>
    <t>See Note 9</t>
  </si>
  <si>
    <t>See Note 10</t>
  </si>
  <si>
    <t>Sum of left</t>
  </si>
  <si>
    <t>Prior</t>
  </si>
  <si>
    <t>Other</t>
  </si>
  <si>
    <t>Public</t>
  </si>
  <si>
    <t>Retail</t>
  </si>
  <si>
    <t>Distribution</t>
  </si>
  <si>
    <t>Generation</t>
  </si>
  <si>
    <t>Jan</t>
  </si>
  <si>
    <t>Feb</t>
  </si>
  <si>
    <t>Mar</t>
  </si>
  <si>
    <t>Apr</t>
  </si>
  <si>
    <t>Jun</t>
  </si>
  <si>
    <t>Jul</t>
  </si>
  <si>
    <t>Aug</t>
  </si>
  <si>
    <t>Sep</t>
  </si>
  <si>
    <t>Oct</t>
  </si>
  <si>
    <t>Nov</t>
  </si>
  <si>
    <t>Dec</t>
  </si>
  <si>
    <t>Totals:</t>
  </si>
  <si>
    <t>"Total Sales to Ultimate Consumers" from FERC Form 1 Page 300, Line 10, Column b:</t>
  </si>
  <si>
    <t>Instructions:</t>
  </si>
  <si>
    <t>Enter with the same sign as in previous Annual Update.  If there is no Previous Annual Update True Up Adjustment, then enter $0.</t>
  </si>
  <si>
    <t>3) Enter monthly interest rates in accordance with interest rate specified in the regulations of FERC at</t>
  </si>
  <si>
    <t xml:space="preserve">4) Enter any One Time Adjustments on Column 4, Line 12 (or other appropriate).  If SCE is owed enter as positive, if SCE is to return to customers enter as negative.  </t>
  </si>
  <si>
    <t xml:space="preserve"> One Time Adjustments include:</t>
  </si>
  <si>
    <t xml:space="preserve">a) In the event that a Commission Order revises SCE's True Up TRR for a previous Prior Year, </t>
  </si>
  <si>
    <t>SCE shall include that difference in the True Up Adjustment, including interest, at the first opportunity, in accordance with tariff protocols.</t>
  </si>
  <si>
    <t>b) Any refunds attributable to SCE's previous CWIP TRR cases (Docket Nos. ER08-375, ER09-187, ER10-160, and ER11-1952), not previously returned to customers.</t>
  </si>
  <si>
    <t>c) Amounts resulting from input errors impacting the True Up TRR in a previous Formula Rate Annual Update pursuant to Protocol Section 3(d)(8).</t>
  </si>
  <si>
    <t>Workpaper for Line 12:</t>
  </si>
  <si>
    <t>Workpaper for Line 23:</t>
  </si>
  <si>
    <t>N/A</t>
  </si>
  <si>
    <t xml:space="preserve">7) If true up period is less than entire calendar year, then adjust calculation accordingly by including $0 Monthly True Up TRR and $0 </t>
  </si>
  <si>
    <t>Actual Retail Base Transmission Revenues for any months not included in True Up Period.</t>
  </si>
  <si>
    <t>1) The true up period is the portion (all or part) of the Prior Year for which the Formula Transmission Rate was in effect.</t>
  </si>
  <si>
    <t>2) The Monthly True Up TRR is derived by multiplying the annual True Up TRR on Line 1 by 1/12, if formula was in effect.  In the event of</t>
  </si>
  <si>
    <t>Partial Year True Up Allocation Factors calculated based on three years (2008-2010) of monthly SCE retail base transmission revenues.</t>
  </si>
  <si>
    <t>3) "Actual Retail Base Transmission Revenues" are SCE retail transmission revenues attributable to this formula transmission rate.</t>
  </si>
  <si>
    <t>4) Enter "Shortfall or Excess Revenue in Previous Annual Update" on Line 11, or other appropriate (from Previous Annual Update, Line 23, Column 9).</t>
  </si>
  <si>
    <t>5) Monthly Interest Rates in accordance with interest rate specified in the regulations of FERC (See Instruction #3).</t>
  </si>
  <si>
    <t>6) "Cumulative Excess (-) or Shortfall (+) in Revenue wo Interest for Current Month" is, beginning for the January month,</t>
  </si>
  <si>
    <t>the amount in Column 9 for previous month plus the current month amount in Column 5.  For the first December, it is the amount in Column 5.</t>
  </si>
  <si>
    <t>7) Interest for Current Month is calculated on average of beginning and ending balances (Column 9 previous month and Column 7 current month).</t>
  </si>
  <si>
    <t>No interest is applied for the first December.</t>
  </si>
  <si>
    <t>8) Only provide if formula was in effect during Prior Year.</t>
  </si>
  <si>
    <t>9) Only include Base Transmission Revenue attributable to this formula transmission rate.</t>
  </si>
  <si>
    <t>Any other Base Transmission Revenue or refunds is included in "Other".</t>
  </si>
  <si>
    <t>The Base Transmission Revenues shown in Column 1 shall be reduced to reflect any retail customer refunds provided by SCE associated with the</t>
  </si>
  <si>
    <t>formula transmission rate that are made through a CPUC-authorized mechanism.</t>
  </si>
  <si>
    <t>10) Other Transmission Revenue includes the following:</t>
  </si>
  <si>
    <t xml:space="preserve">a) Transmission Revenue Balancing Account Adjustment revenue. </t>
  </si>
  <si>
    <t>b) Transmission Access Charge Balancing Account Adjustment.</t>
  </si>
  <si>
    <t>c) Reliability Services Revenue.</t>
  </si>
  <si>
    <t>d) Any Base Transmission Revenue not attributable to this formula.</t>
  </si>
  <si>
    <t>Calculation of True Up TRR</t>
  </si>
  <si>
    <t>A) Rate Base for True Up TRR</t>
  </si>
  <si>
    <t>Calculation</t>
  </si>
  <si>
    <t>Rate Base Item</t>
  </si>
  <si>
    <t>Method</t>
  </si>
  <si>
    <t>13-Month Avg.</t>
  </si>
  <si>
    <t>General + Elec. Misc. Intangible Plant</t>
  </si>
  <si>
    <t>BOY/EOY Avg.</t>
  </si>
  <si>
    <t>Working Capital Amounts</t>
  </si>
  <si>
    <t>1/8 (O&amp;M + A&amp;G)</t>
  </si>
  <si>
    <t>Accumulated Depreciation Reserve Amounts</t>
  </si>
  <si>
    <t>Transmission Depreciation Reserve - ISO</t>
  </si>
  <si>
    <t>Distribution Depreciation Reserve - ISO</t>
  </si>
  <si>
    <t>G + I Depreciation Reserve</t>
  </si>
  <si>
    <t>Accumulated Deferred Income Taxes</t>
  </si>
  <si>
    <t>B) Return on Capital</t>
  </si>
  <si>
    <t>See Instruction 1</t>
  </si>
  <si>
    <t>C) Income Taxes</t>
  </si>
  <si>
    <t>ER = Equity ROR inc. Com. and Pref. Stock</t>
  </si>
  <si>
    <t>Instruction 1</t>
  </si>
  <si>
    <t>1-Base TRR L 63 + Line 25a</t>
  </si>
  <si>
    <t>25a</t>
  </si>
  <si>
    <t>Adjustments to CO term for the True Up TRR</t>
  </si>
  <si>
    <t>Note 2   Wkpaper:</t>
  </si>
  <si>
    <t>D) True Up TRR Calculation</t>
  </si>
  <si>
    <t>Gains and Losses on Transmission Plant Held for Future Use -- Land</t>
  </si>
  <si>
    <t>Total without True Up Incentive Adder</t>
  </si>
  <si>
    <t>True Up Incentive Adder</t>
  </si>
  <si>
    <t>39a</t>
  </si>
  <si>
    <t>True Up Incentive Adder Reversal</t>
  </si>
  <si>
    <t>Negative of Line 39, Note 1</t>
  </si>
  <si>
    <t>True Up TRR without Franchise Fees and Uncollectibles Expense included:</t>
  </si>
  <si>
    <t>E) Calculation of final True Up TRR with Franchise Fees and Uncollectibles Expenses</t>
  </si>
  <si>
    <t>Reference:</t>
  </si>
  <si>
    <t>True Up TRR wo FF:</t>
  </si>
  <si>
    <t>Franchise Fee Factor:</t>
  </si>
  <si>
    <t>Franchise Fee Expense:</t>
  </si>
  <si>
    <t>Uncollectibles Expense Factor:</t>
  </si>
  <si>
    <t>45a</t>
  </si>
  <si>
    <t>O&amp;M Services Formula Revenues</t>
  </si>
  <si>
    <t>1) Use weighted average (by time) of the Return on Equity in effect during the Prior Year in determining the "Cost of Capital Rate" on Line 19</t>
  </si>
  <si>
    <t>and the "Equity Rate of Return Including Preferred Stock" on Line 23 in the event that the ROE is revised during the Prior Year.  In this event,</t>
  </si>
  <si>
    <t>the ROE used in Schedule 1 will differ from the ROE used in this Schedule 4, because the Schedule 1 ROE will be the most recent ROE,</t>
  </si>
  <si>
    <t>whereas the Schedule 4 Cost of Capital Rate and Equity Rate of Return including Com. + Pref. Stock will be based on the weighted-average ROE.</t>
  </si>
  <si>
    <t>Calculation of weighted average Cost of Capital Rate in Prior Year:</t>
  </si>
  <si>
    <t>If ROE does not change during year, then attribute all days to Line a "ROE at end of Prior Year" and none to "ROE at start of PY"</t>
  </si>
  <si>
    <t xml:space="preserve">Days ROE </t>
  </si>
  <si>
    <t>Percentage</t>
  </si>
  <si>
    <t>From</t>
  </si>
  <si>
    <t>To</t>
  </si>
  <si>
    <t>In Effect</t>
  </si>
  <si>
    <t>a</t>
  </si>
  <si>
    <t>ROE at end of Prior Year</t>
  </si>
  <si>
    <t>See Line e below</t>
  </si>
  <si>
    <t>b</t>
  </si>
  <si>
    <t>ROE start of Prior Year</t>
  </si>
  <si>
    <t>See Line f below</t>
  </si>
  <si>
    <t>c</t>
  </si>
  <si>
    <t>Total days in year:</t>
  </si>
  <si>
    <t>d</t>
  </si>
  <si>
    <t>Wtd. Avg. ROE in Prior Year</t>
  </si>
  <si>
    <t>((Line a ROE * Line a days) + (Line b ROE * Line b days)) / Total Days in Year</t>
  </si>
  <si>
    <t>Commission Decisions approving ROE:</t>
  </si>
  <si>
    <t>e</t>
  </si>
  <si>
    <t>End of Prior Year</t>
  </si>
  <si>
    <t>f</t>
  </si>
  <si>
    <t>Beginning of Prior Year</t>
  </si>
  <si>
    <t>g</t>
  </si>
  <si>
    <t>Wtd. Cost of Long Term Debt</t>
  </si>
  <si>
    <t>h</t>
  </si>
  <si>
    <t>Wtd.Cost of Preferred Stock</t>
  </si>
  <si>
    <t>i</t>
  </si>
  <si>
    <t>Wtd.Cost of Common Stock</t>
  </si>
  <si>
    <t>j</t>
  </si>
  <si>
    <t>Calculation of Equity Rate of Return Including Common and Preferred Stock:</t>
  </si>
  <si>
    <t>k</t>
  </si>
  <si>
    <t>1) True Up TRR Incentive Adder Reversal backs out the revenue requirement associated with any project-specific Incentive Adders</t>
  </si>
  <si>
    <t>(Line 39) for True Up Years during the term of the settlement of ER19-1553.</t>
  </si>
  <si>
    <t>2) Include any amount appropriate for the True Up TRR calculation for the Prior Year not already included in Line 63 of Schedule 1.  Such amounts will</t>
  </si>
  <si>
    <t xml:space="preserve">specifically include an amount of the South Georgia Adjustment applicable to the 2023 Prior Year of $2,606,000 in SCE’s Annual Update setting </t>
  </si>
  <si>
    <t xml:space="preserve">transmission rates for 2025 and, for the 2024 Prior Year, an amount of $1,303,000 in SCE’s Annual Update setting transmission rates for  </t>
  </si>
  <si>
    <t>2026. No further amounts relating to the current SGA amount shall be included in SCE’s Formula Rate, as the SGA will be fully amortized after 2024.</t>
  </si>
  <si>
    <t>Calculation of Components of Cost of Capital Rate</t>
  </si>
  <si>
    <t>Calculation of Long Term Debt Amount</t>
  </si>
  <si>
    <t>Bonds -- Account 221</t>
  </si>
  <si>
    <t>13-month avg.</t>
  </si>
  <si>
    <t>Less Reacquired Bonds -- Account 222</t>
  </si>
  <si>
    <t>2a</t>
  </si>
  <si>
    <t>Long Term Debt Advances from Associated Companies -- Account 223</t>
  </si>
  <si>
    <t>Other Long Term Debt -- Account 224</t>
  </si>
  <si>
    <t>Calculation of Cost of Long-Term Debt</t>
  </si>
  <si>
    <t>Interest on Long-Term Debt -- Account 427</t>
  </si>
  <si>
    <t>FF1 117.62c</t>
  </si>
  <si>
    <t>Amortization of Debt Discount and Expense -- Account 428</t>
  </si>
  <si>
    <t>FF1 117.63c</t>
  </si>
  <si>
    <t>Amortization of Loss on Reacquired Debt -- Account 428.1</t>
  </si>
  <si>
    <t>FF1 117.64c</t>
  </si>
  <si>
    <t>Less Amortization of Premium on Debt -- Account 429</t>
  </si>
  <si>
    <t>Enter negative</t>
  </si>
  <si>
    <t>FF1 117.65c</t>
  </si>
  <si>
    <t>Less Amort. of Gain on Reacquired Debt -- Account 429.1</t>
  </si>
  <si>
    <t>FF1 117.66c</t>
  </si>
  <si>
    <t>Interest on Debt to Associated Companies -- Account 430</t>
  </si>
  <si>
    <t>FF1 117.67c</t>
  </si>
  <si>
    <t>Long-Term Debt Cost Percentage</t>
  </si>
  <si>
    <t>Calculation of Preferred Stock Amount</t>
  </si>
  <si>
    <t>Preferred Stock Amount -- Account 204</t>
  </si>
  <si>
    <t>Unamortized Issuance Costs</t>
  </si>
  <si>
    <t>Net Gain (Loss) From Purchase and Tender Offers</t>
  </si>
  <si>
    <t>Calculation of Cost of Preferred Stock</t>
  </si>
  <si>
    <t>Cost of Preferred Stock -- Account 437</t>
  </si>
  <si>
    <t xml:space="preserve">Enter positive </t>
  </si>
  <si>
    <t>FF1 118.29c</t>
  </si>
  <si>
    <t>Amortization of Net Gain (Loss)  From Purchases and Tender Offers</t>
  </si>
  <si>
    <t>See Note 1</t>
  </si>
  <si>
    <t>Amortization Issuance Costs</t>
  </si>
  <si>
    <t>Calculation of Common Stock Equity Amount</t>
  </si>
  <si>
    <t>Total Proprietary Capital</t>
  </si>
  <si>
    <t>Less Preferred Stock Amount -- Account 204</t>
  </si>
  <si>
    <t>Minus Net Gain (Loss) From Purchase and Tender Offers</t>
  </si>
  <si>
    <t>Less Unappropriated Undist. Sub. Earnings -- Acct. 216.1</t>
  </si>
  <si>
    <t>Less Accumulated Other Comprehensive Loss -- Account 219</t>
  </si>
  <si>
    <t>1) Total annual amortization associated with events listed in Note 6 on 5-ROR-2.</t>
  </si>
  <si>
    <t>2) Total annual amortization associated with preferred equity issues listed in Note 5 on 5-ROR-2.</t>
  </si>
  <si>
    <t>Calculation of 13-Month Average Capitalization Balances</t>
  </si>
  <si>
    <t xml:space="preserve">Year </t>
  </si>
  <si>
    <t>WP Schedule 5 ROR-2</t>
  </si>
  <si>
    <t>Col 10</t>
  </si>
  <si>
    <t>Col 11</t>
  </si>
  <si>
    <t>Col 12</t>
  </si>
  <si>
    <t>Col 13</t>
  </si>
  <si>
    <t>Col 14</t>
  </si>
  <si>
    <t>June</t>
  </si>
  <si>
    <t>= Sum (Cols. 2-14)/13</t>
  </si>
  <si>
    <t>Bonds -- Account 221 (Note 1):</t>
  </si>
  <si>
    <t>Reacquired Bonds -- Account 222 (Note 2): enter - of FF1</t>
  </si>
  <si>
    <t xml:space="preserve"> Long Term Debt Advances from Associated Companies (Note 2a):</t>
  </si>
  <si>
    <t>Other Long Term Debt -- Account 224 (Note 3):</t>
  </si>
  <si>
    <t>Preferred Stock Amount -- Account 204 (Note 4):</t>
  </si>
  <si>
    <t xml:space="preserve">Unamortized Issuance Costs (Note 5): enter negative </t>
  </si>
  <si>
    <t>Net Gain (Loss) From Purchase and Tender Offers Note 6):</t>
  </si>
  <si>
    <t>Total Proprietary Capital (Note 7):</t>
  </si>
  <si>
    <t>Unappropriated Undist. Sub. Earnings -- Acct. 216.1 (Note 8): enter - of FF1</t>
  </si>
  <si>
    <t>Accumulated Other Comprehensive Loss -- Account 219 (Note 9): enter - of FF1</t>
  </si>
  <si>
    <t xml:space="preserve">1) Enter 13 months of balances for capital structure for Prior Year and December previous to Prior Year in Columns 2-14.  </t>
  </si>
  <si>
    <t>Beginning and End of year amounts in Columns 2 and 14 are from FERC Form 1, as referenced in below notes.</t>
  </si>
  <si>
    <t>2) Update Notes 5 and 6 as necessary.</t>
  </si>
  <si>
    <t xml:space="preserve">1) Amount in Column 2 from FF1 112.18d, amount in Column 14 from FF1 112.18c, amounts in columns 3-13 from SCE internal records. </t>
  </si>
  <si>
    <t xml:space="preserve">2) Amount in Column 2 from FF1 112.19d, amount in Column 14 from FF1 112.19c, amounts in columns 3-13 from SCE internal records. </t>
  </si>
  <si>
    <t xml:space="preserve">2a) Amount in Column 2 from FF1 112.20d, amount in Column 14 from FF1 112.20c, amounts in columns 3-13 from SCE internal records. </t>
  </si>
  <si>
    <t xml:space="preserve">3) Amount in Column 2 from FF1 112.21d, amount in Column 14 from FF1 112.21c, amounts in columns 3-13 from SCE internal records. </t>
  </si>
  <si>
    <t xml:space="preserve">4) Amount in Column 2 from FF1 112.3d, amount in Column 14 from FF1 112.3c, amounts in columns 3-13 from SCE internal records. </t>
  </si>
  <si>
    <t>5) Amounts in columns 2-14 are from SCE internal records.</t>
  </si>
  <si>
    <t>List associated securities, Face Amount, Issuance Date, Issuance Costs, Amortization Period, and Annual Amortization:</t>
  </si>
  <si>
    <t>Amortization</t>
  </si>
  <si>
    <t>Face</t>
  </si>
  <si>
    <t>Issuance</t>
  </si>
  <si>
    <t>Period</t>
  </si>
  <si>
    <t>Annual</t>
  </si>
  <si>
    <t>Issue</t>
  </si>
  <si>
    <t>Date</t>
  </si>
  <si>
    <t>Costs</t>
  </si>
  <si>
    <t>(Years)</t>
  </si>
  <si>
    <t>…</t>
  </si>
  <si>
    <t>Total Annual Amortization (sum of "Issues" listed above)</t>
  </si>
  <si>
    <t>6) Amounts in columns 2-14 are from SCE internal records.</t>
  </si>
  <si>
    <t>List associated securities and event, Event Date, Amortization Amount, Amortization Period, and Annual Amortization:</t>
  </si>
  <si>
    <t>Event</t>
  </si>
  <si>
    <t>Issue/Event</t>
  </si>
  <si>
    <t>Total Annual Amortization (sum of "Issues/Events" listed above)</t>
  </si>
  <si>
    <t xml:space="preserve">7) Amount in Column 2 from FF1 112.16d, amount in Column 14 from FF1 112.16c, amounts in columns 3-13 from SCE internal records. </t>
  </si>
  <si>
    <t xml:space="preserve">8) Amount in Column 2 from FF1 112.12d (opposite sign), amount in Column 14 from FF1 112.12c (opposite sign), amounts in columns 3-13 from SCE internal records. </t>
  </si>
  <si>
    <t>9) Amount in Column 2 from FF1 112.15d (opposite sign), amount in Column 14 from FF1 112.15c (opposite sign), amounts in columns 3-13 from SCE internal records.</t>
  </si>
  <si>
    <t>Plant In Service</t>
  </si>
  <si>
    <t>Inputs are shaded yellow</t>
  </si>
  <si>
    <t>Workpapers for additional information:</t>
  </si>
  <si>
    <t>WP Schedule 6&amp;8</t>
  </si>
  <si>
    <t>WP Schedule 6 Prior Year Corp OH Exp</t>
  </si>
  <si>
    <t>1) Transmission Plant - ISO</t>
  </si>
  <si>
    <t>Prior Year:</t>
  </si>
  <si>
    <t>Sum C2 - C11</t>
  </si>
  <si>
    <t>Mo/YR</t>
  </si>
  <si>
    <t>13-Mo. Avg:</t>
  </si>
  <si>
    <t>Transmission Plant - ISO</t>
  </si>
  <si>
    <t>351.2  5-YR</t>
  </si>
  <si>
    <t>351.2  7-YR</t>
  </si>
  <si>
    <t>351.2  10-YR</t>
  </si>
  <si>
    <t>351.2  15-YR</t>
  </si>
  <si>
    <t>14a</t>
  </si>
  <si>
    <t>14b</t>
  </si>
  <si>
    <t>14c</t>
  </si>
  <si>
    <t>14d</t>
  </si>
  <si>
    <t>14e</t>
  </si>
  <si>
    <t>14f</t>
  </si>
  <si>
    <t>14g</t>
  </si>
  <si>
    <t>14h</t>
  </si>
  <si>
    <t>14i</t>
  </si>
  <si>
    <t>14j</t>
  </si>
  <si>
    <t>14k</t>
  </si>
  <si>
    <t>14l</t>
  </si>
  <si>
    <t>14m</t>
  </si>
  <si>
    <t>14n</t>
  </si>
  <si>
    <t>2) Distribution Plant - ISO</t>
  </si>
  <si>
    <t>Balances for Distribution Plant - ISO for December of Prior Year and year before Prior Year (See Note 2)</t>
  </si>
  <si>
    <t>Sum C2 - C4</t>
  </si>
  <si>
    <t>Average:</t>
  </si>
  <si>
    <t>3) ISO Transmission Plant</t>
  </si>
  <si>
    <t>ISO Transmission Plant is the sum of "Transmission Plant - ISO" and "Distribution Plant - ISO"</t>
  </si>
  <si>
    <t>Source</t>
  </si>
  <si>
    <t>Average value:</t>
  </si>
  <si>
    <t>EOY Value:</t>
  </si>
  <si>
    <r>
      <t>4) General Plant + Electric Miscellaneous Intangible Plant ("G&amp;I Plant")</t>
    </r>
    <r>
      <rPr>
        <b/>
        <sz val="10"/>
        <color rgb="FFFF0000"/>
        <rFont val="Arial"/>
        <family val="2"/>
      </rPr>
      <t xml:space="preserve"> </t>
    </r>
  </si>
  <si>
    <t>General and Intangible Plant is an allocated portion of Total G&amp;I Plant based on the Trans. W&amp;S Allocation Factor</t>
  </si>
  <si>
    <t>General</t>
  </si>
  <si>
    <t>Intangible</t>
  </si>
  <si>
    <t>Data</t>
  </si>
  <si>
    <t>Plant</t>
  </si>
  <si>
    <t>G&amp;I Plant</t>
  </si>
  <si>
    <t>Balances</t>
  </si>
  <si>
    <t>FF1 206.99.b and 204.5b</t>
  </si>
  <si>
    <r>
      <t xml:space="preserve">BOY amount from previous PY </t>
    </r>
    <r>
      <rPr>
        <u/>
        <sz val="10"/>
        <color rgb="FFFF0000"/>
        <rFont val="Arial"/>
        <family val="2"/>
      </rPr>
      <t>(see Note 2a)</t>
    </r>
  </si>
  <si>
    <t>FF1 207.99.g and 205.5g</t>
  </si>
  <si>
    <t>End of year ("EOY") amount</t>
  </si>
  <si>
    <t xml:space="preserve">a) BOY/EOY Average G&amp;I Plant </t>
  </si>
  <si>
    <t>Average BOY/EOY Value:</t>
  </si>
  <si>
    <t>Transmission W&amp;S Allocation Factor:</t>
  </si>
  <si>
    <t>General + Intangible Plant:</t>
  </si>
  <si>
    <t>b) EOY G&amp;I Plant</t>
  </si>
  <si>
    <t>Transmission Activity Used to Determine Monthly Transmission Plant - ISO Balances</t>
  </si>
  <si>
    <t>1) Total Transmission Plant Balances by Account (See Note 3)</t>
  </si>
  <si>
    <t>Sum C2 - C7</t>
  </si>
  <si>
    <t>28a</t>
  </si>
  <si>
    <t>Previous Annual Update, Line 40a</t>
  </si>
  <si>
    <t>29a</t>
  </si>
  <si>
    <t>30a</t>
  </si>
  <si>
    <t>31a</t>
  </si>
  <si>
    <t>32a</t>
  </si>
  <si>
    <t>33a</t>
  </si>
  <si>
    <t>34a</t>
  </si>
  <si>
    <t>35a</t>
  </si>
  <si>
    <t>36a</t>
  </si>
  <si>
    <t>37a</t>
  </si>
  <si>
    <t>38a</t>
  </si>
  <si>
    <t>40a</t>
  </si>
  <si>
    <t>See Note 3c regarding Columns 3 to 6</t>
  </si>
  <si>
    <r>
      <t>2) Total Transmission Activity by Account</t>
    </r>
    <r>
      <rPr>
        <b/>
        <u/>
        <sz val="10"/>
        <color rgb="FFFF0000"/>
        <rFont val="Arial"/>
        <family val="2"/>
      </rPr>
      <t>, not including 351.1, 351.2, and 351.3</t>
    </r>
    <r>
      <rPr>
        <b/>
        <sz val="10"/>
        <rFont val="Arial"/>
        <family val="2"/>
      </rPr>
      <t xml:space="preserve"> (See Note 4):</t>
    </r>
  </si>
  <si>
    <t>3) ISO Incentive Plant Balances (See Note 5)</t>
  </si>
  <si>
    <t>4) ISO Incentive Plant Activity (See Note 6)</t>
  </si>
  <si>
    <r>
      <t xml:space="preserve">5) Total Transmission Activity Not Including Incentive Plant Activity </t>
    </r>
    <r>
      <rPr>
        <b/>
        <u/>
        <sz val="10"/>
        <color rgb="FFFF0000"/>
        <rFont val="Arial"/>
        <family val="2"/>
      </rPr>
      <t>or  351.1, 351.2, and 351.3</t>
    </r>
    <r>
      <rPr>
        <b/>
        <sz val="10"/>
        <rFont val="Arial"/>
        <family val="2"/>
      </rPr>
      <t xml:space="preserve"> (See Note 7):</t>
    </r>
  </si>
  <si>
    <r>
      <t>6) Total Monthly Transmission Activity as a Percent of Annual Transmission Activity</t>
    </r>
    <r>
      <rPr>
        <b/>
        <u/>
        <sz val="10"/>
        <color rgb="FFFF0000"/>
        <rFont val="Arial"/>
        <family val="2"/>
      </rPr>
      <t xml:space="preserve">, not including 351.1, 351.2, or 351.3 </t>
    </r>
    <r>
      <rPr>
        <b/>
        <sz val="10"/>
        <rFont val="Arial"/>
        <family val="2"/>
      </rPr>
      <t>(See Note 8)</t>
    </r>
  </si>
  <si>
    <t>A) Change in ISO Plant Balance December to December (See Note 9)</t>
  </si>
  <si>
    <t>B) Change in Incentive ISO Plant (See Note 10)</t>
  </si>
  <si>
    <r>
      <t xml:space="preserve">The amounts for each month on the remaining lines </t>
    </r>
    <r>
      <rPr>
        <sz val="10"/>
        <color rgb="FFFF0000"/>
        <rFont val="Arial"/>
        <family val="2"/>
      </rPr>
      <t xml:space="preserve">2 to 12 </t>
    </r>
    <r>
      <rPr>
        <sz val="10"/>
        <rFont val="Arial"/>
        <family val="2"/>
      </rPr>
      <t xml:space="preserve">are calculated by summing the following values: </t>
    </r>
  </si>
  <si>
    <t>a) Other ISO Transmission Activity without Incentive Plant Activity on Lines 108-119 for the same month;</t>
  </si>
  <si>
    <t>b) ISO Incentive Plant Activity on Lines 67 to 78 for the same month; and</t>
  </si>
  <si>
    <t xml:space="preserve">c) The previous month balance of the Transmission Plant - ISO amounts on Lines 1-13.  </t>
  </si>
  <si>
    <t xml:space="preserve">For instance, the amount for May of the Prior Year (on Line 6) for Account 353 (Column 5) is the sum of the following values: </t>
  </si>
  <si>
    <t>a) the "Other ISO Transmission Activity without Incentive Plant Activity" for May of the Prior Year (on Line 112, Column 5);</t>
  </si>
  <si>
    <t>b) the "ISO Incentive Plant Activity" for May of the Prior Year (on Line 71, Column 5),</t>
  </si>
  <si>
    <t>c) and the "Transmission Plant - ISO" amount for April of the Prior Year (on Line 5, Column 5).</t>
  </si>
  <si>
    <t>to the FF1 amounts on line 20 (columns 1 and 2) to remove from December 2024 balances the amounts subsequently transferred out of General and Intangible Plant as of January 1, 2025.</t>
  </si>
  <si>
    <t>3) Reconciles to BOY and EOY FERC Form 1 (FF1 207, Lines 48-56 , Column g).                                              Workpaper:</t>
  </si>
  <si>
    <t>3a) For the December values on Row 14a for the TO2027 Annual Update (relating to December of 2024)</t>
  </si>
  <si>
    <t>3c) See referenced workpaper for distribution of Account 351.2 to its four components.                                        Workpaper:</t>
  </si>
  <si>
    <r>
      <t xml:space="preserve">4) Includes recorded Transmission Plant-In-Service additions, retirements, transfers and adjustments.  Monthly differences from previous matrix </t>
    </r>
    <r>
      <rPr>
        <u/>
        <sz val="10"/>
        <color rgb="FFFF0000"/>
        <rFont val="Arial"/>
        <family val="2"/>
      </rPr>
      <t>Lines 28-40</t>
    </r>
    <r>
      <rPr>
        <sz val="10"/>
        <rFont val="Arial"/>
        <family val="2"/>
      </rPr>
      <t xml:space="preserve">. </t>
    </r>
  </si>
  <si>
    <t>5) Includes balances for SCE Incentive Projects.</t>
  </si>
  <si>
    <t xml:space="preserve">6) Monthly differences from previous matrix.  </t>
  </si>
  <si>
    <t>7) Amount in matrix on lines 41 to 52 minus amount in matrix on lines 67 to 78</t>
  </si>
  <si>
    <t>8) Amount in "Total Transmission Activity Not Including Incentive Plant Activity" matrix divided by Total on Line 92 for each account/month.</t>
  </si>
  <si>
    <t>Transmission Plant Study</t>
  </si>
  <si>
    <t>Input cells are shaded yellow</t>
  </si>
  <si>
    <t>WP Schedule 7</t>
  </si>
  <si>
    <t>A) Plant Classified as Transmission in  FERC Form 1 for Prior Year:</t>
  </si>
  <si>
    <t xml:space="preserve">Transmission </t>
  </si>
  <si>
    <t>ISO %</t>
  </si>
  <si>
    <t>Account</t>
  </si>
  <si>
    <t>Data Source</t>
  </si>
  <si>
    <t>Plant - ISO</t>
  </si>
  <si>
    <t>of Total</t>
  </si>
  <si>
    <t>Substation</t>
  </si>
  <si>
    <t>FF1 207.49g</t>
  </si>
  <si>
    <t>FF1 207.50g</t>
  </si>
  <si>
    <t>Total Substation</t>
  </si>
  <si>
    <t>Land</t>
  </si>
  <si>
    <t>FF1 207.48g</t>
  </si>
  <si>
    <t>Total Substation and Land</t>
  </si>
  <si>
    <t>Lines</t>
  </si>
  <si>
    <t>FF1 207.51g</t>
  </si>
  <si>
    <t>FF1 207.52g</t>
  </si>
  <si>
    <t>FF1 207.53g</t>
  </si>
  <si>
    <t>FF1 207.54g</t>
  </si>
  <si>
    <t>FF1 207.55g</t>
  </si>
  <si>
    <t>FF1 207.56g</t>
  </si>
  <si>
    <t>Total Lines</t>
  </si>
  <si>
    <t>21b</t>
  </si>
  <si>
    <t>FF1 207.48.2g</t>
  </si>
  <si>
    <t>21c</t>
  </si>
  <si>
    <t>FF1 207.48.3g</t>
  </si>
  <si>
    <t>21d</t>
  </si>
  <si>
    <t>FF1 207.48.4g</t>
  </si>
  <si>
    <t>21e</t>
  </si>
  <si>
    <t>21f</t>
  </si>
  <si>
    <t>21g</t>
  </si>
  <si>
    <t>Total Transmission</t>
  </si>
  <si>
    <t>B) Plant Classified as Distribution in  FERC Form 1:</t>
  </si>
  <si>
    <t>Land:</t>
  </si>
  <si>
    <t>FF1 207.60g</t>
  </si>
  <si>
    <t>Structures:</t>
  </si>
  <si>
    <t>FF1 207.61g</t>
  </si>
  <si>
    <t>FF1 207.62g</t>
  </si>
  <si>
    <t>Total Structures</t>
  </si>
  <si>
    <t>Total Distribution</t>
  </si>
  <si>
    <t>1) Total transmission does not include account 359.1 "Asset Retirement Costs for Transmission Plant"</t>
  </si>
  <si>
    <t>Total on this line is also equal to FF1 207.58g (Total Transmission Plant)</t>
  </si>
  <si>
    <t>less FF1 207.57g (Asset Retirement Costs for Transmission Plant).</t>
  </si>
  <si>
    <t>2) Only accounts 360-362 included as there is no ISO plant in any other Distribution accounts.</t>
  </si>
  <si>
    <t>1) Perform annual Transmission Study pursuant to instructions in tariff.</t>
  </si>
  <si>
    <t>2) Enter total amounts of plant from FERC Form 1 in Column 1, "Total Plant".</t>
  </si>
  <si>
    <t>3) Enter ISO portion of plant in Column 2, "Transmission Plant - ISO, or "Distribution Plant - ISO".</t>
  </si>
  <si>
    <t>1) Transmission Depreciation Reserve - ISO</t>
  </si>
  <si>
    <t>Balances for Transmission Depreciation Reserve - ISO during the Prior Year, including December of previous year (See Note 1):</t>
  </si>
  <si>
    <t>Account:</t>
  </si>
  <si>
    <t>Transmission Reserve - ISO</t>
  </si>
  <si>
    <t>Previous Annual Update, 8-AccDep Line 14m</t>
  </si>
  <si>
    <t>Transmission Function Depreciation Reserve for Computer Hardware, Software, and Communication Equipment (351.1, 351.2, and 351.3)</t>
  </si>
  <si>
    <t>14o</t>
  </si>
  <si>
    <t>Previous Annual Update, Line 14aa</t>
  </si>
  <si>
    <t>14p</t>
  </si>
  <si>
    <t>See Note 2 for Lines 14p to 14aa</t>
  </si>
  <si>
    <t>14q</t>
  </si>
  <si>
    <t>Columns 3 to 6 sum to total amount for 351.2</t>
  </si>
  <si>
    <t>14r</t>
  </si>
  <si>
    <t>14s</t>
  </si>
  <si>
    <t>14t</t>
  </si>
  <si>
    <t>14u</t>
  </si>
  <si>
    <t>14v</t>
  </si>
  <si>
    <t>14w</t>
  </si>
  <si>
    <t>14x</t>
  </si>
  <si>
    <t>14y</t>
  </si>
  <si>
    <t>14z</t>
  </si>
  <si>
    <t>14aa</t>
  </si>
  <si>
    <t>2) Distribution Depreciation Reserve - ISO (See Note 2a)</t>
  </si>
  <si>
    <t>=Sum C2 to C4</t>
  </si>
  <si>
    <t>Beginning of Year ("BOY") amount</t>
  </si>
  <si>
    <t>End of Year ("EOY") amount</t>
  </si>
  <si>
    <t>BOY/EOY Average:</t>
  </si>
  <si>
    <t xml:space="preserve">3) General and Intangible Depreciation Reserve </t>
  </si>
  <si>
    <t>=C4+C5</t>
  </si>
  <si>
    <t>Gen. and Int.</t>
  </si>
  <si>
    <t xml:space="preserve">Depreciation </t>
  </si>
  <si>
    <t>Reserve</t>
  </si>
  <si>
    <t>BOY:</t>
  </si>
  <si>
    <r>
      <t xml:space="preserve">FF1 219.28c and 200.21c for previous year </t>
    </r>
    <r>
      <rPr>
        <sz val="10"/>
        <color rgb="FFFF0000"/>
        <rFont val="Arial"/>
        <family val="2"/>
      </rPr>
      <t>(See Note 2b)</t>
    </r>
  </si>
  <si>
    <t>EOY:</t>
  </si>
  <si>
    <t>FF1 219.28c and 200.21c</t>
  </si>
  <si>
    <t>a) Average BOY/EOY General and Intangible Depreciation Reserve</t>
  </si>
  <si>
    <t>Total G+I Dep. Reserve on Average BOY/EOY basis:</t>
  </si>
  <si>
    <t>G + I Plant Dep. Reserve (BOY/EOY Average):</t>
  </si>
  <si>
    <t xml:space="preserve">b) EOY General and Intangible Depreciation Reserve </t>
  </si>
  <si>
    <t>Total G+I Dep. Reserve on Average EOY basis:</t>
  </si>
  <si>
    <t>G + I Plant Dep. Reserve (EOY):</t>
  </si>
  <si>
    <t>Transmission Activity Used to Determine Monthly Transmission Depreciation Reserve - ISO Balances</t>
  </si>
  <si>
    <t>1) ISO Depreciation Expense (See Note 3)</t>
  </si>
  <si>
    <t>2) Total Transmission Allocation Factors (See Note 4)</t>
  </si>
  <si>
    <t>3) Calculation of Non-Incentive ISO Reserve</t>
  </si>
  <si>
    <t>A) Change in Depreciation Reserve - ISO (See Note 5)</t>
  </si>
  <si>
    <t>B) Total Depreciation Expense (See Note 6)</t>
  </si>
  <si>
    <t>C) Other Activity (See Note 7)</t>
  </si>
  <si>
    <t>4) Other Transmission Activity (See Note 8)</t>
  </si>
  <si>
    <r>
      <t>shall match amounts on Line</t>
    </r>
    <r>
      <rPr>
        <u/>
        <sz val="10"/>
        <color rgb="FFFF0000"/>
        <rFont val="Arial"/>
        <family val="2"/>
      </rPr>
      <t>s</t>
    </r>
    <r>
      <rPr>
        <sz val="10"/>
        <color rgb="FF000000"/>
        <rFont val="Arial"/>
        <family val="2"/>
      </rPr>
      <t xml:space="preserve"> 13 </t>
    </r>
    <r>
      <rPr>
        <u/>
        <sz val="10"/>
        <color rgb="FFFF0000"/>
        <rFont val="Arial"/>
        <family val="2"/>
      </rPr>
      <t>and 14m</t>
    </r>
    <r>
      <rPr>
        <sz val="10"/>
        <color rgb="FF000000"/>
        <rFont val="Arial"/>
        <family val="2"/>
      </rPr>
      <t xml:space="preserve"> in previous year Annual Update.</t>
    </r>
  </si>
  <si>
    <t>a) Depreciation Expense (on Lines 27 to 38) for the same month;</t>
  </si>
  <si>
    <t xml:space="preserve">b) Other Transmission Activity (on Lines 55 to 66) for the same month; and </t>
  </si>
  <si>
    <t>c) Balances for Transmission Depreciation Reserve (on Lines 1 to 13) for the previous month.</t>
  </si>
  <si>
    <t>For instance, the amount for May of the Prior Year (on Line 6) for Account 353 (Column 5) is the sum of the following values:</t>
  </si>
  <si>
    <t>a) Depreciation Expense for May of the Prior Year (on Line 44, Column 5);</t>
  </si>
  <si>
    <t xml:space="preserve">b) Other Transmission Activity for May of the Prior Year (on Line 59, Column 5); and </t>
  </si>
  <si>
    <t>c) The balances for Transmission Depreciation Reserve for April of the Prior Year (on Line 5, column 5).</t>
  </si>
  <si>
    <t xml:space="preserve">The amounts for each month on the remaining lines 14b to 14m are calculated by multiplying monthly Transmission Function Depreciation Reserve on Lines 14p to 14aa by </t>
  </si>
  <si>
    <t xml:space="preserve">2) Monthly amounts for Accounts 351.1, 351.2, and 351.3 are from SCE records.                                          </t>
  </si>
  <si>
    <t>2b)  In order to align with accounting changes pursuant to FERC Order 898 which went into effect on January 1, 2025, in calculating 2025 costs SCE will make an adjustment to the FF1</t>
  </si>
  <si>
    <t>4) From 6-PlantInService, Lines 93 to 104.</t>
  </si>
  <si>
    <t>8) Multiply the montly "Total Transmission Allocation Factors" ratios found in Lines 40-51 by the</t>
  </si>
  <si>
    <t>"Other Activity" on Line 54.</t>
  </si>
  <si>
    <t>Accumulated Deferred Income Taxes and Net (Excess)/Deficient Deferred Taxes</t>
  </si>
  <si>
    <t>1) Summary of Accumulated Deferred Income Taxes and Net (Excess)/Deficient Deferred Taxes</t>
  </si>
  <si>
    <t>a) End of Year Accumulated Deferred Income Taxes and Net (Excess)/Deficient Deferred Taxes</t>
  </si>
  <si>
    <t>Balance</t>
  </si>
  <si>
    <t>Account 190</t>
  </si>
  <si>
    <t>Account 282</t>
  </si>
  <si>
    <t>Account 283</t>
  </si>
  <si>
    <t>Net (Excess)/Deficient Deferred Tax Liability/Asset</t>
  </si>
  <si>
    <t xml:space="preserve">9-ADIT-2, Line 500, Column 11 </t>
  </si>
  <si>
    <t>Total Accumulated Deferred Income Taxes</t>
  </si>
  <si>
    <t>and Net (Excess)/Deficient Deferred Taxes</t>
  </si>
  <si>
    <t>b) Beginning of Year Accumulated Deferred Income Taxes and Net (Excess)/Deficient Deferred Taxes</t>
  </si>
  <si>
    <t>BOY</t>
  </si>
  <si>
    <t>c) Average of Beginning and End of Year Accumulated Deferred Income Taxes and Net (Excess)/Deficient Deferred Taxes</t>
  </si>
  <si>
    <t>Average</t>
  </si>
  <si>
    <t>BOY/EOY Average Balance:</t>
  </si>
  <si>
    <t>Average of Line 5 and Line 10</t>
  </si>
  <si>
    <t>2) Account 190 Detail</t>
  </si>
  <si>
    <t>END BAL</t>
  </si>
  <si>
    <t>Gas, Generation</t>
  </si>
  <si>
    <t>Labor</t>
  </si>
  <si>
    <t>(Instructions 1&amp;2)</t>
  </si>
  <si>
    <t>ACCT 190</t>
  </si>
  <si>
    <t>DESCRIPTION</t>
  </si>
  <si>
    <t>per G/L</t>
  </si>
  <si>
    <t>or Other Related</t>
  </si>
  <si>
    <t>ISO Only</t>
  </si>
  <si>
    <t>Plant Related</t>
  </si>
  <si>
    <t>Related</t>
  </si>
  <si>
    <t>Description</t>
  </si>
  <si>
    <t>Electric:</t>
  </si>
  <si>
    <t>Amort of Debt Issuance Cost</t>
  </si>
  <si>
    <t>Executive Incentive Comp</t>
  </si>
  <si>
    <t>Accrued Vacation</t>
  </si>
  <si>
    <t>Amortization of Debt Expense</t>
  </si>
  <si>
    <t>Pension &amp; PBOP</t>
  </si>
  <si>
    <t>Continuation of Account 190 Detail</t>
  </si>
  <si>
    <t>Labor Related</t>
  </si>
  <si>
    <t>Total Electric 190</t>
  </si>
  <si>
    <t>Account 190 Gas and Other Income:</t>
  </si>
  <si>
    <t>Total Account 190 Gas and Other Income</t>
  </si>
  <si>
    <t>Total Account 190</t>
  </si>
  <si>
    <t>Allocation Factors (Plant and Wages)</t>
  </si>
  <si>
    <t>Total Account 190 ADIT</t>
  </si>
  <si>
    <t>(Sum of amounts in Columns 4 to 6)</t>
  </si>
  <si>
    <t>FERC Form 1 Account 190</t>
  </si>
  <si>
    <t>FF1 234.18c</t>
  </si>
  <si>
    <t>3) Account 282 Detail</t>
  </si>
  <si>
    <t>ACCT 282</t>
  </si>
  <si>
    <t>Total Account 282</t>
  </si>
  <si>
    <t>Total Account 282 ADIT</t>
  </si>
  <si>
    <t>FERC Form 1 Account 282</t>
  </si>
  <si>
    <t>FF1 275.5k</t>
  </si>
  <si>
    <t>4) Account 283 Detail</t>
  </si>
  <si>
    <t>ACCT 283</t>
  </si>
  <si>
    <t>Bond Discount Amort</t>
  </si>
  <si>
    <t>Health Care - IBNR</t>
  </si>
  <si>
    <t>Refunding &amp; Retirement of Debt</t>
  </si>
  <si>
    <t>Continuation of Account 283 Detail</t>
  </si>
  <si>
    <t>Electric (continued):</t>
  </si>
  <si>
    <t>Total Electric 283</t>
  </si>
  <si>
    <t>Account 283 Gas and Other:</t>
  </si>
  <si>
    <t>Total Account 283 Gas and Other</t>
  </si>
  <si>
    <t>Total Account 283</t>
  </si>
  <si>
    <t>Total Account 283 ADIT</t>
  </si>
  <si>
    <t>FERC Form 1 Account 283</t>
  </si>
  <si>
    <t>FF1 277.19k</t>
  </si>
  <si>
    <t>Instruction 1: For any "Company Wide" ADIT line item balance (i.e., that include Catalina Gas or Water costs), indicate in Column 7</t>
  </si>
  <si>
    <t>with a leading "C:".</t>
  </si>
  <si>
    <t xml:space="preserve">Instruction 2: For any Company Wide ADIT balance items, include a portion of the total Column 2 balance in Column 3 </t>
  </si>
  <si>
    <t>"Gas, Generation, or Other Related" based on the following percentages.</t>
  </si>
  <si>
    <t xml:space="preserve">1) For Line items allocated based on the Wages and Salaries Allocation Factor: </t>
  </si>
  <si>
    <t>Prior Year</t>
  </si>
  <si>
    <t>A:Total Electric Wages and Salaries</t>
  </si>
  <si>
    <t>FF1 354.28b</t>
  </si>
  <si>
    <t>B:Gas Wages and Salaries</t>
  </si>
  <si>
    <t>FF1 355.62b</t>
  </si>
  <si>
    <t>C:Water Wages and Salaries</t>
  </si>
  <si>
    <t>FF1 355.64b</t>
  </si>
  <si>
    <t>D:Total Electric, Gas, and Water Wages and Salaries</t>
  </si>
  <si>
    <t>A+B+C</t>
  </si>
  <si>
    <t>E:Labor Percentage "Gas, Generation, or Other"</t>
  </si>
  <si>
    <t>(B+C) / D</t>
  </si>
  <si>
    <t xml:space="preserve">2) For Line items allocated based on the Transmission Plant Allocation Factor or "ISO Only": </t>
  </si>
  <si>
    <t>F:Total Electric Plant In Service</t>
  </si>
  <si>
    <t>FF1 207.104g</t>
  </si>
  <si>
    <t>G:Total Gas Plant In Service</t>
  </si>
  <si>
    <t>FF1 201.8d</t>
  </si>
  <si>
    <t>H:Total Water Plant in Service</t>
  </si>
  <si>
    <t>FF1 201.8e</t>
  </si>
  <si>
    <t>I:Total Electric, Gas, and Water Plant In Service</t>
  </si>
  <si>
    <t>F+G+H</t>
  </si>
  <si>
    <t>J:Plant Percentage "Gas, Generation, or Other"</t>
  </si>
  <si>
    <t>(G+H) / I</t>
  </si>
  <si>
    <t>Instruction 3: Classify any ADIT line items relating to refunding and retirement of debt as Plant related (Column 5).</t>
  </si>
  <si>
    <t>(Excess)/Deficient Deferred Income Taxes - FERC Order 864 Worksheet</t>
  </si>
  <si>
    <t>(Col 1)</t>
  </si>
  <si>
    <t>(Col 2)</t>
  </si>
  <si>
    <t>(Col 3)</t>
  </si>
  <si>
    <t>(Col 4)</t>
  </si>
  <si>
    <t>(Col 5)</t>
  </si>
  <si>
    <t>(Col 6)</t>
  </si>
  <si>
    <t>(Col 7)</t>
  </si>
  <si>
    <t>(Col 8)</t>
  </si>
  <si>
    <t>(Col 9)</t>
  </si>
  <si>
    <t>(Col 10)</t>
  </si>
  <si>
    <t>(Col 11)</t>
  </si>
  <si>
    <t>Note 7</t>
  </si>
  <si>
    <t>SCE Records</t>
  </si>
  <si>
    <t xml:space="preserve"> = (C2) thru (C7)</t>
  </si>
  <si>
    <t>9-ADIT-3  (C8)</t>
  </si>
  <si>
    <t>= (C8) + (C9)</t>
  </si>
  <si>
    <t>Beginning Deficient ADIT - FERC Acct 182.3</t>
  </si>
  <si>
    <t xml:space="preserve">   Beginning (Excess) ADIT - FERC Acct 254</t>
  </si>
  <si>
    <t>Other Deficient ADIT Adjustments to FERC Acct 182.3</t>
  </si>
  <si>
    <t>Other (Excess) ADIT Adjustments to FERC Acct 254</t>
  </si>
  <si>
    <t>Amortization of Deficient ADIT to FERC Acct 410.1</t>
  </si>
  <si>
    <t>Amortization of (Excess) ADIT to FERC Acct 411.1</t>
  </si>
  <si>
    <r>
      <t>Net (Excess) Deficient ADIT  at Prior</t>
    </r>
    <r>
      <rPr>
        <b/>
        <strike/>
        <sz val="10"/>
        <rFont val="Arial"/>
        <family val="2"/>
      </rPr>
      <t xml:space="preserve"> </t>
    </r>
    <r>
      <rPr>
        <b/>
        <sz val="10"/>
        <rFont val="Arial"/>
        <family val="2"/>
      </rPr>
      <t>Tax Rate</t>
    </r>
  </si>
  <si>
    <t>Adjustment for New Tax Rate to FERC Acct 254/182.3</t>
  </si>
  <si>
    <t>Ending Deficient ADIT - FERC Acct 182.3</t>
  </si>
  <si>
    <t>Ending (Excess) ADIT - FERC Acct 254</t>
  </si>
  <si>
    <t>Protected - Property Related - (Note 1)</t>
  </si>
  <si>
    <t>Method/Life</t>
  </si>
  <si>
    <t>CPI</t>
  </si>
  <si>
    <t>FERC S Georgia - Norm</t>
  </si>
  <si>
    <t>Federal NOL</t>
  </si>
  <si>
    <t>50</t>
  </si>
  <si>
    <t>Total Protected - Property Related:</t>
  </si>
  <si>
    <t>Unprotected - Property Related - (Note 2)</t>
  </si>
  <si>
    <t>Mixed Service Costs</t>
  </si>
  <si>
    <t>AFUDC Debt</t>
  </si>
  <si>
    <t>Tax Repair Deduction</t>
  </si>
  <si>
    <t>Capitalized Software Deduction</t>
  </si>
  <si>
    <t xml:space="preserve">Other Historical Basis Differences </t>
  </si>
  <si>
    <t>Federal Benefit of State Taxes</t>
  </si>
  <si>
    <t>150</t>
  </si>
  <si>
    <t>Total Unprotected - Property Related:</t>
  </si>
  <si>
    <t>200</t>
  </si>
  <si>
    <t>Cost of Removal - Book Accrual - (Note 3)</t>
  </si>
  <si>
    <t>250</t>
  </si>
  <si>
    <t>Total Property Related  (= L50+L150+L200)</t>
  </si>
  <si>
    <t>300</t>
  </si>
  <si>
    <t>Unprotected - Non-Property Related - (Note 4)</t>
  </si>
  <si>
    <t>Executive Incentive Plan ST</t>
  </si>
  <si>
    <t>Executive Incentive Plan LT</t>
  </si>
  <si>
    <t>Ins - Inj/Damages Prov</t>
  </si>
  <si>
    <t>PBOP 401H Amortization</t>
  </si>
  <si>
    <t>EMS</t>
  </si>
  <si>
    <t>Ad Valorem Lien Date Adj</t>
  </si>
  <si>
    <t>350</t>
  </si>
  <si>
    <t>Total Non-Property Related</t>
  </si>
  <si>
    <t>Grand Total   (= L 250 + L 350)</t>
  </si>
  <si>
    <t>Total Net Amounts</t>
  </si>
  <si>
    <t>Tax Gross-Up Percent (CTR/(1-CTR))</t>
  </si>
  <si>
    <t>Tax Gross-Up Amt (Line 400 x Line 600)</t>
  </si>
  <si>
    <t>(Note 8)</t>
  </si>
  <si>
    <t>1) Method/Life and Federal NOL are amortized into rates under average rate assumption method over remaining book life, and SGA is amortized over remaining book life under straight-line method.</t>
  </si>
  <si>
    <t>2) Amortized into rates as follows (number of years of amortization, and beginning year of amortization).</t>
  </si>
  <si>
    <t>Amortization Period:</t>
  </si>
  <si>
    <t>Beginning Year:</t>
  </si>
  <si>
    <t>3) Amortization subject to SCE private letter ruling #202141001.</t>
  </si>
  <si>
    <t>4) Amortized into rates as follows (number of years of amortization, and beginning year of amortization).</t>
  </si>
  <si>
    <t>5) Add additional lines if necessary to support amounts (at Lines 6, 107, and 315, or more if necessary).</t>
  </si>
  <si>
    <t>FERC Form 1 Location:</t>
  </si>
  <si>
    <t xml:space="preserve">6) Reference - Line 400, Column 10: </t>
  </si>
  <si>
    <t>FERC Account 182.3</t>
  </si>
  <si>
    <t xml:space="preserve">    Reference - Line 601, Column 10: </t>
  </si>
  <si>
    <t xml:space="preserve">7) Reference - Line 400, Column 11: </t>
  </si>
  <si>
    <t>FERC Account 254</t>
  </si>
  <si>
    <t xml:space="preserve">    Reference - Line 601, Column 11: </t>
  </si>
  <si>
    <t>8) The tax gross-up amounts on Line 601 are excluded from rate base.</t>
  </si>
  <si>
    <t>(Excess)/Deficient Deferred Income Taxes - FERC Order 864 Worksheet -- Tax Rate Change</t>
  </si>
  <si>
    <t>New Tax Rate?</t>
  </si>
  <si>
    <t>No</t>
  </si>
  <si>
    <t>New Rate:</t>
  </si>
  <si>
    <t>New Tax Rate Adjustment Calculation</t>
  </si>
  <si>
    <t>(C3)xNew Rate</t>
  </si>
  <si>
    <t>= (C4) - (C5)</t>
  </si>
  <si>
    <t>9-ADIT-2  (C8)</t>
  </si>
  <si>
    <t>= (C6) - (C7)</t>
  </si>
  <si>
    <t>FERC Acct</t>
  </si>
  <si>
    <t>Accumulated Book-to-Tax Adjustments</t>
  </si>
  <si>
    <t>ADIT, (Excess) ADIT and Deficient ADIT at Prior Tax Rate</t>
  </si>
  <si>
    <t>ADIT Balance at New Tax Rate</t>
  </si>
  <si>
    <t>Net (Excess) Deficient ADIT at New Tax Rate</t>
  </si>
  <si>
    <t>Net (Excess) Deficient ADIT at Prior Tax Rate</t>
  </si>
  <si>
    <t>Adjustment for New Tax Rate to FERC Acct. 254/182.3</t>
  </si>
  <si>
    <t xml:space="preserve">Protected - Property Related </t>
  </si>
  <si>
    <t>Unprotected - Property Related</t>
  </si>
  <si>
    <t xml:space="preserve">Cost of Removal - Book Accrual </t>
  </si>
  <si>
    <t>Total Property Related  (= L50 + L150 + L200)</t>
  </si>
  <si>
    <t xml:space="preserve">Unprotected - Non-Property Related </t>
  </si>
  <si>
    <t xml:space="preserve">Total Non-Property Related </t>
  </si>
  <si>
    <r>
      <rPr>
        <b/>
        <sz val="10"/>
        <color theme="1"/>
        <rFont val="Arial"/>
        <family val="2"/>
      </rPr>
      <t xml:space="preserve">1) Populate this Schedule with inputs </t>
    </r>
    <r>
      <rPr>
        <b/>
        <u val="singleAccounting"/>
        <sz val="10"/>
        <color theme="1"/>
        <rFont val="Arial"/>
        <family val="2"/>
      </rPr>
      <t>only</t>
    </r>
    <r>
      <rPr>
        <b/>
        <sz val="10"/>
        <color theme="1"/>
        <rFont val="Arial"/>
        <family val="2"/>
      </rPr>
      <t xml:space="preserve"> in the event of a change in the Tax Rate from the previous year</t>
    </r>
    <r>
      <rPr>
        <sz val="10"/>
        <color theme="1"/>
        <rFont val="Arial"/>
        <family val="2"/>
      </rPr>
      <t>.</t>
    </r>
  </si>
  <si>
    <t>2) If no change in Tax Rate, enter "No" at top of Schedule (New Tax Rate Yes/No)</t>
  </si>
  <si>
    <t>1) Amounts in Columns 3 and 4 reflect the allocated portion of the company's total accumulated book-to-tax adjustments and related ADIT, (Excess) ADIT,</t>
  </si>
  <si>
    <t>and Deficient ADIT to property-related transmission costs based on the Plant Study performed consistent with Section 9 of Attachment 1 to Appendix IX,</t>
  </si>
  <si>
    <t>and to non-property related costs based on their respective Allocation Factors ("Transmission Wages and Salary Allocation Factor" and "Transmission Plant</t>
  </si>
  <si>
    <t xml:space="preserve">Allocation Factor") from Schedule 27 ("Allocations and Methodology") as reflected in 9-ADIT-1, Columns 5 and 6 and as described in Column 7 and Instructions 1 &amp; 2. </t>
  </si>
  <si>
    <t xml:space="preserve">Prior Year CWIP and Forecast Period Incremental CWIP by Project </t>
  </si>
  <si>
    <t>Prior Year CWIP is the amount of Construction Work In Progress for projects that have received Commission approval</t>
  </si>
  <si>
    <t>to include CWIP in Rate Base.</t>
  </si>
  <si>
    <t>1) Prior Year CWIP, Total and by Project</t>
  </si>
  <si>
    <t>WP Schedule 10</t>
  </si>
  <si>
    <t xml:space="preserve"> = Sum of all</t>
  </si>
  <si>
    <t>columns</t>
  </si>
  <si>
    <t>Devers to</t>
  </si>
  <si>
    <t>South of</t>
  </si>
  <si>
    <t>West of</t>
  </si>
  <si>
    <t>Total CWIP</t>
  </si>
  <si>
    <t>Tehachapi</t>
  </si>
  <si>
    <t>Colorado River</t>
  </si>
  <si>
    <t>Kramer</t>
  </si>
  <si>
    <t>Devers</t>
  </si>
  <si>
    <t>Red Bluff</t>
  </si>
  <si>
    <t xml:space="preserve">October </t>
  </si>
  <si>
    <t>13 Month Averages:</t>
  </si>
  <si>
    <t>Col 15</t>
  </si>
  <si>
    <t xml:space="preserve">Colorado </t>
  </si>
  <si>
    <t>Whirlwind</t>
  </si>
  <si>
    <t>River</t>
  </si>
  <si>
    <t>ELM</t>
  </si>
  <si>
    <t>Expansion</t>
  </si>
  <si>
    <t>Mesa</t>
  </si>
  <si>
    <t>Alberhill</t>
  </si>
  <si>
    <t>Series Caps</t>
  </si>
  <si>
    <t>Riverside</t>
  </si>
  <si>
    <t>Del Amo-Mesa-Serrano</t>
  </si>
  <si>
    <t>Lugo-Victor-Kramer</t>
  </si>
  <si>
    <t>2) Total Forecast Period CWIP Expenditures (see Note 1)</t>
  </si>
  <si>
    <t>Unloaded</t>
  </si>
  <si>
    <t>Forecast</t>
  </si>
  <si>
    <t>Corporate</t>
  </si>
  <si>
    <t xml:space="preserve">Total </t>
  </si>
  <si>
    <t>Prior Period</t>
  </si>
  <si>
    <t>Over Heads</t>
  </si>
  <si>
    <t>Forecast Period</t>
  </si>
  <si>
    <t>Expenditures</t>
  </si>
  <si>
    <t>Overheads</t>
  </si>
  <si>
    <t>CWIP Exp</t>
  </si>
  <si>
    <t>Plant Adds</t>
  </si>
  <si>
    <t>CWIP Closed</t>
  </si>
  <si>
    <t>Closed to PIS</t>
  </si>
  <si>
    <t>Period CWIP</t>
  </si>
  <si>
    <t>Incremental CWIP</t>
  </si>
  <si>
    <t>13-Month Averages:</t>
  </si>
  <si>
    <t>3) Forecast Period CWIP Expenditures by Project (see Note 1)</t>
  </si>
  <si>
    <t>WP Schedules 10 &amp; 16</t>
  </si>
  <si>
    <t>3a) Project:</t>
  </si>
  <si>
    <t>= C1 * 
16-Plnt Add Line 74</t>
  </si>
  <si>
    <t>= C1 + C2</t>
  </si>
  <si>
    <t>= (C4 - C5) *
16-Plnt Add Line 74</t>
  </si>
  <si>
    <t>= Prior Month C7
+ C3 - C4 - C6</t>
  </si>
  <si>
    <t>= C7 - 
Dec Prior Year C7</t>
  </si>
  <si>
    <t>3b) Project:</t>
  </si>
  <si>
    <t>Devers to Colorado River</t>
  </si>
  <si>
    <t>3c) Project:</t>
  </si>
  <si>
    <t>South of Kramer</t>
  </si>
  <si>
    <t>3d) Project:</t>
  </si>
  <si>
    <t>West of Devers</t>
  </si>
  <si>
    <t>3e) Project:</t>
  </si>
  <si>
    <t>3f) Project:</t>
  </si>
  <si>
    <t>Whirlwind Substation Expansion</t>
  </si>
  <si>
    <t>Unload</t>
  </si>
  <si>
    <t>3g) Project:</t>
  </si>
  <si>
    <t>Colorado River Substation Expansion</t>
  </si>
  <si>
    <t>3h) Project:</t>
  </si>
  <si>
    <t>3i) Project:</t>
  </si>
  <si>
    <t>3j) Project:</t>
  </si>
  <si>
    <t>ELM Series Caps</t>
  </si>
  <si>
    <t>3k) Project:</t>
  </si>
  <si>
    <t>3l) Project:</t>
  </si>
  <si>
    <t>3m) Project:</t>
  </si>
  <si>
    <t xml:space="preserve">Lugo-Victor-Kramer </t>
  </si>
  <si>
    <t>3n) Project:</t>
  </si>
  <si>
    <t>add additional projects below this line (See Instruction 3)</t>
  </si>
  <si>
    <t xml:space="preserve">1) Forecast Period is the calendar year two years after the Prior Year (i.e., PY+2).   </t>
  </si>
  <si>
    <t>2) Sum of project specific values from lines 55-79, 81-105, 107-131, 133-157, 159-183, 185-209, 211-235, 237-261, 263-287, 289-313, 315-339, 341-365, 367-391, …</t>
  </si>
  <si>
    <t>1) Enter recorded amounts of CWIP during Prior Year on Lines 1-13, 15-27 (including December of year previous to Prior Year).</t>
  </si>
  <si>
    <t>2) Enter forecast project specific values on lines 55-79, 81-105, 107-131, 133-157, 159-183, 185-209, 211-235, 237-261, 263-287, 289-313, 315-339, 341-365, 367-391, ...</t>
  </si>
  <si>
    <t>3) If Commission approval is granted to include CWIP in Rate Base for additional projects, include additional tables for each of those additional projects.</t>
  </si>
  <si>
    <t>TRANSMISSION PLANT HELD FOR FUTURE USE</t>
  </si>
  <si>
    <t>Transmission Plant Held for Future Use shall be amounts of Electric Plant Held for Future Use (account 105)</t>
  </si>
  <si>
    <t>intended to be placed under the Operational Control of the ISO, plus an allocated amount of any General</t>
  </si>
  <si>
    <t>Electric Plant Held for Future Use, with the allocation factor being the Transmission Wages and Salaries AF.</t>
  </si>
  <si>
    <t>Beginning of Year Balance</t>
  </si>
  <si>
    <t>End of Year Balance</t>
  </si>
  <si>
    <t>Total Electric PHFU</t>
  </si>
  <si>
    <t>FF1 page 214.47d</t>
  </si>
  <si>
    <t>Plant intended to be placed under the Operational Control of the ISO:</t>
  </si>
  <si>
    <t>Type</t>
  </si>
  <si>
    <t>of Plant</t>
  </si>
  <si>
    <t>2b</t>
  </si>
  <si>
    <t>2c</t>
  </si>
  <si>
    <t>2d</t>
  </si>
  <si>
    <t>2e</t>
  </si>
  <si>
    <t>2f</t>
  </si>
  <si>
    <t>2g</t>
  </si>
  <si>
    <t>2h</t>
  </si>
  <si>
    <t>Sum of above lines</t>
  </si>
  <si>
    <t>General Plant Held for Future Use</t>
  </si>
  <si>
    <t>FF1 page 214</t>
  </si>
  <si>
    <t>4a</t>
  </si>
  <si>
    <t>Enter FF1 Page 214 Line reference here when Line 4 is a non-zero amount:</t>
  </si>
  <si>
    <t>Wages and Salaries AF:</t>
  </si>
  <si>
    <t>Portion for Transmission PHFU:</t>
  </si>
  <si>
    <t>All other Electric Plant Held for Future Use not intended to be placed under the Operational Control of the ISO:</t>
  </si>
  <si>
    <t>Transmission PHFU:</t>
  </si>
  <si>
    <t>Average of BOY and EOY</t>
  </si>
  <si>
    <t>Calculation of Gain or Loss on Transmission Plant Held for Future Use -- Land</t>
  </si>
  <si>
    <t>Gain or Loss on Transmission Plant Held for Future Use --- Land</t>
  </si>
  <si>
    <t>1) For any Electric Plant Held for Future Use intended to be placed under the Operational Control of the ISO,</t>
  </si>
  <si>
    <t>list on lines 2a, 2b, etc.  Provide description in Column 1.  Note type of plant (land or other) in Column 2.</t>
  </si>
  <si>
    <t>Under "Source" (Column 5), state the line number on FERC Form 1 page 214 from which the amount is derived.</t>
  </si>
  <si>
    <t>BOY amount will be EOY value from previous year FERC Form 1, EOY amount will be in current year FF1.</t>
  </si>
  <si>
    <t xml:space="preserve">3) Add additional lines 2 i, j, k, etc. as necessary to include additional projects intended to be placed under the </t>
  </si>
  <si>
    <t>Operational Control of the ISO.</t>
  </si>
  <si>
    <t>4) Gains and Losses on Transmission Plant Held for Future Use - Land is treated in accordance with Commission policy.</t>
  </si>
  <si>
    <t>Any gain or loss on non-land portions of Transmission Plant Held for Future Use is not included.</t>
  </si>
  <si>
    <t>1) Amount of Line 1 not intended to be placed under the Operational Control of the ISO.</t>
  </si>
  <si>
    <t xml:space="preserve">Determination of amount of Abandoned Plant and Abandoned Plant Amortization Expense </t>
  </si>
  <si>
    <t>Input data is shaded yellow</t>
  </si>
  <si>
    <t>Initially Abandoned Plant Amortization Expense and Abandoned Plant are both zero.</t>
  </si>
  <si>
    <t>Upon Commission approval of recovery of abandoned plant costs for a specific project or projects, SCE will</t>
  </si>
  <si>
    <t>complete this worksheet in accordance with that Order.</t>
  </si>
  <si>
    <t>Project</t>
  </si>
  <si>
    <t>Commission Order</t>
  </si>
  <si>
    <t>Orders Providing for Abandoned Plant Cost Recovery:</t>
  </si>
  <si>
    <t>Abandoned Plant for each project represents the amount of costs that the Order approves for inclusion in Rate Base.</t>
  </si>
  <si>
    <t xml:space="preserve">Abandoned Plant Amortization Expense for each project represents the annual amortization of abandoned costs </t>
  </si>
  <si>
    <t>that the Order approves as an annual expense.</t>
  </si>
  <si>
    <t xml:space="preserve">Amount for </t>
  </si>
  <si>
    <t>Abandoned Plant Amortization Expense:</t>
  </si>
  <si>
    <t>Sum of projects below for PY.</t>
  </si>
  <si>
    <t>Abandoned Plant (BOY):</t>
  </si>
  <si>
    <t>Abandoned Plant (EOY):</t>
  </si>
  <si>
    <t>Abandoned Plant (BOY/EOY Average):</t>
  </si>
  <si>
    <t>HV Abandoned Plant (BOY):</t>
  </si>
  <si>
    <t>First Project:</t>
  </si>
  <si>
    <t>Fill in Name</t>
  </si>
  <si>
    <t>2nd Project:</t>
  </si>
  <si>
    <t>EOY HV</t>
  </si>
  <si>
    <t>Abandoned</t>
  </si>
  <si>
    <t>EOY</t>
  </si>
  <si>
    <t>Amort.</t>
  </si>
  <si>
    <t>(Note 1)</t>
  </si>
  <si>
    <t>Expense</t>
  </si>
  <si>
    <t>1) "EOY HV Abandoned Plant" is amount of "EOY Abandoned Plant" that would have been High Voltage (&gt;= 200 kV).</t>
  </si>
  <si>
    <t>1) Upon Commission approval of recovery of abandoned plant costs for a project:</t>
  </si>
  <si>
    <t>a) Fill in the name the project in order (First Project, Second Project, etc.).</t>
  </si>
  <si>
    <t>b) Fill in the table with annual End of Year ("EOY") Abandoned Plant, EOY HV Abandoned Plant, and</t>
  </si>
  <si>
    <t>Abandoned Plant Amortization Expense amounts in Accordance with the Order.</t>
  </si>
  <si>
    <t>If table can not be filled out completely, fill out at least through the Prior Year at issue.</t>
  </si>
  <si>
    <t>c) Sum project-specific amounts for each project and enter in lines 1, 2, and 3 for the Prior Year at issue.</t>
  </si>
  <si>
    <t>(BOY value is EOY value from previous year)</t>
  </si>
  <si>
    <t>2) Add additional projects if necessary in same format.</t>
  </si>
  <si>
    <t>3) Add additional years past 2025 if necessary.</t>
  </si>
  <si>
    <t>Calculation of Components of Working Capital</t>
  </si>
  <si>
    <t>1) Calculation of Materials and Supplies</t>
  </si>
  <si>
    <t>WP Schedule 13 Working Capital</t>
  </si>
  <si>
    <t xml:space="preserve">Materials and Supplies is the amount of  total Account 154 Materials and Supplies </t>
  </si>
  <si>
    <t>times the Transmission Wages and Salaries AF</t>
  </si>
  <si>
    <t>Total Materials and</t>
  </si>
  <si>
    <t>Supplies Balances</t>
  </si>
  <si>
    <t>FF1 227.12b</t>
  </si>
  <si>
    <t>Beginning of year ("BOY") amount</t>
  </si>
  <si>
    <t>FF1 227.12c</t>
  </si>
  <si>
    <t>13-Month Average Value Account 154:</t>
  </si>
  <si>
    <t>Transmission Wages and Salaries AF:</t>
  </si>
  <si>
    <t>13-Month Average Value:</t>
  </si>
  <si>
    <t>2) Calculation of Prepayments</t>
  </si>
  <si>
    <t xml:space="preserve">Prepayments is an allocated portion of Total Prepayments based </t>
  </si>
  <si>
    <t>on the Transmission Wages and Salaries Allocation Factor.</t>
  </si>
  <si>
    <t>Total Prepayments</t>
  </si>
  <si>
    <t>Note 1, c</t>
  </si>
  <si>
    <t>See Note 1, c</t>
  </si>
  <si>
    <t>Note 1, f</t>
  </si>
  <si>
    <t>See Note 1, f</t>
  </si>
  <si>
    <t>a) 13-Month Average Calculation</t>
  </si>
  <si>
    <t>Prepayments:</t>
  </si>
  <si>
    <t>b) EOY calculation</t>
  </si>
  <si>
    <t xml:space="preserve">1) </t>
  </si>
  <si>
    <t>Beginning of Year Amount</t>
  </si>
  <si>
    <t>FERC Form 1 Acct. 165 Recorded Amount:</t>
  </si>
  <si>
    <t>FF1 111.57d</t>
  </si>
  <si>
    <t>Prior Period Adjustment:</t>
  </si>
  <si>
    <t>BOY Prepayments Amount:</t>
  </si>
  <si>
    <t>End of Year Amount</t>
  </si>
  <si>
    <t>FF1 111.57c</t>
  </si>
  <si>
    <t>EOY Prepayments Amount:</t>
  </si>
  <si>
    <t>Plant Balances For Incentive Projects Receiving either ROE Incentives ("Transmission Incentive Plant")</t>
  </si>
  <si>
    <t>or CWIP ("CWIP Plant")</t>
  </si>
  <si>
    <t>WP Schedule 14 Incentive Plant</t>
  </si>
  <si>
    <t>A) Summary of Incentive Project plant balances receiving ROE incentives</t>
  </si>
  <si>
    <t>("Transmission Incentive Plant") and/or CWIP ("CWIP Plant") and calculation</t>
  </si>
  <si>
    <t>of balances needed to determine the following:</t>
  </si>
  <si>
    <t>1) Rate Base in Prior Year</t>
  </si>
  <si>
    <t>2) Prior Year Incentive Rate Base - End of Year</t>
  </si>
  <si>
    <t>3) Prior Year Incentive Rate Base - 13-Month Average</t>
  </si>
  <si>
    <t xml:space="preserve">Transmission Incentive Project plant balances and CWIP Plant may affect the following: </t>
  </si>
  <si>
    <t>a) CWIP Plant during the Prior Year is included in Rate Base (used in Prior Year TRR and True Up TRR).</t>
  </si>
  <si>
    <t xml:space="preserve">b) Forecast Period Incremental CWIP contributes to Incremental Forecast Period TRR </t>
  </si>
  <si>
    <t xml:space="preserve">c) CWIP Plant receiving an ROE adder contributes to Prior Year Incentive Rate Base - EOY, </t>
  </si>
  <si>
    <t>or Prior Year Incentive Rate Base - 13 Month Average as appropriate.</t>
  </si>
  <si>
    <t>d) "TIP Net Plant In Service" at EOY Prior Year is used to calculate the PY Incentive Rate Base (on EOY basis).</t>
  </si>
  <si>
    <t>e) "TIP Net Plant In Service" in PY is used to calculate the Prior Year Incentive Rate Base (on 13-month average basis).</t>
  </si>
  <si>
    <t>1) Summary of CWIP Plant in Prior Year and Forecast Period</t>
  </si>
  <si>
    <t>13-Month</t>
  </si>
  <si>
    <t>Incremental</t>
  </si>
  <si>
    <t>End-of-Year</t>
  </si>
  <si>
    <t>Incentive</t>
  </si>
  <si>
    <t>1) Tehachapi</t>
  </si>
  <si>
    <t>2) Devers-Colorado River</t>
  </si>
  <si>
    <t>3) South of Kramer</t>
  </si>
  <si>
    <t>4) West of Devers</t>
  </si>
  <si>
    <t>5) Red Bluff</t>
  </si>
  <si>
    <t>6) Whirlwind Substation Exp.</t>
  </si>
  <si>
    <t>7) Colorado River Sub. Exp.</t>
  </si>
  <si>
    <t>8) Mesa</t>
  </si>
  <si>
    <t>9) Alberhill</t>
  </si>
  <si>
    <t>10) ELM Series Caps</t>
  </si>
  <si>
    <t>11) Riverside</t>
  </si>
  <si>
    <t>12) Del Amo-Mesa-Serrano</t>
  </si>
  <si>
    <t>13) Lugo-Victor-Kramer</t>
  </si>
  <si>
    <t>14) Future Incentive Project</t>
  </si>
  <si>
    <t>2) Summary of Prior Year Incentive Rate Base amounts (EOY Values)</t>
  </si>
  <si>
    <t>= C2 + C3</t>
  </si>
  <si>
    <t>TIP Net Plant</t>
  </si>
  <si>
    <t>Portion</t>
  </si>
  <si>
    <t>In Service</t>
  </si>
  <si>
    <t>1) Rancho Vista</t>
  </si>
  <si>
    <t>2) Tehachapi</t>
  </si>
  <si>
    <t>3) Devers-Colorado River</t>
  </si>
  <si>
    <t>Total PY Incentive Net Plant:</t>
  </si>
  <si>
    <t xml:space="preserve">End of Year </t>
  </si>
  <si>
    <t>3) Summary of Prior Year Incentive Rate Base amounts (13-Month Average values)</t>
  </si>
  <si>
    <t>3) Devers-Colorado R</t>
  </si>
  <si>
    <t>13 Month Average</t>
  </si>
  <si>
    <t>4) Prior Year TIP Net Plant In Service</t>
  </si>
  <si>
    <t xml:space="preserve">Prior </t>
  </si>
  <si>
    <t xml:space="preserve">Total TIP </t>
  </si>
  <si>
    <t xml:space="preserve">Net Plant </t>
  </si>
  <si>
    <t>Rancho</t>
  </si>
  <si>
    <t>Vista</t>
  </si>
  <si>
    <t>←December of</t>
  </si>
  <si>
    <t>year previous</t>
  </si>
  <si>
    <t>to Prior Year</t>
  </si>
  <si>
    <t>5) Total Transmission Activity for Incentive Projects</t>
  </si>
  <si>
    <t>= C1 - C2</t>
  </si>
  <si>
    <t>Account 350-359</t>
  </si>
  <si>
    <t>Activity for</t>
  </si>
  <si>
    <t>360-362</t>
  </si>
  <si>
    <t>Projects</t>
  </si>
  <si>
    <t>Activity</t>
  </si>
  <si>
    <t xml:space="preserve">Source </t>
  </si>
  <si>
    <t>C1: Sum of below projects</t>
  </si>
  <si>
    <t>for each month</t>
  </si>
  <si>
    <t>6) Calculation of Prior Year Net Plant in Service amounts for each Incentive Project</t>
  </si>
  <si>
    <t>a) Tehachapi</t>
  </si>
  <si>
    <t>= C1 - Previous</t>
  </si>
  <si>
    <t>Month C1</t>
  </si>
  <si>
    <t>Accumulated</t>
  </si>
  <si>
    <t>Net Plant</t>
  </si>
  <si>
    <t>In-Service</t>
  </si>
  <si>
    <t>b) Rancho Vista</t>
  </si>
  <si>
    <t>c) Devers to Colorado River</t>
  </si>
  <si>
    <t>d) South of Kramer</t>
  </si>
  <si>
    <t>e) West of Devers</t>
  </si>
  <si>
    <t>f) Red Bluff</t>
  </si>
  <si>
    <t>g) Whirlwind Substation Expansion</t>
  </si>
  <si>
    <t>h) Colorado River Substation Expansion</t>
  </si>
  <si>
    <t>i) Mesa</t>
  </si>
  <si>
    <t>j) Alberhill</t>
  </si>
  <si>
    <t>k) ELM Series Caps</t>
  </si>
  <si>
    <t xml:space="preserve">    </t>
  </si>
  <si>
    <t>l) Riverside</t>
  </si>
  <si>
    <t>m) Del Amo-Mesa-Serrano</t>
  </si>
  <si>
    <t>n) Lugo-Victor-Kramer</t>
  </si>
  <si>
    <t>o) Future Incentive Projects</t>
  </si>
  <si>
    <t>6) Summary of Incentive Projects and incentives granted</t>
  </si>
  <si>
    <t>A) Rancho Vista Incentives Received:</t>
  </si>
  <si>
    <t>Cite:</t>
  </si>
  <si>
    <t>CWIP:</t>
  </si>
  <si>
    <t>Yes</t>
  </si>
  <si>
    <t>121 FERC ¶ 61,168 at P 57</t>
  </si>
  <si>
    <t>ROE adder:</t>
  </si>
  <si>
    <t>121 FERC ¶ 61,168 at P 129</t>
  </si>
  <si>
    <t>100% Abandoned Plant:</t>
  </si>
  <si>
    <t>-------</t>
  </si>
  <si>
    <t>B) Tehachapi Incentives Received:</t>
  </si>
  <si>
    <t>121 FERC ¶ 61,168 at P 71</t>
  </si>
  <si>
    <t>C) Devers to  Colorado River Incentives Received:</t>
  </si>
  <si>
    <t>121 FERC ¶ 61,168 at 129; modified by ER10-160 Settlement, see</t>
  </si>
  <si>
    <t xml:space="preserve"> P 7 and P 11</t>
  </si>
  <si>
    <t>D) Devers to  Palo Verde 2 Incentives Received:</t>
  </si>
  <si>
    <t>121 FERC ¶ 61,168 at P 57; modified by ER10-160 Settlement, see</t>
  </si>
  <si>
    <t>P2 and P3</t>
  </si>
  <si>
    <t xml:space="preserve">121 FERC ¶ 61,168 at P 129; modified by ER10-160 Settlement, see </t>
  </si>
  <si>
    <t>P 3 and P 7</t>
  </si>
  <si>
    <t>E) South of Kramer Incentives Received:</t>
  </si>
  <si>
    <t>134 FERC ¶ 61,181 at P 79</t>
  </si>
  <si>
    <t>F) West of Devers Incentives Received:</t>
  </si>
  <si>
    <t>G) Red Bluff Incentives Received:</t>
  </si>
  <si>
    <t>133 FERC ¶ 61,107 at P 76</t>
  </si>
  <si>
    <t>133 FERC ¶ 61,107 at P 102</t>
  </si>
  <si>
    <t>133 FERC ¶ 61,107 at P 88</t>
  </si>
  <si>
    <t>H) Whirlwind Substation Expansion Incentives Received:</t>
  </si>
  <si>
    <t>I) Colorado River Substation Expansion Incentives Received:</t>
  </si>
  <si>
    <t>J) Mesa Incentives Received:</t>
  </si>
  <si>
    <t>161 FERC ¶ 61,107 at P35</t>
  </si>
  <si>
    <t>K) Alberhill Incentives Received:</t>
  </si>
  <si>
    <t>161 FERC ¶ 61,107 at P 21</t>
  </si>
  <si>
    <t>L) ELM Series Caps Incentives Received:</t>
  </si>
  <si>
    <t>M) Riverside Incentives Received:</t>
  </si>
  <si>
    <t>172 FERC ¶ 61,241 at P 31</t>
  </si>
  <si>
    <t>172 FERC ¶ 61,241 at P 26</t>
  </si>
  <si>
    <t>N) Del Amo-Mesa-Serrano Incentives Received:</t>
  </si>
  <si>
    <t>187 FERC ¶ 61,205 at P33</t>
  </si>
  <si>
    <t>187 FERC ¶ 61,205 at P39</t>
  </si>
  <si>
    <t>O) Lugo-Victor-Kramer Incentives Received:</t>
  </si>
  <si>
    <t>P) Future Incentive Projects:</t>
  </si>
  <si>
    <t xml:space="preserve">1) Upon Commission approval of any incentives for additional projects, add additional projects and provide cite to the </t>
  </si>
  <si>
    <t>Commission decision.</t>
  </si>
  <si>
    <t>Determination of Incentive Adders Components of the TRR</t>
  </si>
  <si>
    <t>Two Incentive Adders are calculated:</t>
  </si>
  <si>
    <t>a) The Prior Year Incentive Adder is a component of the Prior Year TRR.</t>
  </si>
  <si>
    <t>b) The True Up Incentive Adder is a component of the True Up TRR.</t>
  </si>
  <si>
    <t>1) Calculation of Incremental Return on Equity Factor</t>
  </si>
  <si>
    <t>The Incremental Return on Equity Factor is the incremental Prior Year TRR expressed per 100 basis points of</t>
  </si>
  <si>
    <t>ROE incentive, for each million dollars of Incentive Net Plant.  It is calculated according to the following formula:</t>
  </si>
  <si>
    <t>IREF = CSCP * 0.01 * (1/(1 - CTR)) * $1,000,000</t>
  </si>
  <si>
    <t>CSCP = Common Stock Capital Percentage</t>
  </si>
  <si>
    <t>IREF =</t>
  </si>
  <si>
    <t>Above formula</t>
  </si>
  <si>
    <t>2) Determination of multiplicative factors for use in calculating Incentive Adders:</t>
  </si>
  <si>
    <t xml:space="preserve">Multiplicative factors are used to calculate the Incentive Adders on an Transmission Incentive Project specific basis.  </t>
  </si>
  <si>
    <t>Multiplicative factor for each project is the ratio of its ROE adder to 1%.</t>
  </si>
  <si>
    <t>Multiplicative</t>
  </si>
  <si>
    <t>ROE Adder</t>
  </si>
  <si>
    <t>Factor</t>
  </si>
  <si>
    <t>3) Devers to Col. River</t>
  </si>
  <si>
    <t>3) Calculation of Prior Year Incentive Adder (EOY)</t>
  </si>
  <si>
    <t xml:space="preserve">1) Determine Prior Year Incentive Adder for each Incentive Project by multiplying the </t>
  </si>
  <si>
    <t>IREF, the Multiplicative Factor, and the million $ of Prior Year Incentive Rate Base.</t>
  </si>
  <si>
    <t>2) Sum project-specific Incentive Adders to yield the total Prior Year Incentive Adder.</t>
  </si>
  <si>
    <t>Adder</t>
  </si>
  <si>
    <t>Prior Year Incentive Adder =</t>
  </si>
  <si>
    <t>Sum of above PY Incentive Adders</t>
  </si>
  <si>
    <t>for each individual project</t>
  </si>
  <si>
    <t>4) Calculation of True-Up Incentive Adder</t>
  </si>
  <si>
    <t xml:space="preserve">1) Determine True Up Incentive Adder for each Incentive Project by multiplying the </t>
  </si>
  <si>
    <t>IREF, the Multiplicative Factor, and the million $ of True Up Incentive Net Plant.</t>
  </si>
  <si>
    <t>2) Sum project-specific Incentive Adders to yield the total True Up Incentive Adder.</t>
  </si>
  <si>
    <t>True-Up</t>
  </si>
  <si>
    <t>True-Up Incentive Adder =</t>
  </si>
  <si>
    <t>5) Calculation of Total ROE for Plant-In Service in the True Up TRR</t>
  </si>
  <si>
    <t>a) Transmission Incentive Plant Net Plant In Service</t>
  </si>
  <si>
    <t>b) Calculation of ROE Adders on TIP Net Plant In Service</t>
  </si>
  <si>
    <t>After-Tax</t>
  </si>
  <si>
    <t>c) Equity Portion of Plant In Service Rate Base</t>
  </si>
  <si>
    <t>Total Rate Base:</t>
  </si>
  <si>
    <t>CWIP Portion of Rate Base:</t>
  </si>
  <si>
    <t>Plant In Service Rate Base:</t>
  </si>
  <si>
    <t>Equity percentage:</t>
  </si>
  <si>
    <t>Equity Portion of Plant In Service Rate Base:</t>
  </si>
  <si>
    <t>d) Total ROE for Plant In Service in the True Up TRR</t>
  </si>
  <si>
    <t>Plant In Service ROE Adder Percentage:</t>
  </si>
  <si>
    <t>Base ROE (Including 50 basis point</t>
  </si>
  <si>
    <t>CAISO Participation Adder):</t>
  </si>
  <si>
    <t>Total ROE for Plant In Service in True Up TRR:</t>
  </si>
  <si>
    <t>1) If additional projects receive ROE adders, add to end of lists, and include in calculation</t>
  </si>
  <si>
    <t>of each Incentive Adder.</t>
  </si>
  <si>
    <t>Column 2: The After Tax True Up Incentive Adder is derived by multiplying the amounts in</t>
  </si>
  <si>
    <t>Forecast Plant Additions for In-Service ISO Transmission Plant</t>
  </si>
  <si>
    <t>Yellow shaded cells are Input Data</t>
  </si>
  <si>
    <t xml:space="preserve">Forecast Plant Additions represents the total increase in ISO Transmission Net Plant, not including CWIP, </t>
  </si>
  <si>
    <t>during the Rate Year, incremental to the year-end Prior Year amount.</t>
  </si>
  <si>
    <t>It is calculated on a 13-Month Average Basis during the Rate Year.</t>
  </si>
  <si>
    <t>1) Total Plant Additions Forecast (See Note 1)</t>
  </si>
  <si>
    <t>AFUDC</t>
  </si>
  <si>
    <t>Loaded</t>
  </si>
  <si>
    <t xml:space="preserve">Cost of </t>
  </si>
  <si>
    <t>Eligible Plant</t>
  </si>
  <si>
    <t>Low Voltage</t>
  </si>
  <si>
    <t>Removal</t>
  </si>
  <si>
    <t>Additions</t>
  </si>
  <si>
    <t>Gross Plant</t>
  </si>
  <si>
    <t>Accrual</t>
  </si>
  <si>
    <t>2) Incentive Plant Forecast (See Note 1)</t>
  </si>
  <si>
    <t>C4 10-CWIP
L30-53</t>
  </si>
  <si>
    <t>C5 10-CWIP
L30-53</t>
  </si>
  <si>
    <t>C6 10-CWIP
L30-53</t>
  </si>
  <si>
    <t>= Prior Month C7
+C1+C3</t>
  </si>
  <si>
    <t>= Prior Month C7 
* L91/12</t>
  </si>
  <si>
    <t>= Prior Month C9
 - C4 + C8</t>
  </si>
  <si>
    <t>=C7-C9</t>
  </si>
  <si>
    <t>=C11* (1-L75)
* (1+L74+L76)</t>
  </si>
  <si>
    <t>3) Non-Incentive Plant Forecast (See Note 1)</t>
  </si>
  <si>
    <t>= Prior Month C2
+C2+C5+C6</t>
  </si>
  <si>
    <t>4) ISO Corporate Overhead Loader</t>
  </si>
  <si>
    <t>ISO Corp OH Rate</t>
  </si>
  <si>
    <t>5) ISO Cost of Removal Percent</t>
  </si>
  <si>
    <t>Cost of Removal Rate</t>
  </si>
  <si>
    <t>6) AFUDC Loader Rate</t>
  </si>
  <si>
    <t>ISO AFUDC Rate</t>
  </si>
  <si>
    <t>7) Calculation of ISO Depreciation Rate</t>
  </si>
  <si>
    <t>December Prior Year plant balances and accrual rates are as shown on Schedule 17 Depreciation</t>
  </si>
  <si>
    <t>C2*C3</t>
  </si>
  <si>
    <t>Accrual Rate</t>
  </si>
  <si>
    <t>Acct</t>
  </si>
  <si>
    <t>Plant Balance</t>
  </si>
  <si>
    <t>18 Dep Rates L1</t>
  </si>
  <si>
    <t>18 Dep Rates L2</t>
  </si>
  <si>
    <t>18 Dep Rates L3</t>
  </si>
  <si>
    <t>18 Dep Rates L4</t>
  </si>
  <si>
    <t>18 Dep Rates L5</t>
  </si>
  <si>
    <t>18 Dep Rates L6</t>
  </si>
  <si>
    <t>18 Dep Rates L7</t>
  </si>
  <si>
    <t>18 Dep Rates L8</t>
  </si>
  <si>
    <t>18 Dep Rates L9</t>
  </si>
  <si>
    <t>18 Dep Rates L10</t>
  </si>
  <si>
    <t>Sum of Depreciation Expense</t>
  </si>
  <si>
    <t>Composite Depreciation Rate</t>
  </si>
  <si>
    <t>2) Sum of Incentive Plant Calculations and Non-Incentive Calculations, lines 26-49 and lines 50-73</t>
  </si>
  <si>
    <t>1) Calculation of Depreciation Expense for Transmission Plant - ISO</t>
  </si>
  <si>
    <t>Balances for Transmission Plant - ISO during the Prior Year, including December of previous year:</t>
  </si>
  <si>
    <r>
      <rPr>
        <b/>
        <sz val="10"/>
        <rFont val="Arial"/>
        <family val="2"/>
      </rPr>
      <t xml:space="preserve">Source: </t>
    </r>
    <r>
      <rPr>
        <sz val="10"/>
        <rFont val="Arial"/>
        <family val="2"/>
      </rPr>
      <t xml:space="preserve">6-PlantInService, Lines 1-13 </t>
    </r>
    <r>
      <rPr>
        <sz val="10"/>
        <color rgb="FFFF0000"/>
        <rFont val="Arial"/>
        <family val="2"/>
      </rPr>
      <t>and 14a -14m</t>
    </r>
    <r>
      <rPr>
        <sz val="10"/>
        <rFont val="Arial"/>
        <family val="2"/>
      </rPr>
      <t>.</t>
    </r>
  </si>
  <si>
    <t>Total All</t>
  </si>
  <si>
    <t>Depreciation Rates (Percent per year)  See Instruction 1.</t>
  </si>
  <si>
    <t>17a</t>
  </si>
  <si>
    <t>17b</t>
  </si>
  <si>
    <t>17c</t>
  </si>
  <si>
    <t>17d</t>
  </si>
  <si>
    <t>17e</t>
  </si>
  <si>
    <t>17f</t>
  </si>
  <si>
    <t>17g</t>
  </si>
  <si>
    <t>17h</t>
  </si>
  <si>
    <t>17i</t>
  </si>
  <si>
    <t>17j</t>
  </si>
  <si>
    <t>17k</t>
  </si>
  <si>
    <t>17l</t>
  </si>
  <si>
    <t>17m</t>
  </si>
  <si>
    <t>17n</t>
  </si>
  <si>
    <t>17o</t>
  </si>
  <si>
    <t>17p</t>
  </si>
  <si>
    <t>17q</t>
  </si>
  <si>
    <t>17r</t>
  </si>
  <si>
    <t>17s</t>
  </si>
  <si>
    <t>17t</t>
  </si>
  <si>
    <t>17u</t>
  </si>
  <si>
    <t>17v</t>
  </si>
  <si>
    <t>17w</t>
  </si>
  <si>
    <t>17x</t>
  </si>
  <si>
    <t>17y</t>
  </si>
  <si>
    <t>17z</t>
  </si>
  <si>
    <t>17aa</t>
  </si>
  <si>
    <t>Monthly Depreciation Expense for Transmission Plant - ISO by FERC Account:</t>
  </si>
  <si>
    <t>See Note 1 and Instruction 1</t>
  </si>
  <si>
    <t>38b</t>
  </si>
  <si>
    <t>38c</t>
  </si>
  <si>
    <t>38d</t>
  </si>
  <si>
    <t>38e</t>
  </si>
  <si>
    <t>38f</t>
  </si>
  <si>
    <t>38g</t>
  </si>
  <si>
    <t>38h</t>
  </si>
  <si>
    <t>38i</t>
  </si>
  <si>
    <t>38j</t>
  </si>
  <si>
    <t>38k</t>
  </si>
  <si>
    <t>38l</t>
  </si>
  <si>
    <t>38m</t>
  </si>
  <si>
    <t>38n</t>
  </si>
  <si>
    <t>38o</t>
  </si>
  <si>
    <t>38p</t>
  </si>
  <si>
    <t>38q</t>
  </si>
  <si>
    <t>Total Annual Depreciation Expense for Transmission Plant - ISO:</t>
  </si>
  <si>
    <t>38r</t>
  </si>
  <si>
    <t>(equals sum of monthly amounts)</t>
  </si>
  <si>
    <t>38s</t>
  </si>
  <si>
    <t>2) Calculation of Depreciation Expense for Distribution Plant - ISO</t>
  </si>
  <si>
    <t>Distribution Plant - ISO BOY</t>
  </si>
  <si>
    <t>6-PlantInService Line 15.</t>
  </si>
  <si>
    <t>Distribution Plant - ISO EOY</t>
  </si>
  <si>
    <t>6-PlantInService Line 16.</t>
  </si>
  <si>
    <t>Average BOY/EOY :</t>
  </si>
  <si>
    <t>Depreciation Rates (Percent per year)  See "18-DepRates".</t>
  </si>
  <si>
    <t>Depreciation Expense for Distribution Plant - ISO</t>
  </si>
  <si>
    <t>See Note 2 and Instruction 2</t>
  </si>
  <si>
    <t xml:space="preserve">Total is sum of Depreciation Expense for accounts </t>
  </si>
  <si>
    <t>360, 361, and 362</t>
  </si>
  <si>
    <t>3) Calculation of Depreciation Expense for General Plant and Intangible Plant</t>
  </si>
  <si>
    <t>Total General Plant Depreciation Expense</t>
  </si>
  <si>
    <t>FF1 336.10f</t>
  </si>
  <si>
    <t>Total Intangible Plant Depreciation Expense</t>
  </si>
  <si>
    <t>FF1 336.1f</t>
  </si>
  <si>
    <t>Sum of Total General and Total Intangible Depreciation Expense</t>
  </si>
  <si>
    <t>General and Intangible Depreciation Expense</t>
  </si>
  <si>
    <t>4) Depreciation Expense</t>
  </si>
  <si>
    <t xml:space="preserve">Depreciation Expense is the sum of: </t>
  </si>
  <si>
    <t>1) Depreciation Expense for Transmission Plant - ISO</t>
  </si>
  <si>
    <t>2) Depreciation Expense for Distribution Plant - ISO</t>
  </si>
  <si>
    <t>3) General and Intangible Depreciation Expense</t>
  </si>
  <si>
    <t>Depreciation Expense:</t>
  </si>
  <si>
    <t xml:space="preserve">1) Depreciation Expense for each account for each month is equal to the previous month balance of Transmission Plant - ISO for that </t>
  </si>
  <si>
    <t>the Formula Rate Spreadsheet in effect during the Prior Year.</t>
  </si>
  <si>
    <t xml:space="preserve">2) In the event that depreciation rates stated on Schedule 18 to be applied to Distribution Plant - ISO are revised mid-year, calculate Depreciation Expense for </t>
  </si>
  <si>
    <t>Depreciation Rates</t>
  </si>
  <si>
    <t xml:space="preserve">                                                                                                                                                                                                                                                                                                                </t>
  </si>
  <si>
    <t>Less</t>
  </si>
  <si>
    <t>Salvage</t>
  </si>
  <si>
    <t>Cost</t>
  </si>
  <si>
    <t>Fee Land</t>
  </si>
  <si>
    <t>Easements</t>
  </si>
  <si>
    <t>Computer Hardware</t>
  </si>
  <si>
    <t>Computer Software 5yr</t>
  </si>
  <si>
    <t>Computer Software 7yr</t>
  </si>
  <si>
    <t>Computer Software 10yr</t>
  </si>
  <si>
    <t>Computer Software 15yr</t>
  </si>
  <si>
    <t>Communication Equipment</t>
  </si>
  <si>
    <t>Structures and Improvements</t>
  </si>
  <si>
    <t>Station Equipment</t>
  </si>
  <si>
    <t>Towers and Fixtures</t>
  </si>
  <si>
    <t>Poles and Fixtures</t>
  </si>
  <si>
    <t>Overhead Conductors and Devices</t>
  </si>
  <si>
    <t>Underground Conduit</t>
  </si>
  <si>
    <t>Underground Conductors and Devices</t>
  </si>
  <si>
    <t>Roads and Trails</t>
  </si>
  <si>
    <t>Land and Land Rights</t>
  </si>
  <si>
    <t>3) General Plant</t>
  </si>
  <si>
    <t>Office Furniture</t>
  </si>
  <si>
    <t>Office Equipment</t>
  </si>
  <si>
    <t>Duplicating Equipment</t>
  </si>
  <si>
    <t>Personal Computers</t>
  </si>
  <si>
    <t>Mainframe Computers</t>
  </si>
  <si>
    <t>PC Software</t>
  </si>
  <si>
    <t>DDSMS - CPU &amp; Processing</t>
  </si>
  <si>
    <t>DDSMS - Controllers, Receivers, Comm.</t>
  </si>
  <si>
    <t>DDSMS - Telemetering &amp; System</t>
  </si>
  <si>
    <t>DDSMS - Miscellaneous</t>
  </si>
  <si>
    <t>DDSMS - Five Year</t>
  </si>
  <si>
    <t>Stores Equipment</t>
  </si>
  <si>
    <t>Laboratory Equipment</t>
  </si>
  <si>
    <t>Misc Power Plant Equipment</t>
  </si>
  <si>
    <t>Data Network Systems</t>
  </si>
  <si>
    <t>Telecom System Equipment</t>
  </si>
  <si>
    <t>Netcomm Radio Assembly</t>
  </si>
  <si>
    <t>Microwave Equip. &amp; Antenna Assembly</t>
  </si>
  <si>
    <t>Telecom Power Systems</t>
  </si>
  <si>
    <t>Fiber Optic Communication Cables</t>
  </si>
  <si>
    <t>Telecom Infrastructure</t>
  </si>
  <si>
    <t>37b</t>
  </si>
  <si>
    <t>37c</t>
  </si>
  <si>
    <t>37d</t>
  </si>
  <si>
    <t>37e</t>
  </si>
  <si>
    <t>37f</t>
  </si>
  <si>
    <t>Transportation Equip.</t>
  </si>
  <si>
    <t>Garage &amp; Shop -- Equip.</t>
  </si>
  <si>
    <t>Tools &amp; Work Equip. -- Shop</t>
  </si>
  <si>
    <t>Power Oper Equip</t>
  </si>
  <si>
    <t>4) Intangible Plant</t>
  </si>
  <si>
    <t>Hydro Relicensing</t>
  </si>
  <si>
    <t>Radio Frequency</t>
  </si>
  <si>
    <t>Other Intangibles</t>
  </si>
  <si>
    <t>Cap Soft 5yr</t>
  </si>
  <si>
    <t>Cap Soft 7yr</t>
  </si>
  <si>
    <t>Cap Soft 10yr</t>
  </si>
  <si>
    <t>Cap Soft 15yr</t>
  </si>
  <si>
    <r>
      <rPr>
        <b/>
        <sz val="10"/>
        <rFont val="Arial"/>
        <family val="2"/>
      </rPr>
      <t>Notes:</t>
    </r>
    <r>
      <rPr>
        <sz val="10"/>
        <rFont val="Arial"/>
        <family val="2"/>
      </rPr>
      <t xml:space="preserve"> 1) Depreciation rates may only be revised as approved by the Commission pursuant</t>
    </r>
  </si>
  <si>
    <t xml:space="preserve">to a Section 205 or 206 filing.  </t>
  </si>
  <si>
    <t>Operations and Maintenance Expenses</t>
  </si>
  <si>
    <t>WP Schedule 19 O&amp;M Cost Detail</t>
  </si>
  <si>
    <t>1) Determination of Adjusted Operations and Maintenance Expenses for each account (Note 1)</t>
  </si>
  <si>
    <t>Col 8a</t>
  </si>
  <si>
    <t>= C3 + C4</t>
  </si>
  <si>
    <t>= C7 + C8</t>
  </si>
  <si>
    <t>Schedule 35,</t>
  </si>
  <si>
    <t>= C10 + C11</t>
  </si>
  <si>
    <t>= C3 + C7</t>
  </si>
  <si>
    <t>= C4 + C8 + C8a</t>
  </si>
  <si>
    <t>Rows 5-36</t>
  </si>
  <si>
    <t>Account/Work Activity  Rev</t>
  </si>
  <si>
    <t>Total Recorded O&amp;M Expenses</t>
  </si>
  <si>
    <t>Adjustments</t>
  </si>
  <si>
    <t>Adjusted Recorded O&amp;M Expenses</t>
  </si>
  <si>
    <t>Non-Labor</t>
  </si>
  <si>
    <t>Reason</t>
  </si>
  <si>
    <t>O&amp;M Services (See Note 8)</t>
  </si>
  <si>
    <t>Transmission Accounts</t>
  </si>
  <si>
    <t>560 - Operations Supervision and Engineering - Allocated</t>
  </si>
  <si>
    <t>560 - Sylmar/Palo Verde</t>
  </si>
  <si>
    <t>561 Load Dispatch - Allocated</t>
  </si>
  <si>
    <t>561.400 Scheduling, System Control and Dispatch Services</t>
  </si>
  <si>
    <t>A</t>
  </si>
  <si>
    <t>561.500 Reliability Planning and Standards Development</t>
  </si>
  <si>
    <t>562 - Station Expenses - Allocated</t>
  </si>
  <si>
    <t>562 - MOGS Station Expense</t>
  </si>
  <si>
    <t>B</t>
  </si>
  <si>
    <t>562 - Sylmar/Palo Verde</t>
  </si>
  <si>
    <t>563 - Overhead Line Expenses - Allocated</t>
  </si>
  <si>
    <t>564 - Underground Line Expenses - Allocated</t>
  </si>
  <si>
    <t>565 - Transmission of Electricity by Others</t>
  </si>
  <si>
    <t>565 - Wheeling Costs</t>
  </si>
  <si>
    <t>C</t>
  </si>
  <si>
    <t>565 - WAPA Transmission for Remote Service</t>
  </si>
  <si>
    <t>566 - Miscellaneous Transmission Expenses - Allocated</t>
  </si>
  <si>
    <t>F</t>
  </si>
  <si>
    <t>566 - ISO/RSBA/TSP Balancing Accounts</t>
  </si>
  <si>
    <t>D</t>
  </si>
  <si>
    <t>566 - Sylmar/Palo Verde/Other General Functions</t>
  </si>
  <si>
    <t>567 - Line Rents - Allocated</t>
  </si>
  <si>
    <t>567 - Eldorado</t>
  </si>
  <si>
    <t>567 - Sylmar/Palo Verde</t>
  </si>
  <si>
    <t>568 - Maintenance Supervision and Engineering - Allocated</t>
  </si>
  <si>
    <t>568 - Sylmar/Palo Verde</t>
  </si>
  <si>
    <t>569 - Maintenance of Structures - Allocated</t>
  </si>
  <si>
    <t>E</t>
  </si>
  <si>
    <t>569 - Sylmar/Palo Verde</t>
  </si>
  <si>
    <t xml:space="preserve">570 - Maintenance of Station Equipment - Allocated </t>
  </si>
  <si>
    <t>570 - Sylmar/Palo Verde</t>
  </si>
  <si>
    <t xml:space="preserve">571 - Maintenance of Overhead Lines - Allocated </t>
  </si>
  <si>
    <t>571 - Sylmar/Palo Verde</t>
  </si>
  <si>
    <t>572 - Maintenance of Underground Lines - Allocated</t>
  </si>
  <si>
    <t>572 - Sylmar/Palo Verde</t>
  </si>
  <si>
    <t xml:space="preserve">573 - Maintenance of Miscellaneous Trans. Plant - Allocated </t>
  </si>
  <si>
    <t>Transmission NOIC (Note 3)</t>
  </si>
  <si>
    <t>Total Transmission O&amp;M</t>
  </si>
  <si>
    <t>= C4 + C8</t>
  </si>
  <si>
    <t>Distribution Accounts</t>
  </si>
  <si>
    <r>
      <t xml:space="preserve">582 - Station Expenses </t>
    </r>
    <r>
      <rPr>
        <strike/>
        <sz val="10"/>
        <color rgb="FFFF0000"/>
        <rFont val="Arial"/>
        <family val="2"/>
      </rPr>
      <t/>
    </r>
  </si>
  <si>
    <t>590 - Maintenance Supervision and Engineering</t>
  </si>
  <si>
    <t>591 - Maintenance of Structures</t>
  </si>
  <si>
    <t xml:space="preserve">592 - Maintenance of Station Equipment </t>
  </si>
  <si>
    <t>Accounts with no ISO Distribution Costs</t>
  </si>
  <si>
    <t>Distribution NOIC (Note 3)</t>
  </si>
  <si>
    <t>Total Distribution O&amp;M</t>
  </si>
  <si>
    <t>Total Transmission and Distribution O&amp;M</t>
  </si>
  <si>
    <t>Total Transmission O&amp;M Expenses in FERC Form 1:</t>
  </si>
  <si>
    <t>FF1 321.112b</t>
  </si>
  <si>
    <t>Total Distribution O&amp;M Expenses in FERC Form 1:</t>
  </si>
  <si>
    <t>FF1 322.156b</t>
  </si>
  <si>
    <t>Total TDBU NOIC</t>
  </si>
  <si>
    <t>2) Determination of ISO Operations and Maintenance Expenses for each account (Note 5).</t>
  </si>
  <si>
    <t>From C9 above</t>
  </si>
  <si>
    <t>From C10 above</t>
  </si>
  <si>
    <t>From C11 above</t>
  </si>
  <si>
    <t>= C3 * C5</t>
  </si>
  <si>
    <t>= C4 * C5</t>
  </si>
  <si>
    <t>Percent</t>
  </si>
  <si>
    <t>ISO O&amp;M Expenses</t>
  </si>
  <si>
    <t>Percent ISO</t>
  </si>
  <si>
    <t>ISO</t>
  </si>
  <si>
    <t>27-Allocators Line 42</t>
  </si>
  <si>
    <t>100%</t>
  </si>
  <si>
    <t>0%</t>
  </si>
  <si>
    <t>27-Allocators Line 30</t>
  </si>
  <si>
    <t>27-Allocators Line 36</t>
  </si>
  <si>
    <t>Transmission NOIC (Note 4)</t>
  </si>
  <si>
    <t>Total Transmission - ISO O&amp;M</t>
  </si>
  <si>
    <t>27-Allocators Line 48</t>
  </si>
  <si>
    <t>Distribution NOIC (Note 4)</t>
  </si>
  <si>
    <t>Total Distribution - ISO O&amp;M</t>
  </si>
  <si>
    <t>Total ISO O&amp;M Expenses (in Column 6)</t>
  </si>
  <si>
    <t>1) "Adjusted Operations and Maintenance Expenses for each account" are the total amounts of O&amp;M costs booked to each Transmission or Distribution account, less adjustments as noted.</t>
  </si>
  <si>
    <t>2) Reasons for excluded amounts:</t>
  </si>
  <si>
    <t>A: Exclude entire amount, all attributable to CAISO costs recovered in Energy Resource Recovery Account.</t>
  </si>
  <si>
    <t>B: Exclude amount related to MOGS Station Expense.</t>
  </si>
  <si>
    <t>C: Exclude amount attributable to CAISO costs recovered in Energy Resource Recovery Account.</t>
  </si>
  <si>
    <t>D: Exclude amount recovered through to Reliability Services Balancing Account, the Transmission Access Charge Balancing Account Adjustment,</t>
  </si>
  <si>
    <t xml:space="preserve"> and the American Reinvestment Recovery Act for the Tehachapi Wind Energy Storage Project.</t>
  </si>
  <si>
    <r>
      <t xml:space="preserve">E: Exclude amount of costs transferred to account from A&amp;G </t>
    </r>
    <r>
      <rPr>
        <strike/>
        <sz val="10"/>
        <color rgb="FFFF0000"/>
        <rFont val="Arial"/>
        <family val="2"/>
      </rPr>
      <t>Account 920</t>
    </r>
    <r>
      <rPr>
        <sz val="10"/>
        <rFont val="Arial"/>
        <family val="2"/>
      </rPr>
      <t xml:space="preserve"> pursuant to Order 668 </t>
    </r>
    <r>
      <rPr>
        <u/>
        <sz val="10"/>
        <color rgb="FFFF0000"/>
        <rFont val="Arial"/>
        <family val="2"/>
      </rPr>
      <t>and Order 898</t>
    </r>
    <r>
      <rPr>
        <sz val="10"/>
        <rFont val="Arial"/>
        <family val="2"/>
      </rPr>
      <t>.</t>
    </r>
  </si>
  <si>
    <t>F: Excludes shareholder funded costs.</t>
  </si>
  <si>
    <t>3) Total TDBU NOIC is allocated to Transmission and Distribution in proportion to labor in the respective functions.  Transmission NOIC ("Non-Officer Incentive Compensation") equals Total TDBU NOIC times</t>
  </si>
  <si>
    <t>the Transmission NOIC Percentage calculated below.  Distribution NOIC equals Total TDBU NOIC times the Distribution NOIC Percentage below.</t>
  </si>
  <si>
    <t>Total TDBU NOIC is on Line:</t>
  </si>
  <si>
    <t>Transmission NOIC Percentage:</t>
  </si>
  <si>
    <t>Distribution NOIC Percentage:</t>
  </si>
  <si>
    <t xml:space="preserve">4) NOIC attributable to ISO Transmission (Column 7) is calculated utilizing a percentage equal to the ratio of total ISO O&amp;M Labor Expenses in column 7 (exclusive of NOIC) to </t>
  </si>
  <si>
    <t>the total labor expenses in column 3 (exclusive of NOIC).  That allocator, which is identified below, is then applied to the value in Column 3 to arrive at the NOIC attributable to ISO Transmission in Column 7.</t>
  </si>
  <si>
    <t>Resulting Percentage is:</t>
  </si>
  <si>
    <t>5) "ISO Operations and Maintenance Expenses" is the amount of costs in each Transmission or Distribution account related to ISO Transmission Facilities.</t>
  </si>
  <si>
    <t>6)  See Column 9 for references to source of each  Percent ISO.</t>
  </si>
  <si>
    <t>7) SCE shall make no adjustments to recorded labor amounts related to non-labor labor and/or Indirect labor in Schedule 19.</t>
  </si>
  <si>
    <t xml:space="preserve">8) Each O&amp;M Account contributing to the calculation of "Total ISO O&amp;M Expense" (Line 91, Column 6) may include revenue associated with a </t>
  </si>
  <si>
    <t>Commission-approved O&amp;M Services Formula assessing other entities for O&amp;M Services provided by SCE.  See Schedule 35, Notes 1-3.</t>
  </si>
  <si>
    <t>All O&amp;M Services Formula Revenue is "non-labor", and entered in Column 8a, Lines 1-32.</t>
  </si>
  <si>
    <t>WP Schedule 20 A&amp;G</t>
  </si>
  <si>
    <t>Col 3a</t>
  </si>
  <si>
    <t>= (C1 - C3) + C3a</t>
  </si>
  <si>
    <t>FERC Form 1</t>
  </si>
  <si>
    <t>Total Amount</t>
  </si>
  <si>
    <t>Other Formula</t>
  </si>
  <si>
    <t>Acct.</t>
  </si>
  <si>
    <t>Excluded</t>
  </si>
  <si>
    <t>A&amp;G Salaries</t>
  </si>
  <si>
    <t>FF1 323.181b</t>
  </si>
  <si>
    <t>Office Supplies and Expenses</t>
  </si>
  <si>
    <t>FF1 323.182b</t>
  </si>
  <si>
    <t>A&amp;G Expenses Transferred</t>
  </si>
  <si>
    <t>FF1 323.183b</t>
  </si>
  <si>
    <t>Credit</t>
  </si>
  <si>
    <t>Outside Services Employed</t>
  </si>
  <si>
    <t>FF1 323.184b</t>
  </si>
  <si>
    <t>Property Insurance</t>
  </si>
  <si>
    <t>FF1 323.185b</t>
  </si>
  <si>
    <t>Injuries and Damages</t>
  </si>
  <si>
    <t>FF1 323.186b</t>
  </si>
  <si>
    <t>Employee Pensions and Benefits</t>
  </si>
  <si>
    <t>FF1 323.187b</t>
  </si>
  <si>
    <t>Franchise Requirements</t>
  </si>
  <si>
    <t>FF1 323.188b</t>
  </si>
  <si>
    <t>= (C1 - C3), See also Note 5</t>
  </si>
  <si>
    <t>Regulatory Commission Expenses</t>
  </si>
  <si>
    <t>FF1 323.189b</t>
  </si>
  <si>
    <t>Duplicate Charges</t>
  </si>
  <si>
    <t>FF1 323.190b</t>
  </si>
  <si>
    <t>General Advertising Expense</t>
  </si>
  <si>
    <t>FF1 323.191b</t>
  </si>
  <si>
    <t>Miscellaneous General Expense</t>
  </si>
  <si>
    <t>FF1 323.192b</t>
  </si>
  <si>
    <t>Rents</t>
  </si>
  <si>
    <t>FF1 323.193b</t>
  </si>
  <si>
    <t>Maintenance of General Plant</t>
  </si>
  <si>
    <t>FF1 323.196b</t>
  </si>
  <si>
    <t>Maintenance of Computer Hardware</t>
  </si>
  <si>
    <t>FF1 323.196.1b</t>
  </si>
  <si>
    <t>Maintenance of Computer Software</t>
  </si>
  <si>
    <t>FF1 323.196.2b</t>
  </si>
  <si>
    <t>Maintenance of Communication Equipment</t>
  </si>
  <si>
    <t>FF1 323.196.3b</t>
  </si>
  <si>
    <t>Total A&amp;G Expenses:</t>
  </si>
  <si>
    <t>Remaining A&amp;G after exclusions &amp; NOIC Adjustment:</t>
  </si>
  <si>
    <t>Less Account  924:</t>
  </si>
  <si>
    <t>Amount to apply the Transmission W&amp;S AF:</t>
  </si>
  <si>
    <t>Transmission Wages and Salaries Allocation Factor:</t>
  </si>
  <si>
    <t>Transmission W&amp;S AF Portion of A&amp;G:</t>
  </si>
  <si>
    <t>Transmission Plant Allocation Factor:</t>
  </si>
  <si>
    <t>Property Insurance portion of A&amp;G:</t>
  </si>
  <si>
    <t>Administrative and General Expenses:</t>
  </si>
  <si>
    <t>Note 1: Itemization of exclusions</t>
  </si>
  <si>
    <t>Shareholder</t>
  </si>
  <si>
    <t>Exclusions</t>
  </si>
  <si>
    <t>Total Amount Excluded</t>
  </si>
  <si>
    <t>or Other</t>
  </si>
  <si>
    <t>Franchise</t>
  </si>
  <si>
    <t>(Sum of Col 1 to Col 4)</t>
  </si>
  <si>
    <t>Requirements</t>
  </si>
  <si>
    <t>NOIC</t>
  </si>
  <si>
    <t>PBOPs</t>
  </si>
  <si>
    <t>See Instructions 2b, 3, and Note 2</t>
  </si>
  <si>
    <t>See Instruction 6</t>
  </si>
  <si>
    <t xml:space="preserve">Note 2: Non-Officer Incentive Compensation ("NOIC") Adjustment </t>
  </si>
  <si>
    <t xml:space="preserve">Adjust NOIC by excluding accrued NOIC Amount and replacing with the </t>
  </si>
  <si>
    <t>actual non-capitalized A&amp;G NOIC payout.</t>
  </si>
  <si>
    <t>Accrued NOIC Amount:</t>
  </si>
  <si>
    <t>Actual A&amp;G NOIC payout:</t>
  </si>
  <si>
    <t>Adjustment:</t>
  </si>
  <si>
    <t>Actual non-capitalized NOIC Payouts:</t>
  </si>
  <si>
    <t>Department</t>
  </si>
  <si>
    <t>A&amp;G</t>
  </si>
  <si>
    <t>SCE Records and Workpapers</t>
  </si>
  <si>
    <t>Trans. And Dist. Business Unit</t>
  </si>
  <si>
    <t>Note 3: PBOPs Exclusion Calculation</t>
  </si>
  <si>
    <t>Current Authorized PBOPs Expense Amount:</t>
  </si>
  <si>
    <t>See instruction #4</t>
  </si>
  <si>
    <t>Prior Year Authorized PBOPs Expense Amount:</t>
  </si>
  <si>
    <t>Authorized PBOPs Expense Amount during Prior Year</t>
  </si>
  <si>
    <t>Prior Year FF1 PBOPs expense:</t>
  </si>
  <si>
    <t>PBOPs Expense Exclusion:</t>
  </si>
  <si>
    <t xml:space="preserve">Note 4: </t>
  </si>
  <si>
    <t>Franchise Fees Expenses component of the Prior Year TRR are based on Franchise Fee Factors.</t>
  </si>
  <si>
    <t>Note 5:</t>
  </si>
  <si>
    <t>O&amp;M Services Formula Revenue is added in Column 3a pursuant to Schedule 35, Note 2.  Column 3 amounts are from</t>
  </si>
  <si>
    <t>Schedule 35, Lines 38-52, Column 4.  Franchise Fees are separately recovered through Line 43 of Schedule 4, and therefore</t>
  </si>
  <si>
    <t>the amount of O&amp;M Services Formula revenue associated with Franchise Fees (Line 8, Col. 3a) is not included in Column 4.</t>
  </si>
  <si>
    <t>2) Fill out "Itemization of Exclusions" table for all input cells. NOIC amount in</t>
  </si>
  <si>
    <t>a) Exclude amount of any Shareholder Adjustments, costs incurred on behalf of SCE shareholders, from relevant account in Column 1.</t>
  </si>
  <si>
    <t>b) Include as an adjustment in Column 1 for Account 920 any amount excluded from Accounts 569.100, 569.200, and 569.300</t>
  </si>
  <si>
    <r>
      <t xml:space="preserve">in Schedule 19 (OandM) related to Order 668 </t>
    </r>
    <r>
      <rPr>
        <u/>
        <sz val="10"/>
        <color rgb="FFFF0000"/>
        <rFont val="Arial"/>
        <family val="2"/>
      </rPr>
      <t xml:space="preserve">and Order 898 </t>
    </r>
    <r>
      <rPr>
        <sz val="10"/>
        <rFont val="Arial"/>
        <family val="2"/>
      </rPr>
      <t>costs transferred.</t>
    </r>
  </si>
  <si>
    <t xml:space="preserve">c) Exclude entire amount of account 927 "Franchise Requirements" in Column 2, as those costs are recovered </t>
  </si>
  <si>
    <t>through the Franchise Fees Expense item.</t>
  </si>
  <si>
    <t xml:space="preserve">d) Exclude any amount of Account 930.1 "General Advertising Expense" not related to advertising for safety, </t>
  </si>
  <si>
    <t>siting, or informational purposes in column 1.</t>
  </si>
  <si>
    <t>e) Exclude any amount of expense relating to secondary land use and audit expenses not directly benefitting utility customers.</t>
  </si>
  <si>
    <t>f) Exclude from account 930.2:</t>
  </si>
  <si>
    <t>1) Nuclear Power Research Expenses.</t>
  </si>
  <si>
    <t>2) Write Off of Abandoned Project Expenses.</t>
  </si>
  <si>
    <t>3) Any advertising expenses within the Consultants/Professional Services category.</t>
  </si>
  <si>
    <t>g) Exclude the following costs included in any account 920-935:</t>
  </si>
  <si>
    <t xml:space="preserve">1) Any amount of "Provision for Doubtful Accounts" costs. </t>
  </si>
  <si>
    <t>2) Any amount of "Accounting Suspense" costs.</t>
  </si>
  <si>
    <t>3) Any penalties or fines.</t>
  </si>
  <si>
    <t>4) Any amount of costs recovered 100% through California Public Utilities Commission ("CPUC") rates.</t>
  </si>
  <si>
    <r>
      <t>3) NOIC adjustment in Column 3</t>
    </r>
    <r>
      <rPr>
        <b/>
        <sz val="10"/>
        <rFont val="Arial"/>
        <family val="2"/>
      </rPr>
      <t xml:space="preserve">, </t>
    </r>
    <r>
      <rPr>
        <sz val="10"/>
        <rFont val="Arial"/>
        <family val="2"/>
      </rPr>
      <t xml:space="preserve">Line 24 is made by determining the difference between the total accrued NOIC amount </t>
    </r>
  </si>
  <si>
    <t>included in the FERC Form 1 recorded cost amounts and the actual A&amp;G NOIC payout (see note 2).</t>
  </si>
  <si>
    <t>NOIC adjustment in column 3, Line 26 is made by entering the amount of accrued NOIC that is capitalized.</t>
  </si>
  <si>
    <t>pursuant to Commission acceptance of an SCE FPA Section 205 filing to revise the authorized PBOPs expense,</t>
  </si>
  <si>
    <t>in accordance with the tariff protocols.  Accordingly, any amount different than the authorized PBOPs expense</t>
  </si>
  <si>
    <t>during the Prior Year is excluded from account 926 (see note 3). Docket or Decision approving authorized PBOPs amount:</t>
  </si>
  <si>
    <t>5) SCE shall make no adjustments to recorded labor amounts related to non-labor labor and/or Indirect labor in Schedule 20.</t>
  </si>
  <si>
    <t>6) Any A&amp;G costs associated with wildfires other than the 2017/18 Wildfire/Mudslide Events shall be reflected in A&amp;G accounts on a cash basis during the</t>
  </si>
  <si>
    <t xml:space="preserve">year in which associated cash payments are made.  In the event an initial cost accrual is made in a year to one or more A&amp;G accounts 920-935, </t>
  </si>
  <si>
    <t>SCE shall exclude from A&amp;G cost recovery any amount not paid in cash during that year through an entry to Column 1, Lines 24-37 of the</t>
  </si>
  <si>
    <t>"Itemization of Exclusions" matrix to the account in which the initial expense accrual was made.  As cash payments related to the initial expense accrual are</t>
  </si>
  <si>
    <t xml:space="preserve">made in future years, SCE shall also include those expenses in A&amp;G cost recovery on a cash basis through an entry to the Itemization of Exclusions matrix. </t>
  </si>
  <si>
    <t>G</t>
  </si>
  <si>
    <t>H</t>
  </si>
  <si>
    <t>I</t>
  </si>
  <si>
    <t>J</t>
  </si>
  <si>
    <t>K</t>
  </si>
  <si>
    <t>L</t>
  </si>
  <si>
    <t>M</t>
  </si>
  <si>
    <t>N</t>
  </si>
  <si>
    <t>Traditional OOR</t>
  </si>
  <si>
    <t>GRSM</t>
  </si>
  <si>
    <t>Other Ratemaking</t>
  </si>
  <si>
    <t>FERC ACCT</t>
  </si>
  <si>
    <t>ACCT</t>
  </si>
  <si>
    <t>ACCT DESCRIPTION</t>
  </si>
  <si>
    <t>DOLLARS</t>
  </si>
  <si>
    <t>Category</t>
  </si>
  <si>
    <t>Non-ISO</t>
  </si>
  <si>
    <t>A/P</t>
  </si>
  <si>
    <t>Threshold [10]</t>
  </si>
  <si>
    <t>1a</t>
  </si>
  <si>
    <t>Late Payment Charge- Comm. &amp; Ind.</t>
  </si>
  <si>
    <t>1b</t>
  </si>
  <si>
    <t>Residential Late Payment</t>
  </si>
  <si>
    <t>450 Total</t>
  </si>
  <si>
    <t>FF-1 Total for Acct 450 - Forfeited Discounts, p300.16b (Must Equal Line 2)
(Must Equal Line X)</t>
  </si>
  <si>
    <t>Recover Unauthorized Use/Non-Energy</t>
  </si>
  <si>
    <t>4b</t>
  </si>
  <si>
    <t>Miscellaneous Service Revenue - Ownership Cost</t>
  </si>
  <si>
    <t>4c</t>
  </si>
  <si>
    <t>Miscellaneous Service Revenues</t>
  </si>
  <si>
    <t>4d</t>
  </si>
  <si>
    <t>Returned Check Charges</t>
  </si>
  <si>
    <t>4e</t>
  </si>
  <si>
    <t>Service Reconnection Charges</t>
  </si>
  <si>
    <t>4f</t>
  </si>
  <si>
    <t>Service Establishment Charge</t>
  </si>
  <si>
    <t>4g</t>
  </si>
  <si>
    <t>Field Collection Charges</t>
  </si>
  <si>
    <t>4h</t>
  </si>
  <si>
    <t>Quickcheck Revenue</t>
  </si>
  <si>
    <t>P</t>
  </si>
  <si>
    <t>4i</t>
  </si>
  <si>
    <t>PUC Reimbursement Fee-Elect</t>
  </si>
  <si>
    <t>4j</t>
  </si>
  <si>
    <t>Uneconomic Line Extension</t>
  </si>
  <si>
    <t>4k</t>
  </si>
  <si>
    <t>Opt Out CARE-Res-Ini</t>
  </si>
  <si>
    <t>4l</t>
  </si>
  <si>
    <t>Opt Out CARE-Res-Mo</t>
  </si>
  <si>
    <t>4m</t>
  </si>
  <si>
    <t>Opt Out NonCARE-Res-Ini</t>
  </si>
  <si>
    <t>4n</t>
  </si>
  <si>
    <t>Opt Out NonCARE-Res-Mo</t>
  </si>
  <si>
    <t>4o</t>
  </si>
  <si>
    <t>Conn-Charge - Residential</t>
  </si>
  <si>
    <t>4p</t>
  </si>
  <si>
    <t>Conn-Charge - Non-Residential</t>
  </si>
  <si>
    <t>4q</t>
  </si>
  <si>
    <t>Conn-Charge - At Pole</t>
  </si>
  <si>
    <t>4r</t>
  </si>
  <si>
    <t>NEM 2.0</t>
  </si>
  <si>
    <t>4s</t>
  </si>
  <si>
    <t>AR Service Guarantee</t>
  </si>
  <si>
    <t>4t</t>
  </si>
  <si>
    <t>Rule 21 Fast Track Application Fee</t>
  </si>
  <si>
    <t>4u</t>
  </si>
  <si>
    <t>WDAT Pre Application Fee</t>
  </si>
  <si>
    <t>4v</t>
  </si>
  <si>
    <t>Rule 21 Pre Application Fee</t>
  </si>
  <si>
    <t>4w</t>
  </si>
  <si>
    <t>WDAT Fast Track Application Fee</t>
  </si>
  <si>
    <t>4x</t>
  </si>
  <si>
    <t>Rule 21 Supplemental Review Fee</t>
  </si>
  <si>
    <t>4y</t>
  </si>
  <si>
    <t>Short Circuit Duty - Arc Flash</t>
  </si>
  <si>
    <t>4z</t>
  </si>
  <si>
    <t>Electrical Capacity Assessment</t>
  </si>
  <si>
    <t>4aa</t>
  </si>
  <si>
    <t>Wiretech- NON-AMI</t>
  </si>
  <si>
    <t>4bb</t>
  </si>
  <si>
    <t>RES-BCT Set-up Fee</t>
  </si>
  <si>
    <t>4cc</t>
  </si>
  <si>
    <t>CSOD - NEMA SetUp-CS</t>
  </si>
  <si>
    <t>4dd</t>
  </si>
  <si>
    <t>Engineering and Technical Services - Permissible Technological Advancement Fee</t>
  </si>
  <si>
    <t>4ee</t>
  </si>
  <si>
    <t>NEMABACMA - NEM AGG Set-up Auto</t>
  </si>
  <si>
    <t>4ff</t>
  </si>
  <si>
    <t>Resource Interconnection Procedures App Fee</t>
  </si>
  <si>
    <t>451 Total</t>
  </si>
  <si>
    <t>FF-1 Total for Acct 451 - Misc. Service Revenues, p300.17b 
(Must Equal Line 5)</t>
  </si>
  <si>
    <t>7a</t>
  </si>
  <si>
    <t>APS Palo Verde Water Sales</t>
  </si>
  <si>
    <t>7b</t>
  </si>
  <si>
    <t>Sales of Water &amp; Water Power - San Joaquin</t>
  </si>
  <si>
    <t>7c</t>
  </si>
  <si>
    <t>Sales of Water &amp; Water Power - Headwater</t>
  </si>
  <si>
    <t>453 Total</t>
  </si>
  <si>
    <t>FF-1 Total for Acct 453 - Sales of Water and Power, p300.18b
(Must Equal Line 8)</t>
  </si>
  <si>
    <t>10a</t>
  </si>
  <si>
    <t>Joint Pole - Tariffed Conduit Rental</t>
  </si>
  <si>
    <t>10b</t>
  </si>
  <si>
    <t>Joint Pole - Tariffed Pole Rental - Cable Cos.</t>
  </si>
  <si>
    <t>10c</t>
  </si>
  <si>
    <t>Joint Pole - Tariffed Process &amp; Eng Fees - Cable</t>
  </si>
  <si>
    <t>10d</t>
  </si>
  <si>
    <t>Joint Pole - Aud - Unauth Penalty</t>
  </si>
  <si>
    <t>10e</t>
  </si>
  <si>
    <t>Joint Pole - Non-Tariffed Pole Rental</t>
  </si>
  <si>
    <t>10f</t>
  </si>
  <si>
    <t>Joint Pole - Non-Tariff Process &amp; Engineering Fees</t>
  </si>
  <si>
    <t>10g</t>
  </si>
  <si>
    <t>Joint Pole - Non-Tariff Requests for Information</t>
  </si>
  <si>
    <t>10h</t>
  </si>
  <si>
    <t>Oil And Gas Royalties</t>
  </si>
  <si>
    <t>10i</t>
  </si>
  <si>
    <t>Def Operating Land &amp; Facilities Rent Rev</t>
  </si>
  <si>
    <t>10j</t>
  </si>
  <si>
    <t>Facility Cost -EIX/Nonutility</t>
  </si>
  <si>
    <t>6, 12</t>
  </si>
  <si>
    <t>10k</t>
  </si>
  <si>
    <t>Facility Cost- Utility</t>
  </si>
  <si>
    <t>10l</t>
  </si>
  <si>
    <t>Rent Billed to Non-Utility Affiliates</t>
  </si>
  <si>
    <t>10m</t>
  </si>
  <si>
    <t>Rent Billed to Utility Affiliates</t>
  </si>
  <si>
    <t>10n</t>
  </si>
  <si>
    <t>Meter Leasing Revenue</t>
  </si>
  <si>
    <t>10o</t>
  </si>
  <si>
    <t>Company Financed Added Facilities</t>
  </si>
  <si>
    <t>10p</t>
  </si>
  <si>
    <t>Company Financed Interconnect Facilities</t>
  </si>
  <si>
    <t>10q</t>
  </si>
  <si>
    <t>SCE Financed Added Faclty</t>
  </si>
  <si>
    <t>10r</t>
  </si>
  <si>
    <t>Interconnect Facility Finance Charge</t>
  </si>
  <si>
    <t>10s</t>
  </si>
  <si>
    <t>Operating Land &amp; Facilities Rent Revenue</t>
  </si>
  <si>
    <t>10t</t>
  </si>
  <si>
    <t>Nonoperating Misc Land &amp; Facilities Rent</t>
  </si>
  <si>
    <t>10u</t>
  </si>
  <si>
    <t>-</t>
  </si>
  <si>
    <t>Miscellaneous Adjustments</t>
  </si>
  <si>
    <t>10v</t>
  </si>
  <si>
    <t>Op Misc Land/Fac Rev</t>
  </si>
  <si>
    <t>10w</t>
  </si>
  <si>
    <t>T-Unauth Pole Rent</t>
  </si>
  <si>
    <t>10x</t>
  </si>
  <si>
    <t>T-P&amp;E Fees</t>
  </si>
  <si>
    <t>10y</t>
  </si>
  <si>
    <t>Rent Rev NU-NonBRRBA</t>
  </si>
  <si>
    <t>10z</t>
  </si>
  <si>
    <t>Fac Cost N/U-BRRBA</t>
  </si>
  <si>
    <t>10aa</t>
  </si>
  <si>
    <t>10bb</t>
  </si>
  <si>
    <t>Joint Pole - Tarriffed - PA Inspect</t>
  </si>
  <si>
    <t>10cc</t>
  </si>
  <si>
    <t>Joint Pole - Non-Tarriff PA Inspect</t>
  </si>
  <si>
    <t>10dd</t>
  </si>
  <si>
    <t>Non-606 Def Operating Land &amp; Fac Rent Rev-Pass</t>
  </si>
  <si>
    <t>10ee</t>
  </si>
  <si>
    <t>Nonoperating Land &amp; Facilities Rent Expense</t>
  </si>
  <si>
    <t>10ff</t>
  </si>
  <si>
    <t>Operating Land &amp; Facilities Rent Expense</t>
  </si>
  <si>
    <t>454 Total</t>
  </si>
  <si>
    <t>FF-1 Total for Acct 454 - Rent from Elec. Property, p300.19b
(Must Equal Line 11)</t>
  </si>
  <si>
    <t>12a</t>
  </si>
  <si>
    <t>Energy Related Services</t>
  </si>
  <si>
    <t>12b</t>
  </si>
  <si>
    <t>Distribution Miscellaneous Electric Revenues</t>
  </si>
  <si>
    <t>12c</t>
  </si>
  <si>
    <t>Added Facilities - One Time Charge</t>
  </si>
  <si>
    <t>12d</t>
  </si>
  <si>
    <t>Building Rental - Nev Power/Mohave Cr</t>
  </si>
  <si>
    <t>12e</t>
  </si>
  <si>
    <t>Service Fee - Optimal Bill Prd</t>
  </si>
  <si>
    <t>12f</t>
  </si>
  <si>
    <t>Miscellaneous Revenues</t>
  </si>
  <si>
    <t>12g</t>
  </si>
  <si>
    <t>Tule Power Plant - Revenue</t>
  </si>
  <si>
    <t>12h</t>
  </si>
  <si>
    <t>Microwave Agreement</t>
  </si>
  <si>
    <t>12i</t>
  </si>
  <si>
    <t>Utility Subs Labor Markup</t>
  </si>
  <si>
    <t>12j</t>
  </si>
  <si>
    <t>Non Utility Subs Labor Markup</t>
  </si>
  <si>
    <t>12k</t>
  </si>
  <si>
    <t>Reliant Eng FSA Ann Pymnt-Mandalay</t>
  </si>
  <si>
    <t>12l</t>
  </si>
  <si>
    <t>Reliant Eng FSA Ann Pymnt-Ormond Beach</t>
  </si>
  <si>
    <t>12m</t>
  </si>
  <si>
    <t>Reliant Eng FSA Ann Pymnt-Etiwanda</t>
  </si>
  <si>
    <t>12n</t>
  </si>
  <si>
    <t>Reliant Eng FSA Ann Pymnt-Ellwood</t>
  </si>
  <si>
    <t>12o</t>
  </si>
  <si>
    <t>Reliant Eng FSA Ann Pymnt-Coolwater</t>
  </si>
  <si>
    <t>12p</t>
  </si>
  <si>
    <t>Property License Fee revenue</t>
  </si>
  <si>
    <t>12q</t>
  </si>
  <si>
    <t>Revenue From Recreation, Fish &amp; Wildlife</t>
  </si>
  <si>
    <t>12r</t>
  </si>
  <si>
    <t>Mapping Services</t>
  </si>
  <si>
    <t>12s</t>
  </si>
  <si>
    <t>Enhanced Pump Test Revenue</t>
  </si>
  <si>
    <t>12t</t>
  </si>
  <si>
    <t>Revenue From Scrap Paper - General Office</t>
  </si>
  <si>
    <t>12u</t>
  </si>
  <si>
    <t>CTAC Revenues</t>
  </si>
  <si>
    <t>12v</t>
  </si>
  <si>
    <t>AGTAC Revenues</t>
  </si>
  <si>
    <t>12w</t>
  </si>
  <si>
    <t>ADT Vendor Service Revenue</t>
  </si>
  <si>
    <t>12xx</t>
  </si>
  <si>
    <t>Read Water Meters - Irvine Ranch</t>
  </si>
  <si>
    <t>12yy</t>
  </si>
  <si>
    <t>Read Water Meters - Rancho California</t>
  </si>
  <si>
    <t>12zz</t>
  </si>
  <si>
    <t>Read Water Meters - Long Beach</t>
  </si>
  <si>
    <t>12aa</t>
  </si>
  <si>
    <t>SSID Transformer Repair Services Revenue</t>
  </si>
  <si>
    <t>12bb</t>
  </si>
  <si>
    <t>Employee Transfer/Affiliate Fee</t>
  </si>
  <si>
    <t>12cc</t>
  </si>
  <si>
    <t>ITCC/CIAC Revenues</t>
  </si>
  <si>
    <t>12dd</t>
  </si>
  <si>
    <t>Revenue From Decommission Trust Fund</t>
  </si>
  <si>
    <t>12ee</t>
  </si>
  <si>
    <t>Revenue From Decommissioning Trust FAS115</t>
  </si>
  <si>
    <t>12ff</t>
  </si>
  <si>
    <t>Offset to Revenue from NDT Earnings/Realized</t>
  </si>
  <si>
    <t>12gg</t>
  </si>
  <si>
    <t>Offset to Revenue from FAS 115 FMV</t>
  </si>
  <si>
    <t>12hh</t>
  </si>
  <si>
    <t>Revenue From Decommissioning Trust FAS115-1</t>
  </si>
  <si>
    <t>12ii</t>
  </si>
  <si>
    <t>Offset to Revenue from FAS 115-1 Gains &amp; Loss</t>
  </si>
  <si>
    <t>12jj</t>
  </si>
  <si>
    <t>Power Supply Installations - IMS</t>
  </si>
  <si>
    <t>12kk</t>
  </si>
  <si>
    <t>Consulting Fees - IMS</t>
  </si>
  <si>
    <t>12ll</t>
  </si>
  <si>
    <t>DA Revenue</t>
  </si>
  <si>
    <t>12mm</t>
  </si>
  <si>
    <t>EDBL Customer Finance Added Facilities</t>
  </si>
  <si>
    <t>12nn</t>
  </si>
  <si>
    <t>SCE Energy Manager Fee Based Services</t>
  </si>
  <si>
    <t>12oo</t>
  </si>
  <si>
    <t>SCE Energy Manager Fee Based Services Adj</t>
  </si>
  <si>
    <t>12pp</t>
  </si>
  <si>
    <t>Off Grid Photo Voltaic Revenues</t>
  </si>
  <si>
    <t>12qq</t>
  </si>
  <si>
    <t>Scheduling/Dispatch Revenues</t>
  </si>
  <si>
    <t>12rr</t>
  </si>
  <si>
    <t>Interconnect Facilities Charges-Customer Financed</t>
  </si>
  <si>
    <t>12ss</t>
  </si>
  <si>
    <t>Interconnect Facilities Charges - SCE Financed</t>
  </si>
  <si>
    <t>12tt</t>
  </si>
  <si>
    <t>DMS Service Fees</t>
  </si>
  <si>
    <t>12uu</t>
  </si>
  <si>
    <t>CCA - Information Fees</t>
  </si>
  <si>
    <t>12vv</t>
  </si>
  <si>
    <t>12ww</t>
  </si>
  <si>
    <t>Grant Amortization</t>
  </si>
  <si>
    <t>GHG Allowance Revenue</t>
  </si>
  <si>
    <t>Intercon One Time</t>
  </si>
  <si>
    <t>EV Charging Revenue</t>
  </si>
  <si>
    <t>12aaa</t>
  </si>
  <si>
    <t>Energy Reltd Srv-TSP</t>
  </si>
  <si>
    <t>12bbb</t>
  </si>
  <si>
    <t>N/U Labor Mrkp-BRRBA</t>
  </si>
  <si>
    <t>12ccc</t>
  </si>
  <si>
    <t>LCFS CR 411.8</t>
  </si>
  <si>
    <t>12ddd</t>
  </si>
  <si>
    <t>Miscellaneous Revenues - ISO</t>
  </si>
  <si>
    <t>12eee</t>
  </si>
  <si>
    <t>Power Quality C&amp;I Customer Program</t>
  </si>
  <si>
    <t>12fff</t>
  </si>
  <si>
    <t>Gas Sales - ERRA</t>
  </si>
  <si>
    <t>12ggg</t>
  </si>
  <si>
    <t>Miscellaneous Electric Revenue - ERRA</t>
  </si>
  <si>
    <t>12hhh</t>
  </si>
  <si>
    <t>PUCRF Rate Adjustment - Electric</t>
  </si>
  <si>
    <t>12iii</t>
  </si>
  <si>
    <t>Utility Earnings - Mono Power Co</t>
  </si>
  <si>
    <t>12jjj</t>
  </si>
  <si>
    <t>Energy Reltd Srvcs-Tehachapi Storage Project (TSP)</t>
  </si>
  <si>
    <t>12kkk</t>
  </si>
  <si>
    <t>Misc Electric Rev</t>
  </si>
  <si>
    <t>6,1</t>
  </si>
  <si>
    <t>12lll</t>
  </si>
  <si>
    <t>IC Serving&amp;Admin Rev</t>
  </si>
  <si>
    <t>12mmm</t>
  </si>
  <si>
    <t>SCEFinc Add Fac-FERC</t>
  </si>
  <si>
    <t>12nnn</t>
  </si>
  <si>
    <t>CusFinc IC Fac-FERC</t>
  </si>
  <si>
    <t>12ooo</t>
  </si>
  <si>
    <t>CusFinc IC Fac-CPUC</t>
  </si>
  <si>
    <t>12ppp</t>
  </si>
  <si>
    <t>SCEFinc IC Fac-FERC</t>
  </si>
  <si>
    <t>12qqq</t>
  </si>
  <si>
    <t>OOR 606 State Funded</t>
  </si>
  <si>
    <t>12rrr</t>
  </si>
  <si>
    <t>ERRA Gas Storage Sales</t>
  </si>
  <si>
    <t>456 Total</t>
  </si>
  <si>
    <t>FF-1 Total for Acct 456 - Other electric Revenues, p300.21b
(Must Equal Line 13)</t>
  </si>
  <si>
    <t>15a</t>
  </si>
  <si>
    <t>Trans of Elec of Others - Pasadena</t>
  </si>
  <si>
    <t>15b</t>
  </si>
  <si>
    <t>FTS PPU/Non-ISO</t>
  </si>
  <si>
    <t>15c</t>
  </si>
  <si>
    <t>FTS Non-PPU/Non-ISO</t>
  </si>
  <si>
    <t>15d</t>
  </si>
  <si>
    <t>ISO-Wheeling Revenue - Low Voltage</t>
  </si>
  <si>
    <t>15e</t>
  </si>
  <si>
    <t>ISO-Wheeling Revenue - High Voltage</t>
  </si>
  <si>
    <t>15f</t>
  </si>
  <si>
    <t>ISO-Congestion Revenue</t>
  </si>
  <si>
    <t>15g</t>
  </si>
  <si>
    <t>Transmission of Elec of Others</t>
  </si>
  <si>
    <t>15h</t>
  </si>
  <si>
    <t>WDAT</t>
  </si>
  <si>
    <t>15i</t>
  </si>
  <si>
    <t>Radial Line Rev-Base Cost - Reliant Coolwater</t>
  </si>
  <si>
    <t>15j</t>
  </si>
  <si>
    <t>Radial Line Rev-Base Cost - Reliant Ormond Beach</t>
  </si>
  <si>
    <t>15k</t>
  </si>
  <si>
    <t>Radial Line Rev-O&amp;M - AES Huntington Beach</t>
  </si>
  <si>
    <t>15l</t>
  </si>
  <si>
    <t>Radial Line Rev-O&amp;M - Reliant Mandalay</t>
  </si>
  <si>
    <t>15m</t>
  </si>
  <si>
    <t>Radial Line Rev-O&amp;M - Reliant Coolwater</t>
  </si>
  <si>
    <t>15n</t>
  </si>
  <si>
    <t>Radial Line Rev-O&amp;M - Ormond Beach</t>
  </si>
  <si>
    <t>15o</t>
  </si>
  <si>
    <t>High Desert Tie-Line Rental Rev</t>
  </si>
  <si>
    <t>15p</t>
  </si>
  <si>
    <t>Inland Empire CRT Tie-Line EX</t>
  </si>
  <si>
    <t>15q</t>
  </si>
  <si>
    <t>Reliability Service Revenue - Non-PTO's</t>
  </si>
  <si>
    <t>15r</t>
  </si>
  <si>
    <t>Radial Line Agreement-Base-Mojave Solr</t>
  </si>
  <si>
    <t>15s</t>
  </si>
  <si>
    <t>Radial Line Agreement-O&amp;M-Mojave Solr</t>
  </si>
  <si>
    <t>15t</t>
  </si>
  <si>
    <t>ISO Non-Refundable Interconnection Deposit</t>
  </si>
  <si>
    <t>15u</t>
  </si>
  <si>
    <t>RSR - Non-PTO's - RSBA</t>
  </si>
  <si>
    <t>15v</t>
  </si>
  <si>
    <t>Transmission Sales - ERRA</t>
  </si>
  <si>
    <t>15w</t>
  </si>
  <si>
    <t>Transmission Sales - PABA</t>
  </si>
  <si>
    <t>15x</t>
  </si>
  <si>
    <t>RSR - Etc  - Non-PTO</t>
  </si>
  <si>
    <t>15y</t>
  </si>
  <si>
    <t>Radial Line Rev-O&amp;M - Dagget SP2</t>
  </si>
  <si>
    <t>15z</t>
  </si>
  <si>
    <t>Radial Line Rev-O&amp;M - Dagget SP3</t>
  </si>
  <si>
    <t>456.1 Total</t>
  </si>
  <si>
    <t>FF-1 Total for Account 456.1 - Revenues from Trans. Of Electricity of Others, p300.22b (Must Equal Line 16)</t>
  </si>
  <si>
    <t>457.1 Total</t>
  </si>
  <si>
    <t>FF-1 Total for Account 457.1 - Regional Control Service Revenues, p300.23b (Must Equal Line 19)</t>
  </si>
  <si>
    <t>457.2 Total</t>
  </si>
  <si>
    <t>FF-1 Total for Account 457.2- Miscellaneous Revenues, p300.24b 
(Must Equal Line 22)</t>
  </si>
  <si>
    <t>Edison Carrier Solutions (ECS)</t>
  </si>
  <si>
    <t>24a</t>
  </si>
  <si>
    <t>ECS - Distribution Facilities</t>
  </si>
  <si>
    <t>24b</t>
  </si>
  <si>
    <t>ECS - Dark Fiber</t>
  </si>
  <si>
    <t>24c</t>
  </si>
  <si>
    <t>ECS - SCE Net Fiber</t>
  </si>
  <si>
    <t>24d</t>
  </si>
  <si>
    <t>ECS - Transmission Right of Way</t>
  </si>
  <si>
    <t>24e</t>
  </si>
  <si>
    <t>ECS - Wholesale FCC</t>
  </si>
  <si>
    <t>24f</t>
  </si>
  <si>
    <t>ECS - EU FCC Rev</t>
  </si>
  <si>
    <t>24g</t>
  </si>
  <si>
    <t>ECS - Cell Site Rent and Use (Active)</t>
  </si>
  <si>
    <t>24h</t>
  </si>
  <si>
    <t>ECS - Cell Site Reimbursable (Active)</t>
  </si>
  <si>
    <t>24i</t>
  </si>
  <si>
    <t>ECS - Communication Sites</t>
  </si>
  <si>
    <t>24j</t>
  </si>
  <si>
    <t>ECS - Cell Site Rent and Use (Passive)</t>
  </si>
  <si>
    <t>24k</t>
  </si>
  <si>
    <t>ECS - Cell Site Reimbursable (Passive)</t>
  </si>
  <si>
    <t>24l</t>
  </si>
  <si>
    <t>ECS - Micro Cell</t>
  </si>
  <si>
    <t>24m</t>
  </si>
  <si>
    <t>ECS - End User Universal Service Fund Fee</t>
  </si>
  <si>
    <t>24n</t>
  </si>
  <si>
    <t>ECS - Instrastate End User Revenue</t>
  </si>
  <si>
    <t>24o</t>
  </si>
  <si>
    <t>ECS - Intrastate End User Fees</t>
  </si>
  <si>
    <t>24p</t>
  </si>
  <si>
    <t>ECS - Interstate End User Tax Exempt</t>
  </si>
  <si>
    <t>24q</t>
  </si>
  <si>
    <t>ECS- EU USAC E-Rate</t>
  </si>
  <si>
    <t>24r</t>
  </si>
  <si>
    <t>ECS - DF EU Interstate</t>
  </si>
  <si>
    <t>24s</t>
  </si>
  <si>
    <t>ECS - DF EU Intrastate</t>
  </si>
  <si>
    <t>24t</t>
  </si>
  <si>
    <t>ECS - DF EU Interstate USAC E-Rate</t>
  </si>
  <si>
    <t>24u</t>
  </si>
  <si>
    <t>ECS - DF EU Interstate CTF</t>
  </si>
  <si>
    <t>24v</t>
  </si>
  <si>
    <t>ECS-Fin Chrg</t>
  </si>
  <si>
    <t>24w</t>
  </si>
  <si>
    <t>ECS - Pass Pole Attachments</t>
  </si>
  <si>
    <t>24x</t>
  </si>
  <si>
    <t>ECS - LIT EU Interstate CTF</t>
  </si>
  <si>
    <t>24y</t>
  </si>
  <si>
    <t>ECS - LIT EU Interstate USAC E-Rate</t>
  </si>
  <si>
    <t>24z</t>
  </si>
  <si>
    <t>417 ECS Total</t>
  </si>
  <si>
    <t>417 Other</t>
  </si>
  <si>
    <t>FF-1 Total for Account 417 - Revenues From Nonutility Operations  p117.33c (Must Equal Line 25 + 26)</t>
  </si>
  <si>
    <t>Subsidiaries</t>
  </si>
  <si>
    <t>ESI (Gross Revenues - Active)</t>
  </si>
  <si>
    <t>2,9</t>
  </si>
  <si>
    <t>28b</t>
  </si>
  <si>
    <t>ESI (Gross Revenues - Passive)</t>
  </si>
  <si>
    <t>28c</t>
  </si>
  <si>
    <t xml:space="preserve">Southern States Realty </t>
  </si>
  <si>
    <t>2, 15</t>
  </si>
  <si>
    <t>28d</t>
  </si>
  <si>
    <t>Mono Power Company</t>
  </si>
  <si>
    <t>28e</t>
  </si>
  <si>
    <t>Edison Material Supply (EMS)</t>
  </si>
  <si>
    <t>7, 17</t>
  </si>
  <si>
    <t>418.1 Subsidiaries Total</t>
  </si>
  <si>
    <t>418.1 Other (See Note 16)</t>
  </si>
  <si>
    <t>FF-1 Total for Account 418.1 -Equity in Earnings of Subsidiary Companies, p117.36c (Must Equal Line 29 + 30)</t>
  </si>
  <si>
    <t>O&amp;M Services Revenue</t>
  </si>
  <si>
    <t>O&amp;M Services Formula Revenue (Schedule 35, Line 69)</t>
  </si>
  <si>
    <t>31b</t>
  </si>
  <si>
    <t>412 O&amp;M Services Revenue Total</t>
  </si>
  <si>
    <t>31c</t>
  </si>
  <si>
    <t>412 Other</t>
  </si>
  <si>
    <t>31d</t>
  </si>
  <si>
    <t>FF-1 Total for Acct 412, FF1 115 Col. K (Must Equal Line 31b + 31c)</t>
  </si>
  <si>
    <t>Totals</t>
  </si>
  <si>
    <t>Ratepayers' Share of Threshold Revenue</t>
  </si>
  <si>
    <t>= Line 32K</t>
  </si>
  <si>
    <t xml:space="preserve">ISO Ratepayers' Share of Threshold Revenue </t>
  </si>
  <si>
    <t>Note 11</t>
  </si>
  <si>
    <t>Total Active Incremental Revenue</t>
  </si>
  <si>
    <t>= Sum Active categories in column L</t>
  </si>
  <si>
    <t>Ratepayers' Share of Active Incremental Revenue</t>
  </si>
  <si>
    <t>Total Passive Incremental Revenue</t>
  </si>
  <si>
    <t>= Sum Passive categories in column L</t>
  </si>
  <si>
    <t>Ratepayers' Share of Passive Incremental Revenue</t>
  </si>
  <si>
    <t>Total Ratepayers' Share of Incremental Revenue</t>
  </si>
  <si>
    <t>ISO Ratepayers' Share of Incremental Revenue (%)</t>
  </si>
  <si>
    <t>see Note 11</t>
  </si>
  <si>
    <t xml:space="preserve">ISO Ratepayers' Share of Incremental Revenue </t>
  </si>
  <si>
    <t>Tot. ISO Ratepayers' Share NTP&amp;S Gross Rev.</t>
  </si>
  <si>
    <t>Total Revenue Credits:</t>
  </si>
  <si>
    <t>Sum of Column D, Line 43 and Column G, Line 32</t>
  </si>
  <si>
    <t>1-</t>
  </si>
  <si>
    <t>CPUC Jurisdictional service related.</t>
  </si>
  <si>
    <t>2-</t>
  </si>
  <si>
    <t xml:space="preserve">Subject to sharing per the Gross Revenue Sharing Mechanism (GRSM), adopted in CPUC D.99-09-070.  On an annual basis, once SCE obtains $16,671,389.55 (Threshold Revenue) in NTP&amp;S Revenues, any additional revenues (Incremental Gross Revenues) that SCE receives are shared between shareholders and ratepayers.  For GRSM categories deemed Active, the Incremental Gross Revenues are shared 90/10 between shareholders and ratepayers.  For those categories deemed Passive, the Incremental Gross Revenues are shared 70/30 between shareholders and ratepayers.  </t>
  </si>
  <si>
    <t>3-</t>
  </si>
  <si>
    <t>Generation related.</t>
  </si>
  <si>
    <t>4-</t>
  </si>
  <si>
    <t>Non-ISO facilities related.</t>
  </si>
  <si>
    <t>5-</t>
  </si>
  <si>
    <t>ISO transmission system related.</t>
  </si>
  <si>
    <t>6-</t>
  </si>
  <si>
    <t>Subject to balancing account treatment</t>
  </si>
  <si>
    <t>7-</t>
  </si>
  <si>
    <t>Allocated based on CPUC GRC allocator in effect during the Prior Year.  The weighted average (by time) shall be used if more than one allocator is in effect during the Prior Year.</t>
  </si>
  <si>
    <t>ISO Allocator =</t>
  </si>
  <si>
    <t>Source:</t>
  </si>
  <si>
    <t>CPUC D. 21-08-036</t>
  </si>
  <si>
    <t>8-</t>
  </si>
  <si>
    <t xml:space="preserve">ISO portion of Traditional OOR relates to monthly revenues received from customers for facilities that are part of the ISO network.  </t>
  </si>
  <si>
    <t>9-</t>
  </si>
  <si>
    <t>Edison ESI is a subsidiary company.  Gross revenues are not reported in FF-1, only net earnings.  Net Earnings for ESI are reported on Acct 418.1, pg 225.5e.</t>
  </si>
  <si>
    <t>10-</t>
  </si>
  <si>
    <t>The first $16,671,389 million in gross revenues generated by GRSM activities are automatically classified as Threshold Revenue.</t>
  </si>
  <si>
    <t>11-</t>
  </si>
  <si>
    <t>Allocator is equal to the jurisdictional split of the Threshold Revenue, which is jurisdictionalized as $5.425M to FERC ratepayers and $11.246M to CPUC ratepayers per the 2009 CPUC General Rate Case (D. 09-03-025).  The ISO ratepayers' share of ratepayer revenue is $5.425M/$16.671M = 32.54%.</t>
  </si>
  <si>
    <t>12-</t>
  </si>
  <si>
    <t xml:space="preserve">Allocated based on the CPUC Base Revenue Requirement Balancing Account (BRRBA) allocator in effect during the Prior Year.  The weighted average (by time) shall be used if more than one allocator is in effect during the Prior Year.  ISO portion of revenue is treated as traditional OOR. </t>
  </si>
  <si>
    <t>13-</t>
  </si>
  <si>
    <t>Mono Power Company is a subsidiary company.  Net Earnings are reported on Acct 418.1, pg 225.11e.  Revenues and costs shall be non-ISO.</t>
  </si>
  <si>
    <t>14-</t>
  </si>
  <si>
    <t>SCE Capital Company is a subsidiary company.  Net Earnings are reported on Acct 418.1, pg 225.23e.  Revenues and costs shall be non-ISO.</t>
  </si>
  <si>
    <t>15-</t>
  </si>
  <si>
    <t>Southern States Realty is a subsidiary company.  Gross revenues are not reported in FF-1, only net earnings.  Net Earnings for Southern States Realty are reported on Acct 418.1, pg 225.17e.</t>
  </si>
  <si>
    <t>16-</t>
  </si>
  <si>
    <t>For subsidiaries that are subject to GRSM, Column D contains gross revenues.  Input on Line 30D contains the associated expenses.</t>
  </si>
  <si>
    <t>17-</t>
  </si>
  <si>
    <t>Per GRC Decision D.87-12-066, for ratemaking purposes EMS financials are consolidated with SCE's.  See FERC Form 1 page 123.3 under</t>
  </si>
  <si>
    <t>"Equity Investment Differences" .  Consequently, net income of EMS is not reported separately in FERC Form 1 and is not a part of FERC Account 418.1 totals.</t>
  </si>
  <si>
    <t>To ensure that ratepayers receive the net income from this subsidiary SCE includes EMS net income in the formula on line 28f.  This amount is reversed as part</t>
  </si>
  <si>
    <t>of line 30 to remain consistent with the totals reported in FERC Form 1.</t>
  </si>
  <si>
    <t>18-</t>
  </si>
  <si>
    <t xml:space="preserve">Includes all O&amp;M Services Formula Revenue included in Account 412, as set forth on Schedule 35, Line 69, Column 4.  </t>
  </si>
  <si>
    <t>All O&amp;M Services Formula revenue is credited to ISO through Line 84a of Schedule 1 and Line 45a of Schedule 4-TUTRR.</t>
  </si>
  <si>
    <t>NETWORK UPGRADE CREDIT AND INTEREST EXPENSE</t>
  </si>
  <si>
    <t xml:space="preserve">WP Schedule 22 </t>
  </si>
  <si>
    <t>1) Beginning of Year Balances: (Note 1)</t>
  </si>
  <si>
    <t>Outstanding Network Upgrade Credits Recorded in FERC Acct 252</t>
  </si>
  <si>
    <t>Acct 252 Other</t>
  </si>
  <si>
    <t>Line 3 - Line 1</t>
  </si>
  <si>
    <t>Total Acct 252 - Customer Advances for Construction</t>
  </si>
  <si>
    <t>FF1 113.56d</t>
  </si>
  <si>
    <t>2) End of Year Balances: (Note 2)</t>
  </si>
  <si>
    <t>Line 6 - Line 4</t>
  </si>
  <si>
    <t>FF1 113.56c</t>
  </si>
  <si>
    <t>Average Outstanding Network Upgrade Credits Beginning and End of Year</t>
  </si>
  <si>
    <t>Interest On Network Upgrade Credits Recorded in FERC Acct 242</t>
  </si>
  <si>
    <t>Acct 242 Other</t>
  </si>
  <si>
    <t>Line 10 - Line 8</t>
  </si>
  <si>
    <t>Total Acct 242 - Miscellaneous Current and Accrued Liabilities</t>
  </si>
  <si>
    <t>FF1 113.48c</t>
  </si>
  <si>
    <t>Beginning of Year Balances are from December of the year previous to the Prior Year.</t>
  </si>
  <si>
    <t>End of Year Balances are from December of the Prior Year.</t>
  </si>
  <si>
    <t>Only projects that are in Rate Base in the year reported are included.</t>
  </si>
  <si>
    <t xml:space="preserve">Interest relates to refund of facility and one-time payments by generator.  For facility costs, pre-in-service date interest is  </t>
  </si>
  <si>
    <t>excluded.  For one-time costs, pre-in-service and post-in-service interest is included.</t>
  </si>
  <si>
    <t>Determination of Regulatory Assets/Liabilities and Associated Amortization and Regulatory Debits/Credits</t>
  </si>
  <si>
    <t>Other Regulatory Assets/Liabilities are a component of Rate Base representing costs that are created resulting from the ratemaking</t>
  </si>
  <si>
    <t xml:space="preserve">actions of regulatory agencies.  Pursuant to the Commission's Uniform System of Accounts, these items include amounts recorded </t>
  </si>
  <si>
    <t>in accounts 182.x and 254.  This Schedule shall not include any costs recovered through Schedule 12.</t>
  </si>
  <si>
    <t xml:space="preserve">SCE shall include a non-zero amount of Other Regulatory Assets/Liabilities only with Commission </t>
  </si>
  <si>
    <t>approval received subsequent to an SCE Section 205 filing requesting such treatment.</t>
  </si>
  <si>
    <t>Amortization and Regulatory Debits/Credits are amounts approved for recovery in this formula transmission rate representing the</t>
  </si>
  <si>
    <t>approved annual recovery of Other Regulatory Assets/Liabilities as an expense item in the Base TRR, consistent</t>
  </si>
  <si>
    <t xml:space="preserve">with a Commission Order.  </t>
  </si>
  <si>
    <t>Calculation or Source</t>
  </si>
  <si>
    <t>Other Regulatory Assets/Liabilities (EOY):</t>
  </si>
  <si>
    <t>Sum of Column 2 below</t>
  </si>
  <si>
    <t>Other Regulatory Assets/Liabilities (BOY/EOY average):</t>
  </si>
  <si>
    <t>Avg. of Sum of Cols. 1 and 2 below</t>
  </si>
  <si>
    <t>Amortization and Regulatory Debits/Credits:</t>
  </si>
  <si>
    <t>Sum of Column 3 below</t>
  </si>
  <si>
    <t>Description of Issue</t>
  </si>
  <si>
    <t>Amortization or</t>
  </si>
  <si>
    <t xml:space="preserve">  Commission Order</t>
  </si>
  <si>
    <t>Resulting in Other Regulatory</t>
  </si>
  <si>
    <t>Other Reg</t>
  </si>
  <si>
    <t>Regulatory</t>
  </si>
  <si>
    <t xml:space="preserve"> Granting Approval of </t>
  </si>
  <si>
    <t>Asset/Liability</t>
  </si>
  <si>
    <t>Debit/Credit</t>
  </si>
  <si>
    <t xml:space="preserve">  Regulatory Liability</t>
  </si>
  <si>
    <t>Sum of above</t>
  </si>
  <si>
    <t>1) Upon Commission approval of recovery of Other Regulatory Assets/Liabilities, Amortization and Regulatory Debits/Credits</t>
  </si>
  <si>
    <t>costs through this formula transmission rate:</t>
  </si>
  <si>
    <t>a) Fill in Description for issue in above table.</t>
  </si>
  <si>
    <t>b) Enter costs in columns 1-3 in above table for the applicable Prior Year.</t>
  </si>
  <si>
    <t>2) Add additional lines as necessary for additional issues.</t>
  </si>
  <si>
    <t>Calculation of the Contribution of CWIP to the Base TRR</t>
  </si>
  <si>
    <t>1) CWIP Contribution to the Prior Year TRR and True Up TRR</t>
  </si>
  <si>
    <t>a) CWIP Balances:</t>
  </si>
  <si>
    <t>Tehachapi:</t>
  </si>
  <si>
    <t>Devers to Colorado River:</t>
  </si>
  <si>
    <t>South of Kramer:</t>
  </si>
  <si>
    <t>West of Devers:</t>
  </si>
  <si>
    <t>Red Bluff:</t>
  </si>
  <si>
    <t>Whirlwind Sub Expansion:</t>
  </si>
  <si>
    <t>Colorado River Sub Expansion:</t>
  </si>
  <si>
    <t>Mesa:</t>
  </si>
  <si>
    <t>Alberhill:</t>
  </si>
  <si>
    <t>ELM Series Caps:</t>
  </si>
  <si>
    <t>Riverside:</t>
  </si>
  <si>
    <t>Del-Amo-Mesa-Serrano</t>
  </si>
  <si>
    <t>b) Return:</t>
  </si>
  <si>
    <t>CWIP Amount:</t>
  </si>
  <si>
    <t>Cost of Capital Rate:</t>
  </si>
  <si>
    <t>Cost of Capital:</t>
  </si>
  <si>
    <t>c) Income Taxes</t>
  </si>
  <si>
    <t>Equity ROR w Preferred Stock ("ER"):</t>
  </si>
  <si>
    <t>(No "Credits and Other" or "AFUDC" Terms, since these are not related to CWIP)</t>
  </si>
  <si>
    <t>d) ROE Incentives:</t>
  </si>
  <si>
    <t>ROE Adder %:</t>
  </si>
  <si>
    <t>ROE  Adder $:</t>
  </si>
  <si>
    <t>2) Devers to Colorado River</t>
  </si>
  <si>
    <t>ROE Adder $ = (Project CWIP Amount/$1,000,000) * IREF * (ROE Adder % / 1%)</t>
  </si>
  <si>
    <t>e) Total of Return, Income Taxes, and ROE Incentives contribution to PYTRR and True Up TRR</t>
  </si>
  <si>
    <t>PYTRR</t>
  </si>
  <si>
    <t>Return:</t>
  </si>
  <si>
    <t>ROE Adder Tehachapi:</t>
  </si>
  <si>
    <t>ROE Adder DCR:</t>
  </si>
  <si>
    <t>FF&amp;U:</t>
  </si>
  <si>
    <t>f) Contribution from each Project to the Prior Year TRR and True Up TRR</t>
  </si>
  <si>
    <t>1) Contribution to the Prior Year TRR</t>
  </si>
  <si>
    <t>Cost of</t>
  </si>
  <si>
    <t>Income</t>
  </si>
  <si>
    <t>= Sum C1 to C4</t>
  </si>
  <si>
    <t>Capital</t>
  </si>
  <si>
    <t>Taxes</t>
  </si>
  <si>
    <t>FF&amp;U</t>
  </si>
  <si>
    <t>50a</t>
  </si>
  <si>
    <t>50b</t>
  </si>
  <si>
    <t>2) Contribution to the True Up TRR</t>
  </si>
  <si>
    <t>Note 3</t>
  </si>
  <si>
    <t>63a</t>
  </si>
  <si>
    <t>63b</t>
  </si>
  <si>
    <t>2) Contribution from the Incremental Forecast Period TRR</t>
  </si>
  <si>
    <t>a) Total of all CWIP projects</t>
  </si>
  <si>
    <t>CWIP component of IFPTRR without FF&amp;U:</t>
  </si>
  <si>
    <t>CWIP component of IFPTRR including FF&amp;U:</t>
  </si>
  <si>
    <t>b) Individual Project Contribution</t>
  </si>
  <si>
    <t>wo FF&amp;U</t>
  </si>
  <si>
    <t>with FF&amp;U</t>
  </si>
  <si>
    <t>81a</t>
  </si>
  <si>
    <t>81b</t>
  </si>
  <si>
    <t>3) Total Contribution of CWIP to the Retail and Wholesale Base TRRs:</t>
  </si>
  <si>
    <t>PY Total Return, Taxes, Incentive:</t>
  </si>
  <si>
    <t>CWIP component of IFPTRR wo FF&amp;U:</t>
  </si>
  <si>
    <t>Total without FF&amp;U:</t>
  </si>
  <si>
    <t>FF Factor:</t>
  </si>
  <si>
    <t>U Factor:</t>
  </si>
  <si>
    <t>Franchise Fees Amount:</t>
  </si>
  <si>
    <t>Uncollectibles Amount:</t>
  </si>
  <si>
    <t>Total Contribution of CWIP to Retail Base TRR:</t>
  </si>
  <si>
    <t>Total Contribution of CWIP to Wholesale Base TRR:</t>
  </si>
  <si>
    <t>b) Individual CWIP Project Contribution to the Retail Base TRR</t>
  </si>
  <si>
    <t>103a</t>
  </si>
  <si>
    <t>103b</t>
  </si>
  <si>
    <t>c) Individual CWIP Project Contribution to the Wholesale Base TRR</t>
  </si>
  <si>
    <t>FF</t>
  </si>
  <si>
    <t>116a</t>
  </si>
  <si>
    <t>116b</t>
  </si>
  <si>
    <t>6) Same as Note 5 except no Uncollectibles Expense in Column 3.</t>
  </si>
  <si>
    <t>Calculation of Wholesale Difference to the Base TRR</t>
  </si>
  <si>
    <t>WP Schedule 25 Wholesale Difference</t>
  </si>
  <si>
    <t xml:space="preserve">The Wholesale Difference to the Base TRR represents the amount by which the Wholesale Base TRR differs as </t>
  </si>
  <si>
    <t xml:space="preserve">compared to the Retail Base TRR.  </t>
  </si>
  <si>
    <t xml:space="preserve">1) Calculation of Total Expense Difference </t>
  </si>
  <si>
    <t>Notes/Instructions</t>
  </si>
  <si>
    <t>EPRI Dues</t>
  </si>
  <si>
    <t>EEI Dues</t>
  </si>
  <si>
    <t>Sum of EPRI and EEI Dues</t>
  </si>
  <si>
    <t xml:space="preserve">Line 2  + Line 3 </t>
  </si>
  <si>
    <t>EPRI and EEI Dues Exclusion</t>
  </si>
  <si>
    <t xml:space="preserve">Line 4 * Line 5 </t>
  </si>
  <si>
    <t>Additional Expense Difference</t>
  </si>
  <si>
    <t>Total Expense Difference:</t>
  </si>
  <si>
    <t>Line 6 + Line 7</t>
  </si>
  <si>
    <t>2) Calculation of the Wholesale Difference to the Base TRR</t>
  </si>
  <si>
    <t>Expense Difference</t>
  </si>
  <si>
    <t>- Line 8</t>
  </si>
  <si>
    <t>Uncollectibles Expense -- Prior Year TRR</t>
  </si>
  <si>
    <t>- 1-Base TRR, L 80</t>
  </si>
  <si>
    <t>Uncollectibles Expense -- IFPTRR</t>
  </si>
  <si>
    <t>- 2-IFPTRR, L 80</t>
  </si>
  <si>
    <t>Subtotal:</t>
  </si>
  <si>
    <t>Sum Line 9 to Line 11</t>
  </si>
  <si>
    <t>Franchise Fee Exclusion</t>
  </si>
  <si>
    <t>Wholesale Difference to the Base TRR:</t>
  </si>
  <si>
    <t>Line 12 + Line 13</t>
  </si>
  <si>
    <t>Notes/Instructions:</t>
  </si>
  <si>
    <t xml:space="preserve">1) Only exclude if not already excluded in Schedule 20.  </t>
  </si>
  <si>
    <t>2) If appropriate, additional expenses may be excluded from the Wholesale Base TRR.</t>
  </si>
  <si>
    <t>3) Franchise Fee Exclusion is equal to the Franchise Fee Factor on Schedule 28-FFU, Line 5</t>
  </si>
  <si>
    <t>times Line 9.</t>
  </si>
  <si>
    <t>Income Tax Rates</t>
  </si>
  <si>
    <t>1) Federal Income Tax rate</t>
  </si>
  <si>
    <t>Federal</t>
  </si>
  <si>
    <t>Income Tax</t>
  </si>
  <si>
    <t>Rate ("FITR")</t>
  </si>
  <si>
    <t>Note 1, Note 4</t>
  </si>
  <si>
    <t>2) Composite State Income Tax Rate</t>
  </si>
  <si>
    <t>State</t>
  </si>
  <si>
    <t>Rate ("CSITR")</t>
  </si>
  <si>
    <t>3) Capitalized Overhead portion of Electric Payroll Tax Expense</t>
  </si>
  <si>
    <t>Capitalization Rate (Note 3)</t>
  </si>
  <si>
    <t>1) Federal Source Statute:</t>
  </si>
  <si>
    <t>Internal Revenue Code § 11.b</t>
  </si>
  <si>
    <t>2) California State Source Statue:</t>
  </si>
  <si>
    <t>California Rev. &amp; Tax. Cd. § 23151</t>
  </si>
  <si>
    <t>3) Capitalization Rate approved in:</t>
  </si>
  <si>
    <t>D21-08-036</t>
  </si>
  <si>
    <t>For the following Prior Years:</t>
  </si>
  <si>
    <t>2021-2024</t>
  </si>
  <si>
    <t xml:space="preserve">4) In the event that either the Federal or State Income Tax Rate applicable to the Rate Year differs from that in effect </t>
  </si>
  <si>
    <t>during the Prior Year, the True Up TRR for the Prior Year will be calculated utilizing the same Formula Rate</t>
  </si>
  <si>
    <t>Spreadsheet except for the Income Tax rate(s).  The difference between the True Up TRR calculated in such</t>
  </si>
  <si>
    <t xml:space="preserve">workpaper using the Income Tax Rates that were in effect during the Prior Year and the True Up TRR otherwise </t>
  </si>
  <si>
    <t xml:space="preserve">calculated by this formula shall be entered as a One Time Adjustment on Schedule 3, ensuring that </t>
  </si>
  <si>
    <t xml:space="preserve">the Formula Spreadsheet correctly calculates the True Up TRR for the Prior Year to be based on the Income Tax </t>
  </si>
  <si>
    <t>Rate(s) that were in effect during that year.  For the Prior Years of 2016 and 2017, both of which will have</t>
  </si>
  <si>
    <t>Income Tax Rates that differ between the Prior Year and the Rate Year due to the passage of the 2017 Tax Cuts and</t>
  </si>
  <si>
    <t>Jobs Act, this provision will be implemented as part of the Section 6 of the Formula Rate Protocols, which will</t>
  </si>
  <si>
    <t>calculate the True Up TRR for those years based on a Federal Income Tax Rate of 35%.</t>
  </si>
  <si>
    <t>WP Schedule 27 ISO Allocators</t>
  </si>
  <si>
    <t>1) Calculation of Transmission Wages and Salaries Allocation Factor</t>
  </si>
  <si>
    <t xml:space="preserve">ISO Transmission Wages and Salaries </t>
  </si>
  <si>
    <t>Total Wages and Salaries</t>
  </si>
  <si>
    <t>Less Total A&amp;G Wages and Salaries</t>
  </si>
  <si>
    <t>FF1 354.27b</t>
  </si>
  <si>
    <t xml:space="preserve">Total Wages and Salaries wo A&amp;G </t>
  </si>
  <si>
    <t>Total NOIC (Non-Officer Incentive Compensation)</t>
  </si>
  <si>
    <t>Less A&amp;G NOIC</t>
  </si>
  <si>
    <t>NOIC wo A&amp;G NOIC</t>
  </si>
  <si>
    <t>Total non-A&amp;G W&amp;S with NOIC</t>
  </si>
  <si>
    <t>Transmission Wages and Salary Allocation Factor</t>
  </si>
  <si>
    <t>2) Calculation of Transmission Plant Allocation Factor</t>
  </si>
  <si>
    <t>Distribution Plant - ISO</t>
  </si>
  <si>
    <t>Total Electric Miscellaneous Intangible Plant</t>
  </si>
  <si>
    <t>Electric Miscellaneous Intangible Plant - ISO</t>
  </si>
  <si>
    <t>Total General Plant</t>
  </si>
  <si>
    <t>General Plant - ISO</t>
  </si>
  <si>
    <t>Total Plant In Service</t>
  </si>
  <si>
    <t>3) Schedule 19 "Percent ISO" Allocation Factors (Input values are from SCE Records)</t>
  </si>
  <si>
    <t>a) Line Miles</t>
  </si>
  <si>
    <t>Values</t>
  </si>
  <si>
    <t>Applied to Accounts</t>
  </si>
  <si>
    <t>ISO Line Miles</t>
  </si>
  <si>
    <r>
      <t>563 -</t>
    </r>
    <r>
      <rPr>
        <strike/>
        <sz val="10"/>
        <rFont val="Arial"/>
        <family val="2"/>
      </rPr>
      <t xml:space="preserve"> </t>
    </r>
    <r>
      <rPr>
        <sz val="10"/>
        <rFont val="Arial"/>
        <family val="2"/>
      </rPr>
      <t>Overhead Line Expenses - Allocated</t>
    </r>
  </si>
  <si>
    <t>Non-ISO Line Miles</t>
  </si>
  <si>
    <t>Total Line Miles</t>
  </si>
  <si>
    <t>571 - Maintenance of Overhead Lines - Allocated</t>
  </si>
  <si>
    <t>Line Miles Percent ISO</t>
  </si>
  <si>
    <t>b) Underground Line Miles</t>
  </si>
  <si>
    <t>ISO Underground Line Miles</t>
  </si>
  <si>
    <t>564 - Underground Line Expense</t>
  </si>
  <si>
    <t>Non-ISO Underground Line Miles</t>
  </si>
  <si>
    <t>572 - Maintenance of Underground Transmission Lines</t>
  </si>
  <si>
    <t>Total Undergound Line Miles</t>
  </si>
  <si>
    <t>Underground Line Miles Percent ISO</t>
  </si>
  <si>
    <t>c) Circuit Breakers</t>
  </si>
  <si>
    <t>ISO Circuit Breakers</t>
  </si>
  <si>
    <t>All Other Non 0% or 100% Transmission O&amp;M Accounts</t>
  </si>
  <si>
    <t>Non-ISO Breakers</t>
  </si>
  <si>
    <t>Total Circuit Breakers</t>
  </si>
  <si>
    <t>Circuit Breakers Percent ISO</t>
  </si>
  <si>
    <t>d) Distribution Circuit Breakers</t>
  </si>
  <si>
    <t>ISO Distribution Circuit Breakers</t>
  </si>
  <si>
    <t>Non-ISO Distribution Circuit Breakers</t>
  </si>
  <si>
    <t>Total Distribution Circuit Breakers</t>
  </si>
  <si>
    <t>Distribution Circuit Breakers Percent ISO</t>
  </si>
  <si>
    <t>Franchise Fees and Uncollectibles Expense Factors</t>
  </si>
  <si>
    <t>WP Schedule 28 FFU</t>
  </si>
  <si>
    <t>1) Approved Franchise Fee Factor(s)</t>
  </si>
  <si>
    <t xml:space="preserve">Days in </t>
  </si>
  <si>
    <t>FF Factor</t>
  </si>
  <si>
    <t>2) Approved Uncollectibles Expense Factor(s)</t>
  </si>
  <si>
    <t>U Factor</t>
  </si>
  <si>
    <t>3) FF and U Factors</t>
  </si>
  <si>
    <t>Calculated according to Instruction 3</t>
  </si>
  <si>
    <t xml:space="preserve">1) Franchise Fees represent payments that SCE makes to municipal entities for the right to locate facilities within </t>
  </si>
  <si>
    <t>the municipality.</t>
  </si>
  <si>
    <t>1) Enter Franchise Fee and Uncollectibles Factors as approved by the California Public Utilities Commission ("CPUC")</t>
  </si>
  <si>
    <t>in modules 1 and 2 above pursuant to Instruction 2.  If approved factors changed during Prior Year, enter both,</t>
  </si>
  <si>
    <t>and note period of time for which each applies in "From" and "To" columns, and number of days each was in effect</t>
  </si>
  <si>
    <t>during the Prior Year in "Days in Prior Year" Column.</t>
  </si>
  <si>
    <t>2) Franchise Fees Factor is calculated from CPUC Decision by dividing adopted Franchise Fees</t>
  </si>
  <si>
    <t xml:space="preserve">by Total Operating Revenues less Franchise Fees.  Uncollectibles Factor is calculated by </t>
  </si>
  <si>
    <t>dividing adopted Uncollectibles expense by Total Operating revenues less Uncollectibles Expense.  Resulting FF &amp; U</t>
  </si>
  <si>
    <t>Factors represent factors that, when applied to TRR without FF and U will correctly determine FF and U expense.</t>
  </si>
  <si>
    <t>3) Calculate in module 3 the weighted average FF and U factors from the factors in modules 1 and 2 based</t>
  </si>
  <si>
    <t>on the number of days each FF and U factor was in effect during the Prior Year at issue.</t>
  </si>
  <si>
    <t>Prior Year FF Factor:</t>
  </si>
  <si>
    <t>((L1 FF Factor * L1 Days) + (L2 FF Factor * L2 Days))/(L1+L2 Days)</t>
  </si>
  <si>
    <t>Prior Year  U Factor:</t>
  </si>
  <si>
    <t>((L3 U Factor * L3 Days) + (L4 U Factor * L4 Days))/(L3+L4 Days)</t>
  </si>
  <si>
    <t>CALCULATION OF SCE WHOLESALE HIGH AND LOW VOLTAGE TRRS</t>
  </si>
  <si>
    <t>TRR Values</t>
  </si>
  <si>
    <t xml:space="preserve"> = Wholesale Base TRR</t>
  </si>
  <si>
    <t xml:space="preserve"> = Total Wholesale TRBAA</t>
  </si>
  <si>
    <t xml:space="preserve"> = HV Wholesale TRBAA</t>
  </si>
  <si>
    <t xml:space="preserve"> = LV Wholesale TRBAA</t>
  </si>
  <si>
    <t xml:space="preserve"> = Total Standby Transmission Revenues</t>
  </si>
  <si>
    <t>SCE Retail Standby Rate Revenue</t>
  </si>
  <si>
    <t xml:space="preserve"> = HV Allocation Factor</t>
  </si>
  <si>
    <t xml:space="preserve"> = LV Allocation Factor</t>
  </si>
  <si>
    <t>Calculation of Total High Voltage and Low Voltage components of Wholesale TRR</t>
  </si>
  <si>
    <t>High</t>
  </si>
  <si>
    <t>Low</t>
  </si>
  <si>
    <t>TOTAL</t>
  </si>
  <si>
    <t>Voltage</t>
  </si>
  <si>
    <t>Wholesale Base TRR:</t>
  </si>
  <si>
    <t>CWIP Component of Wholesale Base TRR:</t>
  </si>
  <si>
    <t>Non-CWIP Component of Wholesale Base TRR:</t>
  </si>
  <si>
    <t>Wholesale TRBAA:</t>
  </si>
  <si>
    <t>Less Standby Transmission Revenues:</t>
  </si>
  <si>
    <t>Components of Wholesale</t>
  </si>
  <si>
    <t>Transmission Revenue Requirement:</t>
  </si>
  <si>
    <t xml:space="preserve">1) TRBAA is "Transmission Revenue Balancing Account Adjustment".  The TRBAA is determined pursuant to SCE's </t>
  </si>
  <si>
    <t>Transmission Owner Tariff and may be revised each January 1, upon commission acceptance of a revised TRBAA</t>
  </si>
  <si>
    <t>amount, or upon the date the Commission orders.</t>
  </si>
  <si>
    <t>2) From 33-RetailRates.  See Line:</t>
  </si>
  <si>
    <t>Line 17, column 3</t>
  </si>
  <si>
    <t>Calculation of SCE Wholesale Rates (See Note 1)</t>
  </si>
  <si>
    <t>SCE's wholesale rates are as follows:</t>
  </si>
  <si>
    <t>1) Low Voltage Access Charge</t>
  </si>
  <si>
    <t>2) High Voltage Utility-Specific Rate</t>
  </si>
  <si>
    <t>3) HV Existing Contracts Access Charge</t>
  </si>
  <si>
    <t>Calculation of Low Voltage Access Charge:</t>
  </si>
  <si>
    <t>LV TRR =</t>
  </si>
  <si>
    <t>Gross Load =</t>
  </si>
  <si>
    <t>MWh</t>
  </si>
  <si>
    <t>Low Voltage Access Charge =</t>
  </si>
  <si>
    <t>per kWh</t>
  </si>
  <si>
    <t>Calculation of High Voltage Utility Specific Rate:</t>
  </si>
  <si>
    <t>(used by ISO in billing of ISO TAC)</t>
  </si>
  <si>
    <t>SCE HV TRR =</t>
  </si>
  <si>
    <t>High Voltage Utility-Specific Rate =</t>
  </si>
  <si>
    <t>Calculation of High Voltage Existing Contracts Access Charge:</t>
  </si>
  <si>
    <t>HV Wholesale TRR =</t>
  </si>
  <si>
    <t>Sum of Monthly Peak Demands:</t>
  </si>
  <si>
    <t>MW</t>
  </si>
  <si>
    <t>HV Existing Contracts Access Charge:</t>
  </si>
  <si>
    <t>per kW</t>
  </si>
  <si>
    <t>1) SCE's wholesale rates are subject to revision upon acceptance by the Commission of a revised TRBAA</t>
  </si>
  <si>
    <t>amount.  See Note 1 on 29-WholesaleTRRs.</t>
  </si>
  <si>
    <t>Derivation of High Voltage and Low Voltage Gross Plant Percentages</t>
  </si>
  <si>
    <t>Determination of HV and LV Gross Plant Percentages for ISO Transmission Plant in accordance with ISO Tariff Appendix F, Schedule 3, Section 12.</t>
  </si>
  <si>
    <t>HV and LV Components of Total ISO Plant on Lines 2, 3, 7, 8, and 9 are</t>
  </si>
  <si>
    <t>A) Total ISO Plant from Prior Year</t>
  </si>
  <si>
    <t>from the Plant Study, performed pursuant to Section 9 of Appendix IX:</t>
  </si>
  <si>
    <t>Total ISO</t>
  </si>
  <si>
    <t>HV</t>
  </si>
  <si>
    <t>LV</t>
  </si>
  <si>
    <t>HV/LV</t>
  </si>
  <si>
    <t>Classification of Facility:</t>
  </si>
  <si>
    <t>Structures</t>
  </si>
  <si>
    <t>HV Land</t>
  </si>
  <si>
    <t>LV Land</t>
  </si>
  <si>
    <t>Transformers</t>
  </si>
  <si>
    <t>Lines:</t>
  </si>
  <si>
    <t>HV Transmission Lines</t>
  </si>
  <si>
    <t>LV Transmission Lines</t>
  </si>
  <si>
    <t>Total Transmission Lines (L2 + L3):</t>
  </si>
  <si>
    <t>Substations:</t>
  </si>
  <si>
    <t>HV Substations (&gt;= 200 kV)</t>
  </si>
  <si>
    <t>Straddle Subs (Cross 200 kV boundary):</t>
  </si>
  <si>
    <t>LV Substations (Less Than 200kV)</t>
  </si>
  <si>
    <t>Total all Substations (L7 + L8 + L9)</t>
  </si>
  <si>
    <t>Total Lines and Substations</t>
  </si>
  <si>
    <t>Gross Plant that can directly be determined to be HV or LV:</t>
  </si>
  <si>
    <t>From above Line 12</t>
  </si>
  <si>
    <t>Total Determined HV/LV:</t>
  </si>
  <si>
    <t>Sum of lines 18 and 19</t>
  </si>
  <si>
    <t>Gross Plant Percentages (Prior Year):</t>
  </si>
  <si>
    <t>Percent of Total</t>
  </si>
  <si>
    <t>Straddling Transformers</t>
  </si>
  <si>
    <t>Abandoned Plant (BOY)</t>
  </si>
  <si>
    <t>Total: 12-Abandoned Plant Line 2, HV: 12-Abandoned Plant Line 5, LV = Total - HV</t>
  </si>
  <si>
    <t>Total HV and LV Gross Plant for Prior Year</t>
  </si>
  <si>
    <t>B) Gross Plant Percentage for the Rate Year:</t>
  </si>
  <si>
    <t>In Service Additions in Rate Year:</t>
  </si>
  <si>
    <t>CWIP in Rate Year</t>
  </si>
  <si>
    <t>Total HV and LV Gross Plant for Rate Year</t>
  </si>
  <si>
    <t>HV and LV Gross Plant Percentages:</t>
  </si>
  <si>
    <t xml:space="preserve">(HV Allocation Factor and </t>
  </si>
  <si>
    <t>LV Allocation Factor)</t>
  </si>
  <si>
    <t>Calculation of Forecast Gross Load</t>
  </si>
  <si>
    <t>WP Schedule 32 Load &amp; Pump Load</t>
  </si>
  <si>
    <t>SCE Retail Sales at ISO Grid level:</t>
  </si>
  <si>
    <t>Pump Load forecast:</t>
  </si>
  <si>
    <t>Pump Load True-Up:</t>
  </si>
  <si>
    <t>Forecast Gross Load:</t>
  </si>
  <si>
    <t>Line 1 + Line 2 + Line 3</t>
  </si>
  <si>
    <t>Forecast 12-CP Retail Load:</t>
  </si>
  <si>
    <t>1) Latest SCE approved sales forecast as of April 15 of each year.</t>
  </si>
  <si>
    <t>2) SCE pump load forecast as of April 15 of each year.</t>
  </si>
  <si>
    <t>3) The load forecast used in Schedule 32 shall be for the calendar year in which the rates are to be in effect.</t>
  </si>
  <si>
    <t>4) The Pump Load True-Up value is equal to actual recorded less forecast Pump Load for the Prior Year.</t>
  </si>
  <si>
    <t>Calculation of SCE Retail Transmission Rates</t>
  </si>
  <si>
    <t>Retail Base TRR:</t>
  </si>
  <si>
    <t>1-BaseTRR WS, Line 86</t>
  </si>
  <si>
    <t>1) Derivation of "Total Demand Rate" and "Total Energy Rate":</t>
  </si>
  <si>
    <t>Sales Forecast Billing Determinants:</t>
  </si>
  <si>
    <t>Note 8</t>
  </si>
  <si>
    <t>= Retail Base TRR * Line1:Col1</t>
  </si>
  <si>
    <t>Sales Forecast (Not Including Backup)</t>
  </si>
  <si>
    <t>Sales Forecast (Backup)</t>
  </si>
  <si>
    <t>NEM Adjustment</t>
  </si>
  <si>
    <t>Applies to supplemental kW demand charges</t>
  </si>
  <si>
    <t>Applies to contracted standby kW demand charges</t>
  </si>
  <si>
    <t>= (Line1:Col3 + Line1:Col4) - Line1:Col5</t>
  </si>
  <si>
    <t>= Line1:Col2 / (Line1:Col8*10^6)</t>
  </si>
  <si>
    <t>= Line1:Col2 / ((Line1:Col6 + Line1:Col7)*10^3)</t>
  </si>
  <si>
    <t>Recorded Billing Determinants: to be applied to the Supplemental kW demand charges, and the Contracted Standby kW demand charges</t>
  </si>
  <si>
    <t>CPUC Rate Group</t>
  </si>
  <si>
    <t>12-CP factors</t>
  </si>
  <si>
    <t>Total Allocated costs</t>
  </si>
  <si>
    <t xml:space="preserve"> GWh</t>
  </si>
  <si>
    <t>Backup GWh</t>
  </si>
  <si>
    <t>NEM GWh</t>
  </si>
  <si>
    <t>Maximum demand - MW</t>
  </si>
  <si>
    <t>Standby demand - MW</t>
  </si>
  <si>
    <t>Billing Determinants with NEM Adjustment</t>
  </si>
  <si>
    <t>Total energy rate - $/kWh</t>
  </si>
  <si>
    <t>Total demand rate - $/kW-month</t>
  </si>
  <si>
    <t>GWh</t>
  </si>
  <si>
    <t>Domestic</t>
  </si>
  <si>
    <t>TOU-GS-1</t>
  </si>
  <si>
    <r>
      <t>1b</t>
    </r>
    <r>
      <rPr>
        <b/>
        <vertAlign val="subscript"/>
        <sz val="10"/>
        <rFont val="Arial"/>
        <family val="2"/>
      </rPr>
      <t>2</t>
    </r>
  </si>
  <si>
    <t xml:space="preserve">  TOU-GS-1 continued</t>
  </si>
  <si>
    <t>Notes 9,10</t>
  </si>
  <si>
    <t>1c</t>
  </si>
  <si>
    <t>TC-1</t>
  </si>
  <si>
    <t>1d</t>
  </si>
  <si>
    <t>TOU-GS-2</t>
  </si>
  <si>
    <t>1e</t>
  </si>
  <si>
    <t>TOU-GS-3</t>
  </si>
  <si>
    <t>1f</t>
  </si>
  <si>
    <t>TOU-8-SEC</t>
  </si>
  <si>
    <t>1g</t>
  </si>
  <si>
    <t>TOU-8-PRI</t>
  </si>
  <si>
    <t>1h</t>
  </si>
  <si>
    <t>TOU-8-SUB</t>
  </si>
  <si>
    <t>1i</t>
  </si>
  <si>
    <t>TOU-8-Standby-SEC</t>
  </si>
  <si>
    <t>1j</t>
  </si>
  <si>
    <t>TOU-8-Standby-PRI</t>
  </si>
  <si>
    <t>1k</t>
  </si>
  <si>
    <t>TOU-8-Standby-SUB</t>
  </si>
  <si>
    <t>1l</t>
  </si>
  <si>
    <t>TOU-PA-2</t>
  </si>
  <si>
    <t>1m</t>
  </si>
  <si>
    <t>TOU-PA-3</t>
  </si>
  <si>
    <t>1n</t>
  </si>
  <si>
    <t>Street Lighting</t>
  </si>
  <si>
    <t>1o</t>
  </si>
  <si>
    <r>
      <t>2) Determination of</t>
    </r>
    <r>
      <rPr>
        <b/>
        <strike/>
        <sz val="12"/>
        <rFont val="Arial"/>
        <family val="2"/>
      </rPr>
      <t xml:space="preserve"> </t>
    </r>
    <r>
      <rPr>
        <b/>
        <sz val="12"/>
        <rFont val="Arial"/>
        <family val="2"/>
      </rPr>
      <t>Demand Rates for Large Power (TOU-8) Rate Groups</t>
    </r>
  </si>
  <si>
    <t>from Line1:Col2</t>
  </si>
  <si>
    <t>from Line1:Col7</t>
  </si>
  <si>
    <t>= Col1 / Col2 / 10^3</t>
  </si>
  <si>
    <t>= Col 6 / (Col 7 * 10^3)</t>
  </si>
  <si>
    <r>
      <t>Standby</t>
    </r>
    <r>
      <rPr>
        <b/>
        <u/>
        <sz val="10"/>
        <rFont val="Arial"/>
        <family val="2"/>
      </rPr>
      <t xml:space="preserve"> </t>
    </r>
    <r>
      <rPr>
        <b/>
        <sz val="10"/>
        <rFont val="Arial"/>
        <family val="2"/>
      </rPr>
      <t>Allocated costs</t>
    </r>
  </si>
  <si>
    <t>Standby Demand - MW</t>
  </si>
  <si>
    <t>Contracted Standby Demand Charge $/kW</t>
  </si>
  <si>
    <t>Non-Standby Allocated Costs</t>
  </si>
  <si>
    <t>Sum of Standby and Non-Standby Demand</t>
  </si>
  <si>
    <t>Supplemental kW demand Charge $/kW</t>
  </si>
  <si>
    <t>9a</t>
  </si>
  <si>
    <t>9b</t>
  </si>
  <si>
    <t>9c</t>
  </si>
  <si>
    <t>9d</t>
  </si>
  <si>
    <t>3) End-User Transmission Rates</t>
  </si>
  <si>
    <t>= Col 2 + Col 3</t>
  </si>
  <si>
    <t>= Line1:Col2 - Line16:Col3</t>
  </si>
  <si>
    <t>= Line16:Col7 * Line1:Col7 *10^3</t>
  </si>
  <si>
    <t>= Line16:Col2 / (Line1:Col8 * 10^6)</t>
  </si>
  <si>
    <t>= Line16:Col2 / Line1:Col6 / 10^3</t>
  </si>
  <si>
    <t>from Line9:Col3</t>
  </si>
  <si>
    <t>= Line16:Col6 * 0.746</t>
  </si>
  <si>
    <t>= Line16:Col7 * 0.746</t>
  </si>
  <si>
    <t>Note 12</t>
  </si>
  <si>
    <t>Note 13</t>
  </si>
  <si>
    <t>Note 14</t>
  </si>
  <si>
    <t>Total Revenues</t>
  </si>
  <si>
    <t>Revenue associated with Supplemental Demand or Energy</t>
  </si>
  <si>
    <t>Standby Demand Revenue</t>
  </si>
  <si>
    <t>Energy Charge - $/kWh</t>
  </si>
  <si>
    <t>Supplemental Demand Charge - $/kW-month</t>
  </si>
  <si>
    <t>Contracted standby kW demand Charge - $/kW-month</t>
  </si>
  <si>
    <t>Supplemental Demand Charge - $/HP-month</t>
  </si>
  <si>
    <t>Contracted standby kW demand Charge - $/HP-month</t>
  </si>
  <si>
    <t>Transportation Electrification (TE) Energy Charge - $/kWh</t>
  </si>
  <si>
    <t>16a</t>
  </si>
  <si>
    <t>16b</t>
  </si>
  <si>
    <t>Note 15</t>
  </si>
  <si>
    <t>16c</t>
  </si>
  <si>
    <t>16d</t>
  </si>
  <si>
    <t>Note 16</t>
  </si>
  <si>
    <t>16e</t>
  </si>
  <si>
    <t>16f</t>
  </si>
  <si>
    <t>16g</t>
  </si>
  <si>
    <t>16h</t>
  </si>
  <si>
    <t>16i</t>
  </si>
  <si>
    <t>16j</t>
  </si>
  <si>
    <t>16k</t>
  </si>
  <si>
    <t>16l</t>
  </si>
  <si>
    <t>Note 17</t>
  </si>
  <si>
    <t>16m</t>
  </si>
  <si>
    <t>16n</t>
  </si>
  <si>
    <t>16o</t>
  </si>
  <si>
    <t>1) See Col 9 of Lines 35a, 35b, 35c, etc.</t>
  </si>
  <si>
    <t>2) Sales forecast in total Giga-watt hours usage, represents the customers' total annual GWh usage.  Based on same forecast as Gross Load forecast in Schedule 32, Line 1, but at customer meter level.</t>
  </si>
  <si>
    <t xml:space="preserve">    Does not include Backup GWh included in Column 4 (the sum of Column 3 and 4 equals total Sales Forecast).</t>
  </si>
  <si>
    <t>3) Backup GWh represents the amount of electric service that is provided by SCE to a customer who has an onsite generating facility during unscheduled outages of the customer’s on-site generator.</t>
  </si>
  <si>
    <t xml:space="preserve">    Only applies to TOU-8-Standby-SEC, TOU-8-Standby-PRI, TOU-8-Standby-SUB Rate Groups.</t>
  </si>
  <si>
    <t>4) Amount of energy included in the sales forecast that is not subject to transmission charges pursuant to the California Public Utilities Commission (“CPUC”) approved Net Energy Metering Program.</t>
  </si>
  <si>
    <t>5) Sales forecast pertaining to the sum of monthly maximum supplemental Mega-watt demand, applies to demand charge schedules</t>
  </si>
  <si>
    <t>6) Sales forecast pertaining to the sum of monthly contracted standby Mega-watt demand, applies to standby schedules</t>
  </si>
  <si>
    <t>7) Net Forecast in total Giga-watt hours usage - represents the customers' annual Net GWh, applicable to Non-Demand Charge Schedules such as Residential or Small General Service</t>
  </si>
  <si>
    <t>8) Recorded sales from Sample meters adjusted for population - use to set the total demand rate for the optional time-of-use schedules within the GS-1 rate group</t>
  </si>
  <si>
    <t>9) Line 1b2, Col11 = Line 1b Col9 * Line 1b Col11 * 10^6</t>
  </si>
  <si>
    <t>10) Total demand rate for the optional time-of-use schedules within the GS-1 rate group, Line 1b2:Col10 =  Line 1b2:Col12 ( which = Line 1b2:Col11  / ((Line1b:Col12 + Line1b:Col13) * 10^3)</t>
  </si>
  <si>
    <t>11) Sum of the TOU-8 Standby and TOU-8 Non-Standby billing determinants in Line1:Col6</t>
  </si>
  <si>
    <t>12) For TOU-8 Rates revenue = Supplemental Demand Charge on Line 9 Column 8 * Maximum Demand on Lines 1 Column 6</t>
  </si>
  <si>
    <r>
      <t>13) For optional time-of-use schedules within the GS-1 rate group (Line16b:Col6), = (Line1b</t>
    </r>
    <r>
      <rPr>
        <vertAlign val="subscript"/>
        <sz val="10"/>
        <rFont val="Arial"/>
        <family val="2"/>
      </rPr>
      <t>2</t>
    </r>
    <r>
      <rPr>
        <sz val="10"/>
        <rFont val="Arial"/>
        <family val="2"/>
      </rPr>
      <t>:Col11 - Line16:Col3) / Line1b:Col12 / 10^3</t>
    </r>
  </si>
  <si>
    <t>14) For the non TOU-8-Standby rate group, it is the minimum of Line16i:Col7, or the total demand rate in Line1:Col10</t>
  </si>
  <si>
    <t>15)  Applicable to time-of-use schedules within the GS-1 rate group</t>
  </si>
  <si>
    <t xml:space="preserve">16) Rates associated with Rate Groups GS-2 and TOU-GS-3 are calculated on a combined basis, so that the rate is the sum of the combined Revenue Associated with Supplemental Demand or Energy in </t>
  </si>
  <si>
    <t xml:space="preserve">      Column 2 (line 16d and 16e) divided by the sum of the sum of the Billing Determinants in Column 8 (Line 1d and 1e).</t>
  </si>
  <si>
    <t>17)  Applicable to the optional schedules that contain horse power charge such as PA-1</t>
  </si>
  <si>
    <t>18) GWh for TOU-8-Standby-SEC, TOU-8-Standby-PRI, TOU-8-Standby-SUB Rate Groups are placed in TOU-8-SEC, TOU-8-PRI, TOU-8-SUB Rate Groups respectively.</t>
  </si>
  <si>
    <t>Rate Schedules in each CPUC Rate Group:</t>
  </si>
  <si>
    <t>Rate Schedules included in Each Rate Group in the Rate Effective Period</t>
  </si>
  <si>
    <t>26a</t>
  </si>
  <si>
    <t>Includes Schedules D, D-CARE, D-FERA,TOU-D-T, TOU-EV-1, TOU-D-TEV, DE, D-SDP, D-SDP-O, DM, DMS-1, DMS-2, DMS-3, and DS.</t>
  </si>
  <si>
    <t>Domestic (con't)</t>
  </si>
  <si>
    <t>D (Option CPP), D-CARE (Option CPP), TOU-D-Option A, TOU-D-Option B, TOU-D-3, TOU-D-T-CPP, TOU-D (Options 4-9 PM, 5-8 PM, PRIME, and CPP)</t>
  </si>
  <si>
    <t>26b</t>
  </si>
  <si>
    <t>Includes Schedules GS-1, TOU-EV-3, TOU-EV-7 (Options D and E), and TOU-GS-1 (Options E, ES, D, LG, C, A, B, RTP, CPP, Standby, GS-APS, GS-APS-E, and ME).</t>
  </si>
  <si>
    <t>26c</t>
  </si>
  <si>
    <t>Includes Schedules TC-1, Wi-Fi-1, and WTR.</t>
  </si>
  <si>
    <t>26d</t>
  </si>
  <si>
    <t xml:space="preserve">Includes Schedules GS-2, TOU-EV-4, TOU-EV-8, and TOU-GS-2 (Options D, E, A, B, R, RTP, CPP, Standby, GS-APS, GS-APS-E, and ME). </t>
  </si>
  <si>
    <t>26e</t>
  </si>
  <si>
    <t>Includes Schedules TOU-GS-3-CPP, TOU-EV-8, and TOU-GS-3 (Options D, E, A, B, R, RTP, SOP, Standby, TOU-BIP, GS-APS, GS-APS-E, and ME).</t>
  </si>
  <si>
    <t>26f</t>
  </si>
  <si>
    <t>Includes Schedules TOU-8-CPP, TOU-8-RBU, TOU-EV-9, and TOU-8 (Options D, E, A, B, R, RTP, TOU-BIP, GS-APS, GS-APS-E, Backup-B, and ME).</t>
  </si>
  <si>
    <t>26g</t>
  </si>
  <si>
    <t>26h</t>
  </si>
  <si>
    <t>26i</t>
  </si>
  <si>
    <t>Includes Schedules TOU-8-Standby (Options D, LG, A, B, RTP, TOU-BIP, GS-APS, GS-APS-E, and ME).</t>
  </si>
  <si>
    <t>26j</t>
  </si>
  <si>
    <t>Includes Schedules TOU-8-Standby (Options D, LG, A, A2, B, RTP, TOU-BIP, GS-APS, GS-APS-E, and ME).</t>
  </si>
  <si>
    <t>26k</t>
  </si>
  <si>
    <t>26l</t>
  </si>
  <si>
    <t>Includes Schedules  PA-1, PA-2, TOU-PA-ICE, and TOU-PA-2 (Options D, E, 4-9 PM, 5-8 PM, A, B, RTP, SOP-1, SOP-2, CPP, Standby, and AP-I).</t>
  </si>
  <si>
    <t>26m</t>
  </si>
  <si>
    <t>Includes Schedules  TOU-PA-3-CPP, and TOU-PA-3 (Options D, E, 4-9 PM, 5-8 PM, A, B, RTP, SOP-1, SOP-2, Standby, and AP-I).</t>
  </si>
  <si>
    <t>26n</t>
  </si>
  <si>
    <t>Includes Schedules AL-2, AL-2-B, AL-2-F, DWL, LS-1, LS-2, LS-3, LS-3-B, and OL-1.</t>
  </si>
  <si>
    <t>26o</t>
  </si>
  <si>
    <t>Recorded 12-CP Load Data by Rate Group (MW)</t>
  </si>
  <si>
    <t>= Line35:(Col1+Col2+Col3)/3</t>
  </si>
  <si>
    <t>from Line1:Col3</t>
  </si>
  <si>
    <t>from Line1:Col4</t>
  </si>
  <si>
    <t>= Col 7 + Col 8</t>
  </si>
  <si>
    <t>= Line35:(Col4*Col5/Col6*Col9)</t>
  </si>
  <si>
    <t>= Line35:(Col10 / total of Col10)</t>
  </si>
  <si>
    <t>Note 18</t>
  </si>
  <si>
    <t>12-CP MW</t>
  </si>
  <si>
    <t>3-Year Average</t>
  </si>
  <si>
    <t>Line losses</t>
  </si>
  <si>
    <t>Recorded GWh (Average)</t>
  </si>
  <si>
    <t>Standby Adjusted Sales Forecast - GWh</t>
  </si>
  <si>
    <t>Total Sales Forecast - GWh</t>
  </si>
  <si>
    <t>Loss Adjusted Average 12-CP</t>
  </si>
  <si>
    <t>12-CP Allocation factors</t>
  </si>
  <si>
    <t>35b</t>
  </si>
  <si>
    <t>35c</t>
  </si>
  <si>
    <t>35d</t>
  </si>
  <si>
    <t>35e</t>
  </si>
  <si>
    <t>35f</t>
  </si>
  <si>
    <t>35g</t>
  </si>
  <si>
    <t>35h</t>
  </si>
  <si>
    <t>35i</t>
  </si>
  <si>
    <t>35j</t>
  </si>
  <si>
    <t>35k</t>
  </si>
  <si>
    <t>35l</t>
  </si>
  <si>
    <t>35m</t>
  </si>
  <si>
    <t>35n</t>
  </si>
  <si>
    <t>35o</t>
  </si>
  <si>
    <t>Determination of Unfunded Reserves</t>
  </si>
  <si>
    <t>WP Schedule 34 Unfunded Reserve and Wildfire</t>
  </si>
  <si>
    <t>Unfunded Reserves (EOY):</t>
  </si>
  <si>
    <t>(Line 17, Col 2)</t>
  </si>
  <si>
    <t>Unfunded Reserves (Average BOY/EOY):</t>
  </si>
  <si>
    <t>(Line 17, Col 3)</t>
  </si>
  <si>
    <t>Unfunded</t>
  </si>
  <si>
    <t>Reserves</t>
  </si>
  <si>
    <t>Provision for Injuries and Damages</t>
  </si>
  <si>
    <t>(Line 24)</t>
  </si>
  <si>
    <t>Provision for Vac/Sick Leave</t>
  </si>
  <si>
    <t>(Line 29)</t>
  </si>
  <si>
    <t>Provision for Supplemental Executive Retirement Plan</t>
  </si>
  <si>
    <t>(Line 36)</t>
  </si>
  <si>
    <t>(Line 14 + Line 15 + Line 16)</t>
  </si>
  <si>
    <t>Calculations</t>
  </si>
  <si>
    <t>BOY/EOY</t>
  </si>
  <si>
    <t>Injuries and Damages - See Note 1 and Note 2</t>
  </si>
  <si>
    <t>Company Records - Input (Negative)</t>
  </si>
  <si>
    <t>(27-Allocators, Line 9)</t>
  </si>
  <si>
    <t>ISO Transmission Rate Base Applicable</t>
  </si>
  <si>
    <t>(Line 22 x Line 23)</t>
  </si>
  <si>
    <t>Vacation Leave</t>
  </si>
  <si>
    <t>Vacation and Personal Time Accruals - Acct. 2350080</t>
  </si>
  <si>
    <t>(Line 27 x Line 28)</t>
  </si>
  <si>
    <t>Supplemental Executive Retirement Plan</t>
  </si>
  <si>
    <t>Times:</t>
  </si>
  <si>
    <t>Applicable Rate Base Percentage</t>
  </si>
  <si>
    <t>Sub-Total Supplemental Executive Retirement Plan</t>
  </si>
  <si>
    <t>(Line 32 x Line 33)</t>
  </si>
  <si>
    <t>(Line 34 x Line 35)</t>
  </si>
  <si>
    <t xml:space="preserve">1) Includes any Unfunded Reserves relating to accrued expenses included in Account 925 “Injuries and Damages”, </t>
  </si>
  <si>
    <t>reduced for any expected offsetting payments.</t>
  </si>
  <si>
    <t>2) No Unfunded Reserve shall be included in Schedule 34 associated with any wildfire other than the 2017/18 Wildfire/Mudslide Events.</t>
  </si>
  <si>
    <t>Associated costs for other wildfire events are reflected in Schedule 20 "A&amp;G" and recovered on a cash basis (see Instruction 6 of Schedule 20).</t>
  </si>
  <si>
    <t>WP Schedule 35 Other Formula Revenue</t>
  </si>
  <si>
    <t>Current SCE O&amp;M Services Formulas</t>
  </si>
  <si>
    <t xml:space="preserve">(1) </t>
  </si>
  <si>
    <t>ER21-1280 ("West of Devers Formula Rate")</t>
  </si>
  <si>
    <t xml:space="preserve">(2) </t>
  </si>
  <si>
    <t xml:space="preserve">(3) </t>
  </si>
  <si>
    <t>Revenues and Associated Native Accounts (Including O&amp;M, A&amp;G, Property Taxes, Payroll Taxes, and Revenue Credits)</t>
  </si>
  <si>
    <t>Formula #1</t>
  </si>
  <si>
    <t>Formula #2</t>
  </si>
  <si>
    <t>Formula #3</t>
  </si>
  <si>
    <t>1) Operations and Maintenance ("O&amp;M") Revenue</t>
  </si>
  <si>
    <t>Transmission NOIC</t>
  </si>
  <si>
    <t>Total O&amp;M Services Formula "O&amp;M" Revenue:</t>
  </si>
  <si>
    <t>2) Administrative and General ("A&amp;G") Revenue</t>
  </si>
  <si>
    <t>920 - A&amp;G Salaries</t>
  </si>
  <si>
    <t>921 - Office Supplies and Expenses</t>
  </si>
  <si>
    <t>922 - A&amp;G Expenses Transferred</t>
  </si>
  <si>
    <t>923 - Outside Services Employed</t>
  </si>
  <si>
    <t>924 - Property Insurance</t>
  </si>
  <si>
    <t>925 - Injuries and Damages</t>
  </si>
  <si>
    <t>926 - Employee Pensions and Benefits</t>
  </si>
  <si>
    <t>927 - Franchise Requirements</t>
  </si>
  <si>
    <t>928 - Regulatory Commission Expenses</t>
  </si>
  <si>
    <t>929 - Duplicate Charges</t>
  </si>
  <si>
    <t>930.1 - General Advertising Expense</t>
  </si>
  <si>
    <t>930.2 - Miscellaneous General Expense</t>
  </si>
  <si>
    <t>931 - Rents</t>
  </si>
  <si>
    <t>51a</t>
  </si>
  <si>
    <t>935.1 - Maintenance of Computer Hardware</t>
  </si>
  <si>
    <t>51b</t>
  </si>
  <si>
    <t>935.2 - Maintenance of Computer Software</t>
  </si>
  <si>
    <t>51c</t>
  </si>
  <si>
    <t>935.3 - Maintenance of Communication Equipment</t>
  </si>
  <si>
    <t>Total O&amp;M Services Formula "A&amp;G" Revenue:</t>
  </si>
  <si>
    <t>3) Property Taxes (Local Taxes)</t>
  </si>
  <si>
    <t>Total O&amp;M Services Formula "Property Tax" Revenue:</t>
  </si>
  <si>
    <t>4) Payroll Taxes</t>
  </si>
  <si>
    <t>Total O&amp;M Services Formula "Payroll Tax" Revenue:</t>
  </si>
  <si>
    <t>5) Revenue Credits</t>
  </si>
  <si>
    <t>General and Intangible</t>
  </si>
  <si>
    <t>True Up Adjustment (not included in native accounts)</t>
  </si>
  <si>
    <t>Cost Adjustment (not included in native accounts)</t>
  </si>
  <si>
    <t>Total O&amp;M Services Formula "Revenue Credit" Revenue:</t>
  </si>
  <si>
    <t>Total O&amp;M Services Formula Revenues (Each Formula):</t>
  </si>
  <si>
    <t>Total all O&amp;M Services Formula Revenues (all Formulas):</t>
  </si>
  <si>
    <t>Sum of Amounts on Line 75</t>
  </si>
  <si>
    <t>1) Do not populate this Schedule 35 with respect to WOD Formula Rate Revenues (pursuant to ER21-1280) for any Prior Year for which the</t>
  </si>
  <si>
    <t>Accounting Waiver granted by the Commission in that Docket was in effect.</t>
  </si>
  <si>
    <t>1) The amount of O&amp;M Services Formula revenue shown above is included in SCE's Annual FERC Form 1 as a credit</t>
  </si>
  <si>
    <t>to each respective native account.</t>
  </si>
  <si>
    <t xml:space="preserve">2) In each Annual Update of this Formula Rate, the amounts of revenue credited to SCE's FERC Form 1 expenses (as described </t>
  </si>
  <si>
    <t>in Note 1) will be reversed in determining of input amounts to this Formula Rate.</t>
  </si>
  <si>
    <t xml:space="preserve">3) The total amount of revenue from the above five expense categories will be 100% credited against the Base TRR and </t>
  </si>
  <si>
    <t>the True Up TRR.  See Schedule 1, Line 84a, and Schedule 4, Line 45a.</t>
  </si>
  <si>
    <r>
      <t>1) Amounts on Line</t>
    </r>
    <r>
      <rPr>
        <u/>
        <sz val="10"/>
        <color rgb="FFFF0000"/>
        <rFont val="Arial"/>
        <family val="2"/>
      </rPr>
      <t>s</t>
    </r>
    <r>
      <rPr>
        <sz val="10"/>
        <rFont val="Arial"/>
        <family val="2"/>
      </rPr>
      <t xml:space="preserve"> 13 </t>
    </r>
    <r>
      <rPr>
        <u/>
        <sz val="10"/>
        <color rgb="FFFF0000"/>
        <rFont val="Arial"/>
        <family val="2"/>
      </rPr>
      <t>and 14m</t>
    </r>
    <r>
      <rPr>
        <sz val="10"/>
        <rFont val="Arial"/>
        <family val="2"/>
      </rPr>
      <t xml:space="preserve"> from corresponding account Schedule 7, column 2.  </t>
    </r>
  </si>
  <si>
    <t>Substations, Land, and Lines on Lines 1-14</t>
  </si>
  <si>
    <t>Computer Hardware, Software, and Communication Equipment on Lines 14a to 14n</t>
  </si>
  <si>
    <r>
      <t>Amounts on Line</t>
    </r>
    <r>
      <rPr>
        <u/>
        <sz val="10"/>
        <color rgb="FFFF0000"/>
        <rFont val="Arial"/>
        <family val="2"/>
      </rPr>
      <t>s</t>
    </r>
    <r>
      <rPr>
        <sz val="10"/>
        <color rgb="FF000000"/>
        <rFont val="Arial"/>
        <family val="2"/>
      </rPr>
      <t xml:space="preserve"> 1 </t>
    </r>
    <r>
      <rPr>
        <u/>
        <sz val="10"/>
        <color rgb="FFFF0000"/>
        <rFont val="Arial"/>
        <family val="2"/>
      </rPr>
      <t>and 14a</t>
    </r>
    <r>
      <rPr>
        <sz val="10"/>
        <color rgb="FF000000"/>
        <rFont val="Arial"/>
        <family val="2"/>
      </rPr>
      <t xml:space="preserve"> must match corresponding account Schedule 7, Column 2 for previous year.</t>
    </r>
  </si>
  <si>
    <t>9) Amount on 13 less amount on Line 1 for each account.</t>
  </si>
  <si>
    <t>Sum of C2 to C11 (L 1 to 13) and C2 to C7 (L 14a to 14m)</t>
  </si>
  <si>
    <t>Sum C2 - C11 (L1 to 13) and C2-C7 (14a to 14n)</t>
  </si>
  <si>
    <t>See Note 2b regarding the TO2027 Annual Update Line 14o</t>
  </si>
  <si>
    <t>See Note 3b regarding January through November inputs (C2 to C7)</t>
  </si>
  <si>
    <t>a) Substations, Land, and Lines on Lines 1-14</t>
  </si>
  <si>
    <t>b) Computer Hardware, Software, and Communication Equipment on Lines 14a to 14n</t>
  </si>
  <si>
    <t>a) Substations, Land, and Lines on Lines 28-40</t>
  </si>
  <si>
    <t>b) Transmission Function Balances for Computer Hardware, Software, and Communication Equipment on Lines 28a-40a</t>
  </si>
  <si>
    <r>
      <t>7) Calculation of change in Non-Incentive ISO Plant (</t>
    </r>
    <r>
      <rPr>
        <b/>
        <u/>
        <sz val="10"/>
        <color rgb="FFFF0000"/>
        <rFont val="Arial"/>
        <family val="2"/>
      </rPr>
      <t>not including 351.1, 351.2, or 351.3)</t>
    </r>
    <r>
      <rPr>
        <b/>
        <sz val="10"/>
        <rFont val="Arial"/>
        <family val="2"/>
      </rPr>
      <t>:</t>
    </r>
  </si>
  <si>
    <r>
      <t>The amounts for each month on the remaining lines</t>
    </r>
    <r>
      <rPr>
        <sz val="10"/>
        <color rgb="FFFF0000"/>
        <rFont val="Arial"/>
        <family val="2"/>
      </rPr>
      <t xml:space="preserve"> 2-12 </t>
    </r>
    <r>
      <rPr>
        <sz val="10"/>
        <rFont val="Arial"/>
        <family val="2"/>
      </rPr>
      <t>are calculated by summing the following values:</t>
    </r>
  </si>
  <si>
    <r>
      <t>21</t>
    </r>
    <r>
      <rPr>
        <b/>
        <u/>
        <sz val="10"/>
        <color rgb="FFFF0000"/>
        <rFont val="Arial"/>
        <family val="2"/>
      </rPr>
      <t>a</t>
    </r>
  </si>
  <si>
    <t>21h</t>
  </si>
  <si>
    <t>Substations, Land, and Lines</t>
  </si>
  <si>
    <t>7-PlantStudy Lines 21c and 21e (Col. 1) for Columns 2 and 7</t>
  </si>
  <si>
    <t>For Line 40a, ∑ C3 to C6 = 7-Plant Study L 21d, Col. 1</t>
  </si>
  <si>
    <r>
      <t xml:space="preserve">1) Amounts on Line 13 </t>
    </r>
    <r>
      <rPr>
        <u/>
        <sz val="10"/>
        <color rgb="FFFF0000"/>
        <rFont val="Arial"/>
        <family val="2"/>
      </rPr>
      <t>and 14m</t>
    </r>
    <r>
      <rPr>
        <sz val="10"/>
        <color rgb="FF000000"/>
        <rFont val="Arial"/>
        <family val="2"/>
      </rPr>
      <t xml:space="preserve"> based on current year Plant Study.  Amounts on Line</t>
    </r>
    <r>
      <rPr>
        <u/>
        <sz val="10"/>
        <color rgb="FFFF0000"/>
        <rFont val="Arial"/>
        <family val="2"/>
      </rPr>
      <t xml:space="preserve">s </t>
    </r>
    <r>
      <rPr>
        <sz val="10"/>
        <color rgb="FF000000"/>
        <rFont val="Arial"/>
        <family val="2"/>
      </rPr>
      <t xml:space="preserve">1 </t>
    </r>
    <r>
      <rPr>
        <u/>
        <sz val="10"/>
        <color rgb="FFFF0000"/>
        <rFont val="Arial"/>
        <family val="2"/>
      </rPr>
      <t>and 14a</t>
    </r>
    <r>
      <rPr>
        <sz val="10"/>
        <color rgb="FF000000"/>
        <rFont val="Arial"/>
        <family val="2"/>
      </rPr>
      <t xml:space="preserve"> shall be based on previous year Plant Study, and </t>
    </r>
  </si>
  <si>
    <t>8-AccDep, Line 14m, Col. 8</t>
  </si>
  <si>
    <t>6-PlantInService, Line 14m, Col. 8</t>
  </si>
  <si>
    <t>6-PlantInService, Line 16, Col. 5</t>
  </si>
  <si>
    <t>8-AccDep, Line 16, Col. 5</t>
  </si>
  <si>
    <t>8-AccDep, Line 14n, Col. 8</t>
  </si>
  <si>
    <t>Total Subs, Land &amp; Lines</t>
  </si>
  <si>
    <t>as of January 1, 2025.</t>
  </si>
  <si>
    <t>ISO for each month</t>
  </si>
  <si>
    <t>"Total All" in Column 8 is total Transmission Plant -</t>
  </si>
  <si>
    <t xml:space="preserve">= sum of the monthly amounts for each account </t>
  </si>
  <si>
    <t>from Lines 1 to 14m for each month</t>
  </si>
  <si>
    <t>C3 = C2 / C1</t>
  </si>
  <si>
    <t>Schedule 6, Plant in Service Lines 14a - 14m</t>
  </si>
  <si>
    <t>Note</t>
  </si>
  <si>
    <t xml:space="preserve">Month Total = sum of all accounts </t>
  </si>
  <si>
    <t>Lines 24-35 and 38d-38o</t>
  </si>
  <si>
    <t>4) Beginning January 1, 2025, Line 51a to 51c added for new FERC Accounts 935.1 to 935.3 established pursuant to FERC Order 898.</t>
  </si>
  <si>
    <r>
      <t xml:space="preserve">935 - Maintenance of General Plant </t>
    </r>
    <r>
      <rPr>
        <u/>
        <sz val="10"/>
        <color rgb="FFFF0000"/>
        <rFont val="Arial"/>
        <family val="2"/>
      </rPr>
      <t>(Note 4)</t>
    </r>
  </si>
  <si>
    <t>=Sum C2 to C11</t>
  </si>
  <si>
    <r>
      <t>Line 38q</t>
    </r>
    <r>
      <rPr>
        <strike/>
        <sz val="10"/>
        <color rgb="FFFF0000"/>
        <rFont val="Arial"/>
        <family val="2"/>
      </rPr>
      <t>, Col 12</t>
    </r>
  </si>
  <si>
    <r>
      <t>14</t>
    </r>
    <r>
      <rPr>
        <b/>
        <u/>
        <sz val="10"/>
        <color rgb="FFFF0000"/>
        <rFont val="Arial"/>
        <family val="2"/>
      </rPr>
      <t>a</t>
    </r>
  </si>
  <si>
    <t>Sum of Line 14n, Col. 8 and Line 17, Col. 5</t>
  </si>
  <si>
    <t>Sum of Line 14m, Col. 8 and Line 16, Col. 5</t>
  </si>
  <si>
    <r>
      <t>C) Change in Non-Incentive ISO Plant (</t>
    </r>
    <r>
      <rPr>
        <u/>
        <sz val="10"/>
        <color rgb="FFFF0000"/>
        <rFont val="Arial"/>
        <family val="2"/>
      </rPr>
      <t>not including 351.1, 351.2, or 351.3)</t>
    </r>
    <r>
      <rPr>
        <sz val="10"/>
        <rFont val="Arial"/>
        <family val="2"/>
      </rPr>
      <t xml:space="preserve"> (See Note 11)</t>
    </r>
  </si>
  <si>
    <r>
      <t xml:space="preserve">8) Other ISO Transmission Activity without Incentive Plant Activity </t>
    </r>
    <r>
      <rPr>
        <b/>
        <u/>
        <sz val="10"/>
        <color rgb="FFFF0000"/>
        <rFont val="Arial"/>
        <family val="2"/>
      </rPr>
      <t>(not including 351.1, 351.2, or 351.3)</t>
    </r>
    <r>
      <rPr>
        <b/>
        <sz val="10"/>
        <rFont val="Arial"/>
        <family val="2"/>
      </rPr>
      <t xml:space="preserve"> (See Note 12):</t>
    </r>
  </si>
  <si>
    <t xml:space="preserve">The amounts for each month on the remaining lines 14b to 14m are calculated by multiplying monthly Transmission Function Balance (Lines 29a-40a) by </t>
  </si>
  <si>
    <t xml:space="preserve"> amounts on lines 14o and 18 (columns 4 and 5) to remove from December 2024 balances the amounts subsequently transferred out of Depreciation Reserve</t>
  </si>
  <si>
    <r>
      <t>7-PlantStudy, Line 21</t>
    </r>
    <r>
      <rPr>
        <strike/>
        <sz val="10"/>
        <color rgb="FFFF0000"/>
        <rFont val="Arial"/>
        <family val="2"/>
      </rPr>
      <t>a</t>
    </r>
    <r>
      <rPr>
        <u/>
        <sz val="10"/>
        <color rgb="FFFF0000"/>
        <rFont val="Arial"/>
        <family val="2"/>
      </rPr>
      <t>h, Col. 2</t>
    </r>
  </si>
  <si>
    <t>Other Formula Revenue -- Revenue Received Pursuant to Commission-Approved O&amp;M Services Formulas</t>
  </si>
  <si>
    <r>
      <t>C3 = C2 / C1</t>
    </r>
    <r>
      <rPr>
        <sz val="10"/>
        <color rgb="FFFF0000"/>
        <rFont val="Arial"/>
        <family val="2"/>
      </rPr>
      <t>,</t>
    </r>
    <r>
      <rPr>
        <sz val="10"/>
        <rFont val="Arial"/>
        <family val="2"/>
      </rPr>
      <t xml:space="preserve"> Note 1</t>
    </r>
  </si>
  <si>
    <t>3) Non-Transmission Depreciation Rates (Lines 12-48) are as approved in  Docket No.:</t>
  </si>
  <si>
    <t>2) Transmission Depreciation rates (Line 1-10) are as approved in Docket No.:</t>
  </si>
  <si>
    <t>Column 1</t>
  </si>
  <si>
    <t>Computer Hardware, Software &amp; Communication Equipment (351 Accounts)</t>
  </si>
  <si>
    <t>Total 351 Accounts</t>
  </si>
  <si>
    <t>Total All Transmission</t>
  </si>
  <si>
    <r>
      <t>Notes</t>
    </r>
    <r>
      <rPr>
        <b/>
        <sz val="10"/>
        <color rgb="FFFF0000"/>
        <rFont val="Arial"/>
        <family val="2"/>
      </rPr>
      <t>/Calcs.</t>
    </r>
  </si>
  <si>
    <t>Notes/Calcs</t>
  </si>
  <si>
    <t>Note 1 re Lines 1 to 14m</t>
  </si>
  <si>
    <t xml:space="preserve">Previous Annual Update, Line 14m. </t>
  </si>
  <si>
    <t>See Note 3a re TO2027 value</t>
  </si>
  <si>
    <r>
      <t xml:space="preserve">Balances for Transmission Plant - ISO during the Prior Year, including December of previous year (See Note 1 </t>
    </r>
    <r>
      <rPr>
        <u/>
        <sz val="10"/>
        <color rgb="FFFF0000"/>
        <rFont val="Arial"/>
        <family val="2"/>
      </rPr>
      <t>for Lines 1-14m</t>
    </r>
    <r>
      <rPr>
        <sz val="10"/>
        <rFont val="Arial"/>
        <family val="2"/>
      </rPr>
      <t>):</t>
    </r>
  </si>
  <si>
    <t>3) Total Computer Hardware, Software, and Communications Equipment is in Column 1, and ISO portion is in Column 2.</t>
  </si>
  <si>
    <t xml:space="preserve">Col. 3 is the "SL&amp;L Plant </t>
  </si>
  <si>
    <t xml:space="preserve">ISO Percent" </t>
  </si>
  <si>
    <t>= C1 * SL&amp;L Plant ISO Percent (L 21a)</t>
  </si>
  <si>
    <t xml:space="preserve"> = L 21c+L 21d+L 21e</t>
  </si>
  <si>
    <t>= L 21a+L 21f</t>
  </si>
  <si>
    <t xml:space="preserve">4) Total All Transmission Plant is in Column 1.  Total ISO Transmission is in Column 2.  </t>
  </si>
  <si>
    <t xml:space="preserve">Lines 21c to 21e Col. 2 Transmission Plant-ISO is calculated pursuant to the Col. 2 direction. </t>
  </si>
  <si>
    <t>the SL&amp;L Plant ISO Percent (Schedule 7, Column 3, Line 21a).</t>
  </si>
  <si>
    <t xml:space="preserve">2a) In order to align with accounting changes pursuant to FERC Order 898 which went into effect on January 1, 2025, in calculating 2025 costs SCE will make an adjustment </t>
  </si>
  <si>
    <t>use values that would have been in Accounts 351.1, 351.2, and 351.3 had Order 898 been in effect in 2024.</t>
  </si>
  <si>
    <t xml:space="preserve">3b) Monthly amounts for Accounts 351.1, 351.2, and 351.3 are from SCE records. </t>
  </si>
  <si>
    <t>the SL&amp;L Plant ISO Percent (Schedule 7, Line 21a, Column 3).</t>
  </si>
  <si>
    <r>
      <t>1) Depreciation rates on lines 17a-17</t>
    </r>
    <r>
      <rPr>
        <u/>
        <sz val="10"/>
        <color rgb="FFFF0000"/>
        <rFont val="Arial"/>
        <family val="2"/>
      </rPr>
      <t>aa</t>
    </r>
    <r>
      <rPr>
        <sz val="10"/>
        <rFont val="Arial"/>
        <family val="2"/>
      </rPr>
      <t xml:space="preserve"> are input based on the stated values of ISO Transmission Plant depreciation rates from Schedule 18 of</t>
    </r>
  </si>
  <si>
    <t>and 935.3 on Line 51.</t>
  </si>
  <si>
    <t>Each amount in Columns 1-7, Lines 14b to 14m</t>
  </si>
  <si>
    <t xml:space="preserve">is the product of the corresponding amounts on </t>
  </si>
  <si>
    <t>Lines 29a to 40a times the "SL&amp;L Plant ISO</t>
  </si>
  <si>
    <t>Percent", Line 21a, Column 3, Schedule 7.</t>
  </si>
  <si>
    <t>a4</t>
  </si>
  <si>
    <t>78a</t>
  </si>
  <si>
    <t>78b</t>
  </si>
  <si>
    <t>78c</t>
  </si>
  <si>
    <t>78d</t>
  </si>
  <si>
    <t>78e</t>
  </si>
  <si>
    <t>78f</t>
  </si>
  <si>
    <t>18 Dep Rates L2a</t>
  </si>
  <si>
    <t>18 Dep Rates L2b</t>
  </si>
  <si>
    <t>18 Dep Rates L2c</t>
  </si>
  <si>
    <t>18 Dep Rates L2d</t>
  </si>
  <si>
    <t>18 Dep Rates L2e</t>
  </si>
  <si>
    <t>18 Dep Rates L2f</t>
  </si>
  <si>
    <t xml:space="preserve">In the event that Formula #1 does not disaggregate  amounts in Col. 1, include full amount  for 935, 935.1, 935.2, </t>
  </si>
  <si>
    <t>Order 898 Formula Spreadsheet Unpopulated Working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</si>
</sst>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quot;$&quot;#,##0.00"/>
    <numFmt numFmtId="167" formatCode="_(* #,##0_);_(* \(#,##0\);_(* &quot;-&quot;??_);_(@_)"/>
    <numFmt numFmtId="168" formatCode="0.000%"/>
    <numFmt numFmtId="169" formatCode="&quot;$&quot;#,##0.0000000"/>
    <numFmt numFmtId="170" formatCode="0.000"/>
    <numFmt numFmtId="171" formatCode="0.0%"/>
    <numFmt numFmtId="172" formatCode="0.00000%"/>
    <numFmt numFmtId="173" formatCode="&quot;$&quot;#,##0.00000"/>
    <numFmt numFmtId="174" formatCode="0.0000"/>
    <numFmt numFmtId="175" formatCode="_(&quot;$&quot;* #,##0.00_);_(&quot;$&quot;* \(#,##0.00\);_(&quot;$&quot;* &quot;-&quot;_);_(@_)"/>
    <numFmt numFmtId="176" formatCode="_-* #,##0.00\ _D_M_-;\-* #,##0.00\ _D_M_-;_-* &quot;-&quot;??\ _D_M_-;_-@_-"/>
    <numFmt numFmtId="177" formatCode="_-* #,##0\ _D_M_-;\-* #,##0\ _D_M_-;_-* &quot;-&quot;??\ _D_M_-;_-@_-"/>
    <numFmt numFmtId="178" formatCode="_(&quot;$&quot;* #,##0_);_(&quot;$&quot;* \(#,##0\);_(&quot;$&quot;* &quot;-&quot;??_);_(@_)"/>
    <numFmt numFmtId="179" formatCode="#,##0.0_);[Red]\(#,##0.0\)"/>
    <numFmt numFmtId="180" formatCode="&quot;$&quot;#,##0.000000"/>
    <numFmt numFmtId="181" formatCode="0_);\(0\)"/>
    <numFmt numFmtId="182" formatCode="[$-409]mmm\-yy;@"/>
    <numFmt numFmtId="183" formatCode="[$-409]mmmm\ d\,\ yyyy;@"/>
    <numFmt numFmtId="184" formatCode="[$-409]d\-mmm;@"/>
    <numFmt numFmtId="185" formatCode="_([$€-2]* #,##0.00_);_([$€-2]* \(#,##0.00\);_([$€-2]* &quot;-&quot;??_)"/>
    <numFmt numFmtId="186" formatCode="0.000000"/>
    <numFmt numFmtId="187" formatCode="[$-409]d\-mmm\-yy;@"/>
    <numFmt numFmtId="188" formatCode="m\-d\-yy"/>
    <numFmt numFmtId="189" formatCode="yymmmmdd"/>
    <numFmt numFmtId="190" formatCode="0.0%;;"/>
    <numFmt numFmtId="191" formatCode="0.000\ \¢"/>
    <numFmt numFmtId="192" formatCode="&quot;$&quot;.00;;"/>
    <numFmt numFmtId="193" formatCode="_-* #,##0.00\ &quot;DM&quot;_-;\-* #,##0.00\ &quot;DM&quot;_-;_-* &quot;-&quot;??\ &quot;DM&quot;_-;_-@_-"/>
    <numFmt numFmtId="194" formatCode="&quot;$&quot;#,##0.00;\-&quot;$&quot;#,##0.00"/>
    <numFmt numFmtId="195" formatCode="_-* #,##0.0_-;\-* #,##0.0_-;_-* &quot;-&quot;??_-;_-@_-"/>
    <numFmt numFmtId="196" formatCode="General_)"/>
    <numFmt numFmtId="197" formatCode="#,##0.00&quot; $&quot;;\-#,##0.00&quot; $&quot;"/>
    <numFmt numFmtId="198" formatCode=";;;"/>
    <numFmt numFmtId="199" formatCode="#,##0;;"/>
    <numFmt numFmtId="200" formatCode="0.00_)"/>
    <numFmt numFmtId="201" formatCode="&quot;$&quot;#,##0_);[Red]\(&quot;$&quot;#,##0\);&quot;-&quot;???"/>
    <numFmt numFmtId="202" formatCode="[$-409]mmmm\-yy;@"/>
    <numFmt numFmtId="203" formatCode="0.0"/>
    <numFmt numFmtId="204" formatCode="0.0%_);[Red]\(0.0%\)"/>
    <numFmt numFmtId="205" formatCode="mm/dd/yy"/>
    <numFmt numFmtId="206" formatCode="0.00000000%"/>
    <numFmt numFmtId="207" formatCode="mmm\ d\,\ yyyy"/>
    <numFmt numFmtId="208" formatCode="m/d/yy;@"/>
    <numFmt numFmtId="209" formatCode="&quot;$&quot;#,##0;[Red]&quot;$&quot;#,##0"/>
    <numFmt numFmtId="210" formatCode="0.0000000000000000000%"/>
  </numFmts>
  <fonts count="1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b/>
      <sz val="10"/>
      <color indexed="13"/>
      <name val="Arial"/>
      <family val="2"/>
    </font>
    <font>
      <sz val="10"/>
      <color indexed="13"/>
      <name val="Arial"/>
      <family val="2"/>
    </font>
    <font>
      <u/>
      <sz val="10"/>
      <name val="Arial"/>
      <family val="2"/>
    </font>
    <font>
      <u/>
      <sz val="10"/>
      <color indexed="12"/>
      <name val="Arial"/>
      <family val="2"/>
    </font>
    <font>
      <sz val="8"/>
      <name val="Times New Roman"/>
      <family val="1"/>
    </font>
    <font>
      <sz val="10"/>
      <name val="Calibri"/>
      <family val="2"/>
    </font>
    <font>
      <b/>
      <sz val="10"/>
      <name val="Calibri"/>
      <family val="2"/>
    </font>
    <font>
      <sz val="9"/>
      <name val="Arial"/>
      <family val="2"/>
    </font>
    <font>
      <u/>
      <sz val="9"/>
      <name val="Arial"/>
      <family val="2"/>
    </font>
    <font>
      <u val="singleAccounting"/>
      <sz val="10"/>
      <name val="Arial"/>
      <family val="2"/>
    </font>
    <font>
      <i/>
      <sz val="10"/>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vertAlign val="subscript"/>
      <sz val="10"/>
      <name val="Arial"/>
      <family val="2"/>
    </font>
    <font>
      <b/>
      <sz val="16"/>
      <name val="Arial"/>
      <family val="2"/>
    </font>
    <font>
      <b/>
      <sz val="11"/>
      <color theme="1"/>
      <name val="Calibri"/>
      <family val="2"/>
      <scheme val="minor"/>
    </font>
    <font>
      <sz val="10"/>
      <color rgb="FFFF0000"/>
      <name val="Arial"/>
      <family val="2"/>
    </font>
    <font>
      <sz val="10"/>
      <color theme="1"/>
      <name val="Arial"/>
      <family val="2"/>
    </font>
    <font>
      <b/>
      <sz val="10"/>
      <color theme="1"/>
      <name val="Arial"/>
      <family val="2"/>
    </font>
    <font>
      <b/>
      <u/>
      <sz val="10"/>
      <color theme="1"/>
      <name val="Arial"/>
      <family val="2"/>
    </font>
    <font>
      <b/>
      <u/>
      <sz val="11"/>
      <color theme="1"/>
      <name val="Calibri"/>
      <family val="2"/>
      <scheme val="minor"/>
    </font>
    <font>
      <b/>
      <sz val="10"/>
      <color rgb="FFFF0000"/>
      <name val="Arial"/>
      <family val="2"/>
    </font>
    <font>
      <u/>
      <sz val="10"/>
      <color theme="1"/>
      <name val="Arial"/>
      <family val="2"/>
    </font>
    <font>
      <b/>
      <sz val="11"/>
      <name val="Calibri"/>
      <family val="2"/>
      <scheme val="minor"/>
    </font>
    <font>
      <sz val="10"/>
      <color theme="1"/>
      <name val="Calibri"/>
      <family val="2"/>
      <scheme val="minor"/>
    </font>
    <font>
      <b/>
      <i/>
      <sz val="10"/>
      <name val="Arial"/>
      <family val="2"/>
    </font>
    <font>
      <sz val="10"/>
      <name val="Arial"/>
      <family val="2"/>
    </font>
    <font>
      <strike/>
      <sz val="10"/>
      <name val="Arial"/>
      <family val="2"/>
    </font>
    <font>
      <sz val="10"/>
      <color rgb="FF000000"/>
      <name val="Arial"/>
      <family val="2"/>
    </font>
    <font>
      <sz val="12"/>
      <name val="Times New Roman"/>
      <family val="1"/>
    </font>
    <font>
      <b/>
      <sz val="20"/>
      <name val="Arial"/>
      <family val="2"/>
    </font>
    <font>
      <b/>
      <sz val="12"/>
      <name val="Arial"/>
      <family val="2"/>
    </font>
    <font>
      <vertAlign val="subscript"/>
      <sz val="10"/>
      <name val="Arial"/>
      <family val="2"/>
    </font>
    <font>
      <u/>
      <sz val="10"/>
      <color rgb="FFFF0000"/>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strike/>
      <sz val="10"/>
      <color rgb="FFFF0000"/>
      <name val="Arial"/>
      <family val="2"/>
    </font>
    <font>
      <b/>
      <strike/>
      <sz val="12"/>
      <name val="Arial"/>
      <family val="2"/>
    </font>
    <font>
      <b/>
      <strike/>
      <u/>
      <sz val="10"/>
      <color rgb="FFFF0000"/>
      <name val="Arial"/>
      <family val="2"/>
    </font>
    <font>
      <b/>
      <strike/>
      <sz val="10"/>
      <color rgb="FFFF0000"/>
      <name val="Arial"/>
      <family val="2"/>
    </font>
    <font>
      <b/>
      <sz val="18"/>
      <name val="Arial"/>
      <family val="2"/>
    </font>
    <font>
      <b/>
      <u/>
      <sz val="10"/>
      <color rgb="FFFF0000"/>
      <name val="Arial"/>
      <family val="2"/>
    </font>
    <font>
      <u/>
      <sz val="10"/>
      <color theme="1"/>
      <name val="Calibri"/>
      <family val="2"/>
      <scheme val="minor"/>
    </font>
    <font>
      <sz val="10"/>
      <name val="Arial"/>
      <family val="2"/>
    </font>
    <font>
      <b/>
      <u val="singleAccounting"/>
      <sz val="10"/>
      <color theme="1"/>
      <name val="Arial"/>
      <family val="2"/>
    </font>
    <font>
      <b/>
      <i/>
      <u/>
      <sz val="10"/>
      <color theme="1"/>
      <name val="Arial"/>
      <family val="2"/>
    </font>
    <font>
      <b/>
      <i/>
      <sz val="10"/>
      <color theme="1"/>
      <name val="Arial"/>
      <family val="2"/>
    </font>
    <font>
      <i/>
      <sz val="10"/>
      <color theme="1"/>
      <name val="Arial"/>
      <family val="2"/>
    </font>
    <font>
      <sz val="10"/>
      <color indexed="23"/>
      <name val="Times New Roman"/>
      <family val="1"/>
    </font>
    <font>
      <sz val="10"/>
      <color rgb="FF00B050"/>
      <name val="Arial"/>
      <family val="2"/>
    </font>
    <font>
      <sz val="10"/>
      <name val="Calibri"/>
      <family val="2"/>
      <scheme val="minor"/>
    </font>
    <font>
      <b/>
      <strike/>
      <sz val="10"/>
      <name val="Arial"/>
      <family val="2"/>
    </font>
    <font>
      <u val="singleAccounting"/>
      <sz val="10"/>
      <color rgb="FFFF0000"/>
      <name val="Arial"/>
      <family val="2"/>
    </font>
    <font>
      <sz val="11"/>
      <name val="Calibri"/>
      <family val="2"/>
      <scheme val="minor"/>
    </font>
    <font>
      <b/>
      <sz val="10"/>
      <color theme="1"/>
      <name val="Times New Roman"/>
      <family val="1"/>
    </font>
    <font>
      <b/>
      <i/>
      <sz val="8"/>
      <name val="Arial"/>
      <family val="2"/>
    </font>
    <font>
      <strike/>
      <u/>
      <sz val="10"/>
      <color rgb="FFFF0000"/>
      <name val="Arial"/>
      <family val="2"/>
    </font>
    <font>
      <sz val="11"/>
      <color theme="1"/>
      <name val="Arial"/>
      <family val="2"/>
    </font>
    <font>
      <sz val="10"/>
      <color theme="9"/>
      <name val="Arial"/>
      <family val="2"/>
    </font>
    <font>
      <sz val="10"/>
      <color rgb="FFEE0000"/>
      <name val="Arial"/>
      <family val="2"/>
    </font>
    <font>
      <u/>
      <sz val="10"/>
      <color rgb="FFEE0000"/>
      <name val="Arial"/>
      <family val="2"/>
    </font>
    <font>
      <u/>
      <sz val="10"/>
      <name val="Calibri"/>
      <family val="2"/>
    </font>
    <font>
      <b/>
      <u val="singleAccounting"/>
      <sz val="10"/>
      <color rgb="FFFF0000"/>
      <name val="Arial"/>
      <family val="2"/>
    </font>
    <font>
      <sz val="8"/>
      <name val="Arial"/>
      <family val="2"/>
    </font>
    <font>
      <b/>
      <sz val="10"/>
      <name val="Arial"/>
      <family val="2"/>
    </font>
    <font>
      <sz val="11"/>
      <color rgb="FF000000"/>
      <name val="Aptos Narrow"/>
      <family val="2"/>
    </font>
    <font>
      <sz val="10"/>
      <color rgb="FFFF0000"/>
      <name val="Arial"/>
      <family val="2"/>
    </font>
    <font>
      <sz val="10"/>
      <color rgb="FFFF0000"/>
      <name val="Calibri"/>
      <family val="2"/>
    </font>
    <font>
      <strike/>
      <u val="singleAccounting"/>
      <sz val="10"/>
      <color rgb="FFFF0000"/>
      <name val="Arial"/>
      <family val="2"/>
    </font>
    <font>
      <sz val="10"/>
      <name val="Aptos Narrow"/>
      <family val="2"/>
    </font>
    <font>
      <b/>
      <sz val="18"/>
      <color rgb="FFFF0000"/>
      <name val="Arial"/>
      <family val="2"/>
    </font>
  </fonts>
  <fills count="114">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indexed="8"/>
        <bgColor indexed="64"/>
      </patternFill>
    </fill>
    <fill>
      <patternFill patternType="solid">
        <fgColor rgb="FFFFFF0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FFFF00"/>
        <bgColor rgb="FF000000"/>
      </patternFill>
    </fill>
  </fills>
  <borders count="6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s>
  <cellStyleXfs count="53898">
    <xf numFmtId="0" fontId="0" fillId="0" borderId="0"/>
    <xf numFmtId="0" fontId="38" fillId="8" borderId="0" applyNumberFormat="0" applyBorder="0" applyAlignment="0" applyProtection="0"/>
    <xf numFmtId="0" fontId="38" fillId="9" borderId="0" applyNumberFormat="0" applyBorder="0" applyAlignment="0" applyProtection="0"/>
    <xf numFmtId="0" fontId="39" fillId="10"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9" fillId="14"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9" fillId="18"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9" fillId="18"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20" borderId="0" applyNumberFormat="0" applyBorder="0" applyAlignment="0" applyProtection="0"/>
    <xf numFmtId="0" fontId="38" fillId="13" borderId="0" applyNumberFormat="0" applyBorder="0" applyAlignment="0" applyProtection="0"/>
    <xf numFmtId="0" fontId="39" fillId="21" borderId="0" applyNumberFormat="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6" fontId="25" fillId="0" borderId="0" applyFont="0" applyFill="0" applyBorder="0" applyAlignment="0" applyProtection="0"/>
    <xf numFmtId="44" fontId="22" fillId="0" borderId="0" applyFont="0" applyFill="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30" fillId="0" borderId="0" applyNumberFormat="0" applyFill="0" applyBorder="0" applyAlignment="0" applyProtection="0">
      <alignment vertical="top"/>
      <protection locked="0"/>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8" fontId="31" fillId="0" borderId="0"/>
    <xf numFmtId="9" fontId="22" fillId="0" borderId="0" applyFont="0" applyFill="0" applyBorder="0" applyAlignment="0" applyProtection="0"/>
    <xf numFmtId="9" fontId="44" fillId="0" borderId="0" applyFont="0" applyFill="0" applyBorder="0" applyAlignment="0" applyProtection="0"/>
    <xf numFmtId="9" fontId="25" fillId="0" borderId="0" applyFont="0" applyFill="0" applyBorder="0" applyAlignment="0" applyProtection="0"/>
    <xf numFmtId="4" fontId="43" fillId="25" borderId="1" applyNumberFormat="0" applyProtection="0">
      <alignment vertical="center"/>
    </xf>
    <xf numFmtId="4" fontId="45" fillId="25" borderId="1" applyNumberFormat="0" applyProtection="0">
      <alignment vertical="center"/>
    </xf>
    <xf numFmtId="4" fontId="43" fillId="25" borderId="1" applyNumberFormat="0" applyProtection="0">
      <alignment horizontal="left" vertical="center" indent="1"/>
    </xf>
    <xf numFmtId="0" fontId="43" fillId="25" borderId="1" applyNumberFormat="0" applyProtection="0">
      <alignment horizontal="left" vertical="top" indent="1"/>
    </xf>
    <xf numFmtId="4" fontId="43" fillId="27" borderId="0" applyNumberFormat="0" applyProtection="0">
      <alignment horizontal="left" vertical="center" indent="1"/>
    </xf>
    <xf numFmtId="4" fontId="41" fillId="2" borderId="1" applyNumberFormat="0" applyProtection="0">
      <alignment horizontal="right" vertical="center"/>
    </xf>
    <xf numFmtId="4" fontId="41" fillId="4" borderId="1" applyNumberFormat="0" applyProtection="0">
      <alignment horizontal="right" vertical="center"/>
    </xf>
    <xf numFmtId="4" fontId="41" fillId="11" borderId="1" applyNumberFormat="0" applyProtection="0">
      <alignment horizontal="right" vertical="center"/>
    </xf>
    <xf numFmtId="4" fontId="41" fillId="6" borderId="1" applyNumberFormat="0" applyProtection="0">
      <alignment horizontal="right" vertical="center"/>
    </xf>
    <xf numFmtId="4" fontId="41" fillId="7" borderId="1" applyNumberFormat="0" applyProtection="0">
      <alignment horizontal="right" vertical="center"/>
    </xf>
    <xf numFmtId="4" fontId="41" fillId="19" borderId="1" applyNumberFormat="0" applyProtection="0">
      <alignment horizontal="right" vertical="center"/>
    </xf>
    <xf numFmtId="4" fontId="41" fillId="15" borderId="1" applyNumberFormat="0" applyProtection="0">
      <alignment horizontal="right" vertical="center"/>
    </xf>
    <xf numFmtId="4" fontId="41" fillId="28" borderId="1" applyNumberFormat="0" applyProtection="0">
      <alignment horizontal="right" vertical="center"/>
    </xf>
    <xf numFmtId="4" fontId="41" fillId="5" borderId="1" applyNumberFormat="0" applyProtection="0">
      <alignment horizontal="right" vertical="center"/>
    </xf>
    <xf numFmtId="4" fontId="43" fillId="29" borderId="2" applyNumberFormat="0" applyProtection="0">
      <alignment horizontal="left" vertical="center" indent="1"/>
    </xf>
    <xf numFmtId="4" fontId="41" fillId="30" borderId="0" applyNumberFormat="0" applyProtection="0">
      <alignment horizontal="left" vertical="center" indent="1"/>
    </xf>
    <xf numFmtId="4" fontId="46" fillId="31" borderId="0" applyNumberFormat="0" applyProtection="0">
      <alignment horizontal="left" vertical="center" indent="1"/>
    </xf>
    <xf numFmtId="4" fontId="41" fillId="27" borderId="1" applyNumberFormat="0" applyProtection="0">
      <alignment horizontal="right" vertical="center"/>
    </xf>
    <xf numFmtId="4" fontId="41" fillId="30" borderId="0" applyNumberFormat="0" applyProtection="0">
      <alignment horizontal="left" vertical="center" indent="1"/>
    </xf>
    <xf numFmtId="4" fontId="41" fillId="27" borderId="0" applyNumberFormat="0" applyProtection="0">
      <alignment horizontal="left" vertical="center" indent="1"/>
    </xf>
    <xf numFmtId="0" fontId="25" fillId="31" borderId="1" applyNumberFormat="0" applyProtection="0">
      <alignment horizontal="left" vertical="center" indent="1"/>
    </xf>
    <xf numFmtId="0" fontId="25" fillId="31" borderId="1" applyNumberFormat="0" applyProtection="0">
      <alignment horizontal="left" vertical="top" indent="1"/>
    </xf>
    <xf numFmtId="0" fontId="25" fillId="27" borderId="1" applyNumberFormat="0" applyProtection="0">
      <alignment horizontal="left" vertical="center" indent="1"/>
    </xf>
    <xf numFmtId="0" fontId="25" fillId="27" borderId="1" applyNumberFormat="0" applyProtection="0">
      <alignment horizontal="left" vertical="top" indent="1"/>
    </xf>
    <xf numFmtId="0" fontId="25" fillId="3" borderId="1" applyNumberFormat="0" applyProtection="0">
      <alignment horizontal="left" vertical="center" indent="1"/>
    </xf>
    <xf numFmtId="0" fontId="25" fillId="3" borderId="1" applyNumberFormat="0" applyProtection="0">
      <alignment horizontal="left" vertical="top" indent="1"/>
    </xf>
    <xf numFmtId="0" fontId="25" fillId="30" borderId="1" applyNumberFormat="0" applyProtection="0">
      <alignment horizontal="left" vertical="center" indent="1"/>
    </xf>
    <xf numFmtId="0" fontId="25" fillId="30" borderId="1" applyNumberFormat="0" applyProtection="0">
      <alignment horizontal="left" vertical="top" indent="1"/>
    </xf>
    <xf numFmtId="0" fontId="25" fillId="32" borderId="3" applyNumberFormat="0">
      <protection locked="0"/>
    </xf>
    <xf numFmtId="4" fontId="41" fillId="26" borderId="1" applyNumberFormat="0" applyProtection="0">
      <alignment vertical="center"/>
    </xf>
    <xf numFmtId="4" fontId="47" fillId="26" borderId="1" applyNumberFormat="0" applyProtection="0">
      <alignment vertical="center"/>
    </xf>
    <xf numFmtId="4" fontId="41" fillId="26" borderId="1" applyNumberFormat="0" applyProtection="0">
      <alignment horizontal="left" vertical="center" indent="1"/>
    </xf>
    <xf numFmtId="0" fontId="41" fillId="26" borderId="1" applyNumberFormat="0" applyProtection="0">
      <alignment horizontal="left" vertical="top" indent="1"/>
    </xf>
    <xf numFmtId="4" fontId="41" fillId="30" borderId="1" applyNumberFormat="0" applyProtection="0">
      <alignment horizontal="right" vertical="center"/>
    </xf>
    <xf numFmtId="4" fontId="47" fillId="30" borderId="1" applyNumberFormat="0" applyProtection="0">
      <alignment horizontal="right" vertical="center"/>
    </xf>
    <xf numFmtId="4" fontId="41" fillId="27" borderId="1" applyNumberFormat="0" applyProtection="0">
      <alignment horizontal="left" vertical="center" indent="1"/>
    </xf>
    <xf numFmtId="0" fontId="41" fillId="27" borderId="1" applyNumberFormat="0" applyProtection="0">
      <alignment horizontal="left" vertical="top" indent="1"/>
    </xf>
    <xf numFmtId="4" fontId="48" fillId="33" borderId="0" applyNumberFormat="0" applyProtection="0">
      <alignment horizontal="left" vertical="center" indent="1"/>
    </xf>
    <xf numFmtId="4" fontId="42" fillId="30" borderId="1" applyNumberFormat="0" applyProtection="0">
      <alignment horizontal="right" vertical="center"/>
    </xf>
    <xf numFmtId="0" fontId="49" fillId="0" borderId="0" applyNumberFormat="0" applyFill="0" applyBorder="0" applyAlignment="0" applyProtection="0"/>
    <xf numFmtId="0" fontId="22" fillId="0" borderId="0"/>
    <xf numFmtId="0" fontId="21" fillId="0" borderId="0"/>
    <xf numFmtId="0" fontId="21" fillId="0" borderId="0"/>
    <xf numFmtId="176" fontId="22" fillId="0" borderId="0" applyFont="0" applyFill="0" applyBorder="0" applyAlignment="0" applyProtection="0"/>
    <xf numFmtId="0" fontId="22" fillId="31" borderId="1" applyNumberFormat="0" applyProtection="0">
      <alignment horizontal="left" vertical="center" indent="1"/>
    </xf>
    <xf numFmtId="0" fontId="22" fillId="31" borderId="1" applyNumberFormat="0" applyProtection="0">
      <alignment horizontal="left" vertical="top" indent="1"/>
    </xf>
    <xf numFmtId="0" fontId="22" fillId="27" borderId="1" applyNumberFormat="0" applyProtection="0">
      <alignment horizontal="left" vertical="center" indent="1"/>
    </xf>
    <xf numFmtId="0" fontId="22" fillId="27" borderId="1" applyNumberFormat="0" applyProtection="0">
      <alignment horizontal="left" vertical="top" indent="1"/>
    </xf>
    <xf numFmtId="0" fontId="22" fillId="3" borderId="1" applyNumberFormat="0" applyProtection="0">
      <alignment horizontal="left" vertical="center" indent="1"/>
    </xf>
    <xf numFmtId="0" fontId="22" fillId="3" borderId="1" applyNumberFormat="0" applyProtection="0">
      <alignment horizontal="left" vertical="top" indent="1"/>
    </xf>
    <xf numFmtId="0" fontId="22" fillId="30" borderId="1" applyNumberFormat="0" applyProtection="0">
      <alignment horizontal="left" vertical="center" indent="1"/>
    </xf>
    <xf numFmtId="0" fontId="22" fillId="30" borderId="1" applyNumberFormat="0" applyProtection="0">
      <alignment horizontal="left" vertical="top" indent="1"/>
    </xf>
    <xf numFmtId="0" fontId="22" fillId="32" borderId="3" applyNumberFormat="0">
      <protection locked="0"/>
    </xf>
    <xf numFmtId="0" fontId="63"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6" fontId="22" fillId="0" borderId="0" applyFont="0" applyFill="0" applyBorder="0" applyAlignment="0" applyProtection="0"/>
    <xf numFmtId="44"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9" fontId="22" fillId="0" borderId="0" applyFont="0" applyFill="0" applyBorder="0" applyAlignment="0" applyProtection="0"/>
    <xf numFmtId="0" fontId="22" fillId="0" borderId="0"/>
    <xf numFmtId="0" fontId="22" fillId="0" borderId="0"/>
    <xf numFmtId="0" fontId="20" fillId="0" borderId="0"/>
    <xf numFmtId="0" fontId="20" fillId="0" borderId="0"/>
    <xf numFmtId="0" fontId="19" fillId="0" borderId="0"/>
    <xf numFmtId="0" fontId="19"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22" fillId="0" borderId="0"/>
    <xf numFmtId="0" fontId="22" fillId="0" borderId="0"/>
    <xf numFmtId="0" fontId="22" fillId="0" borderId="0"/>
    <xf numFmtId="0" fontId="44" fillId="0" borderId="0"/>
    <xf numFmtId="0" fontId="44" fillId="0" borderId="0"/>
    <xf numFmtId="0" fontId="44" fillId="0" borderId="0"/>
    <xf numFmtId="0" fontId="44" fillId="0" borderId="0"/>
    <xf numFmtId="0" fontId="44" fillId="0" borderId="0"/>
    <xf numFmtId="43" fontId="54" fillId="0" borderId="0" applyFont="0" applyFill="0" applyBorder="0" applyAlignment="0" applyProtection="0"/>
    <xf numFmtId="9" fontId="22" fillId="0" borderId="0" applyFont="0" applyFill="0" applyBorder="0" applyAlignment="0" applyProtection="0"/>
    <xf numFmtId="0" fontId="22" fillId="0" borderId="0"/>
    <xf numFmtId="0" fontId="15" fillId="0" borderId="0"/>
    <xf numFmtId="0" fontId="15" fillId="0" borderId="0"/>
    <xf numFmtId="0" fontId="15"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0" fontId="11" fillId="0" borderId="0"/>
    <xf numFmtId="0" fontId="71" fillId="0" borderId="0"/>
    <xf numFmtId="0" fontId="72" fillId="0" borderId="0"/>
    <xf numFmtId="0" fontId="22" fillId="0" borderId="0"/>
    <xf numFmtId="0" fontId="22" fillId="0" borderId="0"/>
    <xf numFmtId="0" fontId="10" fillId="0" borderId="0"/>
    <xf numFmtId="0" fontId="22" fillId="0" borderId="0"/>
    <xf numFmtId="43"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182" fontId="6" fillId="0" borderId="0"/>
    <xf numFmtId="43" fontId="38" fillId="0" borderId="0" applyFont="0" applyFill="0" applyBorder="0" applyAlignment="0" applyProtection="0"/>
    <xf numFmtId="0" fontId="88" fillId="0" borderId="0"/>
    <xf numFmtId="183" fontId="88" fillId="0" borderId="0"/>
    <xf numFmtId="184" fontId="88" fillId="0" borderId="0"/>
    <xf numFmtId="185" fontId="88" fillId="0" borderId="0"/>
    <xf numFmtId="183" fontId="88" fillId="0" borderId="0"/>
    <xf numFmtId="184" fontId="88" fillId="0" borderId="0"/>
    <xf numFmtId="184" fontId="88" fillId="0" borderId="0"/>
    <xf numFmtId="184" fontId="88" fillId="0" borderId="0"/>
    <xf numFmtId="0" fontId="88" fillId="0" borderId="0"/>
    <xf numFmtId="183" fontId="88" fillId="0" borderId="0"/>
    <xf numFmtId="184" fontId="88" fillId="0" borderId="0"/>
    <xf numFmtId="185" fontId="88" fillId="0" borderId="0"/>
    <xf numFmtId="183" fontId="88" fillId="0" borderId="0"/>
    <xf numFmtId="184" fontId="88" fillId="0" borderId="0"/>
    <xf numFmtId="184" fontId="88" fillId="0" borderId="0"/>
    <xf numFmtId="184" fontId="88" fillId="0" borderId="0"/>
    <xf numFmtId="183" fontId="89" fillId="0" borderId="0" applyNumberFormat="0" applyFill="0" applyBorder="0" applyAlignment="0" applyProtection="0">
      <alignment vertical="top"/>
    </xf>
    <xf numFmtId="184" fontId="89" fillId="0" borderId="0" applyNumberFormat="0" applyFill="0" applyBorder="0" applyAlignment="0" applyProtection="0">
      <alignment vertical="top"/>
    </xf>
    <xf numFmtId="183" fontId="90" fillId="0" borderId="0" applyNumberFormat="0" applyFill="0" applyBorder="0" applyAlignment="0" applyProtection="0">
      <alignment vertical="top"/>
    </xf>
    <xf numFmtId="184" fontId="90" fillId="0" borderId="0" applyNumberFormat="0" applyFill="0" applyBorder="0" applyAlignment="0" applyProtection="0">
      <alignment vertical="top"/>
    </xf>
    <xf numFmtId="183" fontId="22" fillId="0" borderId="0" applyNumberFormat="0" applyFill="0" applyBorder="0" applyAlignment="0" applyProtection="0"/>
    <xf numFmtId="183" fontId="22" fillId="0" borderId="0" applyNumberFormat="0" applyFill="0" applyBorder="0" applyAlignment="0" applyProtection="0"/>
    <xf numFmtId="184" fontId="22" fillId="0" borderId="0" applyNumberFormat="0" applyFill="0" applyBorder="0" applyAlignment="0" applyProtection="0"/>
    <xf numFmtId="184" fontId="22" fillId="0" borderId="0" applyNumberFormat="0" applyFill="0" applyBorder="0" applyAlignment="0" applyProtection="0"/>
    <xf numFmtId="183" fontId="91" fillId="0" borderId="0" applyNumberFormat="0" applyFill="0" applyBorder="0" applyAlignment="0" applyProtection="0">
      <alignment vertical="top"/>
    </xf>
    <xf numFmtId="184" fontId="91" fillId="0" borderId="0" applyNumberFormat="0" applyFill="0" applyBorder="0" applyAlignment="0" applyProtection="0">
      <alignment vertical="top"/>
    </xf>
    <xf numFmtId="183" fontId="92" fillId="0" borderId="28" applyBorder="0">
      <alignment horizontal="left"/>
    </xf>
    <xf numFmtId="184" fontId="92" fillId="0" borderId="28" applyBorder="0">
      <alignment horizontal="left"/>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186" fontId="22" fillId="0" borderId="0">
      <alignment horizontal="left" wrapText="1"/>
    </xf>
    <xf numFmtId="0" fontId="38" fillId="70" borderId="0" applyNumberFormat="0" applyBorder="0" applyAlignment="0" applyProtection="0"/>
    <xf numFmtId="187" fontId="41" fillId="27" borderId="0" applyNumberFormat="0" applyBorder="0" applyAlignment="0" applyProtection="0"/>
    <xf numFmtId="184" fontId="41" fillId="27"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0"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5"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0"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0"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0"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5"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0" fontId="38" fillId="70"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5" fontId="6" fillId="46" borderId="0" applyNumberFormat="0" applyBorder="0" applyAlignment="0" applyProtection="0"/>
    <xf numFmtId="183"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184" fontId="6" fillId="46" borderId="0" applyNumberFormat="0" applyBorder="0" applyAlignment="0" applyProtection="0"/>
    <xf numFmtId="0"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3" fontId="38" fillId="70" borderId="0" applyNumberFormat="0" applyBorder="0" applyAlignment="0" applyProtection="0"/>
    <xf numFmtId="183"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0" fontId="38" fillId="70" borderId="0" applyNumberFormat="0" applyBorder="0" applyAlignment="0" applyProtection="0"/>
    <xf numFmtId="184" fontId="38" fillId="70" borderId="0" applyNumberFormat="0" applyBorder="0" applyAlignment="0" applyProtection="0"/>
    <xf numFmtId="184" fontId="38" fillId="70" borderId="0" applyNumberFormat="0" applyBorder="0" applyAlignment="0" applyProtection="0"/>
    <xf numFmtId="185" fontId="41" fillId="27" borderId="0" applyNumberFormat="0" applyBorder="0" applyAlignment="0" applyProtection="0"/>
    <xf numFmtId="183" fontId="41" fillId="27" borderId="0" applyNumberFormat="0" applyBorder="0" applyAlignment="0" applyProtection="0"/>
    <xf numFmtId="183"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5" fontId="41" fillId="27" borderId="0" applyNumberFormat="0" applyBorder="0" applyAlignment="0" applyProtection="0"/>
    <xf numFmtId="184" fontId="41" fillId="27" borderId="0" applyNumberFormat="0" applyBorder="0" applyAlignment="0" applyProtection="0"/>
    <xf numFmtId="184" fontId="41" fillId="27" borderId="0" applyNumberFormat="0" applyBorder="0" applyAlignment="0" applyProtection="0"/>
    <xf numFmtId="184" fontId="6" fillId="46" borderId="0" applyNumberFormat="0" applyBorder="0" applyAlignment="0" applyProtection="0"/>
    <xf numFmtId="182" fontId="6" fillId="46" borderId="0" applyNumberFormat="0" applyBorder="0" applyAlignment="0" applyProtection="0"/>
    <xf numFmtId="0" fontId="38" fillId="2" borderId="0" applyNumberFormat="0" applyBorder="0" applyAlignment="0" applyProtection="0"/>
    <xf numFmtId="187" fontId="41" fillId="4" borderId="0" applyNumberFormat="0" applyBorder="0" applyAlignment="0" applyProtection="0"/>
    <xf numFmtId="184" fontId="41" fillId="4"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0"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5"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5"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0" fontId="38" fillId="2"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5" fontId="6" fillId="50" borderId="0" applyNumberFormat="0" applyBorder="0" applyAlignment="0" applyProtection="0"/>
    <xf numFmtId="183"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184" fontId="6" fillId="50" borderId="0" applyNumberFormat="0" applyBorder="0" applyAlignment="0" applyProtection="0"/>
    <xf numFmtId="0"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3" fontId="38" fillId="2" borderId="0" applyNumberFormat="0" applyBorder="0" applyAlignment="0" applyProtection="0"/>
    <xf numFmtId="183"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0" fontId="38" fillId="2" borderId="0" applyNumberFormat="0" applyBorder="0" applyAlignment="0" applyProtection="0"/>
    <xf numFmtId="184" fontId="38" fillId="2" borderId="0" applyNumberFormat="0" applyBorder="0" applyAlignment="0" applyProtection="0"/>
    <xf numFmtId="184" fontId="38" fillId="2"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4" fontId="6" fillId="50" borderId="0" applyNumberFormat="0" applyBorder="0" applyAlignment="0" applyProtection="0"/>
    <xf numFmtId="182" fontId="6" fillId="50" borderId="0" applyNumberFormat="0" applyBorder="0" applyAlignment="0" applyProtection="0"/>
    <xf numFmtId="0" fontId="38" fillId="71" borderId="0" applyNumberFormat="0" applyBorder="0" applyAlignment="0" applyProtection="0"/>
    <xf numFmtId="187" fontId="41" fillId="26" borderId="0" applyNumberFormat="0" applyBorder="0" applyAlignment="0" applyProtection="0"/>
    <xf numFmtId="184" fontId="41" fillId="26"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0"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5"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0"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0"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0"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5"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0" fontId="38" fillId="71"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5" fontId="6" fillId="54" borderId="0" applyNumberFormat="0" applyBorder="0" applyAlignment="0" applyProtection="0"/>
    <xf numFmtId="183"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184" fontId="6" fillId="54" borderId="0" applyNumberFormat="0" applyBorder="0" applyAlignment="0" applyProtection="0"/>
    <xf numFmtId="0"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3" fontId="38" fillId="71" borderId="0" applyNumberFormat="0" applyBorder="0" applyAlignment="0" applyProtection="0"/>
    <xf numFmtId="183"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0" fontId="38" fillId="71" borderId="0" applyNumberFormat="0" applyBorder="0" applyAlignment="0" applyProtection="0"/>
    <xf numFmtId="184" fontId="38" fillId="71" borderId="0" applyNumberFormat="0" applyBorder="0" applyAlignment="0" applyProtection="0"/>
    <xf numFmtId="184" fontId="38" fillId="71" borderId="0" applyNumberFormat="0" applyBorder="0" applyAlignment="0" applyProtection="0"/>
    <xf numFmtId="185" fontId="41" fillId="26" borderId="0" applyNumberFormat="0" applyBorder="0" applyAlignment="0" applyProtection="0"/>
    <xf numFmtId="183" fontId="41" fillId="26" borderId="0" applyNumberFormat="0" applyBorder="0" applyAlignment="0" applyProtection="0"/>
    <xf numFmtId="183"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5" fontId="41" fillId="26" borderId="0" applyNumberFormat="0" applyBorder="0" applyAlignment="0" applyProtection="0"/>
    <xf numFmtId="184" fontId="41" fillId="26" borderId="0" applyNumberFormat="0" applyBorder="0" applyAlignment="0" applyProtection="0"/>
    <xf numFmtId="184" fontId="41" fillId="26" borderId="0" applyNumberFormat="0" applyBorder="0" applyAlignment="0" applyProtection="0"/>
    <xf numFmtId="184" fontId="6" fillId="54" borderId="0" applyNumberFormat="0" applyBorder="0" applyAlignment="0" applyProtection="0"/>
    <xf numFmtId="182" fontId="6" fillId="54" borderId="0" applyNumberFormat="0" applyBorder="0" applyAlignment="0" applyProtection="0"/>
    <xf numFmtId="0" fontId="38" fillId="72" borderId="0" applyNumberFormat="0" applyBorder="0" applyAlignment="0" applyProtection="0"/>
    <xf numFmtId="187" fontId="41" fillId="32" borderId="0" applyNumberFormat="0" applyBorder="0" applyAlignment="0" applyProtection="0"/>
    <xf numFmtId="184" fontId="41" fillId="3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0"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5"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0"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0"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0"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5"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0" fontId="38" fillId="72"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5" fontId="6" fillId="58" borderId="0" applyNumberFormat="0" applyBorder="0" applyAlignment="0" applyProtection="0"/>
    <xf numFmtId="183"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184" fontId="6" fillId="58" borderId="0" applyNumberFormat="0" applyBorder="0" applyAlignment="0" applyProtection="0"/>
    <xf numFmtId="0"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41" fillId="32" borderId="0" applyNumberFormat="0" applyBorder="0" applyAlignment="0" applyProtection="0"/>
    <xf numFmtId="183" fontId="41" fillId="32" borderId="0" applyNumberFormat="0" applyBorder="0" applyAlignment="0" applyProtection="0"/>
    <xf numFmtId="183"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5" fontId="41" fillId="32" borderId="0" applyNumberFormat="0" applyBorder="0" applyAlignment="0" applyProtection="0"/>
    <xf numFmtId="184" fontId="41" fillId="32" borderId="0" applyNumberFormat="0" applyBorder="0" applyAlignment="0" applyProtection="0"/>
    <xf numFmtId="184" fontId="41" fillId="32" borderId="0" applyNumberFormat="0" applyBorder="0" applyAlignment="0" applyProtection="0"/>
    <xf numFmtId="184" fontId="6" fillId="58" borderId="0" applyNumberFormat="0" applyBorder="0" applyAlignment="0" applyProtection="0"/>
    <xf numFmtId="182" fontId="6" fillId="58" borderId="0" applyNumberFormat="0" applyBorder="0" applyAlignment="0" applyProtection="0"/>
    <xf numFmtId="0" fontId="38" fillId="73" borderId="0" applyNumberFormat="0" applyBorder="0" applyAlignment="0" applyProtection="0"/>
    <xf numFmtId="187" fontId="41" fillId="3" borderId="0" applyNumberFormat="0" applyBorder="0" applyAlignment="0" applyProtection="0"/>
    <xf numFmtId="184" fontId="41" fillId="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0"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5"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0"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0"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0"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5"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0" fontId="38" fillId="73"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5" fontId="6" fillId="62" borderId="0" applyNumberFormat="0" applyBorder="0" applyAlignment="0" applyProtection="0"/>
    <xf numFmtId="183"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184" fontId="6" fillId="62" borderId="0" applyNumberFormat="0" applyBorder="0" applyAlignment="0" applyProtection="0"/>
    <xf numFmtId="0"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3" fontId="38" fillId="73" borderId="0" applyNumberFormat="0" applyBorder="0" applyAlignment="0" applyProtection="0"/>
    <xf numFmtId="183"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0" fontId="38" fillId="73" borderId="0" applyNumberFormat="0" applyBorder="0" applyAlignment="0" applyProtection="0"/>
    <xf numFmtId="184" fontId="38" fillId="73" borderId="0" applyNumberFormat="0" applyBorder="0" applyAlignment="0" applyProtection="0"/>
    <xf numFmtId="184" fontId="38" fillId="73" borderId="0" applyNumberFormat="0" applyBorder="0" applyAlignment="0" applyProtection="0"/>
    <xf numFmtId="185" fontId="41" fillId="3" borderId="0" applyNumberFormat="0" applyBorder="0" applyAlignment="0" applyProtection="0"/>
    <xf numFmtId="183" fontId="41" fillId="3" borderId="0" applyNumberFormat="0" applyBorder="0" applyAlignment="0" applyProtection="0"/>
    <xf numFmtId="183"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5" fontId="41" fillId="3" borderId="0" applyNumberFormat="0" applyBorder="0" applyAlignment="0" applyProtection="0"/>
    <xf numFmtId="184" fontId="41" fillId="3" borderId="0" applyNumberFormat="0" applyBorder="0" applyAlignment="0" applyProtection="0"/>
    <xf numFmtId="184" fontId="41" fillId="3" borderId="0" applyNumberFormat="0" applyBorder="0" applyAlignment="0" applyProtection="0"/>
    <xf numFmtId="184" fontId="6" fillId="62" borderId="0" applyNumberFormat="0" applyBorder="0" applyAlignment="0" applyProtection="0"/>
    <xf numFmtId="182" fontId="6" fillId="62" borderId="0" applyNumberFormat="0" applyBorder="0" applyAlignment="0" applyProtection="0"/>
    <xf numFmtId="0" fontId="38" fillId="74" borderId="0" applyNumberFormat="0" applyBorder="0" applyAlignment="0" applyProtection="0"/>
    <xf numFmtId="187" fontId="41" fillId="2" borderId="0" applyNumberFormat="0" applyBorder="0" applyAlignment="0" applyProtection="0"/>
    <xf numFmtId="184" fontId="41" fillId="2"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0"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5"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0"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0"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0"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5"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0" fontId="38" fillId="74"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5" fontId="6" fillId="66" borderId="0" applyNumberFormat="0" applyBorder="0" applyAlignment="0" applyProtection="0"/>
    <xf numFmtId="183"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184" fontId="6" fillId="66" borderId="0" applyNumberFormat="0" applyBorder="0" applyAlignment="0" applyProtection="0"/>
    <xf numFmtId="0"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3" fontId="38" fillId="74" borderId="0" applyNumberFormat="0" applyBorder="0" applyAlignment="0" applyProtection="0"/>
    <xf numFmtId="183"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0" fontId="38" fillId="74" borderId="0" applyNumberFormat="0" applyBorder="0" applyAlignment="0" applyProtection="0"/>
    <xf numFmtId="184" fontId="38" fillId="74" borderId="0" applyNumberFormat="0" applyBorder="0" applyAlignment="0" applyProtection="0"/>
    <xf numFmtId="184" fontId="38" fillId="74" borderId="0" applyNumberFormat="0" applyBorder="0" applyAlignment="0" applyProtection="0"/>
    <xf numFmtId="185" fontId="41" fillId="2" borderId="0" applyNumberFormat="0" applyBorder="0" applyAlignment="0" applyProtection="0"/>
    <xf numFmtId="183" fontId="41" fillId="2" borderId="0" applyNumberFormat="0" applyBorder="0" applyAlignment="0" applyProtection="0"/>
    <xf numFmtId="183"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5" fontId="41" fillId="2" borderId="0" applyNumberFormat="0" applyBorder="0" applyAlignment="0" applyProtection="0"/>
    <xf numFmtId="184" fontId="41" fillId="2" borderId="0" applyNumberFormat="0" applyBorder="0" applyAlignment="0" applyProtection="0"/>
    <xf numFmtId="184" fontId="41" fillId="2" borderId="0" applyNumberFormat="0" applyBorder="0" applyAlignment="0" applyProtection="0"/>
    <xf numFmtId="184" fontId="6" fillId="66" borderId="0" applyNumberFormat="0" applyBorder="0" applyAlignment="0" applyProtection="0"/>
    <xf numFmtId="182" fontId="6" fillId="66" borderId="0" applyNumberFormat="0" applyBorder="0" applyAlignment="0" applyProtection="0"/>
    <xf numFmtId="0" fontId="38" fillId="3" borderId="0" applyNumberFormat="0" applyBorder="0" applyAlignment="0" applyProtection="0"/>
    <xf numFmtId="187" fontId="41" fillId="31" borderId="0" applyNumberFormat="0" applyBorder="0" applyAlignment="0" applyProtection="0"/>
    <xf numFmtId="184" fontId="41" fillId="31"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0"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5"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5"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0" fontId="38" fillId="3"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5" fontId="6" fillId="47" borderId="0" applyNumberFormat="0" applyBorder="0" applyAlignment="0" applyProtection="0"/>
    <xf numFmtId="183"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184" fontId="6" fillId="47" borderId="0" applyNumberFormat="0" applyBorder="0" applyAlignment="0" applyProtection="0"/>
    <xf numFmtId="0"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4" fontId="6" fillId="47" borderId="0" applyNumberFormat="0" applyBorder="0" applyAlignment="0" applyProtection="0"/>
    <xf numFmtId="182" fontId="6" fillId="47" borderId="0" applyNumberFormat="0" applyBorder="0" applyAlignment="0" applyProtection="0"/>
    <xf numFmtId="0" fontId="38" fillId="4" borderId="0" applyNumberFormat="0" applyBorder="0" applyAlignment="0" applyProtection="0"/>
    <xf numFmtId="187" fontId="41" fillId="4" borderId="0" applyNumberFormat="0" applyBorder="0" applyAlignment="0" applyProtection="0"/>
    <xf numFmtId="184" fontId="41"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0"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5"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0"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5"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0" fontId="38" fillId="4"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5" fontId="6" fillId="51" borderId="0" applyNumberFormat="0" applyBorder="0" applyAlignment="0" applyProtection="0"/>
    <xf numFmtId="183"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184" fontId="6" fillId="51" borderId="0" applyNumberFormat="0" applyBorder="0" applyAlignment="0" applyProtection="0"/>
    <xf numFmtId="0"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3" fontId="38" fillId="4" borderId="0" applyNumberFormat="0" applyBorder="0" applyAlignment="0" applyProtection="0"/>
    <xf numFmtId="183"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0" fontId="38" fillId="4" borderId="0" applyNumberFormat="0" applyBorder="0" applyAlignment="0" applyProtection="0"/>
    <xf numFmtId="184" fontId="38" fillId="4" borderId="0" applyNumberFormat="0" applyBorder="0" applyAlignment="0" applyProtection="0"/>
    <xf numFmtId="184" fontId="38" fillId="4" borderId="0" applyNumberFormat="0" applyBorder="0" applyAlignment="0" applyProtection="0"/>
    <xf numFmtId="185" fontId="41" fillId="4" borderId="0" applyNumberFormat="0" applyBorder="0" applyAlignment="0" applyProtection="0"/>
    <xf numFmtId="183" fontId="41" fillId="4" borderId="0" applyNumberFormat="0" applyBorder="0" applyAlignment="0" applyProtection="0"/>
    <xf numFmtId="183"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5" fontId="41" fillId="4" borderId="0" applyNumberFormat="0" applyBorder="0" applyAlignment="0" applyProtection="0"/>
    <xf numFmtId="184" fontId="41" fillId="4" borderId="0" applyNumberFormat="0" applyBorder="0" applyAlignment="0" applyProtection="0"/>
    <xf numFmtId="184" fontId="41" fillId="4" borderId="0" applyNumberFormat="0" applyBorder="0" applyAlignment="0" applyProtection="0"/>
    <xf numFmtId="184" fontId="6" fillId="51" borderId="0" applyNumberFormat="0" applyBorder="0" applyAlignment="0" applyProtection="0"/>
    <xf numFmtId="182" fontId="6" fillId="51" borderId="0" applyNumberFormat="0" applyBorder="0" applyAlignment="0" applyProtection="0"/>
    <xf numFmtId="0" fontId="38" fillId="5" borderId="0" applyNumberFormat="0" applyBorder="0" applyAlignment="0" applyProtection="0"/>
    <xf numFmtId="187" fontId="41" fillId="15" borderId="0" applyNumberFormat="0" applyBorder="0" applyAlignment="0" applyProtection="0"/>
    <xf numFmtId="184" fontId="41" fillId="1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0"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5"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0"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5"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0" fontId="38" fillId="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5" fontId="6" fillId="55" borderId="0" applyNumberFormat="0" applyBorder="0" applyAlignment="0" applyProtection="0"/>
    <xf numFmtId="183"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184" fontId="6" fillId="55" borderId="0" applyNumberFormat="0" applyBorder="0" applyAlignment="0" applyProtection="0"/>
    <xf numFmtId="0"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3" fontId="38" fillId="5" borderId="0" applyNumberFormat="0" applyBorder="0" applyAlignment="0" applyProtection="0"/>
    <xf numFmtId="183"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0" fontId="38" fillId="5" borderId="0" applyNumberFormat="0" applyBorder="0" applyAlignment="0" applyProtection="0"/>
    <xf numFmtId="184" fontId="38" fillId="5" borderId="0" applyNumberFormat="0" applyBorder="0" applyAlignment="0" applyProtection="0"/>
    <xf numFmtId="184" fontId="38" fillId="5" borderId="0" applyNumberFormat="0" applyBorder="0" applyAlignment="0" applyProtection="0"/>
    <xf numFmtId="185" fontId="41" fillId="15" borderId="0" applyNumberFormat="0" applyBorder="0" applyAlignment="0" applyProtection="0"/>
    <xf numFmtId="183" fontId="41" fillId="15" borderId="0" applyNumberFormat="0" applyBorder="0" applyAlignment="0" applyProtection="0"/>
    <xf numFmtId="183"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5" fontId="41" fillId="15" borderId="0" applyNumberFormat="0" applyBorder="0" applyAlignment="0" applyProtection="0"/>
    <xf numFmtId="184" fontId="41" fillId="15" borderId="0" applyNumberFormat="0" applyBorder="0" applyAlignment="0" applyProtection="0"/>
    <xf numFmtId="184" fontId="41" fillId="15" borderId="0" applyNumberFormat="0" applyBorder="0" applyAlignment="0" applyProtection="0"/>
    <xf numFmtId="184" fontId="6" fillId="55" borderId="0" applyNumberFormat="0" applyBorder="0" applyAlignment="0" applyProtection="0"/>
    <xf numFmtId="182" fontId="6" fillId="55" borderId="0" applyNumberFormat="0" applyBorder="0" applyAlignment="0" applyProtection="0"/>
    <xf numFmtId="0" fontId="38" fillId="72" borderId="0" applyNumberFormat="0" applyBorder="0" applyAlignment="0" applyProtection="0"/>
    <xf numFmtId="187" fontId="41" fillId="75" borderId="0" applyNumberFormat="0" applyBorder="0" applyAlignment="0" applyProtection="0"/>
    <xf numFmtId="184" fontId="41" fillId="75"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0"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5"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0"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0"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0"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5"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0" fontId="38" fillId="72"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5" fontId="6" fillId="59" borderId="0" applyNumberFormat="0" applyBorder="0" applyAlignment="0" applyProtection="0"/>
    <xf numFmtId="183"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184" fontId="6" fillId="59" borderId="0" applyNumberFormat="0" applyBorder="0" applyAlignment="0" applyProtection="0"/>
    <xf numFmtId="0"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3" fontId="38" fillId="72" borderId="0" applyNumberFormat="0" applyBorder="0" applyAlignment="0" applyProtection="0"/>
    <xf numFmtId="183"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0" fontId="38" fillId="72" borderId="0" applyNumberFormat="0" applyBorder="0" applyAlignment="0" applyProtection="0"/>
    <xf numFmtId="184" fontId="38" fillId="72" borderId="0" applyNumberFormat="0" applyBorder="0" applyAlignment="0" applyProtection="0"/>
    <xf numFmtId="184" fontId="38" fillId="72" borderId="0" applyNumberFormat="0" applyBorder="0" applyAlignment="0" applyProtection="0"/>
    <xf numFmtId="185" fontId="41" fillId="75" borderId="0" applyNumberFormat="0" applyBorder="0" applyAlignment="0" applyProtection="0"/>
    <xf numFmtId="183" fontId="41" fillId="75" borderId="0" applyNumberFormat="0" applyBorder="0" applyAlignment="0" applyProtection="0"/>
    <xf numFmtId="183"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5" fontId="41" fillId="75" borderId="0" applyNumberFormat="0" applyBorder="0" applyAlignment="0" applyProtection="0"/>
    <xf numFmtId="184" fontId="41" fillId="75" borderId="0" applyNumberFormat="0" applyBorder="0" applyAlignment="0" applyProtection="0"/>
    <xf numFmtId="184" fontId="41" fillId="75" borderId="0" applyNumberFormat="0" applyBorder="0" applyAlignment="0" applyProtection="0"/>
    <xf numFmtId="184" fontId="6" fillId="59" borderId="0" applyNumberFormat="0" applyBorder="0" applyAlignment="0" applyProtection="0"/>
    <xf numFmtId="182" fontId="6" fillId="59" borderId="0" applyNumberFormat="0" applyBorder="0" applyAlignment="0" applyProtection="0"/>
    <xf numFmtId="0" fontId="38" fillId="3" borderId="0" applyNumberFormat="0" applyBorder="0" applyAlignment="0" applyProtection="0"/>
    <xf numFmtId="187" fontId="41" fillId="31" borderId="0" applyNumberFormat="0" applyBorder="0" applyAlignment="0" applyProtection="0"/>
    <xf numFmtId="184" fontId="41" fillId="31"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0"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5"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0"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5"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0" fontId="38" fillId="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5" fontId="6" fillId="63" borderId="0" applyNumberFormat="0" applyBorder="0" applyAlignment="0" applyProtection="0"/>
    <xf numFmtId="183"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184" fontId="6" fillId="63" borderId="0" applyNumberFormat="0" applyBorder="0" applyAlignment="0" applyProtection="0"/>
    <xf numFmtId="0"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3" fontId="38" fillId="3" borderId="0" applyNumberFormat="0" applyBorder="0" applyAlignment="0" applyProtection="0"/>
    <xf numFmtId="183"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0" fontId="38" fillId="3" borderId="0" applyNumberFormat="0" applyBorder="0" applyAlignment="0" applyProtection="0"/>
    <xf numFmtId="184" fontId="38" fillId="3" borderId="0" applyNumberFormat="0" applyBorder="0" applyAlignment="0" applyProtection="0"/>
    <xf numFmtId="184" fontId="38" fillId="3" borderId="0" applyNumberFormat="0" applyBorder="0" applyAlignment="0" applyProtection="0"/>
    <xf numFmtId="185" fontId="41" fillId="31" borderId="0" applyNumberFormat="0" applyBorder="0" applyAlignment="0" applyProtection="0"/>
    <xf numFmtId="183" fontId="41" fillId="31" borderId="0" applyNumberFormat="0" applyBorder="0" applyAlignment="0" applyProtection="0"/>
    <xf numFmtId="183"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5" fontId="41" fillId="31" borderId="0" applyNumberFormat="0" applyBorder="0" applyAlignment="0" applyProtection="0"/>
    <xf numFmtId="184" fontId="41" fillId="31" borderId="0" applyNumberFormat="0" applyBorder="0" applyAlignment="0" applyProtection="0"/>
    <xf numFmtId="184" fontId="41" fillId="31" borderId="0" applyNumberFormat="0" applyBorder="0" applyAlignment="0" applyProtection="0"/>
    <xf numFmtId="184" fontId="6" fillId="63" borderId="0" applyNumberFormat="0" applyBorder="0" applyAlignment="0" applyProtection="0"/>
    <xf numFmtId="182" fontId="6" fillId="63" borderId="0" applyNumberFormat="0" applyBorder="0" applyAlignment="0" applyProtection="0"/>
    <xf numFmtId="0" fontId="38" fillId="6" borderId="0" applyNumberFormat="0" applyBorder="0" applyAlignment="0" applyProtection="0"/>
    <xf numFmtId="187" fontId="41" fillId="74" borderId="0" applyNumberFormat="0" applyBorder="0" applyAlignment="0" applyProtection="0"/>
    <xf numFmtId="184" fontId="41" fillId="74"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0"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5"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0"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0"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0"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5"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0" fontId="38" fillId="6"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5" fontId="6" fillId="67" borderId="0" applyNumberFormat="0" applyBorder="0" applyAlignment="0" applyProtection="0"/>
    <xf numFmtId="183"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184" fontId="6" fillId="67" borderId="0" applyNumberFormat="0" applyBorder="0" applyAlignment="0" applyProtection="0"/>
    <xf numFmtId="0"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3" fontId="38" fillId="6" borderId="0" applyNumberFormat="0" applyBorder="0" applyAlignment="0" applyProtection="0"/>
    <xf numFmtId="183"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0" fontId="38" fillId="6" borderId="0" applyNumberFormat="0" applyBorder="0" applyAlignment="0" applyProtection="0"/>
    <xf numFmtId="184" fontId="38" fillId="6" borderId="0" applyNumberFormat="0" applyBorder="0" applyAlignment="0" applyProtection="0"/>
    <xf numFmtId="184" fontId="38" fillId="6" borderId="0" applyNumberFormat="0" applyBorder="0" applyAlignment="0" applyProtection="0"/>
    <xf numFmtId="185" fontId="41" fillId="74" borderId="0" applyNumberFormat="0" applyBorder="0" applyAlignment="0" applyProtection="0"/>
    <xf numFmtId="183" fontId="41" fillId="74" borderId="0" applyNumberFormat="0" applyBorder="0" applyAlignment="0" applyProtection="0"/>
    <xf numFmtId="183"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5" fontId="41" fillId="74" borderId="0" applyNumberFormat="0" applyBorder="0" applyAlignment="0" applyProtection="0"/>
    <xf numFmtId="184" fontId="41" fillId="74" borderId="0" applyNumberFormat="0" applyBorder="0" applyAlignment="0" applyProtection="0"/>
    <xf numFmtId="184" fontId="41" fillId="74" borderId="0" applyNumberFormat="0" applyBorder="0" applyAlignment="0" applyProtection="0"/>
    <xf numFmtId="184" fontId="6" fillId="67" borderId="0" applyNumberFormat="0" applyBorder="0" applyAlignment="0" applyProtection="0"/>
    <xf numFmtId="182" fontId="6" fillId="67" borderId="0" applyNumberFormat="0" applyBorder="0" applyAlignment="0" applyProtection="0"/>
    <xf numFmtId="0" fontId="39" fillId="76" borderId="0" applyNumberFormat="0" applyBorder="0" applyAlignment="0" applyProtection="0"/>
    <xf numFmtId="184" fontId="39" fillId="76" borderId="0" applyNumberFormat="0" applyBorder="0" applyAlignment="0" applyProtection="0"/>
    <xf numFmtId="0"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5"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5" fontId="39" fillId="76"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4" fontId="39" fillId="76" borderId="0" applyNumberFormat="0" applyBorder="0" applyAlignment="0" applyProtection="0"/>
    <xf numFmtId="187" fontId="93" fillId="31" borderId="0" applyNumberFormat="0" applyBorder="0" applyAlignment="0" applyProtection="0"/>
    <xf numFmtId="0" fontId="39" fillId="76" borderId="0" applyNumberFormat="0" applyBorder="0" applyAlignment="0" applyProtection="0"/>
    <xf numFmtId="184" fontId="39" fillId="76" borderId="0" applyNumberFormat="0" applyBorder="0" applyAlignment="0" applyProtection="0"/>
    <xf numFmtId="184" fontId="93" fillId="31" borderId="0" applyNumberFormat="0" applyBorder="0" applyAlignment="0" applyProtection="0"/>
    <xf numFmtId="0" fontId="39" fillId="76"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5"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0" fontId="39" fillId="76"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5" fontId="87" fillId="48" borderId="0" applyNumberFormat="0" applyBorder="0" applyAlignment="0" applyProtection="0"/>
    <xf numFmtId="183"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184" fontId="87" fillId="48" borderId="0" applyNumberFormat="0" applyBorder="0" applyAlignment="0" applyProtection="0"/>
    <xf numFmtId="0" fontId="39" fillId="76"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5" fontId="39" fillId="76" borderId="0" applyNumberFormat="0" applyBorder="0" applyAlignment="0" applyProtection="0"/>
    <xf numFmtId="183" fontId="39" fillId="76" borderId="0" applyNumberFormat="0" applyBorder="0" applyAlignment="0" applyProtection="0"/>
    <xf numFmtId="184" fontId="39" fillId="76" borderId="0" applyNumberFormat="0" applyBorder="0" applyAlignment="0" applyProtection="0"/>
    <xf numFmtId="184" fontId="39" fillId="76" borderId="0" applyNumberFormat="0" applyBorder="0" applyAlignment="0" applyProtection="0"/>
    <xf numFmtId="184" fontId="39" fillId="76"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87" fillId="48" borderId="0" applyNumberFormat="0" applyBorder="0" applyAlignment="0" applyProtection="0"/>
    <xf numFmtId="182" fontId="87" fillId="48" borderId="0" applyNumberFormat="0" applyBorder="0" applyAlignment="0" applyProtection="0"/>
    <xf numFmtId="0" fontId="39" fillId="4" borderId="0" applyNumberFormat="0" applyBorder="0" applyAlignment="0" applyProtection="0"/>
    <xf numFmtId="184" fontId="39" fillId="4" borderId="0" applyNumberFormat="0" applyBorder="0" applyAlignment="0" applyProtection="0"/>
    <xf numFmtId="0"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5"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0"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0"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5" fontId="39"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4" fontId="39" fillId="4" borderId="0" applyNumberFormat="0" applyBorder="0" applyAlignment="0" applyProtection="0"/>
    <xf numFmtId="187" fontId="93" fillId="4" borderId="0" applyNumberFormat="0" applyBorder="0" applyAlignment="0" applyProtection="0"/>
    <xf numFmtId="0" fontId="39" fillId="4" borderId="0" applyNumberFormat="0" applyBorder="0" applyAlignment="0" applyProtection="0"/>
    <xf numFmtId="184" fontId="39" fillId="4" borderId="0" applyNumberFormat="0" applyBorder="0" applyAlignment="0" applyProtection="0"/>
    <xf numFmtId="184" fontId="93" fillId="4" borderId="0" applyNumberFormat="0" applyBorder="0" applyAlignment="0" applyProtection="0"/>
    <xf numFmtId="0" fontId="39"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5"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0" fontId="39" fillId="4"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5" fontId="87" fillId="52" borderId="0" applyNumberFormat="0" applyBorder="0" applyAlignment="0" applyProtection="0"/>
    <xf numFmtId="183"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184" fontId="87" fillId="52" borderId="0" applyNumberFormat="0" applyBorder="0" applyAlignment="0" applyProtection="0"/>
    <xf numFmtId="0" fontId="39"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5" fontId="39" fillId="4" borderId="0" applyNumberFormat="0" applyBorder="0" applyAlignment="0" applyProtection="0"/>
    <xf numFmtId="183" fontId="39" fillId="4" borderId="0" applyNumberFormat="0" applyBorder="0" applyAlignment="0" applyProtection="0"/>
    <xf numFmtId="184" fontId="39" fillId="4" borderId="0" applyNumberFormat="0" applyBorder="0" applyAlignment="0" applyProtection="0"/>
    <xf numFmtId="184" fontId="39" fillId="4" borderId="0" applyNumberFormat="0" applyBorder="0" applyAlignment="0" applyProtection="0"/>
    <xf numFmtId="184" fontId="39" fillId="4" borderId="0" applyNumberFormat="0" applyBorder="0" applyAlignment="0" applyProtection="0"/>
    <xf numFmtId="185" fontId="93" fillId="4" borderId="0" applyNumberFormat="0" applyBorder="0" applyAlignment="0" applyProtection="0"/>
    <xf numFmtId="183" fontId="93" fillId="4" borderId="0" applyNumberFormat="0" applyBorder="0" applyAlignment="0" applyProtection="0"/>
    <xf numFmtId="184" fontId="93" fillId="4" borderId="0" applyNumberFormat="0" applyBorder="0" applyAlignment="0" applyProtection="0"/>
    <xf numFmtId="184" fontId="93" fillId="4" borderId="0" applyNumberFormat="0" applyBorder="0" applyAlignment="0" applyProtection="0"/>
    <xf numFmtId="184" fontId="87" fillId="52" borderId="0" applyNumberFormat="0" applyBorder="0" applyAlignment="0" applyProtection="0"/>
    <xf numFmtId="182" fontId="87" fillId="52" borderId="0" applyNumberFormat="0" applyBorder="0" applyAlignment="0" applyProtection="0"/>
    <xf numFmtId="0" fontId="39" fillId="5" borderId="0" applyNumberFormat="0" applyBorder="0" applyAlignment="0" applyProtection="0"/>
    <xf numFmtId="184" fontId="39" fillId="5" borderId="0" applyNumberFormat="0" applyBorder="0" applyAlignment="0" applyProtection="0"/>
    <xf numFmtId="0"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5"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0"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0"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5" fontId="39" fillId="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4" fontId="39" fillId="5" borderId="0" applyNumberFormat="0" applyBorder="0" applyAlignment="0" applyProtection="0"/>
    <xf numFmtId="187" fontId="93" fillId="15" borderId="0" applyNumberFormat="0" applyBorder="0" applyAlignment="0" applyProtection="0"/>
    <xf numFmtId="0" fontId="39" fillId="5" borderId="0" applyNumberFormat="0" applyBorder="0" applyAlignment="0" applyProtection="0"/>
    <xf numFmtId="184" fontId="39" fillId="5" borderId="0" applyNumberFormat="0" applyBorder="0" applyAlignment="0" applyProtection="0"/>
    <xf numFmtId="184" fontId="93" fillId="15" borderId="0" applyNumberFormat="0" applyBorder="0" applyAlignment="0" applyProtection="0"/>
    <xf numFmtId="0" fontId="39" fillId="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5"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0" fontId="39" fillId="5"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5" fontId="87" fillId="56" borderId="0" applyNumberFormat="0" applyBorder="0" applyAlignment="0" applyProtection="0"/>
    <xf numFmtId="183"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184" fontId="87" fillId="56" borderId="0" applyNumberFormat="0" applyBorder="0" applyAlignment="0" applyProtection="0"/>
    <xf numFmtId="0" fontId="39" fillId="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5" fontId="39" fillId="5" borderId="0" applyNumberFormat="0" applyBorder="0" applyAlignment="0" applyProtection="0"/>
    <xf numFmtId="183" fontId="39" fillId="5" borderId="0" applyNumberFormat="0" applyBorder="0" applyAlignment="0" applyProtection="0"/>
    <xf numFmtId="184" fontId="39" fillId="5" borderId="0" applyNumberFormat="0" applyBorder="0" applyAlignment="0" applyProtection="0"/>
    <xf numFmtId="184" fontId="39" fillId="5" borderId="0" applyNumberFormat="0" applyBorder="0" applyAlignment="0" applyProtection="0"/>
    <xf numFmtId="184" fontId="39" fillId="5" borderId="0" applyNumberFormat="0" applyBorder="0" applyAlignment="0" applyProtection="0"/>
    <xf numFmtId="185" fontId="93" fillId="15" borderId="0" applyNumberFormat="0" applyBorder="0" applyAlignment="0" applyProtection="0"/>
    <xf numFmtId="183" fontId="93" fillId="15" borderId="0" applyNumberFormat="0" applyBorder="0" applyAlignment="0" applyProtection="0"/>
    <xf numFmtId="184" fontId="93" fillId="15" borderId="0" applyNumberFormat="0" applyBorder="0" applyAlignment="0" applyProtection="0"/>
    <xf numFmtId="184" fontId="93" fillId="15" borderId="0" applyNumberFormat="0" applyBorder="0" applyAlignment="0" applyProtection="0"/>
    <xf numFmtId="184" fontId="87" fillId="56" borderId="0" applyNumberFormat="0" applyBorder="0" applyAlignment="0" applyProtection="0"/>
    <xf numFmtId="182" fontId="87" fillId="56"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0"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5"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0"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0"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7" fontId="93" fillId="75"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93" fillId="75" borderId="0" applyNumberFormat="0" applyBorder="0" applyAlignment="0" applyProtection="0"/>
    <xf numFmtId="0" fontId="39" fillId="77"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5"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0" fontId="39" fillId="77"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5" fontId="87" fillId="60" borderId="0" applyNumberFormat="0" applyBorder="0" applyAlignment="0" applyProtection="0"/>
    <xf numFmtId="183"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184" fontId="87" fillId="60"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93" fillId="75" borderId="0" applyNumberFormat="0" applyBorder="0" applyAlignment="0" applyProtection="0"/>
    <xf numFmtId="183" fontId="93" fillId="75" borderId="0" applyNumberFormat="0" applyBorder="0" applyAlignment="0" applyProtection="0"/>
    <xf numFmtId="184" fontId="93" fillId="75" borderId="0" applyNumberFormat="0" applyBorder="0" applyAlignment="0" applyProtection="0"/>
    <xf numFmtId="184" fontId="93" fillId="75" borderId="0" applyNumberFormat="0" applyBorder="0" applyAlignment="0" applyProtection="0"/>
    <xf numFmtId="184" fontId="87" fillId="60" borderId="0" applyNumberFormat="0" applyBorder="0" applyAlignment="0" applyProtection="0"/>
    <xf numFmtId="182" fontId="87" fillId="60"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0"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5"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0"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7" fontId="93" fillId="3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93" fillId="31" borderId="0" applyNumberFormat="0" applyBorder="0" applyAlignment="0" applyProtection="0"/>
    <xf numFmtId="0" fontId="39" fillId="78"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5"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0" fontId="39" fillId="78"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5" fontId="87" fillId="64" borderId="0" applyNumberFormat="0" applyBorder="0" applyAlignment="0" applyProtection="0"/>
    <xf numFmtId="183"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184" fontId="87" fillId="64"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93" fillId="31" borderId="0" applyNumberFormat="0" applyBorder="0" applyAlignment="0" applyProtection="0"/>
    <xf numFmtId="183" fontId="93" fillId="31" borderId="0" applyNumberFormat="0" applyBorder="0" applyAlignment="0" applyProtection="0"/>
    <xf numFmtId="184" fontId="93" fillId="31" borderId="0" applyNumberFormat="0" applyBorder="0" applyAlignment="0" applyProtection="0"/>
    <xf numFmtId="184" fontId="93" fillId="31" borderId="0" applyNumberFormat="0" applyBorder="0" applyAlignment="0" applyProtection="0"/>
    <xf numFmtId="184" fontId="87" fillId="64" borderId="0" applyNumberFormat="0" applyBorder="0" applyAlignment="0" applyProtection="0"/>
    <xf numFmtId="182" fontId="87" fillId="64" borderId="0" applyNumberFormat="0" applyBorder="0" applyAlignment="0" applyProtection="0"/>
    <xf numFmtId="0" fontId="39" fillId="7" borderId="0" applyNumberFormat="0" applyBorder="0" applyAlignment="0" applyProtection="0"/>
    <xf numFmtId="184" fontId="39" fillId="7" borderId="0" applyNumberFormat="0" applyBorder="0" applyAlignment="0" applyProtection="0"/>
    <xf numFmtId="0"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5"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0"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0"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5" fontId="39" fillId="7"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4" fontId="39" fillId="7" borderId="0" applyNumberFormat="0" applyBorder="0" applyAlignment="0" applyProtection="0"/>
    <xf numFmtId="187" fontId="93" fillId="74" borderId="0" applyNumberFormat="0" applyBorder="0" applyAlignment="0" applyProtection="0"/>
    <xf numFmtId="0" fontId="39" fillId="7" borderId="0" applyNumberFormat="0" applyBorder="0" applyAlignment="0" applyProtection="0"/>
    <xf numFmtId="184" fontId="39" fillId="7" borderId="0" applyNumberFormat="0" applyBorder="0" applyAlignment="0" applyProtection="0"/>
    <xf numFmtId="184" fontId="93" fillId="74" borderId="0" applyNumberFormat="0" applyBorder="0" applyAlignment="0" applyProtection="0"/>
    <xf numFmtId="0" fontId="39" fillId="7"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5"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0" fontId="39" fillId="7"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5" fontId="87" fillId="68" borderId="0" applyNumberFormat="0" applyBorder="0" applyAlignment="0" applyProtection="0"/>
    <xf numFmtId="183"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184" fontId="87" fillId="68" borderId="0" applyNumberFormat="0" applyBorder="0" applyAlignment="0" applyProtection="0"/>
    <xf numFmtId="0" fontId="39" fillId="7"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5" fontId="39" fillId="7" borderId="0" applyNumberFormat="0" applyBorder="0" applyAlignment="0" applyProtection="0"/>
    <xf numFmtId="183" fontId="39" fillId="7" borderId="0" applyNumberFormat="0" applyBorder="0" applyAlignment="0" applyProtection="0"/>
    <xf numFmtId="184" fontId="39" fillId="7" borderId="0" applyNumberFormat="0" applyBorder="0" applyAlignment="0" applyProtection="0"/>
    <xf numFmtId="184" fontId="39" fillId="7" borderId="0" applyNumberFormat="0" applyBorder="0" applyAlignment="0" applyProtection="0"/>
    <xf numFmtId="184" fontId="39" fillId="7" borderId="0" applyNumberFormat="0" applyBorder="0" applyAlignment="0" applyProtection="0"/>
    <xf numFmtId="185" fontId="93" fillId="74" borderId="0" applyNumberFormat="0" applyBorder="0" applyAlignment="0" applyProtection="0"/>
    <xf numFmtId="183" fontId="93" fillId="74" borderId="0" applyNumberFormat="0" applyBorder="0" applyAlignment="0" applyProtection="0"/>
    <xf numFmtId="184" fontId="93" fillId="74" borderId="0" applyNumberFormat="0" applyBorder="0" applyAlignment="0" applyProtection="0"/>
    <xf numFmtId="184" fontId="93" fillId="74" borderId="0" applyNumberFormat="0" applyBorder="0" applyAlignment="0" applyProtection="0"/>
    <xf numFmtId="184" fontId="87" fillId="68" borderId="0" applyNumberFormat="0" applyBorder="0" applyAlignment="0" applyProtection="0"/>
    <xf numFmtId="182" fontId="87" fillId="68" borderId="0" applyNumberFormat="0" applyBorder="0" applyAlignment="0" applyProtection="0"/>
    <xf numFmtId="184" fontId="38" fillId="8" borderId="0" applyNumberFormat="0" applyBorder="0" applyAlignment="0" applyProtection="0"/>
    <xf numFmtId="182" fontId="38" fillId="79" borderId="0" applyNumberFormat="0" applyBorder="0" applyAlignment="0" applyProtection="0"/>
    <xf numFmtId="0"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79" borderId="0" applyNumberFormat="0" applyBorder="0" applyAlignment="0" applyProtection="0"/>
    <xf numFmtId="183" fontId="38" fillId="79" borderId="0" applyNumberFormat="0" applyBorder="0" applyAlignment="0" applyProtection="0"/>
    <xf numFmtId="183" fontId="38" fillId="79" borderId="0" applyNumberFormat="0" applyBorder="0" applyAlignment="0" applyProtection="0"/>
    <xf numFmtId="184" fontId="38" fillId="79" borderId="0" applyNumberFormat="0" applyBorder="0" applyAlignment="0" applyProtection="0"/>
    <xf numFmtId="184" fontId="38" fillId="79" borderId="0" applyNumberFormat="0" applyBorder="0" applyAlignment="0" applyProtection="0"/>
    <xf numFmtId="0" fontId="38" fillId="79" borderId="0" applyNumberFormat="0" applyBorder="0" applyAlignment="0" applyProtection="0"/>
    <xf numFmtId="184" fontId="38" fillId="79" borderId="0" applyNumberFormat="0" applyBorder="0" applyAlignment="0" applyProtection="0"/>
    <xf numFmtId="184" fontId="38" fillId="79"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4" fontId="38" fillId="9" borderId="0" applyNumberFormat="0" applyBorder="0" applyAlignment="0" applyProtection="0"/>
    <xf numFmtId="182" fontId="38" fillId="18" borderId="0" applyNumberFormat="0" applyBorder="0" applyAlignment="0" applyProtection="0"/>
    <xf numFmtId="0"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2" fontId="39" fillId="80" borderId="0" applyNumberFormat="0" applyBorder="0" applyAlignment="0" applyProtection="0"/>
    <xf numFmtId="0"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185"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10" borderId="0" applyNumberFormat="0" applyBorder="0" applyAlignment="0" applyProtection="0"/>
    <xf numFmtId="185"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183" fontId="39" fillId="10" borderId="0" applyNumberFormat="0" applyBorder="0" applyAlignment="0" applyProtection="0"/>
    <xf numFmtId="184"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187"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0" fontId="39" fillId="10" borderId="0" applyNumberFormat="0" applyBorder="0" applyAlignment="0" applyProtection="0"/>
    <xf numFmtId="184" fontId="39" fillId="10" borderId="0" applyNumberFormat="0" applyBorder="0" applyAlignment="0" applyProtection="0"/>
    <xf numFmtId="184" fontId="39" fillId="10"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4" fontId="39" fillId="81" borderId="0" applyNumberFormat="0" applyBorder="0" applyAlignment="0" applyProtection="0"/>
    <xf numFmtId="184"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182" fontId="87" fillId="45"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0"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2" fontId="39" fillId="81" borderId="0" applyNumberFormat="0" applyBorder="0" applyAlignment="0" applyProtection="0"/>
    <xf numFmtId="0"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5"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7" fontId="39" fillId="81"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5"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7" fontId="39" fillId="81" borderId="0" applyNumberFormat="0" applyBorder="0" applyAlignment="0" applyProtection="0"/>
    <xf numFmtId="0" fontId="39" fillId="82" borderId="0" applyNumberFormat="0" applyBorder="0" applyAlignment="0" applyProtection="0"/>
    <xf numFmtId="184" fontId="39" fillId="82"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0"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5" fontId="87" fillId="45" borderId="0" applyNumberFormat="0" applyBorder="0" applyAlignment="0" applyProtection="0"/>
    <xf numFmtId="183"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184" fontId="87" fillId="45"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7"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2"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0"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5"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185" fontId="39" fillId="81" borderId="0" applyNumberFormat="0" applyBorder="0" applyAlignment="0" applyProtection="0"/>
    <xf numFmtId="183" fontId="39" fillId="81" borderId="0" applyNumberFormat="0" applyBorder="0" applyAlignment="0" applyProtection="0"/>
    <xf numFmtId="184" fontId="39" fillId="81" borderId="0" applyNumberFormat="0" applyBorder="0" applyAlignment="0" applyProtection="0"/>
    <xf numFmtId="184" fontId="39" fillId="81"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0" fontId="39" fillId="82" borderId="0" applyNumberFormat="0" applyBorder="0" applyAlignment="0" applyProtection="0"/>
    <xf numFmtId="183" fontId="39" fillId="82" borderId="0" applyNumberFormat="0" applyBorder="0" applyAlignment="0" applyProtection="0"/>
    <xf numFmtId="184" fontId="39" fillId="82" borderId="0" applyNumberFormat="0" applyBorder="0" applyAlignment="0" applyProtection="0"/>
    <xf numFmtId="184" fontId="39" fillId="82" borderId="0" applyNumberFormat="0" applyBorder="0" applyAlignment="0" applyProtection="0"/>
    <xf numFmtId="184" fontId="38" fillId="12" borderId="0" applyNumberFormat="0" applyBorder="0" applyAlignment="0" applyProtection="0"/>
    <xf numFmtId="182" fontId="38" fillId="83" borderId="0" applyNumberFormat="0" applyBorder="0" applyAlignment="0" applyProtection="0"/>
    <xf numFmtId="0"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0" fontId="38" fillId="83" borderId="0" applyNumberFormat="0" applyBorder="0" applyAlignment="0" applyProtection="0"/>
    <xf numFmtId="183" fontId="38" fillId="83" borderId="0" applyNumberFormat="0" applyBorder="0" applyAlignment="0" applyProtection="0"/>
    <xf numFmtId="183"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7"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5"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183" fontId="38" fillId="12" borderId="0" applyNumberFormat="0" applyBorder="0" applyAlignment="0" applyProtection="0"/>
    <xf numFmtId="183"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7"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0" fontId="38" fillId="12" borderId="0" applyNumberFormat="0" applyBorder="0" applyAlignment="0" applyProtection="0"/>
    <xf numFmtId="184" fontId="38" fillId="12" borderId="0" applyNumberFormat="0" applyBorder="0" applyAlignment="0" applyProtection="0"/>
    <xf numFmtId="184" fontId="38" fillId="13" borderId="0" applyNumberFormat="0" applyBorder="0" applyAlignment="0" applyProtection="0"/>
    <xf numFmtId="182" fontId="38" fillId="17" borderId="0" applyNumberFormat="0" applyBorder="0" applyAlignment="0" applyProtection="0"/>
    <xf numFmtId="0"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2" fontId="39" fillId="1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3" borderId="0" applyNumberFormat="0" applyBorder="0" applyAlignment="0" applyProtection="0"/>
    <xf numFmtId="183" fontId="39" fillId="13" borderId="0" applyNumberFormat="0" applyBorder="0" applyAlignment="0" applyProtection="0"/>
    <xf numFmtId="184" fontId="39" fillId="13" borderId="0" applyNumberFormat="0" applyBorder="0" applyAlignment="0" applyProtection="0"/>
    <xf numFmtId="184" fontId="39" fillId="13"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7"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4" fontId="39" fillId="84" borderId="0" applyNumberFormat="0" applyBorder="0" applyAlignment="0" applyProtection="0"/>
    <xf numFmtId="184"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182" fontId="87" fillId="49"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0"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2" fontId="39" fillId="84" borderId="0" applyNumberFormat="0" applyBorder="0" applyAlignment="0" applyProtection="0"/>
    <xf numFmtId="0"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5"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7" fontId="39" fillId="84"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5"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7" fontId="39" fillId="84" borderId="0" applyNumberFormat="0" applyBorder="0" applyAlignment="0" applyProtection="0"/>
    <xf numFmtId="0" fontId="39" fillId="11" borderId="0" applyNumberFormat="0" applyBorder="0" applyAlignment="0" applyProtection="0"/>
    <xf numFmtId="184" fontId="39" fillId="11"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0"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5" fontId="87" fillId="49" borderId="0" applyNumberFormat="0" applyBorder="0" applyAlignment="0" applyProtection="0"/>
    <xf numFmtId="183"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184" fontId="87" fillId="49"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7"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2"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0"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5"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185" fontId="39" fillId="84" borderId="0" applyNumberFormat="0" applyBorder="0" applyAlignment="0" applyProtection="0"/>
    <xf numFmtId="183" fontId="39" fillId="84" borderId="0" applyNumberFormat="0" applyBorder="0" applyAlignment="0" applyProtection="0"/>
    <xf numFmtId="184" fontId="39" fillId="84" borderId="0" applyNumberFormat="0" applyBorder="0" applyAlignment="0" applyProtection="0"/>
    <xf numFmtId="184" fontId="39" fillId="84"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0" fontId="39" fillId="11" borderId="0" applyNumberFormat="0" applyBorder="0" applyAlignment="0" applyProtection="0"/>
    <xf numFmtId="183" fontId="39" fillId="11" borderId="0" applyNumberFormat="0" applyBorder="0" applyAlignment="0" applyProtection="0"/>
    <xf numFmtId="184" fontId="39" fillId="11" borderId="0" applyNumberFormat="0" applyBorder="0" applyAlignment="0" applyProtection="0"/>
    <xf numFmtId="184" fontId="39" fillId="11" borderId="0" applyNumberFormat="0" applyBorder="0" applyAlignment="0" applyProtection="0"/>
    <xf numFmtId="184" fontId="38" fillId="16" borderId="0" applyNumberFormat="0" applyBorder="0" applyAlignment="0" applyProtection="0"/>
    <xf numFmtId="182" fontId="38" fillId="85" borderId="0" applyNumberFormat="0" applyBorder="0" applyAlignment="0" applyProtection="0"/>
    <xf numFmtId="0"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85" borderId="0" applyNumberFormat="0" applyBorder="0" applyAlignment="0" applyProtection="0"/>
    <xf numFmtId="183" fontId="38" fillId="85" borderId="0" applyNumberFormat="0" applyBorder="0" applyAlignment="0" applyProtection="0"/>
    <xf numFmtId="183" fontId="38" fillId="85" borderId="0" applyNumberFormat="0" applyBorder="0" applyAlignment="0" applyProtection="0"/>
    <xf numFmtId="184" fontId="38" fillId="85" borderId="0" applyNumberFormat="0" applyBorder="0" applyAlignment="0" applyProtection="0"/>
    <xf numFmtId="184" fontId="38" fillId="85" borderId="0" applyNumberFormat="0" applyBorder="0" applyAlignment="0" applyProtection="0"/>
    <xf numFmtId="0" fontId="38" fillId="85" borderId="0" applyNumberFormat="0" applyBorder="0" applyAlignment="0" applyProtection="0"/>
    <xf numFmtId="184" fontId="38" fillId="85" borderId="0" applyNumberFormat="0" applyBorder="0" applyAlignment="0" applyProtection="0"/>
    <xf numFmtId="184" fontId="38" fillId="85"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7"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5"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7"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4" fontId="38" fillId="17" borderId="0" applyNumberFormat="0" applyBorder="0" applyAlignment="0" applyProtection="0"/>
    <xf numFmtId="182" fontId="38" fillId="86"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86" borderId="0" applyNumberFormat="0" applyBorder="0" applyAlignment="0" applyProtection="0"/>
    <xf numFmtId="183" fontId="38" fillId="86" borderId="0" applyNumberFormat="0" applyBorder="0" applyAlignment="0" applyProtection="0"/>
    <xf numFmtId="183"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0"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2" fontId="39" fillId="87" borderId="0" applyNumberFormat="0" applyBorder="0" applyAlignment="0" applyProtection="0"/>
    <xf numFmtId="0"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87" borderId="0" applyNumberFormat="0" applyBorder="0" applyAlignment="0" applyProtection="0"/>
    <xf numFmtId="183" fontId="39" fillId="87" borderId="0" applyNumberFormat="0" applyBorder="0" applyAlignment="0" applyProtection="0"/>
    <xf numFmtId="184" fontId="39" fillId="87" borderId="0" applyNumberFormat="0" applyBorder="0" applyAlignment="0" applyProtection="0"/>
    <xf numFmtId="184" fontId="39" fillId="87"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7"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87" fillId="53" borderId="0" applyNumberFormat="0" applyBorder="0" applyAlignment="0" applyProtection="0"/>
    <xf numFmtId="184" fontId="87" fillId="53"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0" fontId="39" fillId="88" borderId="0" applyNumberFormat="0" applyBorder="0" applyAlignment="0" applyProtection="0"/>
    <xf numFmtId="184" fontId="39" fillId="88" borderId="0" applyNumberFormat="0" applyBorder="0" applyAlignment="0" applyProtection="0"/>
    <xf numFmtId="184"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182" fontId="87" fillId="53"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0"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2" fontId="39" fillId="88" borderId="0" applyNumberFormat="0" applyBorder="0" applyAlignment="0" applyProtection="0"/>
    <xf numFmtId="0"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5"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7" fontId="39" fillId="14"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7" fontId="39" fillId="14"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5"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0"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5" fontId="87" fillId="53" borderId="0" applyNumberFormat="0" applyBorder="0" applyAlignment="0" applyProtection="0"/>
    <xf numFmtId="183"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184" fontId="87" fillId="53"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7" fontId="39" fillId="14" borderId="0" applyNumberFormat="0" applyBorder="0" applyAlignment="0" applyProtection="0"/>
    <xf numFmtId="0"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2" fontId="39" fillId="88"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5"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0"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0" fontId="39" fillId="88" borderId="0" applyNumberFormat="0" applyBorder="0" applyAlignment="0" applyProtection="0"/>
    <xf numFmtId="183" fontId="39" fillId="88" borderId="0" applyNumberFormat="0" applyBorder="0" applyAlignment="0" applyProtection="0"/>
    <xf numFmtId="184" fontId="39" fillId="88" borderId="0" applyNumberFormat="0" applyBorder="0" applyAlignment="0" applyProtection="0"/>
    <xf numFmtId="184" fontId="39" fillId="88"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5"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185" fontId="39" fillId="14" borderId="0" applyNumberFormat="0" applyBorder="0" applyAlignment="0" applyProtection="0"/>
    <xf numFmtId="183" fontId="39" fillId="14" borderId="0" applyNumberFormat="0" applyBorder="0" applyAlignment="0" applyProtection="0"/>
    <xf numFmtId="184" fontId="39" fillId="14" borderId="0" applyNumberFormat="0" applyBorder="0" applyAlignment="0" applyProtection="0"/>
    <xf numFmtId="184" fontId="39" fillId="14"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0" fontId="39" fillId="15" borderId="0" applyNumberFormat="0" applyBorder="0" applyAlignment="0" applyProtection="0"/>
    <xf numFmtId="183" fontId="39" fillId="15" borderId="0" applyNumberFormat="0" applyBorder="0" applyAlignment="0" applyProtection="0"/>
    <xf numFmtId="184" fontId="39" fillId="15" borderId="0" applyNumberFormat="0" applyBorder="0" applyAlignment="0" applyProtection="0"/>
    <xf numFmtId="184" fontId="39" fillId="15" borderId="0" applyNumberFormat="0" applyBorder="0" applyAlignment="0" applyProtection="0"/>
    <xf numFmtId="184" fontId="38" fillId="17" borderId="0" applyNumberFormat="0" applyBorder="0" applyAlignment="0" applyProtection="0"/>
    <xf numFmtId="182" fontId="38" fillId="83" borderId="0" applyNumberFormat="0" applyBorder="0" applyAlignment="0" applyProtection="0"/>
    <xf numFmtId="0"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83" borderId="0" applyNumberFormat="0" applyBorder="0" applyAlignment="0" applyProtection="0"/>
    <xf numFmtId="183" fontId="38" fillId="83" borderId="0" applyNumberFormat="0" applyBorder="0" applyAlignment="0" applyProtection="0"/>
    <xf numFmtId="183"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83" borderId="0" applyNumberFormat="0" applyBorder="0" applyAlignment="0" applyProtection="0"/>
    <xf numFmtId="184" fontId="38" fillId="83" borderId="0" applyNumberFormat="0" applyBorder="0" applyAlignment="0" applyProtection="0"/>
    <xf numFmtId="184" fontId="38" fillId="83"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5"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183" fontId="38" fillId="17" borderId="0" applyNumberFormat="0" applyBorder="0" applyAlignment="0" applyProtection="0"/>
    <xf numFmtId="183"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7"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0" fontId="38" fillId="17" borderId="0" applyNumberFormat="0" applyBorder="0" applyAlignment="0" applyProtection="0"/>
    <xf numFmtId="184" fontId="38" fillId="17" borderId="0" applyNumberFormat="0" applyBorder="0" applyAlignment="0" applyProtection="0"/>
    <xf numFmtId="184" fontId="38" fillId="18" borderId="0" applyNumberFormat="0" applyBorder="0" applyAlignment="0" applyProtection="0"/>
    <xf numFmtId="182" fontId="38" fillId="14" borderId="0" applyNumberFormat="0" applyBorder="0" applyAlignment="0" applyProtection="0"/>
    <xf numFmtId="0"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4" borderId="0" applyNumberFormat="0" applyBorder="0" applyAlignment="0" applyProtection="0"/>
    <xf numFmtId="183" fontId="38" fillId="14" borderId="0" applyNumberFormat="0" applyBorder="0" applyAlignment="0" applyProtection="0"/>
    <xf numFmtId="183"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4" borderId="0" applyNumberFormat="0" applyBorder="0" applyAlignment="0" applyProtection="0"/>
    <xf numFmtId="184" fontId="38" fillId="14" borderId="0" applyNumberFormat="0" applyBorder="0" applyAlignment="0" applyProtection="0"/>
    <xf numFmtId="184" fontId="38" fillId="14"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5"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183" fontId="38" fillId="18" borderId="0" applyNumberFormat="0" applyBorder="0" applyAlignment="0" applyProtection="0"/>
    <xf numFmtId="183"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7"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0" fontId="38" fillId="18" borderId="0" applyNumberFormat="0" applyBorder="0" applyAlignment="0" applyProtection="0"/>
    <xf numFmtId="184" fontId="38" fillId="18" borderId="0" applyNumberFormat="0" applyBorder="0" applyAlignment="0" applyProtection="0"/>
    <xf numFmtId="182" fontId="39" fillId="17" borderId="0" applyNumberFormat="0" applyBorder="0" applyAlignment="0" applyProtection="0"/>
    <xf numFmtId="0"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17" borderId="0" applyNumberFormat="0" applyBorder="0" applyAlignment="0" applyProtection="0"/>
    <xf numFmtId="183" fontId="39" fillId="17" borderId="0" applyNumberFormat="0" applyBorder="0" applyAlignment="0" applyProtection="0"/>
    <xf numFmtId="184" fontId="39" fillId="17" borderId="0" applyNumberFormat="0" applyBorder="0" applyAlignment="0" applyProtection="0"/>
    <xf numFmtId="184" fontId="39" fillId="17" borderId="0" applyNumberFormat="0" applyBorder="0" applyAlignment="0" applyProtection="0"/>
    <xf numFmtId="184" fontId="39" fillId="18" borderId="0" applyNumberFormat="0" applyBorder="0" applyAlignment="0" applyProtection="0"/>
    <xf numFmtId="185"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3"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7"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0" fontId="39" fillId="18" borderId="0" applyNumberFormat="0" applyBorder="0" applyAlignment="0" applyProtection="0"/>
    <xf numFmtId="184" fontId="39" fillId="18" borderId="0" applyNumberFormat="0" applyBorder="0" applyAlignment="0" applyProtection="0"/>
    <xf numFmtId="184" fontId="39" fillId="18"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87" fillId="57" borderId="0" applyNumberFormat="0" applyBorder="0" applyAlignment="0" applyProtection="0"/>
    <xf numFmtId="184" fontId="87" fillId="57"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0" fontId="39" fillId="90" borderId="0" applyNumberFormat="0" applyBorder="0" applyAlignment="0" applyProtection="0"/>
    <xf numFmtId="184" fontId="39" fillId="90" borderId="0" applyNumberFormat="0" applyBorder="0" applyAlignment="0" applyProtection="0"/>
    <xf numFmtId="184"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182" fontId="87" fillId="57"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0"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2" fontId="39" fillId="90" borderId="0" applyNumberFormat="0" applyBorder="0" applyAlignment="0" applyProtection="0"/>
    <xf numFmtId="0"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5"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7" fontId="39" fillId="89"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7" fontId="39" fillId="89"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5"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0"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5" fontId="87" fillId="57" borderId="0" applyNumberFormat="0" applyBorder="0" applyAlignment="0" applyProtection="0"/>
    <xf numFmtId="183"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184" fontId="87" fillId="57"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7" fontId="39" fillId="89" borderId="0" applyNumberFormat="0" applyBorder="0" applyAlignment="0" applyProtection="0"/>
    <xf numFmtId="0"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2" fontId="39" fillId="90"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5"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0"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0" fontId="39" fillId="90" borderId="0" applyNumberFormat="0" applyBorder="0" applyAlignment="0" applyProtection="0"/>
    <xf numFmtId="183" fontId="39" fillId="90" borderId="0" applyNumberFormat="0" applyBorder="0" applyAlignment="0" applyProtection="0"/>
    <xf numFmtId="184" fontId="39" fillId="90" borderId="0" applyNumberFormat="0" applyBorder="0" applyAlignment="0" applyProtection="0"/>
    <xf numFmtId="184" fontId="39" fillId="90"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5"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185" fontId="39" fillId="89" borderId="0" applyNumberFormat="0" applyBorder="0" applyAlignment="0" applyProtection="0"/>
    <xf numFmtId="183" fontId="39" fillId="89" borderId="0" applyNumberFormat="0" applyBorder="0" applyAlignment="0" applyProtection="0"/>
    <xf numFmtId="184" fontId="39" fillId="89" borderId="0" applyNumberFormat="0" applyBorder="0" applyAlignment="0" applyProtection="0"/>
    <xf numFmtId="184" fontId="39" fillId="89"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0" fontId="39" fillId="77" borderId="0" applyNumberFormat="0" applyBorder="0" applyAlignment="0" applyProtection="0"/>
    <xf numFmtId="183" fontId="39" fillId="77" borderId="0" applyNumberFormat="0" applyBorder="0" applyAlignment="0" applyProtection="0"/>
    <xf numFmtId="184" fontId="39" fillId="77" borderId="0" applyNumberFormat="0" applyBorder="0" applyAlignment="0" applyProtection="0"/>
    <xf numFmtId="184" fontId="39" fillId="77" borderId="0" applyNumberFormat="0" applyBorder="0" applyAlignment="0" applyProtection="0"/>
    <xf numFmtId="184" fontId="38" fillId="8" borderId="0" applyNumberFormat="0" applyBorder="0" applyAlignment="0" applyProtection="0"/>
    <xf numFmtId="182" fontId="38" fillId="16" borderId="0" applyNumberFormat="0" applyBorder="0" applyAlignment="0" applyProtection="0"/>
    <xf numFmtId="0"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16" borderId="0" applyNumberFormat="0" applyBorder="0" applyAlignment="0" applyProtection="0"/>
    <xf numFmtId="183" fontId="38" fillId="16" borderId="0" applyNumberFormat="0" applyBorder="0" applyAlignment="0" applyProtection="0"/>
    <xf numFmtId="183"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16" borderId="0" applyNumberFormat="0" applyBorder="0" applyAlignment="0" applyProtection="0"/>
    <xf numFmtId="184" fontId="38" fillId="16" borderId="0" applyNumberFormat="0" applyBorder="0" applyAlignment="0" applyProtection="0"/>
    <xf numFmtId="184" fontId="38" fillId="16"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5"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183" fontId="38" fillId="8" borderId="0" applyNumberFormat="0" applyBorder="0" applyAlignment="0" applyProtection="0"/>
    <xf numFmtId="183"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187"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0" fontId="38" fillId="8" borderId="0" applyNumberFormat="0" applyBorder="0" applyAlignment="0" applyProtection="0"/>
    <xf numFmtId="184" fontId="38" fillId="8" borderId="0" applyNumberFormat="0" applyBorder="0" applyAlignment="0" applyProtection="0"/>
    <xf numFmtId="0"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5"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3" fontId="38" fillId="9" borderId="0" applyNumberFormat="0" applyBorder="0" applyAlignment="0" applyProtection="0"/>
    <xf numFmtId="183"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0" fontId="38" fillId="9" borderId="0" applyNumberFormat="0" applyBorder="0" applyAlignment="0" applyProtection="0"/>
    <xf numFmtId="184" fontId="38" fillId="9" borderId="0" applyNumberFormat="0" applyBorder="0" applyAlignment="0" applyProtection="0"/>
    <xf numFmtId="187" fontId="38" fillId="9" borderId="0" applyNumberFormat="0" applyBorder="0" applyAlignment="0" applyProtection="0"/>
    <xf numFmtId="184" fontId="38" fillId="9" borderId="0" applyNumberFormat="0" applyBorder="0" applyAlignment="0" applyProtection="0"/>
    <xf numFmtId="184" fontId="38" fillId="9" borderId="0" applyNumberFormat="0" applyBorder="0" applyAlignment="0" applyProtection="0"/>
    <xf numFmtId="182" fontId="38" fillId="9" borderId="0" applyNumberFormat="0" applyBorder="0" applyAlignment="0" applyProtection="0"/>
    <xf numFmtId="182" fontId="39" fillId="80" borderId="0" applyNumberFormat="0" applyBorder="0" applyAlignment="0" applyProtection="0"/>
    <xf numFmtId="0"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185"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9" borderId="0" applyNumberFormat="0" applyBorder="0" applyAlignment="0" applyProtection="0"/>
    <xf numFmtId="185"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183" fontId="39" fillId="9" borderId="0" applyNumberFormat="0" applyBorder="0" applyAlignment="0" applyProtection="0"/>
    <xf numFmtId="184"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187"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0" fontId="39" fillId="9" borderId="0" applyNumberFormat="0" applyBorder="0" applyAlignment="0" applyProtection="0"/>
    <xf numFmtId="184" fontId="39" fillId="9" borderId="0" applyNumberFormat="0" applyBorder="0" applyAlignment="0" applyProtection="0"/>
    <xf numFmtId="184" fontId="39" fillId="9"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87" fillId="61" borderId="0" applyNumberFormat="0" applyBorder="0" applyAlignment="0" applyProtection="0"/>
    <xf numFmtId="184" fontId="87" fillId="61"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0" fontId="39" fillId="80" borderId="0" applyNumberFormat="0" applyBorder="0" applyAlignment="0" applyProtection="0"/>
    <xf numFmtId="184" fontId="39" fillId="80" borderId="0" applyNumberFormat="0" applyBorder="0" applyAlignment="0" applyProtection="0"/>
    <xf numFmtId="184"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182" fontId="87" fillId="61"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0"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2" fontId="39" fillId="80" borderId="0" applyNumberFormat="0" applyBorder="0" applyAlignment="0" applyProtection="0"/>
    <xf numFmtId="0"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5"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187" fontId="39" fillId="91" borderId="0" applyNumberFormat="0" applyBorder="0" applyAlignment="0" applyProtection="0"/>
    <xf numFmtId="184" fontId="39" fillId="91" borderId="0" applyNumberFormat="0" applyBorder="0" applyAlignment="0" applyProtection="0"/>
    <xf numFmtId="184" fontId="87" fillId="6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7" fontId="39" fillId="9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7" fontId="39" fillId="9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5"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0"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5" fontId="87" fillId="61" borderId="0" applyNumberFormat="0" applyBorder="0" applyAlignment="0" applyProtection="0"/>
    <xf numFmtId="183"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184" fontId="87" fillId="6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7" fontId="39" fillId="91" borderId="0" applyNumberFormat="0" applyBorder="0" applyAlignment="0" applyProtection="0"/>
    <xf numFmtId="0"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2" fontId="39" fillId="80"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5"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0"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0" fontId="39" fillId="80" borderId="0" applyNumberFormat="0" applyBorder="0" applyAlignment="0" applyProtection="0"/>
    <xf numFmtId="183" fontId="39" fillId="80" borderId="0" applyNumberFormat="0" applyBorder="0" applyAlignment="0" applyProtection="0"/>
    <xf numFmtId="184" fontId="39" fillId="80" borderId="0" applyNumberFormat="0" applyBorder="0" applyAlignment="0" applyProtection="0"/>
    <xf numFmtId="184" fontId="39" fillId="80"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5"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185" fontId="39" fillId="91" borderId="0" applyNumberFormat="0" applyBorder="0" applyAlignment="0" applyProtection="0"/>
    <xf numFmtId="183" fontId="39" fillId="91" borderId="0" applyNumberFormat="0" applyBorder="0" applyAlignment="0" applyProtection="0"/>
    <xf numFmtId="184" fontId="39" fillId="91" borderId="0" applyNumberFormat="0" applyBorder="0" applyAlignment="0" applyProtection="0"/>
    <xf numFmtId="184" fontId="39" fillId="91"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9" fillId="78" borderId="0" applyNumberFormat="0" applyBorder="0" applyAlignment="0" applyProtection="0"/>
    <xf numFmtId="183" fontId="39" fillId="78" borderId="0" applyNumberFormat="0" applyBorder="0" applyAlignment="0" applyProtection="0"/>
    <xf numFmtId="184" fontId="39" fillId="78" borderId="0" applyNumberFormat="0" applyBorder="0" applyAlignment="0" applyProtection="0"/>
    <xf numFmtId="184" fontId="39" fillId="78" borderId="0" applyNumberFormat="0" applyBorder="0" applyAlignment="0" applyProtection="0"/>
    <xf numFmtId="0"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0" fontId="38" fillId="20" borderId="0" applyNumberFormat="0" applyBorder="0" applyAlignment="0" applyProtection="0"/>
    <xf numFmtId="184" fontId="38" fillId="20" borderId="0" applyNumberFormat="0" applyBorder="0" applyAlignment="0" applyProtection="0"/>
    <xf numFmtId="187"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5"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3" fontId="38" fillId="20" borderId="0" applyNumberFormat="0" applyBorder="0" applyAlignment="0" applyProtection="0"/>
    <xf numFmtId="183"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0" fontId="38" fillId="20" borderId="0" applyNumberFormat="0" applyBorder="0" applyAlignment="0" applyProtection="0"/>
    <xf numFmtId="184" fontId="38" fillId="20" borderId="0" applyNumberFormat="0" applyBorder="0" applyAlignment="0" applyProtection="0"/>
    <xf numFmtId="187" fontId="38" fillId="20" borderId="0" applyNumberFormat="0" applyBorder="0" applyAlignment="0" applyProtection="0"/>
    <xf numFmtId="184" fontId="38" fillId="20" borderId="0" applyNumberFormat="0" applyBorder="0" applyAlignment="0" applyProtection="0"/>
    <xf numFmtId="184" fontId="38" fillId="20" borderId="0" applyNumberFormat="0" applyBorder="0" applyAlignment="0" applyProtection="0"/>
    <xf numFmtId="182" fontId="38" fillId="20" borderId="0" applyNumberFormat="0" applyBorder="0" applyAlignment="0" applyProtection="0"/>
    <xf numFmtId="184" fontId="38" fillId="13" borderId="0" applyNumberFormat="0" applyBorder="0" applyAlignment="0" applyProtection="0"/>
    <xf numFmtId="182" fontId="38" fillId="21" borderId="0" applyNumberFormat="0" applyBorder="0" applyAlignment="0" applyProtection="0"/>
    <xf numFmtId="0"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21" borderId="0" applyNumberFormat="0" applyBorder="0" applyAlignment="0" applyProtection="0"/>
    <xf numFmtId="183" fontId="38" fillId="21" borderId="0" applyNumberFormat="0" applyBorder="0" applyAlignment="0" applyProtection="0"/>
    <xf numFmtId="183"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21" borderId="0" applyNumberFormat="0" applyBorder="0" applyAlignment="0" applyProtection="0"/>
    <xf numFmtId="184" fontId="38" fillId="21" borderId="0" applyNumberFormat="0" applyBorder="0" applyAlignment="0" applyProtection="0"/>
    <xf numFmtId="184" fontId="38" fillId="21"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5"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183" fontId="38" fillId="13" borderId="0" applyNumberFormat="0" applyBorder="0" applyAlignment="0" applyProtection="0"/>
    <xf numFmtId="183"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7"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0" fontId="38" fillId="13" borderId="0" applyNumberFormat="0" applyBorder="0" applyAlignment="0" applyProtection="0"/>
    <xf numFmtId="184" fontId="38" fillId="13" borderId="0" applyNumberFormat="0" applyBorder="0" applyAlignment="0" applyProtection="0"/>
    <xf numFmtId="182" fontId="39" fillId="92" borderId="0" applyNumberFormat="0" applyBorder="0" applyAlignment="0" applyProtection="0"/>
    <xf numFmtId="0"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185"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0" fontId="39" fillId="92" borderId="0" applyNumberFormat="0" applyBorder="0" applyAlignment="0" applyProtection="0"/>
    <xf numFmtId="183" fontId="39" fillId="92" borderId="0" applyNumberFormat="0" applyBorder="0" applyAlignment="0" applyProtection="0"/>
    <xf numFmtId="184" fontId="39" fillId="92" borderId="0" applyNumberFormat="0" applyBorder="0" applyAlignment="0" applyProtection="0"/>
    <xf numFmtId="184" fontId="39" fillId="92" borderId="0" applyNumberFormat="0" applyBorder="0" applyAlignment="0" applyProtection="0"/>
    <xf numFmtId="184" fontId="39" fillId="21" borderId="0" applyNumberFormat="0" applyBorder="0" applyAlignment="0" applyProtection="0"/>
    <xf numFmtId="185"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183" fontId="39" fillId="21" borderId="0" applyNumberFormat="0" applyBorder="0" applyAlignment="0" applyProtection="0"/>
    <xf numFmtId="184"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187"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0" fontId="39" fillId="21" borderId="0" applyNumberFormat="0" applyBorder="0" applyAlignment="0" applyProtection="0"/>
    <xf numFmtId="184" fontId="39" fillId="21" borderId="0" applyNumberFormat="0" applyBorder="0" applyAlignment="0" applyProtection="0"/>
    <xf numFmtId="184" fontId="39" fillId="21"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87" fillId="65" borderId="0" applyNumberFormat="0" applyBorder="0" applyAlignment="0" applyProtection="0"/>
    <xf numFmtId="184" fontId="87" fillId="65"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0" fontId="39" fillId="94" borderId="0" applyNumberFormat="0" applyBorder="0" applyAlignment="0" applyProtection="0"/>
    <xf numFmtId="184" fontId="39" fillId="94" borderId="0" applyNumberFormat="0" applyBorder="0" applyAlignment="0" applyProtection="0"/>
    <xf numFmtId="184"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182" fontId="87" fillId="65"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0"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2" fontId="39" fillId="94" borderId="0" applyNumberFormat="0" applyBorder="0" applyAlignment="0" applyProtection="0"/>
    <xf numFmtId="0"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5"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7" fontId="39" fillId="93"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7" fontId="39" fillId="93"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5"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0"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5" fontId="87" fillId="65" borderId="0" applyNumberFormat="0" applyBorder="0" applyAlignment="0" applyProtection="0"/>
    <xf numFmtId="183"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184" fontId="87" fillId="65"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7" fontId="39" fillId="93" borderId="0" applyNumberFormat="0" applyBorder="0" applyAlignment="0" applyProtection="0"/>
    <xf numFmtId="0"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2" fontId="39" fillId="94"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5"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0"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0" fontId="39" fillId="94" borderId="0" applyNumberFormat="0" applyBorder="0" applyAlignment="0" applyProtection="0"/>
    <xf numFmtId="183" fontId="39" fillId="94" borderId="0" applyNumberFormat="0" applyBorder="0" applyAlignment="0" applyProtection="0"/>
    <xf numFmtId="184" fontId="39" fillId="94" borderId="0" applyNumberFormat="0" applyBorder="0" applyAlignment="0" applyProtection="0"/>
    <xf numFmtId="184" fontId="39" fillId="94"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5"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185" fontId="39" fillId="93" borderId="0" applyNumberFormat="0" applyBorder="0" applyAlignment="0" applyProtection="0"/>
    <xf numFmtId="183" fontId="39" fillId="93" borderId="0" applyNumberFormat="0" applyBorder="0" applyAlignment="0" applyProtection="0"/>
    <xf numFmtId="184" fontId="39" fillId="93" borderId="0" applyNumberFormat="0" applyBorder="0" applyAlignment="0" applyProtection="0"/>
    <xf numFmtId="184" fontId="39" fillId="93"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39" fillId="19" borderId="0" applyNumberFormat="0" applyBorder="0" applyAlignment="0" applyProtection="0"/>
    <xf numFmtId="183" fontId="39" fillId="19" borderId="0" applyNumberFormat="0" applyBorder="0" applyAlignment="0" applyProtection="0"/>
    <xf numFmtId="184" fontId="39" fillId="19" borderId="0" applyNumberFormat="0" applyBorder="0" applyAlignment="0" applyProtection="0"/>
    <xf numFmtId="184" fontId="39" fillId="19" borderId="0" applyNumberFormat="0" applyBorder="0" applyAlignment="0" applyProtection="0"/>
    <xf numFmtId="0" fontId="24" fillId="0" borderId="0" applyNumberFormat="0" applyAlignment="0"/>
    <xf numFmtId="0" fontId="24" fillId="0" borderId="0" applyNumberFormat="0" applyAlignment="0"/>
    <xf numFmtId="183" fontId="24" fillId="0" borderId="0" applyNumberFormat="0" applyAlignment="0"/>
    <xf numFmtId="184" fontId="24" fillId="0" borderId="0" applyNumberFormat="0" applyAlignment="0"/>
    <xf numFmtId="185" fontId="24" fillId="0" borderId="0" applyNumberFormat="0" applyAlignment="0"/>
    <xf numFmtId="183" fontId="24" fillId="0" borderId="0" applyNumberFormat="0" applyAlignment="0"/>
    <xf numFmtId="184" fontId="24" fillId="0" borderId="0" applyNumberFormat="0" applyAlignment="0"/>
    <xf numFmtId="184" fontId="24" fillId="0" borderId="0" applyNumberFormat="0" applyAlignment="0"/>
    <xf numFmtId="184" fontId="24" fillId="0" borderId="0" applyNumberFormat="0" applyAlignment="0"/>
    <xf numFmtId="185" fontId="24" fillId="0" borderId="0" applyNumberFormat="0" applyAlignment="0"/>
    <xf numFmtId="183" fontId="24" fillId="0" borderId="0" applyNumberFormat="0" applyAlignment="0"/>
    <xf numFmtId="184" fontId="24" fillId="0" borderId="0" applyNumberFormat="0" applyAlignment="0"/>
    <xf numFmtId="184" fontId="24" fillId="0" borderId="0" applyNumberFormat="0" applyAlignment="0"/>
    <xf numFmtId="183" fontId="24" fillId="0" borderId="0" applyNumberFormat="0" applyAlignment="0"/>
    <xf numFmtId="184" fontId="24" fillId="0" borderId="0" applyNumberFormat="0" applyAlignment="0"/>
    <xf numFmtId="187" fontId="24" fillId="0" borderId="0" applyNumberFormat="0" applyAlignment="0"/>
    <xf numFmtId="184" fontId="24" fillId="0" borderId="0" applyNumberFormat="0" applyAlignment="0"/>
    <xf numFmtId="184" fontId="24" fillId="0" borderId="0" applyNumberFormat="0" applyAlignment="0"/>
    <xf numFmtId="188" fontId="23" fillId="95" borderId="29">
      <alignment horizontal="center" vertical="center"/>
    </xf>
    <xf numFmtId="189" fontId="88" fillId="95" borderId="29">
      <alignment horizontal="center" vertical="center"/>
    </xf>
    <xf numFmtId="188" fontId="23" fillId="95" borderId="29">
      <alignment horizontal="center" vertical="center"/>
    </xf>
    <xf numFmtId="0" fontId="31" fillId="0" borderId="0">
      <alignment horizontal="center" wrapText="1"/>
      <protection locked="0"/>
    </xf>
    <xf numFmtId="0"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5"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5"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5"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183" fontId="31" fillId="0" borderId="0">
      <alignment horizontal="center" wrapText="1"/>
      <protection locked="0"/>
    </xf>
    <xf numFmtId="184" fontId="31" fillId="0" borderId="0">
      <alignment horizontal="center" wrapText="1"/>
      <protection locked="0"/>
    </xf>
    <xf numFmtId="187" fontId="31" fillId="0" borderId="0">
      <alignment horizontal="center" wrapText="1"/>
      <protection locked="0"/>
    </xf>
    <xf numFmtId="184" fontId="31" fillId="0" borderId="0">
      <alignment horizontal="center" wrapText="1"/>
      <protection locked="0"/>
    </xf>
    <xf numFmtId="184" fontId="31" fillId="0" borderId="0">
      <alignment horizontal="center" wrapText="1"/>
      <protection locked="0"/>
    </xf>
    <xf numFmtId="0" fontId="94" fillId="2" borderId="0" applyNumberFormat="0" applyBorder="0" applyAlignment="0" applyProtection="0"/>
    <xf numFmtId="0"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2" fontId="95" fillId="20" borderId="0" applyNumberFormat="0" applyBorder="0" applyAlignment="0" applyProtection="0"/>
    <xf numFmtId="0"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5"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7" fontId="96" fillId="13" borderId="0" applyNumberFormat="0" applyBorder="0" applyAlignment="0" applyProtection="0"/>
    <xf numFmtId="184" fontId="96" fillId="13" borderId="0" applyNumberFormat="0" applyBorder="0" applyAlignment="0" applyProtection="0"/>
    <xf numFmtId="184" fontId="78" fillId="39" borderId="0" applyNumberFormat="0" applyBorder="0" applyAlignment="0" applyProtection="0"/>
    <xf numFmtId="0"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0"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0" fontId="95" fillId="20"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3" fontId="95" fillId="20" borderId="0" applyNumberFormat="0" applyBorder="0" applyAlignment="0" applyProtection="0"/>
    <xf numFmtId="184" fontId="95" fillId="20" borderId="0" applyNumberFormat="0" applyBorder="0" applyAlignment="0" applyProtection="0"/>
    <xf numFmtId="184" fontId="95" fillId="20"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5"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7" fontId="96" fillId="13" borderId="0" applyNumberFormat="0" applyBorder="0" applyAlignment="0" applyProtection="0"/>
    <xf numFmtId="0" fontId="94" fillId="2" borderId="0" applyNumberFormat="0" applyBorder="0" applyAlignment="0" applyProtection="0"/>
    <xf numFmtId="184" fontId="94" fillId="2" borderId="0" applyNumberFormat="0" applyBorder="0" applyAlignment="0" applyProtection="0"/>
    <xf numFmtId="184" fontId="96" fillId="13" borderId="0" applyNumberFormat="0" applyBorder="0" applyAlignment="0" applyProtection="0"/>
    <xf numFmtId="0" fontId="94" fillId="2"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5"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0" fontId="94" fillId="2"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5" fontId="78" fillId="39" borderId="0" applyNumberFormat="0" applyBorder="0" applyAlignment="0" applyProtection="0"/>
    <xf numFmtId="183"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0" fontId="94" fillId="2" borderId="0" applyNumberFormat="0" applyBorder="0" applyAlignment="0" applyProtection="0"/>
    <xf numFmtId="0" fontId="96" fillId="13" borderId="0" applyNumberFormat="0" applyBorder="0" applyAlignment="0" applyProtection="0"/>
    <xf numFmtId="0"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5"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5" fontId="94" fillId="2" borderId="0" applyNumberFormat="0" applyBorder="0" applyAlignment="0" applyProtection="0"/>
    <xf numFmtId="183"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4" fontId="94" fillId="2" borderId="0" applyNumberFormat="0" applyBorder="0" applyAlignment="0" applyProtection="0"/>
    <xf numFmtId="185" fontId="96" fillId="13" borderId="0" applyNumberFormat="0" applyBorder="0" applyAlignment="0" applyProtection="0"/>
    <xf numFmtId="183" fontId="96" fillId="13" borderId="0" applyNumberFormat="0" applyBorder="0" applyAlignment="0" applyProtection="0"/>
    <xf numFmtId="184" fontId="96" fillId="13" borderId="0" applyNumberFormat="0" applyBorder="0" applyAlignment="0" applyProtection="0"/>
    <xf numFmtId="184" fontId="96" fillId="13" borderId="0" applyNumberFormat="0" applyBorder="0" applyAlignment="0" applyProtection="0"/>
    <xf numFmtId="0" fontId="78" fillId="39" borderId="0" applyNumberFormat="0" applyBorder="0" applyAlignment="0" applyProtection="0"/>
    <xf numFmtId="184" fontId="78" fillId="39" borderId="0" applyNumberFormat="0" applyBorder="0" applyAlignment="0" applyProtection="0"/>
    <xf numFmtId="184" fontId="78" fillId="39" borderId="0" applyNumberFormat="0" applyBorder="0" applyAlignment="0" applyProtection="0"/>
    <xf numFmtId="182" fontId="78" fillId="39" borderId="0" applyNumberFormat="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5"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85"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83" fontId="97" fillId="0" borderId="0" applyNumberFormat="0" applyFill="0" applyBorder="0" applyAlignment="0" applyProtection="0"/>
    <xf numFmtId="184" fontId="97" fillId="0" borderId="0" applyNumberFormat="0" applyFill="0" applyBorder="0" applyAlignment="0" applyProtection="0"/>
    <xf numFmtId="187" fontId="97" fillId="0" borderId="0" applyNumberFormat="0" applyFill="0" applyBorder="0" applyAlignment="0" applyProtection="0"/>
    <xf numFmtId="184" fontId="97" fillId="0" borderId="0" applyNumberFormat="0" applyFill="0" applyBorder="0" applyAlignment="0" applyProtection="0"/>
    <xf numFmtId="184" fontId="97" fillId="0" borderId="0" applyNumberFormat="0" applyFill="0" applyBorder="0" applyAlignment="0" applyProtection="0"/>
    <xf numFmtId="171" fontId="98" fillId="0" borderId="3" applyFont="0"/>
    <xf numFmtId="1" fontId="98" fillId="0" borderId="3"/>
    <xf numFmtId="9" fontId="99" fillId="0" borderId="28" applyNumberFormat="0" applyBorder="0">
      <alignment horizontal="right"/>
    </xf>
    <xf numFmtId="165" fontId="22" fillId="0" borderId="0" applyFill="0" applyBorder="0" applyAlignment="0"/>
    <xf numFmtId="165" fontId="22" fillId="0" borderId="0" applyFill="0" applyBorder="0" applyAlignment="0"/>
    <xf numFmtId="165" fontId="22" fillId="0" borderId="0" applyFill="0" applyBorder="0" applyAlignment="0"/>
    <xf numFmtId="165" fontId="22" fillId="0" borderId="0" applyFill="0" applyBorder="0" applyAlignment="0"/>
    <xf numFmtId="182" fontId="82" fillId="42" borderId="22" applyNumberFormat="0" applyAlignment="0" applyProtection="0"/>
    <xf numFmtId="0" fontId="100" fillId="75" borderId="30" applyNumberFormat="0" applyAlignment="0" applyProtection="0"/>
    <xf numFmtId="0"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0" fontId="101" fillId="96" borderId="31" applyNumberFormat="0" applyAlignment="0" applyProtection="0"/>
    <xf numFmtId="184" fontId="101" fillId="96" borderId="31" applyNumberFormat="0" applyAlignment="0" applyProtection="0"/>
    <xf numFmtId="184" fontId="100" fillId="75" borderId="30" applyNumberFormat="0" applyAlignment="0" applyProtection="0"/>
    <xf numFmtId="182" fontId="101" fillId="96" borderId="31" applyNumberFormat="0" applyAlignment="0" applyProtection="0"/>
    <xf numFmtId="0"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5"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0"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1" fillId="96" borderId="31"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3" fontId="101" fillId="96" borderId="31" applyNumberFormat="0" applyAlignment="0" applyProtection="0"/>
    <xf numFmtId="183" fontId="101" fillId="96" borderId="31" applyNumberFormat="0" applyAlignment="0" applyProtection="0"/>
    <xf numFmtId="183"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0"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0" fontId="101" fillId="96" borderId="31" applyNumberFormat="0" applyAlignment="0" applyProtection="0"/>
    <xf numFmtId="184" fontId="101" fillId="96" borderId="31" applyNumberFormat="0" applyAlignment="0" applyProtection="0"/>
    <xf numFmtId="184" fontId="101" fillId="96" borderId="31"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7" fontId="102" fillId="97" borderId="30" applyNumberFormat="0" applyAlignment="0" applyProtection="0"/>
    <xf numFmtId="0"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187"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100" fillId="75"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3" fontId="82" fillId="42" borderId="22" applyNumberFormat="0" applyAlignment="0" applyProtection="0"/>
    <xf numFmtId="184" fontId="82" fillId="42" borderId="22" applyNumberFormat="0" applyAlignment="0" applyProtection="0"/>
    <xf numFmtId="185"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0" fontId="100" fillId="75" borderId="30" applyNumberFormat="0" applyAlignment="0" applyProtection="0"/>
    <xf numFmtId="183" fontId="82" fillId="42" borderId="22" applyNumberFormat="0" applyAlignment="0" applyProtection="0"/>
    <xf numFmtId="184" fontId="82" fillId="42" borderId="22" applyNumberFormat="0" applyAlignment="0" applyProtection="0"/>
    <xf numFmtId="185" fontId="82" fillId="42" borderId="22" applyNumberFormat="0" applyAlignment="0" applyProtection="0"/>
    <xf numFmtId="183"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184" fontId="82" fillId="42" borderId="22" applyNumberFormat="0" applyAlignment="0" applyProtection="0"/>
    <xf numFmtId="0" fontId="100" fillId="75" borderId="30"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3" fontId="100" fillId="75" borderId="30" applyNumberFormat="0" applyAlignment="0" applyProtection="0"/>
    <xf numFmtId="183"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0" fontId="100" fillId="75" borderId="30" applyNumberFormat="0" applyAlignment="0" applyProtection="0"/>
    <xf numFmtId="184" fontId="100" fillId="75" borderId="30" applyNumberFormat="0" applyAlignment="0" applyProtection="0"/>
    <xf numFmtId="184" fontId="100" fillId="75" borderId="30" applyNumberFormat="0" applyAlignment="0" applyProtection="0"/>
    <xf numFmtId="185" fontId="102" fillId="97" borderId="30" applyNumberFormat="0" applyAlignment="0" applyProtection="0"/>
    <xf numFmtId="183" fontId="102" fillId="97" borderId="30" applyNumberFormat="0" applyAlignment="0" applyProtection="0"/>
    <xf numFmtId="183"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185" fontId="102" fillId="97" borderId="30" applyNumberFormat="0" applyAlignment="0" applyProtection="0"/>
    <xf numFmtId="184" fontId="102" fillId="97" borderId="30" applyNumberFormat="0" applyAlignment="0" applyProtection="0"/>
    <xf numFmtId="184" fontId="102" fillId="97" borderId="30" applyNumberFormat="0" applyAlignment="0" applyProtection="0"/>
    <xf numFmtId="0" fontId="82" fillId="42" borderId="22" applyNumberFormat="0" applyAlignment="0" applyProtection="0"/>
    <xf numFmtId="184" fontId="82" fillId="42" borderId="22" applyNumberFormat="0" applyAlignment="0" applyProtection="0"/>
    <xf numFmtId="0" fontId="101" fillId="96" borderId="31" applyNumberFormat="0" applyAlignment="0" applyProtection="0"/>
    <xf numFmtId="184" fontId="101" fillId="96" borderId="31" applyNumberFormat="0" applyAlignment="0" applyProtection="0"/>
    <xf numFmtId="184" fontId="82" fillId="42" borderId="22" applyNumberFormat="0" applyAlignment="0" applyProtection="0"/>
    <xf numFmtId="0" fontId="103" fillId="0" borderId="0" applyNumberFormat="0" applyFont="0" applyFill="0" applyBorder="0" applyProtection="0">
      <alignment horizontal="centerContinuous"/>
    </xf>
    <xf numFmtId="183"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85" fontId="103" fillId="0" borderId="0" applyNumberFormat="0" applyFont="0" applyFill="0" applyBorder="0" applyProtection="0">
      <alignment horizontal="centerContinuous"/>
    </xf>
    <xf numFmtId="183"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84" fontId="103" fillId="0" borderId="0" applyNumberFormat="0" applyFont="0" applyFill="0" applyBorder="0" applyProtection="0">
      <alignment horizontal="centerContinuous"/>
    </xf>
    <xf numFmtId="190" fontId="103" fillId="0" borderId="0" applyNumberFormat="0" applyFont="0" applyFill="0" applyBorder="0" applyProtection="0">
      <alignment horizontal="centerContinuous" wrapText="1"/>
    </xf>
    <xf numFmtId="191" fontId="22" fillId="0" borderId="0"/>
    <xf numFmtId="0" fontId="104" fillId="98" borderId="32" applyNumberFormat="0" applyAlignment="0" applyProtection="0"/>
    <xf numFmtId="0"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2" fontId="104" fillId="90" borderId="32" applyNumberFormat="0" applyAlignment="0" applyProtection="0"/>
    <xf numFmtId="0"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5"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0"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0"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0" fontId="104" fillId="90" borderId="32" applyNumberFormat="0" applyAlignment="0" applyProtection="0"/>
    <xf numFmtId="183" fontId="104" fillId="14" borderId="32" applyNumberFormat="0" applyAlignment="0" applyProtection="0"/>
    <xf numFmtId="184" fontId="104" fillId="14" borderId="32" applyNumberFormat="0" applyAlignment="0" applyProtection="0"/>
    <xf numFmtId="183" fontId="104" fillId="90" borderId="32" applyNumberFormat="0" applyAlignment="0" applyProtection="0"/>
    <xf numFmtId="184" fontId="104" fillId="90" borderId="32" applyNumberFormat="0" applyAlignment="0" applyProtection="0"/>
    <xf numFmtId="184" fontId="104" fillId="90" borderId="32" applyNumberFormat="0" applyAlignment="0" applyProtection="0"/>
    <xf numFmtId="183" fontId="104" fillId="98" borderId="32" applyNumberFormat="0" applyAlignment="0" applyProtection="0"/>
    <xf numFmtId="184" fontId="104" fillId="98" borderId="32" applyNumberFormat="0" applyAlignment="0" applyProtection="0"/>
    <xf numFmtId="185" fontId="104" fillId="98" borderId="32" applyNumberFormat="0" applyAlignment="0" applyProtection="0"/>
    <xf numFmtId="183"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7" fontId="104" fillId="14" borderId="32" applyNumberFormat="0" applyAlignment="0" applyProtection="0"/>
    <xf numFmtId="0" fontId="104" fillId="98" borderId="32" applyNumberFormat="0" applyAlignment="0" applyProtection="0"/>
    <xf numFmtId="184" fontId="104" fillId="98" borderId="32" applyNumberFormat="0" applyAlignment="0" applyProtection="0"/>
    <xf numFmtId="184" fontId="104" fillId="14" borderId="32" applyNumberFormat="0" applyAlignment="0" applyProtection="0"/>
    <xf numFmtId="0" fontId="104" fillId="98" borderId="32" applyNumberFormat="0" applyAlignment="0" applyProtection="0"/>
    <xf numFmtId="183" fontId="104" fillId="14" borderId="32" applyNumberFormat="0" applyAlignment="0" applyProtection="0"/>
    <xf numFmtId="184" fontId="104" fillId="14" borderId="32" applyNumberFormat="0" applyAlignment="0" applyProtection="0"/>
    <xf numFmtId="183" fontId="84" fillId="43" borderId="25" applyNumberFormat="0" applyAlignment="0" applyProtection="0"/>
    <xf numFmtId="184" fontId="84" fillId="43" borderId="25" applyNumberFormat="0" applyAlignment="0" applyProtection="0"/>
    <xf numFmtId="185"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0" fontId="104" fillId="98" borderId="32" applyNumberFormat="0" applyAlignment="0" applyProtection="0"/>
    <xf numFmtId="183" fontId="84" fillId="43" borderId="25" applyNumberFormat="0" applyAlignment="0" applyProtection="0"/>
    <xf numFmtId="184" fontId="84" fillId="43" borderId="25" applyNumberFormat="0" applyAlignment="0" applyProtection="0"/>
    <xf numFmtId="185" fontId="84" fillId="43" borderId="25" applyNumberFormat="0" applyAlignment="0" applyProtection="0"/>
    <xf numFmtId="183"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0" fontId="104" fillId="98" borderId="32" applyNumberFormat="0" applyAlignment="0" applyProtection="0"/>
    <xf numFmtId="183" fontId="104" fillId="98" borderId="32" applyNumberFormat="0" applyAlignment="0" applyProtection="0"/>
    <xf numFmtId="184" fontId="104" fillId="98" borderId="32" applyNumberFormat="0" applyAlignment="0" applyProtection="0"/>
    <xf numFmtId="185" fontId="104" fillId="98" borderId="32" applyNumberFormat="0" applyAlignment="0" applyProtection="0"/>
    <xf numFmtId="183"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4" fontId="104" fillId="98" borderId="32" applyNumberFormat="0" applyAlignment="0" applyProtection="0"/>
    <xf numFmtId="185" fontId="104" fillId="14" borderId="32" applyNumberFormat="0" applyAlignment="0" applyProtection="0"/>
    <xf numFmtId="183" fontId="104" fillId="14" borderId="32" applyNumberFormat="0" applyAlignment="0" applyProtection="0"/>
    <xf numFmtId="184" fontId="104" fillId="14" borderId="32" applyNumberFormat="0" applyAlignment="0" applyProtection="0"/>
    <xf numFmtId="184" fontId="104" fillId="14" borderId="32" applyNumberFormat="0" applyAlignment="0" applyProtection="0"/>
    <xf numFmtId="0" fontId="84" fillId="43" borderId="25" applyNumberFormat="0" applyAlignment="0" applyProtection="0"/>
    <xf numFmtId="184" fontId="84" fillId="43" borderId="25" applyNumberFormat="0" applyAlignment="0" applyProtection="0"/>
    <xf numFmtId="184" fontId="84" fillId="43" borderId="25" applyNumberFormat="0" applyAlignment="0" applyProtection="0"/>
    <xf numFmtId="182" fontId="84" fillId="43" borderId="25"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43" fontId="22"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105" fillId="0" borderId="0" applyNumberFormat="0" applyAlignment="0">
      <alignment horizontal="left"/>
    </xf>
    <xf numFmtId="0"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5"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5"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5"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83" fontId="105" fillId="0" borderId="0" applyNumberFormat="0" applyAlignment="0">
      <alignment horizontal="left"/>
    </xf>
    <xf numFmtId="184" fontId="105" fillId="0" borderId="0" applyNumberFormat="0" applyAlignment="0">
      <alignment horizontal="left"/>
    </xf>
    <xf numFmtId="187" fontId="105" fillId="0" borderId="0" applyNumberFormat="0" applyAlignment="0">
      <alignment horizontal="left"/>
    </xf>
    <xf numFmtId="184" fontId="105" fillId="0" borderId="0" applyNumberFormat="0" applyAlignment="0">
      <alignment horizontal="left"/>
    </xf>
    <xf numFmtId="184" fontId="105" fillId="0" borderId="0" applyNumberFormat="0" applyAlignment="0">
      <alignment horizontal="left"/>
    </xf>
    <xf numFmtId="192" fontId="98" fillId="0" borderId="3"/>
    <xf numFmtId="44" fontId="38"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44" fontId="38"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22"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94" fontId="106" fillId="0" borderId="0" applyFont="0" applyFill="0" applyBorder="0" applyAlignment="0" applyProtection="0"/>
    <xf numFmtId="6" fontId="107" fillId="0" borderId="0">
      <protection locked="0"/>
    </xf>
    <xf numFmtId="14" fontId="22" fillId="0" borderId="0" applyFont="0" applyFill="0" applyBorder="0" applyAlignment="0" applyProtection="0"/>
    <xf numFmtId="14" fontId="22" fillId="0" borderId="0" applyFont="0" applyFill="0" applyBorder="0" applyAlignment="0" applyProtection="0"/>
    <xf numFmtId="6" fontId="108" fillId="0" borderId="0">
      <protection locked="0"/>
    </xf>
    <xf numFmtId="4" fontId="109" fillId="0" borderId="0" applyFont="0" applyFill="0" applyBorder="0" applyAlignment="0" applyProtection="0"/>
    <xf numFmtId="182" fontId="40" fillId="99" borderId="0" applyNumberFormat="0" applyBorder="0" applyAlignment="0" applyProtection="0"/>
    <xf numFmtId="0"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185"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0" fontId="40" fillId="99" borderId="0" applyNumberFormat="0" applyBorder="0" applyAlignment="0" applyProtection="0"/>
    <xf numFmtId="183" fontId="40" fillId="99" borderId="0" applyNumberFormat="0" applyBorder="0" applyAlignment="0" applyProtection="0"/>
    <xf numFmtId="184" fontId="40" fillId="99" borderId="0" applyNumberFormat="0" applyBorder="0" applyAlignment="0" applyProtection="0"/>
    <xf numFmtId="184" fontId="40" fillId="99" borderId="0" applyNumberFormat="0" applyBorder="0" applyAlignment="0" applyProtection="0"/>
    <xf numFmtId="184" fontId="40" fillId="22" borderId="0" applyNumberFormat="0" applyBorder="0" applyAlignment="0" applyProtection="0"/>
    <xf numFmtId="185"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183" fontId="40" fillId="22" borderId="0" applyNumberFormat="0" applyBorder="0" applyAlignment="0" applyProtection="0"/>
    <xf numFmtId="184"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187"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0" fontId="40" fillId="22" borderId="0" applyNumberFormat="0" applyBorder="0" applyAlignment="0" applyProtection="0"/>
    <xf numFmtId="184" fontId="40" fillId="22" borderId="0" applyNumberFormat="0" applyBorder="0" applyAlignment="0" applyProtection="0"/>
    <xf numFmtId="184" fontId="40" fillId="22" borderId="0" applyNumberFormat="0" applyBorder="0" applyAlignment="0" applyProtection="0"/>
    <xf numFmtId="182" fontId="40" fillId="100" borderId="0" applyNumberFormat="0" applyBorder="0" applyAlignment="0" applyProtection="0"/>
    <xf numFmtId="0"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185"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0" fontId="40" fillId="100" borderId="0" applyNumberFormat="0" applyBorder="0" applyAlignment="0" applyProtection="0"/>
    <xf numFmtId="183" fontId="40" fillId="100" borderId="0" applyNumberFormat="0" applyBorder="0" applyAlignment="0" applyProtection="0"/>
    <xf numFmtId="184" fontId="40" fillId="100" borderId="0" applyNumberFormat="0" applyBorder="0" applyAlignment="0" applyProtection="0"/>
    <xf numFmtId="184" fontId="40" fillId="100" borderId="0" applyNumberFormat="0" applyBorder="0" applyAlignment="0" applyProtection="0"/>
    <xf numFmtId="184" fontId="40" fillId="23" borderId="0" applyNumberFormat="0" applyBorder="0" applyAlignment="0" applyProtection="0"/>
    <xf numFmtId="185"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183" fontId="40" fillId="23" borderId="0" applyNumberFormat="0" applyBorder="0" applyAlignment="0" applyProtection="0"/>
    <xf numFmtId="184"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187"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0" fontId="40" fillId="23" borderId="0" applyNumberFormat="0" applyBorder="0" applyAlignment="0" applyProtection="0"/>
    <xf numFmtId="184" fontId="40" fillId="23" borderId="0" applyNumberFormat="0" applyBorder="0" applyAlignment="0" applyProtection="0"/>
    <xf numFmtId="184" fontId="40" fillId="23" borderId="0" applyNumberFormat="0" applyBorder="0" applyAlignment="0" applyProtection="0"/>
    <xf numFmtId="0"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5"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5"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3" fontId="40" fillId="24" borderId="0" applyNumberFormat="0" applyBorder="0" applyAlignment="0" applyProtection="0"/>
    <xf numFmtId="184" fontId="40" fillId="24" borderId="0" applyNumberFormat="0" applyBorder="0" applyAlignment="0" applyProtection="0"/>
    <xf numFmtId="187" fontId="40" fillId="24" borderId="0" applyNumberFormat="0" applyBorder="0" applyAlignment="0" applyProtection="0"/>
    <xf numFmtId="184" fontId="40" fillId="24" borderId="0" applyNumberFormat="0" applyBorder="0" applyAlignment="0" applyProtection="0"/>
    <xf numFmtId="184" fontId="40" fillId="24" borderId="0" applyNumberFormat="0" applyBorder="0" applyAlignment="0" applyProtection="0"/>
    <xf numFmtId="182" fontId="40" fillId="24" borderId="0" applyNumberFormat="0" applyBorder="0" applyAlignment="0" applyProtection="0"/>
    <xf numFmtId="0" fontId="110" fillId="0" borderId="0" applyNumberFormat="0" applyAlignment="0">
      <alignment horizontal="left"/>
    </xf>
    <xf numFmtId="0"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5"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5"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5"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3" fontId="110" fillId="0" borderId="0" applyNumberFormat="0" applyAlignment="0">
      <alignment horizontal="left"/>
    </xf>
    <xf numFmtId="184" fontId="110" fillId="0" borderId="0" applyNumberFormat="0" applyAlignment="0">
      <alignment horizontal="left"/>
    </xf>
    <xf numFmtId="187" fontId="110" fillId="0" borderId="0" applyNumberFormat="0" applyAlignment="0">
      <alignment horizontal="left"/>
    </xf>
    <xf numFmtId="184" fontId="110" fillId="0" borderId="0" applyNumberFormat="0" applyAlignment="0">
      <alignment horizontal="left"/>
    </xf>
    <xf numFmtId="184" fontId="110" fillId="0" borderId="0" applyNumberFormat="0" applyAlignment="0">
      <alignment horizontal="left"/>
    </xf>
    <xf numFmtId="185"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3"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7"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0" fontId="111" fillId="0" borderId="0" applyNumberFormat="0" applyFill="0" applyBorder="0" applyAlignment="0" applyProtection="0"/>
    <xf numFmtId="184" fontId="111" fillId="0" borderId="0" applyNumberFormat="0" applyFill="0" applyBorder="0" applyAlignment="0" applyProtection="0"/>
    <xf numFmtId="0"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5"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0"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0"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7" fontId="112" fillId="0" borderId="0" applyNumberFormat="0" applyFill="0" applyBorder="0" applyAlignment="0" applyProtection="0"/>
    <xf numFmtId="0" fontId="111" fillId="0" borderId="0" applyNumberFormat="0" applyFill="0" applyBorder="0" applyAlignment="0" applyProtection="0"/>
    <xf numFmtId="184" fontId="111" fillId="0" borderId="0" applyNumberFormat="0" applyFill="0" applyBorder="0" applyAlignment="0" applyProtection="0"/>
    <xf numFmtId="184" fontId="112" fillId="0" borderId="0" applyNumberFormat="0" applyFill="0" applyBorder="0" applyAlignment="0" applyProtection="0"/>
    <xf numFmtId="0" fontId="111"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5"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0" fontId="111"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5" fontId="86" fillId="0" borderId="0" applyNumberFormat="0" applyFill="0" applyBorder="0" applyAlignment="0" applyProtection="0"/>
    <xf numFmtId="183"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184" fontId="86" fillId="0" borderId="0" applyNumberFormat="0" applyFill="0" applyBorder="0" applyAlignment="0" applyProtection="0"/>
    <xf numFmtId="0"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5" fontId="111" fillId="0" borderId="0" applyNumberFormat="0" applyFill="0" applyBorder="0" applyAlignment="0" applyProtection="0"/>
    <xf numFmtId="183"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4" fontId="111" fillId="0" borderId="0" applyNumberFormat="0" applyFill="0" applyBorder="0" applyAlignment="0" applyProtection="0"/>
    <xf numFmtId="185" fontId="112" fillId="0" borderId="0" applyNumberFormat="0" applyFill="0" applyBorder="0" applyAlignment="0" applyProtection="0"/>
    <xf numFmtId="183" fontId="112" fillId="0" borderId="0" applyNumberFormat="0" applyFill="0" applyBorder="0" applyAlignment="0" applyProtection="0"/>
    <xf numFmtId="184" fontId="112" fillId="0" borderId="0" applyNumberFormat="0" applyFill="0" applyBorder="0" applyAlignment="0" applyProtection="0"/>
    <xf numFmtId="184" fontId="112" fillId="0" borderId="0" applyNumberFormat="0" applyFill="0" applyBorder="0" applyAlignment="0" applyProtection="0"/>
    <xf numFmtId="184" fontId="86" fillId="0" borderId="0" applyNumberFormat="0" applyFill="0" applyBorder="0" applyAlignment="0" applyProtection="0"/>
    <xf numFmtId="182" fontId="86" fillId="0" borderId="0" applyNumberFormat="0" applyFill="0" applyBorder="0" applyAlignment="0" applyProtection="0"/>
    <xf numFmtId="195" fontId="22" fillId="0" borderId="0">
      <protection locked="0"/>
    </xf>
    <xf numFmtId="195" fontId="22" fillId="0" borderId="0">
      <protection locked="0"/>
    </xf>
    <xf numFmtId="195" fontId="22" fillId="0" borderId="0">
      <protection locked="0"/>
    </xf>
    <xf numFmtId="195" fontId="22" fillId="0" borderId="0">
      <protection locked="0"/>
    </xf>
    <xf numFmtId="0" fontId="109" fillId="0" borderId="0" applyFont="0" applyFill="0" applyBorder="0" applyAlignment="0" applyProtection="0"/>
    <xf numFmtId="0" fontId="22" fillId="0" borderId="0" applyFont="0" applyFill="0" applyBorder="0" applyAlignment="0" applyProtection="0"/>
    <xf numFmtId="183"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5"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0" fontId="22" fillId="0" borderId="0" applyFont="0" applyFill="0" applyBorder="0" applyAlignment="0" applyProtection="0"/>
    <xf numFmtId="18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6" fontId="34" fillId="0" borderId="0"/>
    <xf numFmtId="0" fontId="113" fillId="71" borderId="0" applyNumberFormat="0" applyBorder="0" applyAlignment="0" applyProtection="0"/>
    <xf numFmtId="0"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2" fontId="38" fillId="86" borderId="0" applyNumberFormat="0" applyBorder="0" applyAlignment="0" applyProtection="0"/>
    <xf numFmtId="0"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5"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7" fontId="113" fillId="101" borderId="0" applyNumberFormat="0" applyBorder="0" applyAlignment="0" applyProtection="0"/>
    <xf numFmtId="184" fontId="113" fillId="101" borderId="0" applyNumberFormat="0" applyBorder="0" applyAlignment="0" applyProtection="0"/>
    <xf numFmtId="184" fontId="77" fillId="38" borderId="0" applyNumberFormat="0" applyBorder="0" applyAlignment="0" applyProtection="0"/>
    <xf numFmtId="0"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0"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0" fontId="38" fillId="86"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3" fontId="38" fillId="86" borderId="0" applyNumberFormat="0" applyBorder="0" applyAlignment="0" applyProtection="0"/>
    <xf numFmtId="183"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0" fontId="38" fillId="86" borderId="0" applyNumberFormat="0" applyBorder="0" applyAlignment="0" applyProtection="0"/>
    <xf numFmtId="184" fontId="38" fillId="86" borderId="0" applyNumberFormat="0" applyBorder="0" applyAlignment="0" applyProtection="0"/>
    <xf numFmtId="184" fontId="38" fillId="86"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5" fontId="113" fillId="71"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7" fontId="113" fillId="101" borderId="0" applyNumberFormat="0" applyBorder="0" applyAlignment="0" applyProtection="0"/>
    <xf numFmtId="0" fontId="113" fillId="71" borderId="0" applyNumberFormat="0" applyBorder="0" applyAlignment="0" applyProtection="0"/>
    <xf numFmtId="184" fontId="113" fillId="71" borderId="0" applyNumberFormat="0" applyBorder="0" applyAlignment="0" applyProtection="0"/>
    <xf numFmtId="184" fontId="113" fillId="101" borderId="0" applyNumberFormat="0" applyBorder="0" applyAlignment="0" applyProtection="0"/>
    <xf numFmtId="0" fontId="113" fillId="7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5"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0" fontId="113" fillId="71"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5" fontId="77" fillId="38" borderId="0" applyNumberFormat="0" applyBorder="0" applyAlignment="0" applyProtection="0"/>
    <xf numFmtId="183"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0" fontId="113" fillId="71"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5" fontId="113" fillId="71" borderId="0" applyNumberFormat="0" applyBorder="0" applyAlignment="0" applyProtection="0"/>
    <xf numFmtId="183"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4" fontId="113" fillId="71" borderId="0" applyNumberFormat="0" applyBorder="0" applyAlignment="0" applyProtection="0"/>
    <xf numFmtId="185" fontId="113" fillId="101" borderId="0" applyNumberFormat="0" applyBorder="0" applyAlignment="0" applyProtection="0"/>
    <xf numFmtId="183" fontId="113" fillId="101" borderId="0" applyNumberFormat="0" applyBorder="0" applyAlignment="0" applyProtection="0"/>
    <xf numFmtId="184" fontId="113" fillId="101" borderId="0" applyNumberFormat="0" applyBorder="0" applyAlignment="0" applyProtection="0"/>
    <xf numFmtId="184" fontId="113" fillId="101" borderId="0" applyNumberFormat="0" applyBorder="0" applyAlignment="0" applyProtection="0"/>
    <xf numFmtId="0" fontId="77" fillId="38" borderId="0" applyNumberFormat="0" applyBorder="0" applyAlignment="0" applyProtection="0"/>
    <xf numFmtId="184" fontId="77" fillId="38" borderId="0" applyNumberFormat="0" applyBorder="0" applyAlignment="0" applyProtection="0"/>
    <xf numFmtId="184" fontId="77" fillId="38" borderId="0" applyNumberFormat="0" applyBorder="0" applyAlignment="0" applyProtection="0"/>
    <xf numFmtId="182" fontId="77" fillId="38" borderId="0" applyNumberFormat="0" applyBorder="0" applyAlignment="0" applyProtection="0"/>
    <xf numFmtId="38" fontId="24" fillId="69" borderId="0" applyNumberFormat="0" applyBorder="0" applyAlignment="0" applyProtection="0"/>
    <xf numFmtId="38" fontId="24" fillId="69" borderId="0" applyNumberFormat="0" applyBorder="0" applyAlignment="0" applyProtection="0"/>
    <xf numFmtId="0" fontId="114" fillId="0" borderId="0" applyNumberFormat="0" applyFill="0" applyBorder="0" applyAlignment="0" applyProtection="0"/>
    <xf numFmtId="185" fontId="114" fillId="0" borderId="0" applyNumberFormat="0" applyFill="0" applyBorder="0" applyAlignment="0" applyProtection="0"/>
    <xf numFmtId="0"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5"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183" fontId="114" fillId="0" borderId="0" applyNumberFormat="0" applyFill="0" applyBorder="0" applyAlignment="0" applyProtection="0"/>
    <xf numFmtId="184" fontId="114" fillId="0" borderId="0" applyNumberFormat="0" applyFill="0" applyBorder="0" applyAlignment="0" applyProtection="0"/>
    <xf numFmtId="187" fontId="114" fillId="0" borderId="0" applyNumberFormat="0" applyFill="0" applyBorder="0" applyAlignment="0" applyProtection="0"/>
    <xf numFmtId="184" fontId="114" fillId="0" borderId="0" applyNumberFormat="0" applyFill="0" applyBorder="0" applyAlignment="0" applyProtection="0"/>
    <xf numFmtId="184" fontId="114" fillId="0" borderId="0" applyNumberFormat="0" applyFill="0" applyBorder="0" applyAlignment="0" applyProtection="0"/>
    <xf numFmtId="0" fontId="68" fillId="0" borderId="17" applyNumberFormat="0" applyAlignment="0" applyProtection="0">
      <alignment horizontal="left" vertical="center"/>
    </xf>
    <xf numFmtId="0"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5"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185"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183" fontId="68" fillId="0" borderId="17" applyNumberFormat="0" applyAlignment="0" applyProtection="0">
      <alignment horizontal="left" vertical="center"/>
    </xf>
    <xf numFmtId="184" fontId="68" fillId="0" borderId="17" applyNumberFormat="0" applyAlignment="0" applyProtection="0">
      <alignment horizontal="left" vertical="center"/>
    </xf>
    <xf numFmtId="187" fontId="68" fillId="0" borderId="17" applyNumberFormat="0" applyAlignment="0" applyProtection="0">
      <alignment horizontal="left" vertical="center"/>
    </xf>
    <xf numFmtId="184" fontId="68" fillId="0" borderId="17" applyNumberFormat="0" applyAlignment="0" applyProtection="0">
      <alignment horizontal="left" vertical="center"/>
    </xf>
    <xf numFmtId="184" fontId="68" fillId="0" borderId="17" applyNumberFormat="0" applyAlignment="0" applyProtection="0">
      <alignment horizontal="left" vertical="center"/>
    </xf>
    <xf numFmtId="0" fontId="68" fillId="0" borderId="9">
      <alignment horizontal="left" vertical="center"/>
    </xf>
    <xf numFmtId="0"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5" fontId="68" fillId="0" borderId="9">
      <alignment horizontal="left" vertical="center"/>
    </xf>
    <xf numFmtId="185"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3" fontId="68" fillId="0" borderId="9">
      <alignment horizontal="left" vertical="center"/>
    </xf>
    <xf numFmtId="183"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187" fontId="68" fillId="0" borderId="9">
      <alignment horizontal="left" vertical="center"/>
    </xf>
    <xf numFmtId="187" fontId="68" fillId="0" borderId="9">
      <alignment horizontal="left" vertical="center"/>
    </xf>
    <xf numFmtId="187" fontId="68" fillId="0" borderId="9">
      <alignment horizontal="left" vertical="center"/>
    </xf>
    <xf numFmtId="187"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0" fontId="68" fillId="0" borderId="9">
      <alignment horizontal="left" vertical="center"/>
    </xf>
    <xf numFmtId="0" fontId="68" fillId="0" borderId="9">
      <alignment horizontal="left" vertical="center"/>
    </xf>
    <xf numFmtId="184" fontId="68" fillId="0" borderId="9">
      <alignment horizontal="left" vertical="center"/>
    </xf>
    <xf numFmtId="184" fontId="68" fillId="0" borderId="9">
      <alignment horizontal="left" vertical="center"/>
    </xf>
    <xf numFmtId="184" fontId="68" fillId="0" borderId="9">
      <alignment horizontal="left" vertical="center"/>
    </xf>
    <xf numFmtId="0" fontId="115" fillId="0" borderId="33" applyNumberFormat="0" applyFill="0" applyAlignment="0" applyProtection="0"/>
    <xf numFmtId="0"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2" fontId="116" fillId="0" borderId="34" applyNumberFormat="0" applyFill="0" applyAlignment="0" applyProtection="0"/>
    <xf numFmtId="0"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5"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0"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0"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5" fontId="115" fillId="0" borderId="33"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7" fontId="116" fillId="0" borderId="34" applyNumberFormat="0" applyFill="0" applyAlignment="0" applyProtection="0"/>
    <xf numFmtId="0" fontId="115" fillId="0" borderId="33" applyNumberFormat="0" applyFill="0" applyAlignment="0" applyProtection="0"/>
    <xf numFmtId="184" fontId="115" fillId="0" borderId="33" applyNumberFormat="0" applyFill="0" applyAlignment="0" applyProtection="0"/>
    <xf numFmtId="184" fontId="116" fillId="0" borderId="34" applyNumberFormat="0" applyFill="0" applyAlignment="0" applyProtection="0"/>
    <xf numFmtId="0" fontId="115" fillId="0" borderId="33"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5"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0" fontId="115" fillId="0" borderId="33"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5" fontId="74" fillId="0" borderId="19" applyNumberFormat="0" applyFill="0" applyAlignment="0" applyProtection="0"/>
    <xf numFmtId="183"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0" fontId="115" fillId="0" borderId="33"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5" fontId="115" fillId="0" borderId="33" applyNumberFormat="0" applyFill="0" applyAlignment="0" applyProtection="0"/>
    <xf numFmtId="183"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4" fontId="115" fillId="0" borderId="33" applyNumberFormat="0" applyFill="0" applyAlignment="0" applyProtection="0"/>
    <xf numFmtId="185" fontId="116" fillId="0" borderId="34" applyNumberFormat="0" applyFill="0" applyAlignment="0" applyProtection="0"/>
    <xf numFmtId="183" fontId="116" fillId="0" borderId="34" applyNumberFormat="0" applyFill="0" applyAlignment="0" applyProtection="0"/>
    <xf numFmtId="184" fontId="116" fillId="0" borderId="34" applyNumberFormat="0" applyFill="0" applyAlignment="0" applyProtection="0"/>
    <xf numFmtId="184" fontId="116" fillId="0" borderId="34" applyNumberFormat="0" applyFill="0" applyAlignment="0" applyProtection="0"/>
    <xf numFmtId="0" fontId="74" fillId="0" borderId="19" applyNumberFormat="0" applyFill="0" applyAlignment="0" applyProtection="0"/>
    <xf numFmtId="184" fontId="74" fillId="0" borderId="19" applyNumberFormat="0" applyFill="0" applyAlignment="0" applyProtection="0"/>
    <xf numFmtId="184" fontId="74" fillId="0" borderId="19" applyNumberFormat="0" applyFill="0" applyAlignment="0" applyProtection="0"/>
    <xf numFmtId="182" fontId="74" fillId="0" borderId="19" applyNumberFormat="0" applyFill="0" applyAlignment="0" applyProtection="0"/>
    <xf numFmtId="0" fontId="117" fillId="0" borderId="35" applyNumberFormat="0" applyFill="0" applyAlignment="0" applyProtection="0"/>
    <xf numFmtId="0"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2" fontId="118" fillId="0" borderId="36" applyNumberFormat="0" applyFill="0" applyAlignment="0" applyProtection="0"/>
    <xf numFmtId="0"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5"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0"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0"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0" fontId="118" fillId="0" borderId="36"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3" fontId="118" fillId="0" borderId="36" applyNumberFormat="0" applyFill="0" applyAlignment="0" applyProtection="0"/>
    <xf numFmtId="184" fontId="118" fillId="0" borderId="36" applyNumberFormat="0" applyFill="0" applyAlignment="0" applyProtection="0"/>
    <xf numFmtId="184" fontId="118" fillId="0" borderId="36"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7" fontId="118" fillId="0" borderId="35" applyNumberFormat="0" applyFill="0" applyAlignment="0" applyProtection="0"/>
    <xf numFmtId="0" fontId="117" fillId="0" borderId="35" applyNumberFormat="0" applyFill="0" applyAlignment="0" applyProtection="0"/>
    <xf numFmtId="184" fontId="117" fillId="0" borderId="35" applyNumberFormat="0" applyFill="0" applyAlignment="0" applyProtection="0"/>
    <xf numFmtId="184" fontId="118" fillId="0" borderId="35" applyNumberFormat="0" applyFill="0" applyAlignment="0" applyProtection="0"/>
    <xf numFmtId="0" fontId="117"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5"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0" fontId="117" fillId="0" borderId="35"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5" fontId="75" fillId="0" borderId="20" applyNumberFormat="0" applyFill="0" applyAlignment="0" applyProtection="0"/>
    <xf numFmtId="183"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0"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5" fontId="117" fillId="0" borderId="35" applyNumberFormat="0" applyFill="0" applyAlignment="0" applyProtection="0"/>
    <xf numFmtId="183"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4" fontId="117" fillId="0" borderId="35" applyNumberFormat="0" applyFill="0" applyAlignment="0" applyProtection="0"/>
    <xf numFmtId="185" fontId="118" fillId="0" borderId="35" applyNumberFormat="0" applyFill="0" applyAlignment="0" applyProtection="0"/>
    <xf numFmtId="183" fontId="118" fillId="0" borderId="35" applyNumberFormat="0" applyFill="0" applyAlignment="0" applyProtection="0"/>
    <xf numFmtId="184" fontId="118" fillId="0" borderId="35" applyNumberFormat="0" applyFill="0" applyAlignment="0" applyProtection="0"/>
    <xf numFmtId="184" fontId="118" fillId="0" borderId="35" applyNumberFormat="0" applyFill="0" applyAlignment="0" applyProtection="0"/>
    <xf numFmtId="0" fontId="75" fillId="0" borderId="20" applyNumberFormat="0" applyFill="0" applyAlignment="0" applyProtection="0"/>
    <xf numFmtId="184" fontId="75" fillId="0" borderId="20" applyNumberFormat="0" applyFill="0" applyAlignment="0" applyProtection="0"/>
    <xf numFmtId="184" fontId="75" fillId="0" borderId="20" applyNumberFormat="0" applyFill="0" applyAlignment="0" applyProtection="0"/>
    <xf numFmtId="182" fontId="75" fillId="0" borderId="20" applyNumberFormat="0" applyFill="0" applyAlignment="0" applyProtection="0"/>
    <xf numFmtId="0" fontId="119" fillId="0" borderId="37" applyNumberFormat="0" applyFill="0" applyAlignment="0" applyProtection="0"/>
    <xf numFmtId="0"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2" fontId="120" fillId="0" borderId="38" applyNumberFormat="0" applyFill="0" applyAlignment="0" applyProtection="0"/>
    <xf numFmtId="0"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5"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0"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0"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0" fontId="120" fillId="0" borderId="38"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3" fontId="120" fillId="0" borderId="38" applyNumberFormat="0" applyFill="0" applyAlignment="0" applyProtection="0"/>
    <xf numFmtId="184" fontId="120" fillId="0" borderId="38" applyNumberFormat="0" applyFill="0" applyAlignment="0" applyProtection="0"/>
    <xf numFmtId="184" fontId="120" fillId="0" borderId="38"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5" fontId="119" fillId="0" borderId="37"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7" fontId="120" fillId="0" borderId="39" applyNumberFormat="0" applyFill="0" applyAlignment="0" applyProtection="0"/>
    <xf numFmtId="0" fontId="119" fillId="0" borderId="37" applyNumberFormat="0" applyFill="0" applyAlignment="0" applyProtection="0"/>
    <xf numFmtId="184" fontId="119" fillId="0" borderId="37" applyNumberFormat="0" applyFill="0" applyAlignment="0" applyProtection="0"/>
    <xf numFmtId="184" fontId="120" fillId="0" borderId="39" applyNumberFormat="0" applyFill="0" applyAlignment="0" applyProtection="0"/>
    <xf numFmtId="0" fontId="119" fillId="0" borderId="37"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5"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0" fontId="119" fillId="0" borderId="37"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5" fontId="76" fillId="0" borderId="21" applyNumberFormat="0" applyFill="0" applyAlignment="0" applyProtection="0"/>
    <xf numFmtId="183"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0" fontId="119" fillId="0" borderId="37"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5" fontId="119" fillId="0" borderId="37" applyNumberFormat="0" applyFill="0" applyAlignment="0" applyProtection="0"/>
    <xf numFmtId="183"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4" fontId="119" fillId="0" borderId="37" applyNumberFormat="0" applyFill="0" applyAlignment="0" applyProtection="0"/>
    <xf numFmtId="185" fontId="120" fillId="0" borderId="39" applyNumberFormat="0" applyFill="0" applyAlignment="0" applyProtection="0"/>
    <xf numFmtId="183" fontId="120" fillId="0" borderId="39" applyNumberFormat="0" applyFill="0" applyAlignment="0" applyProtection="0"/>
    <xf numFmtId="184" fontId="120" fillId="0" borderId="39" applyNumberFormat="0" applyFill="0" applyAlignment="0" applyProtection="0"/>
    <xf numFmtId="184" fontId="120" fillId="0" borderId="39" applyNumberFormat="0" applyFill="0" applyAlignment="0" applyProtection="0"/>
    <xf numFmtId="0" fontId="76" fillId="0" borderId="21" applyNumberFormat="0" applyFill="0" applyAlignment="0" applyProtection="0"/>
    <xf numFmtId="184" fontId="76" fillId="0" borderId="21" applyNumberFormat="0" applyFill="0" applyAlignment="0" applyProtection="0"/>
    <xf numFmtId="184" fontId="76" fillId="0" borderId="21" applyNumberFormat="0" applyFill="0" applyAlignment="0" applyProtection="0"/>
    <xf numFmtId="182" fontId="76" fillId="0" borderId="21"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2" fontId="120" fillId="0" borderId="0" applyNumberFormat="0" applyFill="0" applyBorder="0" applyAlignment="0" applyProtection="0"/>
    <xf numFmtId="0"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5"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0"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0"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7" fontId="120" fillId="0" borderId="0" applyNumberFormat="0" applyFill="0" applyBorder="0" applyAlignment="0" applyProtection="0"/>
    <xf numFmtId="0" fontId="119" fillId="0" borderId="0" applyNumberFormat="0" applyFill="0" applyBorder="0" applyAlignment="0" applyProtection="0"/>
    <xf numFmtId="184" fontId="119" fillId="0" borderId="0" applyNumberFormat="0" applyFill="0" applyBorder="0" applyAlignment="0" applyProtection="0"/>
    <xf numFmtId="184" fontId="120" fillId="0" borderId="0" applyNumberFormat="0" applyFill="0" applyBorder="0" applyAlignment="0" applyProtection="0"/>
    <xf numFmtId="0" fontId="119"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5"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0" fontId="119"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5" fontId="76" fillId="0" borderId="0" applyNumberFormat="0" applyFill="0" applyBorder="0" applyAlignment="0" applyProtection="0"/>
    <xf numFmtId="183"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0"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5" fontId="119" fillId="0" borderId="0" applyNumberFormat="0" applyFill="0" applyBorder="0" applyAlignment="0" applyProtection="0"/>
    <xf numFmtId="183"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4" fontId="119" fillId="0" borderId="0" applyNumberFormat="0" applyFill="0" applyBorder="0" applyAlignment="0" applyProtection="0"/>
    <xf numFmtId="185" fontId="120" fillId="0" borderId="0" applyNumberFormat="0" applyFill="0" applyBorder="0" applyAlignment="0" applyProtection="0"/>
    <xf numFmtId="183" fontId="120" fillId="0" borderId="0" applyNumberFormat="0" applyFill="0" applyBorder="0" applyAlignment="0" applyProtection="0"/>
    <xf numFmtId="184" fontId="120" fillId="0" borderId="0" applyNumberFormat="0" applyFill="0" applyBorder="0" applyAlignment="0" applyProtection="0"/>
    <xf numFmtId="184" fontId="120" fillId="0" borderId="0" applyNumberFormat="0" applyFill="0" applyBorder="0" applyAlignment="0" applyProtection="0"/>
    <xf numFmtId="0" fontId="76" fillId="0" borderId="0" applyNumberFormat="0" applyFill="0" applyBorder="0" applyAlignment="0" applyProtection="0"/>
    <xf numFmtId="184" fontId="76" fillId="0" borderId="0" applyNumberFormat="0" applyFill="0" applyBorder="0" applyAlignment="0" applyProtection="0"/>
    <xf numFmtId="184" fontId="76" fillId="0" borderId="0" applyNumberFormat="0" applyFill="0" applyBorder="0" applyAlignment="0" applyProtection="0"/>
    <xf numFmtId="182" fontId="76" fillId="0" borderId="0" applyNumberFormat="0" applyFill="0" applyBorder="0" applyAlignment="0" applyProtection="0"/>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197" fontId="22" fillId="0" borderId="0">
      <protection locked="0"/>
    </xf>
    <xf numFmtId="0" fontId="121" fillId="0" borderId="40">
      <alignment horizontal="center"/>
    </xf>
    <xf numFmtId="0" fontId="121" fillId="0" borderId="40">
      <alignment horizontal="center"/>
    </xf>
    <xf numFmtId="183" fontId="121" fillId="0" borderId="40">
      <alignment horizontal="center"/>
    </xf>
    <xf numFmtId="184" fontId="121" fillId="0" borderId="40">
      <alignment horizontal="center"/>
    </xf>
    <xf numFmtId="185" fontId="121" fillId="0" borderId="40">
      <alignment horizontal="center"/>
    </xf>
    <xf numFmtId="183" fontId="121" fillId="0" borderId="40">
      <alignment horizontal="center"/>
    </xf>
    <xf numFmtId="184" fontId="121" fillId="0" borderId="40">
      <alignment horizontal="center"/>
    </xf>
    <xf numFmtId="184" fontId="121" fillId="0" borderId="40">
      <alignment horizontal="center"/>
    </xf>
    <xf numFmtId="184" fontId="121" fillId="0" borderId="40">
      <alignment horizontal="center"/>
    </xf>
    <xf numFmtId="185" fontId="121" fillId="0" borderId="40">
      <alignment horizontal="center"/>
    </xf>
    <xf numFmtId="183" fontId="121" fillId="0" borderId="40">
      <alignment horizontal="center"/>
    </xf>
    <xf numFmtId="184" fontId="121" fillId="0" borderId="40">
      <alignment horizontal="center"/>
    </xf>
    <xf numFmtId="184" fontId="121" fillId="0" borderId="40">
      <alignment horizontal="center"/>
    </xf>
    <xf numFmtId="185" fontId="121" fillId="0" borderId="40">
      <alignment horizontal="center"/>
    </xf>
    <xf numFmtId="183" fontId="121" fillId="0" borderId="40">
      <alignment horizontal="center"/>
    </xf>
    <xf numFmtId="184" fontId="121" fillId="0" borderId="40">
      <alignment horizontal="center"/>
    </xf>
    <xf numFmtId="184" fontId="121" fillId="0" borderId="40">
      <alignment horizontal="center"/>
    </xf>
    <xf numFmtId="183" fontId="121" fillId="0" borderId="40">
      <alignment horizontal="center"/>
    </xf>
    <xf numFmtId="184" fontId="121" fillId="0" borderId="40">
      <alignment horizontal="center"/>
    </xf>
    <xf numFmtId="187" fontId="121" fillId="0" borderId="40">
      <alignment horizontal="center"/>
    </xf>
    <xf numFmtId="184" fontId="121" fillId="0" borderId="40">
      <alignment horizontal="center"/>
    </xf>
    <xf numFmtId="184" fontId="121" fillId="0" borderId="40">
      <alignment horizontal="center"/>
    </xf>
    <xf numFmtId="0" fontId="121" fillId="0" borderId="0">
      <alignment horizontal="center"/>
    </xf>
    <xf numFmtId="0" fontId="121" fillId="0" borderId="0">
      <alignment horizontal="center"/>
    </xf>
    <xf numFmtId="183" fontId="121" fillId="0" borderId="0">
      <alignment horizontal="center"/>
    </xf>
    <xf numFmtId="184" fontId="121" fillId="0" borderId="0">
      <alignment horizontal="center"/>
    </xf>
    <xf numFmtId="185" fontId="121" fillId="0" borderId="0">
      <alignment horizontal="center"/>
    </xf>
    <xf numFmtId="183" fontId="121" fillId="0" borderId="0">
      <alignment horizontal="center"/>
    </xf>
    <xf numFmtId="184" fontId="121" fillId="0" borderId="0">
      <alignment horizontal="center"/>
    </xf>
    <xf numFmtId="184" fontId="121" fillId="0" borderId="0">
      <alignment horizontal="center"/>
    </xf>
    <xf numFmtId="184" fontId="121" fillId="0" borderId="0">
      <alignment horizontal="center"/>
    </xf>
    <xf numFmtId="185" fontId="121" fillId="0" borderId="0">
      <alignment horizontal="center"/>
    </xf>
    <xf numFmtId="183" fontId="121" fillId="0" borderId="0">
      <alignment horizontal="center"/>
    </xf>
    <xf numFmtId="184" fontId="121" fillId="0" borderId="0">
      <alignment horizontal="center"/>
    </xf>
    <xf numFmtId="184" fontId="121" fillId="0" borderId="0">
      <alignment horizontal="center"/>
    </xf>
    <xf numFmtId="185" fontId="121" fillId="0" borderId="0">
      <alignment horizontal="center"/>
    </xf>
    <xf numFmtId="183" fontId="121" fillId="0" borderId="0">
      <alignment horizontal="center"/>
    </xf>
    <xf numFmtId="184" fontId="121" fillId="0" borderId="0">
      <alignment horizontal="center"/>
    </xf>
    <xf numFmtId="184" fontId="121" fillId="0" borderId="0">
      <alignment horizontal="center"/>
    </xf>
    <xf numFmtId="183" fontId="121" fillId="0" borderId="0">
      <alignment horizontal="center"/>
    </xf>
    <xf numFmtId="184" fontId="121" fillId="0" borderId="0">
      <alignment horizontal="center"/>
    </xf>
    <xf numFmtId="187" fontId="121" fillId="0" borderId="0">
      <alignment horizontal="center"/>
    </xf>
    <xf numFmtId="184" fontId="121" fillId="0" borderId="0">
      <alignment horizontal="center"/>
    </xf>
    <xf numFmtId="184" fontId="121" fillId="0" borderId="0">
      <alignment horizontal="center"/>
    </xf>
    <xf numFmtId="0" fontId="109" fillId="0" borderId="0" applyProtection="0">
      <alignment horizontal="right"/>
    </xf>
    <xf numFmtId="0" fontId="109" fillId="0" borderId="0" applyProtection="0">
      <alignment horizontal="right"/>
    </xf>
    <xf numFmtId="183" fontId="109" fillId="0" borderId="0" applyProtection="0">
      <alignment horizontal="right"/>
    </xf>
    <xf numFmtId="184" fontId="109" fillId="0" borderId="0" applyProtection="0">
      <alignment horizontal="right"/>
    </xf>
    <xf numFmtId="185" fontId="109" fillId="0" borderId="0" applyProtection="0">
      <alignment horizontal="right"/>
    </xf>
    <xf numFmtId="183" fontId="109" fillId="0" borderId="0" applyProtection="0">
      <alignment horizontal="right"/>
    </xf>
    <xf numFmtId="184" fontId="109" fillId="0" borderId="0" applyProtection="0">
      <alignment horizontal="right"/>
    </xf>
    <xf numFmtId="184" fontId="109" fillId="0" borderId="0" applyProtection="0">
      <alignment horizontal="right"/>
    </xf>
    <xf numFmtId="184" fontId="109" fillId="0" borderId="0" applyProtection="0">
      <alignment horizontal="right"/>
    </xf>
    <xf numFmtId="185" fontId="109" fillId="0" borderId="0" applyProtection="0">
      <alignment horizontal="right"/>
    </xf>
    <xf numFmtId="183" fontId="109" fillId="0" borderId="0" applyProtection="0">
      <alignment horizontal="right"/>
    </xf>
    <xf numFmtId="184" fontId="109" fillId="0" borderId="0" applyProtection="0">
      <alignment horizontal="right"/>
    </xf>
    <xf numFmtId="184" fontId="109" fillId="0" borderId="0" applyProtection="0">
      <alignment horizontal="right"/>
    </xf>
    <xf numFmtId="183" fontId="109" fillId="0" borderId="0" applyProtection="0">
      <alignment horizontal="right"/>
    </xf>
    <xf numFmtId="184" fontId="109" fillId="0" borderId="0" applyProtection="0">
      <alignment horizontal="right"/>
    </xf>
    <xf numFmtId="187" fontId="109" fillId="0" borderId="0" applyProtection="0">
      <alignment horizontal="right"/>
    </xf>
    <xf numFmtId="184" fontId="109" fillId="0" borderId="0" applyProtection="0">
      <alignment horizontal="right"/>
    </xf>
    <xf numFmtId="184" fontId="109" fillId="0" borderId="0" applyProtection="0">
      <alignment horizontal="right"/>
    </xf>
    <xf numFmtId="198" fontId="22" fillId="0" borderId="0" applyFont="0" applyFill="0" applyBorder="0" applyAlignment="0" applyProtection="0"/>
    <xf numFmtId="198" fontId="22" fillId="0" borderId="0" applyFont="0" applyFill="0" applyBorder="0" applyAlignment="0" applyProtection="0"/>
    <xf numFmtId="0" fontId="122" fillId="0" borderId="41" applyNumberFormat="0" applyFill="0" applyAlignment="0" applyProtection="0"/>
    <xf numFmtId="185" fontId="122" fillId="0" borderId="41" applyNumberFormat="0" applyFill="0" applyAlignment="0" applyProtection="0"/>
    <xf numFmtId="0"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5"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3" fontId="122" fillId="0" borderId="41" applyNumberFormat="0" applyFill="0" applyAlignment="0" applyProtection="0"/>
    <xf numFmtId="184" fontId="122" fillId="0" borderId="41" applyNumberFormat="0" applyFill="0" applyAlignment="0" applyProtection="0"/>
    <xf numFmtId="187" fontId="122" fillId="0" borderId="41" applyNumberFormat="0" applyFill="0" applyAlignment="0" applyProtection="0"/>
    <xf numFmtId="184" fontId="122" fillId="0" borderId="41" applyNumberFormat="0" applyFill="0" applyAlignment="0" applyProtection="0"/>
    <xf numFmtId="184" fontId="122" fillId="0" borderId="41" applyNumberFormat="0" applyFill="0" applyAlignment="0" applyProtection="0"/>
    <xf numFmtId="183" fontId="123" fillId="0" borderId="0" applyFill="0" applyBorder="0" applyAlignment="0" applyProtection="0">
      <alignment horizontal="right"/>
    </xf>
    <xf numFmtId="184" fontId="123" fillId="0" borderId="0" applyFill="0" applyBorder="0" applyAlignment="0" applyProtection="0">
      <alignment horizontal="right"/>
    </xf>
    <xf numFmtId="10" fontId="24" fillId="102" borderId="3" applyNumberFormat="0" applyBorder="0" applyAlignment="0" applyProtection="0"/>
    <xf numFmtId="10" fontId="24" fillId="102" borderId="3" applyNumberFormat="0" applyBorder="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80" fillId="41" borderId="22" applyNumberFormat="0" applyAlignment="0" applyProtection="0"/>
    <xf numFmtId="184" fontId="80" fillId="41" borderId="22"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182" fontId="80" fillId="41" borderId="22"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0"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0" fontId="124" fillId="21" borderId="31" applyNumberFormat="0" applyAlignment="0" applyProtection="0"/>
    <xf numFmtId="184" fontId="124" fillId="21" borderId="31" applyNumberFormat="0" applyAlignment="0" applyProtection="0"/>
    <xf numFmtId="184" fontId="125" fillId="74" borderId="30" applyNumberFormat="0" applyAlignment="0" applyProtection="0"/>
    <xf numFmtId="182" fontId="124" fillId="21" borderId="31"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1"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7" fontId="80" fillId="41" borderId="22" applyNumberFormat="0" applyAlignment="0" applyProtection="0"/>
    <xf numFmtId="0"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80" fillId="41" borderId="22"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7" fontId="124" fillId="21" borderId="30" applyNumberFormat="0" applyAlignment="0" applyProtection="0"/>
    <xf numFmtId="187"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0"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5" fontId="80" fillId="41" borderId="22" applyNumberFormat="0" applyAlignment="0" applyProtection="0"/>
    <xf numFmtId="183"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184" fontId="80" fillId="41" borderId="22"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7" fontId="124" fillId="21" borderId="30" applyNumberFormat="0" applyAlignment="0" applyProtection="0"/>
    <xf numFmtId="187"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0"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3"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0" fontId="124" fillId="21" borderId="31" applyNumberFormat="0" applyAlignment="0" applyProtection="0"/>
    <xf numFmtId="184" fontId="124" fillId="21" borderId="31" applyNumberFormat="0" applyAlignment="0" applyProtection="0"/>
    <xf numFmtId="184" fontId="124" fillId="21" borderId="31"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3" fontId="124" fillId="21" borderId="30" applyNumberFormat="0" applyAlignment="0" applyProtection="0"/>
    <xf numFmtId="183"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185" fontId="124" fillId="21" borderId="30" applyNumberFormat="0" applyAlignment="0" applyProtection="0"/>
    <xf numFmtId="184" fontId="124" fillId="21" borderId="30" applyNumberFormat="0" applyAlignment="0" applyProtection="0"/>
    <xf numFmtId="184" fontId="124" fillId="21"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3" fontId="125" fillId="74" borderId="30" applyNumberFormat="0" applyAlignment="0" applyProtection="0"/>
    <xf numFmtId="183"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0" fontId="125" fillId="74" borderId="30" applyNumberFormat="0" applyAlignment="0" applyProtection="0"/>
    <xf numFmtId="184" fontId="125" fillId="74" borderId="30" applyNumberFormat="0" applyAlignment="0" applyProtection="0"/>
    <xf numFmtId="184" fontId="125" fillId="74" borderId="30" applyNumberFormat="0" applyAlignment="0" applyProtection="0"/>
    <xf numFmtId="199" fontId="126" fillId="0" borderId="0" applyFont="0" applyFill="0" applyBorder="0" applyProtection="0">
      <alignment horizontal="center"/>
    </xf>
    <xf numFmtId="183" fontId="34" fillId="34" borderId="0" applyNumberFormat="0" applyFont="0" applyBorder="0" applyAlignment="0" applyProtection="0">
      <alignment horizontal="left"/>
    </xf>
    <xf numFmtId="184" fontId="34" fillId="34" borderId="0" applyNumberFormat="0" applyFont="0" applyBorder="0" applyAlignment="0" applyProtection="0">
      <alignment horizontal="left"/>
    </xf>
    <xf numFmtId="0" fontId="127" fillId="0" borderId="42" applyNumberFormat="0" applyFill="0" applyAlignment="0" applyProtection="0"/>
    <xf numFmtId="0"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2" fontId="113" fillId="0" borderId="43" applyNumberFormat="0" applyFill="0" applyAlignment="0" applyProtection="0"/>
    <xf numFmtId="0"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5"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0"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0"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0" fontId="113" fillId="0" borderId="43"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3" fontId="113" fillId="0" borderId="43" applyNumberFormat="0" applyFill="0" applyAlignment="0" applyProtection="0"/>
    <xf numFmtId="184" fontId="113" fillId="0" borderId="43" applyNumberFormat="0" applyFill="0" applyAlignment="0" applyProtection="0"/>
    <xf numFmtId="184" fontId="113" fillId="0" borderId="43"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5" fontId="127" fillId="0" borderId="42"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7" fontId="128" fillId="0" borderId="44" applyNumberFormat="0" applyFill="0" applyAlignment="0" applyProtection="0"/>
    <xf numFmtId="0" fontId="127" fillId="0" borderId="42" applyNumberFormat="0" applyFill="0" applyAlignment="0" applyProtection="0"/>
    <xf numFmtId="184" fontId="127" fillId="0" borderId="42" applyNumberFormat="0" applyFill="0" applyAlignment="0" applyProtection="0"/>
    <xf numFmtId="184" fontId="128" fillId="0" borderId="44" applyNumberFormat="0" applyFill="0" applyAlignment="0" applyProtection="0"/>
    <xf numFmtId="0" fontId="127" fillId="0" borderId="42"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5"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0" fontId="127" fillId="0" borderId="42"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5" fontId="83" fillId="0" borderId="24" applyNumberFormat="0" applyFill="0" applyAlignment="0" applyProtection="0"/>
    <xf numFmtId="183"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0" fontId="127" fillId="0" borderId="42"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5" fontId="127" fillId="0" borderId="42" applyNumberFormat="0" applyFill="0" applyAlignment="0" applyProtection="0"/>
    <xf numFmtId="183"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4" fontId="127" fillId="0" borderId="42" applyNumberFormat="0" applyFill="0" applyAlignment="0" applyProtection="0"/>
    <xf numFmtId="185" fontId="128" fillId="0" borderId="44" applyNumberFormat="0" applyFill="0" applyAlignment="0" applyProtection="0"/>
    <xf numFmtId="183" fontId="128" fillId="0" borderId="44" applyNumberFormat="0" applyFill="0" applyAlignment="0" applyProtection="0"/>
    <xf numFmtId="184" fontId="128" fillId="0" borderId="44" applyNumberFormat="0" applyFill="0" applyAlignment="0" applyProtection="0"/>
    <xf numFmtId="184" fontId="128" fillId="0" borderId="44" applyNumberFormat="0" applyFill="0" applyAlignment="0" applyProtection="0"/>
    <xf numFmtId="0" fontId="83" fillId="0" borderId="24" applyNumberFormat="0" applyFill="0" applyAlignment="0" applyProtection="0"/>
    <xf numFmtId="184" fontId="83" fillId="0" borderId="24" applyNumberFormat="0" applyFill="0" applyAlignment="0" applyProtection="0"/>
    <xf numFmtId="184" fontId="83" fillId="0" borderId="24" applyNumberFormat="0" applyFill="0" applyAlignment="0" applyProtection="0"/>
    <xf numFmtId="182" fontId="83" fillId="0" borderId="24" applyNumberFormat="0" applyFill="0" applyAlignment="0" applyProtection="0"/>
    <xf numFmtId="183" fontId="129" fillId="103" borderId="0">
      <alignment horizontal="right"/>
    </xf>
    <xf numFmtId="184" fontId="129" fillId="103" borderId="0">
      <alignment horizontal="right"/>
    </xf>
    <xf numFmtId="17" fontId="130" fillId="0" borderId="0" applyFont="0" applyFill="0" applyBorder="0" applyAlignment="0" applyProtection="0">
      <alignment horizontal="centerContinuous"/>
      <protection locked="0"/>
    </xf>
    <xf numFmtId="0" fontId="131" fillId="25" borderId="0" applyNumberFormat="0" applyBorder="0" applyAlignment="0" applyProtection="0"/>
    <xf numFmtId="0"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2" fontId="113" fillId="21" borderId="0" applyNumberFormat="0" applyBorder="0" applyAlignment="0" applyProtection="0"/>
    <xf numFmtId="0"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7" fontId="131" fillId="21" borderId="0" applyNumberFormat="0" applyBorder="0" applyAlignment="0" applyProtection="0"/>
    <xf numFmtId="184" fontId="131" fillId="21" borderId="0" applyNumberFormat="0" applyBorder="0" applyAlignment="0" applyProtection="0"/>
    <xf numFmtId="184" fontId="79" fillId="40" borderId="0" applyNumberFormat="0" applyBorder="0" applyAlignment="0" applyProtection="0"/>
    <xf numFmtId="0"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5"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185"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0"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0" fontId="113"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3" fontId="113" fillId="21" borderId="0" applyNumberFormat="0" applyBorder="0" applyAlignment="0" applyProtection="0"/>
    <xf numFmtId="184" fontId="113" fillId="21" borderId="0" applyNumberFormat="0" applyBorder="0" applyAlignment="0" applyProtection="0"/>
    <xf numFmtId="184" fontId="113" fillId="21"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5" fontId="131" fillId="25"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7" fontId="79" fillId="40" borderId="0" applyNumberFormat="0" applyBorder="0" applyAlignment="0" applyProtection="0"/>
    <xf numFmtId="0" fontId="131" fillId="25" borderId="0" applyNumberFormat="0" applyBorder="0" applyAlignment="0" applyProtection="0"/>
    <xf numFmtId="184" fontId="131" fillId="25" borderId="0" applyNumberFormat="0" applyBorder="0" applyAlignment="0" applyProtection="0"/>
    <xf numFmtId="184" fontId="79" fillId="40" borderId="0" applyNumberFormat="0" applyBorder="0" applyAlignment="0" applyProtection="0"/>
    <xf numFmtId="0" fontId="131" fillId="25"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0" fontId="131" fillId="25"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5" fontId="79" fillId="40" borderId="0" applyNumberFormat="0" applyBorder="0" applyAlignment="0" applyProtection="0"/>
    <xf numFmtId="183"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0" fontId="131" fillId="25"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5" fontId="131" fillId="25" borderId="0" applyNumberFormat="0" applyBorder="0" applyAlignment="0" applyProtection="0"/>
    <xf numFmtId="183"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4" fontId="131" fillId="25" borderId="0" applyNumberFormat="0" applyBorder="0" applyAlignment="0" applyProtection="0"/>
    <xf numFmtId="185" fontId="131" fillId="21" borderId="0" applyNumberFormat="0" applyBorder="0" applyAlignment="0" applyProtection="0"/>
    <xf numFmtId="183" fontId="131" fillId="21" borderId="0" applyNumberFormat="0" applyBorder="0" applyAlignment="0" applyProtection="0"/>
    <xf numFmtId="184" fontId="131" fillId="21" borderId="0" applyNumberFormat="0" applyBorder="0" applyAlignment="0" applyProtection="0"/>
    <xf numFmtId="184" fontId="131" fillId="21" borderId="0" applyNumberFormat="0" applyBorder="0" applyAlignment="0" applyProtection="0"/>
    <xf numFmtId="0" fontId="79" fillId="40" borderId="0" applyNumberFormat="0" applyBorder="0" applyAlignment="0" applyProtection="0"/>
    <xf numFmtId="184" fontId="79" fillId="40" borderId="0" applyNumberFormat="0" applyBorder="0" applyAlignment="0" applyProtection="0"/>
    <xf numFmtId="184" fontId="79" fillId="40" borderId="0" applyNumberFormat="0" applyBorder="0" applyAlignment="0" applyProtection="0"/>
    <xf numFmtId="182" fontId="79" fillId="40" borderId="0" applyNumberFormat="0" applyBorder="0" applyAlignment="0" applyProtection="0"/>
    <xf numFmtId="37" fontId="132" fillId="0" borderId="0"/>
    <xf numFmtId="200" fontId="133" fillId="0" borderId="0"/>
    <xf numFmtId="201" fontId="22" fillId="0" borderId="0"/>
    <xf numFmtId="201" fontId="22"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183" fontId="22" fillId="0" borderId="0"/>
    <xf numFmtId="184" fontId="22" fillId="0" borderId="0"/>
    <xf numFmtId="184" fontId="22" fillId="0" borderId="0"/>
    <xf numFmtId="187" fontId="6" fillId="0" borderId="0"/>
    <xf numFmtId="0"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6"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0" fontId="24" fillId="104" borderId="0"/>
    <xf numFmtId="183" fontId="24" fillId="104" borderId="0"/>
    <xf numFmtId="184" fontId="24" fillId="104" borderId="0"/>
    <xf numFmtId="184" fontId="24" fillId="104" borderId="0"/>
    <xf numFmtId="187" fontId="24" fillId="104" borderId="0"/>
    <xf numFmtId="184" fontId="24" fillId="104" borderId="0"/>
    <xf numFmtId="184" fontId="6"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6"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0" fontId="24" fillId="104" borderId="0"/>
    <xf numFmtId="183" fontId="24" fillId="104" borderId="0"/>
    <xf numFmtId="184" fontId="24" fillId="104" borderId="0"/>
    <xf numFmtId="184" fontId="24" fillId="104" borderId="0"/>
    <xf numFmtId="187"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6" fillId="0" borderId="0"/>
    <xf numFmtId="0" fontId="6" fillId="0" borderId="0"/>
    <xf numFmtId="183" fontId="6" fillId="0" borderId="0"/>
    <xf numFmtId="184" fontId="6" fillId="0" borderId="0"/>
    <xf numFmtId="185" fontId="6" fillId="0" borderId="0"/>
    <xf numFmtId="183"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183" fontId="6" fillId="0" borderId="0"/>
    <xf numFmtId="184" fontId="6" fillId="0" borderId="0"/>
    <xf numFmtId="185" fontId="6" fillId="0" borderId="0"/>
    <xf numFmtId="183" fontId="6" fillId="0" borderId="0"/>
    <xf numFmtId="184" fontId="6" fillId="0" borderId="0"/>
    <xf numFmtId="184" fontId="6" fillId="0" borderId="0"/>
    <xf numFmtId="0" fontId="24" fillId="104" borderId="0"/>
    <xf numFmtId="183" fontId="24" fillId="104" borderId="0"/>
    <xf numFmtId="184" fontId="24" fillId="104" borderId="0"/>
    <xf numFmtId="184" fontId="24" fillId="104" borderId="0"/>
    <xf numFmtId="187" fontId="24" fillId="104" borderId="0"/>
    <xf numFmtId="184" fontId="24" fillId="104" borderId="0"/>
    <xf numFmtId="184" fontId="6"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184" fontId="22" fillId="0" borderId="0"/>
    <xf numFmtId="185" fontId="22" fillId="0" borderId="0"/>
    <xf numFmtId="183" fontId="22" fillId="0" borderId="0"/>
    <xf numFmtId="184" fontId="22" fillId="0" borderId="0"/>
    <xf numFmtId="185"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4" fillId="104"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0" fontId="24" fillId="104" borderId="0"/>
    <xf numFmtId="183" fontId="24" fillId="104" borderId="0"/>
    <xf numFmtId="184"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7"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4" fillId="104"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0" fontId="24" fillId="104" borderId="0"/>
    <xf numFmtId="183" fontId="24" fillId="104" borderId="0"/>
    <xf numFmtId="184"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4" fontId="24" fillId="104" borderId="0"/>
    <xf numFmtId="184" fontId="22" fillId="0" borderId="0"/>
    <xf numFmtId="182" fontId="24" fillId="104" borderId="0"/>
    <xf numFmtId="202" fontId="6" fillId="0" borderId="0"/>
    <xf numFmtId="0" fontId="6" fillId="0" borderId="0"/>
    <xf numFmtId="202"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187"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2" fillId="0" borderId="0"/>
    <xf numFmtId="184" fontId="22"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4" fontId="22" fillId="0" borderId="0"/>
    <xf numFmtId="184" fontId="22" fillId="0" borderId="0"/>
    <xf numFmtId="187" fontId="6" fillId="0" borderId="0"/>
    <xf numFmtId="0" fontId="22" fillId="0" borderId="0"/>
    <xf numFmtId="184" fontId="22" fillId="0" borderId="0"/>
    <xf numFmtId="184" fontId="6" fillId="0" borderId="0"/>
    <xf numFmtId="0" fontId="22" fillId="0" borderId="0"/>
    <xf numFmtId="184" fontId="22" fillId="0" borderId="0"/>
    <xf numFmtId="0"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4" fontId="22" fillId="0" borderId="0"/>
    <xf numFmtId="182" fontId="22" fillId="0" borderId="0"/>
    <xf numFmtId="202" fontId="6" fillId="0" borderId="0"/>
    <xf numFmtId="0" fontId="134"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134" fillId="0" borderId="0"/>
    <xf numFmtId="183" fontId="134" fillId="0" borderId="0"/>
    <xf numFmtId="184" fontId="13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34" fillId="0" borderId="0"/>
    <xf numFmtId="185" fontId="134" fillId="0" borderId="0"/>
    <xf numFmtId="183" fontId="134" fillId="0" borderId="0"/>
    <xf numFmtId="183" fontId="134" fillId="0" borderId="0"/>
    <xf numFmtId="184" fontId="134" fillId="0" borderId="0"/>
    <xf numFmtId="0" fontId="6" fillId="0" borderId="0"/>
    <xf numFmtId="183" fontId="6" fillId="0" borderId="0"/>
    <xf numFmtId="184" fontId="6" fillId="0" borderId="0"/>
    <xf numFmtId="184" fontId="6" fillId="0" borderId="0"/>
    <xf numFmtId="184" fontId="134" fillId="0" borderId="0"/>
    <xf numFmtId="185" fontId="134" fillId="0" borderId="0"/>
    <xf numFmtId="183" fontId="134" fillId="0" borderId="0"/>
    <xf numFmtId="184" fontId="134" fillId="0" borderId="0"/>
    <xf numFmtId="184" fontId="13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34" fillId="0" borderId="0"/>
    <xf numFmtId="0" fontId="134" fillId="0" borderId="0"/>
    <xf numFmtId="183" fontId="134" fillId="0" borderId="0"/>
    <xf numFmtId="184" fontId="134" fillId="0" borderId="0"/>
    <xf numFmtId="184" fontId="134" fillId="0" borderId="0"/>
    <xf numFmtId="184" fontId="134" fillId="0" borderId="0"/>
    <xf numFmtId="0"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22" fillId="0" borderId="0"/>
    <xf numFmtId="183" fontId="22" fillId="0" borderId="0"/>
    <xf numFmtId="184" fontId="22" fillId="0" borderId="0"/>
    <xf numFmtId="184" fontId="22" fillId="0" borderId="0"/>
    <xf numFmtId="187" fontId="22"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7" fontId="6" fillId="0" borderId="0"/>
    <xf numFmtId="184" fontId="6" fillId="0" borderId="0"/>
    <xf numFmtId="184" fontId="22" fillId="0" borderId="0"/>
    <xf numFmtId="202"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2" fillId="0" borderId="0"/>
    <xf numFmtId="184" fontId="22"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186" fontId="22" fillId="0" borderId="0">
      <alignment horizontal="left" wrapText="1"/>
    </xf>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6" fontId="22" fillId="0" borderId="0">
      <alignment horizontal="left" wrapText="1"/>
    </xf>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186" fontId="22" fillId="0" borderId="0">
      <alignment horizontal="left" wrapText="1"/>
    </xf>
    <xf numFmtId="0" fontId="24"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7" fontId="6" fillId="0" borderId="0"/>
    <xf numFmtId="184" fontId="6" fillId="0" borderId="0"/>
    <xf numFmtId="184" fontId="6" fillId="0" borderId="0"/>
    <xf numFmtId="202" fontId="6"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4"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3"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0" fontId="54" fillId="0" borderId="0"/>
    <xf numFmtId="183" fontId="54" fillId="0" borderId="0"/>
    <xf numFmtId="184" fontId="54" fillId="0" borderId="0"/>
    <xf numFmtId="184" fontId="54" fillId="0" borderId="0"/>
    <xf numFmtId="0" fontId="6" fillId="0" borderId="0"/>
    <xf numFmtId="183" fontId="6" fillId="0" borderId="0"/>
    <xf numFmtId="184" fontId="6" fillId="0" borderId="0"/>
    <xf numFmtId="184" fontId="6" fillId="0" borderId="0"/>
    <xf numFmtId="184" fontId="54"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3" fontId="24" fillId="104" borderId="0"/>
    <xf numFmtId="183" fontId="24" fillId="104" borderId="0"/>
    <xf numFmtId="184" fontId="24" fillId="104" borderId="0"/>
    <xf numFmtId="0" fontId="6" fillId="0" borderId="0"/>
    <xf numFmtId="183" fontId="6" fillId="0" borderId="0"/>
    <xf numFmtId="184" fontId="6" fillId="0" borderId="0"/>
    <xf numFmtId="184" fontId="6" fillId="0" borderId="0"/>
    <xf numFmtId="184" fontId="24" fillId="104"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4" fillId="104" borderId="0"/>
    <xf numFmtId="0" fontId="24" fillId="104" borderId="0"/>
    <xf numFmtId="183" fontId="24" fillId="104" borderId="0"/>
    <xf numFmtId="184" fontId="24" fillId="104" borderId="0"/>
    <xf numFmtId="184" fontId="24" fillId="104" borderId="0"/>
    <xf numFmtId="0" fontId="24" fillId="104" borderId="0"/>
    <xf numFmtId="0" fontId="24" fillId="104" borderId="0"/>
    <xf numFmtId="183" fontId="24" fillId="104" borderId="0"/>
    <xf numFmtId="184" fontId="24" fillId="104" borderId="0"/>
    <xf numFmtId="184" fontId="24" fillId="104" borderId="0"/>
    <xf numFmtId="183" fontId="24" fillId="104" borderId="0"/>
    <xf numFmtId="184" fontId="24" fillId="104" borderId="0"/>
    <xf numFmtId="184" fontId="24" fillId="104" borderId="0"/>
    <xf numFmtId="0" fontId="6" fillId="0" borderId="0"/>
    <xf numFmtId="183" fontId="6" fillId="0" borderId="0"/>
    <xf numFmtId="184" fontId="6" fillId="0" borderId="0"/>
    <xf numFmtId="184" fontId="6" fillId="0" borderId="0"/>
    <xf numFmtId="183" fontId="24" fillId="104" borderId="0"/>
    <xf numFmtId="184" fontId="24" fillId="104" borderId="0"/>
    <xf numFmtId="184" fontId="24" fillId="104" borderId="0"/>
    <xf numFmtId="0"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184" fontId="22" fillId="0" borderId="0"/>
    <xf numFmtId="0"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184" fontId="22" fillId="0" borderId="0"/>
    <xf numFmtId="0"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184" fontId="22"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185" fontId="6" fillId="0" borderId="0"/>
    <xf numFmtId="183"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38" fillId="0" borderId="0"/>
    <xf numFmtId="187" fontId="6" fillId="0" borderId="0"/>
    <xf numFmtId="184" fontId="6" fillId="0" borderId="0"/>
    <xf numFmtId="184" fontId="22" fillId="0" borderId="0"/>
    <xf numFmtId="202" fontId="22" fillId="0" borderId="0"/>
    <xf numFmtId="182"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0" fontId="22" fillId="0" borderId="0"/>
    <xf numFmtId="183"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0" fontId="22" fillId="0" borderId="0"/>
    <xf numFmtId="184"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0" fontId="22" fillId="0" borderId="0"/>
    <xf numFmtId="0" fontId="22" fillId="0" borderId="0"/>
    <xf numFmtId="183" fontId="22" fillId="0" borderId="0"/>
    <xf numFmtId="184" fontId="22" fillId="0" borderId="0"/>
    <xf numFmtId="184" fontId="22" fillId="0" borderId="0"/>
    <xf numFmtId="0" fontId="22" fillId="0" borderId="0"/>
    <xf numFmtId="183" fontId="22" fillId="0" borderId="0"/>
    <xf numFmtId="184" fontId="22" fillId="0" borderId="0"/>
    <xf numFmtId="184" fontId="22" fillId="0" borderId="0"/>
    <xf numFmtId="183" fontId="22" fillId="0" borderId="0"/>
    <xf numFmtId="184" fontId="22" fillId="0" borderId="0"/>
    <xf numFmtId="0" fontId="22" fillId="0" borderId="0"/>
    <xf numFmtId="184" fontId="22"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0" fontId="54" fillId="0" borderId="0"/>
    <xf numFmtId="183" fontId="54" fillId="0" borderId="0"/>
    <xf numFmtId="184" fontId="54" fillId="0" borderId="0"/>
    <xf numFmtId="184" fontId="54" fillId="0" borderId="0"/>
    <xf numFmtId="183" fontId="6" fillId="0" borderId="0"/>
    <xf numFmtId="184" fontId="6" fillId="0" borderId="0"/>
    <xf numFmtId="183" fontId="6" fillId="0" borderId="0"/>
    <xf numFmtId="184" fontId="6" fillId="0" borderId="0"/>
    <xf numFmtId="183"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0" fontId="24" fillId="104" borderId="0"/>
    <xf numFmtId="183" fontId="24" fillId="104" borderId="0"/>
    <xf numFmtId="184" fontId="24" fillId="104" borderId="0"/>
    <xf numFmtId="184" fontId="24" fillId="104" borderId="0"/>
    <xf numFmtId="183" fontId="24" fillId="104" borderId="0"/>
    <xf numFmtId="184" fontId="24" fillId="104" borderId="0"/>
    <xf numFmtId="183" fontId="6" fillId="0" borderId="0"/>
    <xf numFmtId="184" fontId="6" fillId="0" borderId="0"/>
    <xf numFmtId="0" fontId="6" fillId="0" borderId="0"/>
    <xf numFmtId="184" fontId="6" fillId="0" borderId="0"/>
    <xf numFmtId="0" fontId="24" fillId="104" borderId="0"/>
    <xf numFmtId="184" fontId="24" fillId="104"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4" fontId="24" fillId="104" borderId="0"/>
    <xf numFmtId="0" fontId="54" fillId="0" borderId="0"/>
    <xf numFmtId="0" fontId="24" fillId="104" borderId="0"/>
    <xf numFmtId="184" fontId="24" fillId="104" borderId="0"/>
    <xf numFmtId="184" fontId="54" fillId="0" borderId="0"/>
    <xf numFmtId="0" fontId="24" fillId="104" borderId="0"/>
    <xf numFmtId="184" fontId="24" fillId="104"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187" fontId="22" fillId="0" borderId="0"/>
    <xf numFmtId="187" fontId="22" fillId="0" borderId="0"/>
    <xf numFmtId="184" fontId="22" fillId="0" borderId="0"/>
    <xf numFmtId="184" fontId="22" fillId="0" borderId="0"/>
    <xf numFmtId="0" fontId="22" fillId="0" borderId="0"/>
    <xf numFmtId="184" fontId="22" fillId="0" borderId="0"/>
    <xf numFmtId="0" fontId="24" fillId="104" borderId="0"/>
    <xf numFmtId="184" fontId="24" fillId="104"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184" fontId="24" fillId="104" borderId="0"/>
    <xf numFmtId="0" fontId="24" fillId="104" borderId="0"/>
    <xf numFmtId="184" fontId="24" fillId="104" borderId="0"/>
    <xf numFmtId="0" fontId="6" fillId="0" borderId="0"/>
    <xf numFmtId="184" fontId="6" fillId="0" borderId="0"/>
    <xf numFmtId="0" fontId="24" fillId="104" borderId="0"/>
    <xf numFmtId="184" fontId="24" fillId="104" borderId="0"/>
    <xf numFmtId="0" fontId="24" fillId="104" borderId="0"/>
    <xf numFmtId="184" fontId="24" fillId="104" borderId="0"/>
    <xf numFmtId="0" fontId="24" fillId="104" borderId="0"/>
    <xf numFmtId="184" fontId="24" fillId="104" borderId="0"/>
    <xf numFmtId="0" fontId="24" fillId="104" borderId="0"/>
    <xf numFmtId="184" fontId="24" fillId="104" borderId="0"/>
    <xf numFmtId="184" fontId="6"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182" fontId="54" fillId="0" borderId="0"/>
    <xf numFmtId="0" fontId="24" fillId="104" borderId="0"/>
    <xf numFmtId="202" fontId="6" fillId="0" borderId="0"/>
    <xf numFmtId="202" fontId="6" fillId="0" borderId="0"/>
    <xf numFmtId="0"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202" fontId="6" fillId="0" borderId="0"/>
    <xf numFmtId="202" fontId="6" fillId="0" borderId="0"/>
    <xf numFmtId="202" fontId="6" fillId="0" borderId="0"/>
    <xf numFmtId="202" fontId="6" fillId="0" borderId="0"/>
    <xf numFmtId="202" fontId="6" fillId="0" borderId="0"/>
    <xf numFmtId="183" fontId="6" fillId="0" borderId="0"/>
    <xf numFmtId="183" fontId="6" fillId="0" borderId="0"/>
    <xf numFmtId="183" fontId="6" fillId="0" borderId="0"/>
    <xf numFmtId="0" fontId="24" fillId="104" borderId="0"/>
    <xf numFmtId="0" fontId="24" fillId="104"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182" fontId="6" fillId="0" borderId="0"/>
    <xf numFmtId="0" fontId="24" fillId="104" borderId="0"/>
    <xf numFmtId="0" fontId="6" fillId="0" borderId="0"/>
    <xf numFmtId="0" fontId="6" fillId="0" borderId="0"/>
    <xf numFmtId="202"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187"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0" fontId="6" fillId="0" borderId="0"/>
    <xf numFmtId="0" fontId="6" fillId="0" borderId="0"/>
    <xf numFmtId="0" fontId="24" fillId="104" borderId="0"/>
    <xf numFmtId="0" fontId="24" fillId="104" borderId="0"/>
    <xf numFmtId="0" fontId="6" fillId="0" borderId="0"/>
    <xf numFmtId="0" fontId="6" fillId="0" borderId="0"/>
    <xf numFmtId="0" fontId="6" fillId="0" borderId="0"/>
    <xf numFmtId="0"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6" fillId="0" borderId="0"/>
    <xf numFmtId="0" fontId="6" fillId="0" borderId="0"/>
    <xf numFmtId="0" fontId="6"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0" fontId="24" fillId="104" borderId="0"/>
    <xf numFmtId="0" fontId="24" fillId="104" borderId="0"/>
    <xf numFmtId="0" fontId="24" fillId="104" borderId="0"/>
    <xf numFmtId="0" fontId="6" fillId="0" borderId="0"/>
    <xf numFmtId="0" fontId="24" fillId="104" borderId="0"/>
    <xf numFmtId="0" fontId="24" fillId="104" borderId="0"/>
    <xf numFmtId="202" fontId="6" fillId="0" borderId="0"/>
    <xf numFmtId="202" fontId="6" fillId="0" borderId="0"/>
    <xf numFmtId="202"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4" fillId="104" borderId="0"/>
    <xf numFmtId="0" fontId="24" fillId="104" borderId="0"/>
    <xf numFmtId="0" fontId="22" fillId="0" borderId="0"/>
    <xf numFmtId="0" fontId="22" fillId="0" borderId="0"/>
    <xf numFmtId="0" fontId="22" fillId="0" borderId="0"/>
    <xf numFmtId="0" fontId="22" fillId="0" borderId="0"/>
    <xf numFmtId="0"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38" fillId="0" borderId="0"/>
    <xf numFmtId="184" fontId="22"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24" fillId="104" borderId="0"/>
    <xf numFmtId="183" fontId="24" fillId="104" borderId="0"/>
    <xf numFmtId="184" fontId="24" fillId="104" borderId="0"/>
    <xf numFmtId="184" fontId="24" fillId="104" borderId="0"/>
    <xf numFmtId="187"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38" fillId="0" borderId="0"/>
    <xf numFmtId="0"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4" fontId="6"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3"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185"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7" fontId="6" fillId="0" borderId="0"/>
    <xf numFmtId="184" fontId="6" fillId="0" borderId="0"/>
    <xf numFmtId="184" fontId="6"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96" fontId="22" fillId="0" borderId="0"/>
    <xf numFmtId="196"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4" fillId="105" borderId="0" applyBorder="0" applyAlignment="0">
      <alignment horizontal="left"/>
    </xf>
    <xf numFmtId="183" fontId="34" fillId="105" borderId="0" applyBorder="0" applyAlignment="0">
      <alignment horizontal="left"/>
    </xf>
    <xf numFmtId="184" fontId="34" fillId="105" borderId="0" applyBorder="0" applyAlignment="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34" fillId="105" borderId="0" applyBorder="0" applyAlignment="0">
      <alignment horizontal="left"/>
    </xf>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0" fontId="6" fillId="44" borderId="26" applyNumberFormat="0" applyFont="0" applyAlignment="0" applyProtection="0"/>
    <xf numFmtId="184" fontId="6" fillId="44" borderId="26"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6" fillId="44" borderId="26"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38"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2" fillId="20" borderId="45" applyNumberFormat="0" applyFont="0" applyAlignment="0" applyProtection="0"/>
    <xf numFmtId="187" fontId="22" fillId="20" borderId="45" applyNumberFormat="0" applyFont="0" applyAlignment="0" applyProtection="0"/>
    <xf numFmtId="187" fontId="22" fillId="20"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7" fontId="22" fillId="20"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7"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2" fillId="26" borderId="45"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2" fontId="24" fillId="20" borderId="31"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22" fillId="20" borderId="45" applyNumberFormat="0" applyFont="0" applyAlignment="0" applyProtection="0"/>
    <xf numFmtId="184" fontId="22" fillId="20" borderId="45"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38" fillId="26" borderId="45" applyNumberFormat="0" applyFont="0" applyAlignment="0" applyProtection="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2" fontId="6"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38" fillId="26" borderId="45"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5"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0" fontId="6" fillId="44" borderId="26" applyNumberFormat="0" applyFont="0" applyAlignment="0" applyProtection="0"/>
    <xf numFmtId="183" fontId="6" fillId="44" borderId="26" applyNumberFormat="0" applyFont="0" applyAlignment="0" applyProtection="0"/>
    <xf numFmtId="184" fontId="6" fillId="44" borderId="26" applyNumberFormat="0" applyFont="0" applyAlignment="0" applyProtection="0"/>
    <xf numFmtId="184" fontId="6"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6"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3" fontId="38" fillId="44" borderId="26" applyNumberFormat="0" applyFont="0" applyAlignment="0" applyProtection="0"/>
    <xf numFmtId="183"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38" fillId="44" borderId="26" applyNumberFormat="0" applyFont="0" applyAlignment="0" applyProtection="0"/>
    <xf numFmtId="184" fontId="38" fillId="44" borderId="26" applyNumberFormat="0" applyFont="0" applyAlignment="0" applyProtection="0"/>
    <xf numFmtId="184" fontId="38" fillId="44" borderId="26"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38" fillId="44" borderId="26" applyNumberFormat="0" applyFont="0" applyAlignment="0" applyProtection="0"/>
    <xf numFmtId="184" fontId="38" fillId="44" borderId="26" applyNumberFormat="0" applyFont="0" applyAlignment="0" applyProtection="0"/>
    <xf numFmtId="0" fontId="38"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5"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183"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4" fontId="22" fillId="26" borderId="45" applyNumberFormat="0" applyFont="0" applyAlignment="0" applyProtection="0"/>
    <xf numFmtId="0" fontId="22" fillId="26" borderId="45" applyNumberFormat="0" applyFont="0" applyAlignment="0" applyProtection="0"/>
    <xf numFmtId="184" fontId="22" fillId="26"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5" fontId="22" fillId="20" borderId="45" applyNumberFormat="0" applyFont="0" applyAlignment="0" applyProtection="0"/>
    <xf numFmtId="184" fontId="22" fillId="20" borderId="45" applyNumberFormat="0" applyFont="0" applyAlignment="0" applyProtection="0"/>
    <xf numFmtId="184" fontId="22" fillId="20" borderId="45"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6" fillId="0" borderId="0"/>
    <xf numFmtId="183" fontId="6" fillId="0" borderId="0"/>
    <xf numFmtId="184" fontId="6" fillId="0" borderId="0"/>
    <xf numFmtId="184" fontId="6" fillId="0" borderId="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0"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183" fontId="24" fillId="20" borderId="31" applyNumberFormat="0" applyFont="0" applyAlignment="0" applyProtection="0"/>
    <xf numFmtId="184" fontId="24" fillId="20" borderId="31" applyNumberFormat="0" applyFont="0" applyAlignment="0" applyProtection="0"/>
    <xf numFmtId="184" fontId="24" fillId="20" borderId="31" applyNumberFormat="0" applyFont="0" applyAlignment="0" applyProtection="0"/>
    <xf numFmtId="203" fontId="135" fillId="0" borderId="46" applyFont="0" applyFill="0" applyBorder="0" applyAlignment="0" applyProtection="0">
      <alignment horizontal="center"/>
      <protection locked="0"/>
    </xf>
    <xf numFmtId="203" fontId="135" fillId="0" borderId="46" applyFon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2" fontId="81" fillId="42" borderId="23" applyNumberFormat="0" applyAlignment="0" applyProtection="0"/>
    <xf numFmtId="0"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36" fillId="97" borderId="47" applyNumberFormat="0" applyAlignment="0" applyProtection="0"/>
    <xf numFmtId="0"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7"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0" fontId="136" fillId="96" borderId="47" applyNumberFormat="0" applyAlignment="0" applyProtection="0"/>
    <xf numFmtId="184" fontId="136" fillId="96" borderId="47" applyNumberFormat="0" applyAlignment="0" applyProtection="0"/>
    <xf numFmtId="184" fontId="136" fillId="75" borderId="47" applyNumberFormat="0" applyAlignment="0" applyProtection="0"/>
    <xf numFmtId="182" fontId="136" fillId="96" borderId="47" applyNumberFormat="0" applyAlignment="0" applyProtection="0"/>
    <xf numFmtId="0"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136" fillId="96"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3" fontId="136" fillId="96" borderId="47" applyNumberFormat="0" applyAlignment="0" applyProtection="0"/>
    <xf numFmtId="183" fontId="136" fillId="96" borderId="47" applyNumberFormat="0" applyAlignment="0" applyProtection="0"/>
    <xf numFmtId="183"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6" fillId="0" borderId="0"/>
    <xf numFmtId="183" fontId="6" fillId="0" borderId="0"/>
    <xf numFmtId="184" fontId="6" fillId="0" borderId="0"/>
    <xf numFmtId="184" fontId="6" fillId="0" borderId="0"/>
    <xf numFmtId="183"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136" fillId="96" borderId="47" applyNumberFormat="0" applyAlignment="0" applyProtection="0"/>
    <xf numFmtId="183" fontId="136" fillId="96" borderId="47" applyNumberFormat="0" applyAlignment="0" applyProtection="0"/>
    <xf numFmtId="183"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96" borderId="47" applyNumberFormat="0" applyAlignment="0" applyProtection="0"/>
    <xf numFmtId="184" fontId="136" fillId="96" borderId="47" applyNumberFormat="0" applyAlignment="0" applyProtection="0"/>
    <xf numFmtId="184" fontId="136" fillId="96"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136" fillId="75" borderId="47"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184" fontId="81" fillId="42" borderId="23" applyNumberFormat="0" applyAlignment="0" applyProtection="0"/>
    <xf numFmtId="185"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81" fillId="42" borderId="23" applyNumberFormat="0" applyAlignment="0" applyProtection="0"/>
    <xf numFmtId="183" fontId="81" fillId="42" borderId="23" applyNumberFormat="0" applyAlignment="0" applyProtection="0"/>
    <xf numFmtId="184" fontId="81" fillId="42" borderId="23" applyNumberFormat="0" applyAlignment="0" applyProtection="0"/>
    <xf numFmtId="184" fontId="81" fillId="42" borderId="23"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1" fillId="42" borderId="23" applyNumberFormat="0" applyAlignment="0" applyProtection="0"/>
    <xf numFmtId="0"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3" fontId="136" fillId="75" borderId="47" applyNumberFormat="0" applyAlignment="0" applyProtection="0"/>
    <xf numFmtId="183"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36" fillId="75" borderId="47" applyNumberFormat="0" applyAlignment="0" applyProtection="0"/>
    <xf numFmtId="184" fontId="136" fillId="75" borderId="47" applyNumberFormat="0" applyAlignment="0" applyProtection="0"/>
    <xf numFmtId="184" fontId="136" fillId="75"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3" fontId="136" fillId="97" borderId="47" applyNumberFormat="0" applyAlignment="0" applyProtection="0"/>
    <xf numFmtId="183"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36" fillId="97" borderId="47" applyNumberFormat="0" applyAlignment="0" applyProtection="0"/>
    <xf numFmtId="184" fontId="136" fillId="97" borderId="47" applyNumberFormat="0" applyAlignment="0" applyProtection="0"/>
    <xf numFmtId="184" fontId="136" fillId="97" borderId="47" applyNumberFormat="0" applyAlignment="0" applyProtection="0"/>
    <xf numFmtId="0" fontId="81" fillId="42" borderId="23" applyNumberFormat="0" applyAlignment="0" applyProtection="0"/>
    <xf numFmtId="184" fontId="81" fillId="42" borderId="23" applyNumberFormat="0" applyAlignment="0" applyProtection="0"/>
    <xf numFmtId="0" fontId="136" fillId="96" borderId="47" applyNumberFormat="0" applyAlignment="0" applyProtection="0"/>
    <xf numFmtId="184" fontId="136" fillId="96" borderId="47" applyNumberFormat="0" applyAlignment="0" applyProtection="0"/>
    <xf numFmtId="184" fontId="81" fillId="42" borderId="23" applyNumberFormat="0" applyAlignment="0" applyProtection="0"/>
    <xf numFmtId="10" fontId="137" fillId="0" borderId="48" applyFont="0" applyFill="0" applyBorder="0" applyAlignment="0" applyProtection="0">
      <alignment horizontal="center"/>
      <protection locked="0"/>
    </xf>
    <xf numFmtId="10" fontId="137" fillId="0" borderId="48" applyFon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90" fontId="138" fillId="0" borderId="0" applyFont="0" applyFill="0" applyBorder="0" applyProtection="0">
      <alignment horizontal="center"/>
    </xf>
    <xf numFmtId="190" fontId="138" fillId="0" borderId="0" applyFont="0" applyFill="0" applyBorder="0" applyProtection="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4" fontId="31" fillId="0" borderId="0">
      <alignment horizontal="center" wrapText="1"/>
      <protection locked="0"/>
    </xf>
    <xf numFmtId="14" fontId="31" fillId="0" borderId="0">
      <alignment horizontal="center" wrapText="1"/>
      <protection locked="0"/>
    </xf>
    <xf numFmtId="14" fontId="31" fillId="0" borderId="0">
      <alignment horizontal="center" wrapText="1"/>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4" fontId="31" fillId="0" borderId="0">
      <alignment horizontal="center" wrapText="1"/>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204" fontId="22" fillId="0" borderId="0" applyFont="0" applyFill="0" applyBorder="0" applyAlignment="0" applyProtection="0"/>
    <xf numFmtId="204"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0" fontId="22" fillId="0" borderId="0" applyFont="0" applyFill="0" applyBorder="0" applyAlignment="0" applyProtection="0"/>
    <xf numFmtId="10" fontId="22" fillId="0" borderId="0" applyFont="0" applyFill="0" applyBorder="0" applyAlignment="0" applyProtection="0"/>
    <xf numFmtId="10"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0"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13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13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6" fillId="0" borderId="0"/>
    <xf numFmtId="183" fontId="6" fillId="0" borderId="0"/>
    <xf numFmtId="184" fontId="6" fillId="0" borderId="0"/>
    <xf numFmtId="184" fontId="6" fillId="0" borderId="0"/>
    <xf numFmtId="9" fontId="41"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8"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6" fillId="0" borderId="0"/>
    <xf numFmtId="183" fontId="6" fillId="0" borderId="0"/>
    <xf numFmtId="184" fontId="6" fillId="0" borderId="0"/>
    <xf numFmtId="184" fontId="6" fillId="0" borderId="0"/>
    <xf numFmtId="9" fontId="41"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applyFont="0" applyFill="0" applyBorder="0" applyAlignment="0" applyProtection="0"/>
    <xf numFmtId="9" fontId="22"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22" fillId="0" borderId="0"/>
    <xf numFmtId="10" fontId="139" fillId="0" borderId="49" applyFont="0" applyFill="0" applyBorder="0" applyAlignment="0" applyProtection="0">
      <alignment horizontal="center"/>
      <protection locked="0"/>
    </xf>
    <xf numFmtId="10" fontId="139" fillId="0" borderId="49" applyFon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34" fillId="0" borderId="0" applyFont="0" applyAlignment="0">
      <alignment horizontal="center" wrapText="1"/>
    </xf>
    <xf numFmtId="9" fontId="34" fillId="0" borderId="0" applyFont="0" applyAlignment="0">
      <alignment horizontal="center"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9" fontId="140" fillId="0" borderId="0" applyNumberFormat="0" applyFill="0" applyBorder="0" applyProtection="0">
      <alignment horizontal="right"/>
    </xf>
    <xf numFmtId="9" fontId="140" fillId="0" borderId="0" applyNumberFormat="0" applyFill="0" applyBorder="0" applyProtection="0">
      <alignment horizontal="righ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5"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83"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4" fillId="0" borderId="0" applyNumberFormat="0" applyFont="0" applyFill="0" applyBorder="0" applyAlignment="0" applyProtection="0">
      <alignment horizontal="left"/>
    </xf>
    <xf numFmtId="184" fontId="44" fillId="0" borderId="0" applyNumberFormat="0" applyFont="0" applyFill="0" applyBorder="0" applyAlignment="0" applyProtection="0">
      <alignment horizontal="left"/>
    </xf>
    <xf numFmtId="15" fontId="44" fillId="0" borderId="0" applyFont="0" applyFill="0" applyBorder="0" applyAlignment="0" applyProtection="0"/>
    <xf numFmtId="15" fontId="44" fillId="0" borderId="0" applyFont="0" applyFill="0" applyBorder="0" applyAlignment="0" applyProtection="0"/>
    <xf numFmtId="15"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5"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 fontId="44" fillId="0" borderId="0" applyFon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41" fillId="106" borderId="0" applyNumberFormat="0" applyFont="0" applyBorder="0" applyAlignment="0">
      <alignment horizontal="center"/>
    </xf>
    <xf numFmtId="184" fontId="141" fillId="106" borderId="0" applyNumberFormat="0" applyFont="0" applyBorder="0" applyAlignment="0">
      <alignment horizontal="center"/>
    </xf>
    <xf numFmtId="0"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0"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5"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183"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1" fillId="106" borderId="0" applyNumberFormat="0" applyFont="0" applyBorder="0" applyAlignment="0">
      <alignment horizontal="center"/>
    </xf>
    <xf numFmtId="0" fontId="141" fillId="106" borderId="0" applyNumberFormat="0" applyFont="0" applyBorder="0" applyAlignment="0">
      <alignment horizontal="center"/>
    </xf>
    <xf numFmtId="183" fontId="141" fillId="106" borderId="0" applyNumberFormat="0" applyFont="0" applyBorder="0" applyAlignment="0">
      <alignment horizontal="center"/>
    </xf>
    <xf numFmtId="184" fontId="141" fillId="106" borderId="0" applyNumberFormat="0" applyFont="0" applyBorder="0" applyAlignment="0">
      <alignment horizontal="center"/>
    </xf>
    <xf numFmtId="184" fontId="141" fillId="106" borderId="0" applyNumberFormat="0" applyFont="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1" fillId="106" borderId="0" applyNumberFormat="0" applyFont="0" applyBorder="0" applyAlignment="0">
      <alignment horizontal="center"/>
    </xf>
    <xf numFmtId="184" fontId="141" fillId="106" borderId="0" applyNumberFormat="0" applyFont="0" applyBorder="0" applyAlignment="0">
      <alignment horizontal="center"/>
    </xf>
    <xf numFmtId="205" fontId="142" fillId="0" borderId="0" applyNumberFormat="0" applyFill="0" applyBorder="0" applyAlignment="0" applyProtection="0">
      <alignment horizontal="left"/>
    </xf>
    <xf numFmtId="205" fontId="142" fillId="0" borderId="0" applyNumberFormat="0" applyFill="0" applyBorder="0" applyAlignment="0" applyProtection="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4" fontId="24" fillId="25" borderId="31" applyNumberFormat="0" applyProtection="0">
      <alignment vertical="center"/>
    </xf>
    <xf numFmtId="4" fontId="24" fillId="25" borderId="31" applyNumberFormat="0" applyProtection="0">
      <alignment vertical="center"/>
    </xf>
    <xf numFmtId="0" fontId="22" fillId="0" borderId="0"/>
    <xf numFmtId="184" fontId="22" fillId="0" borderId="0"/>
    <xf numFmtId="4" fontId="24" fillId="25" borderId="31" applyNumberFormat="0" applyProtection="0">
      <alignment vertical="center"/>
    </xf>
    <xf numFmtId="184" fontId="22" fillId="0" borderId="0"/>
    <xf numFmtId="4" fontId="43" fillId="25" borderId="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0" fontId="6" fillId="0" borderId="0"/>
    <xf numFmtId="183" fontId="6" fillId="0" borderId="0"/>
    <xf numFmtId="184" fontId="6" fillId="0" borderId="0"/>
    <xf numFmtId="184" fontId="6" fillId="0" borderId="0"/>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24" fillId="25" borderId="31" applyNumberFormat="0" applyProtection="0">
      <alignment vertical="center"/>
    </xf>
    <xf numFmtId="4" fontId="43" fillId="25" borderId="1" applyNumberFormat="0" applyProtection="0">
      <alignment vertical="center"/>
    </xf>
    <xf numFmtId="4" fontId="43" fillId="25"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3" fillId="25"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143" fillId="107" borderId="31" applyNumberFormat="0" applyProtection="0">
      <alignment vertical="center"/>
    </xf>
    <xf numFmtId="184" fontId="22" fillId="0" borderId="0"/>
    <xf numFmtId="4" fontId="45" fillId="25" borderId="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0" fontId="6" fillId="0" borderId="0"/>
    <xf numFmtId="183" fontId="6" fillId="0" borderId="0"/>
    <xf numFmtId="184" fontId="6" fillId="0" borderId="0"/>
    <xf numFmtId="184" fontId="6" fillId="0" borderId="0"/>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143" fillId="107" borderId="31" applyNumberFormat="0" applyProtection="0">
      <alignment vertical="center"/>
    </xf>
    <xf numFmtId="4" fontId="45" fillId="25" borderId="1" applyNumberFormat="0" applyProtection="0">
      <alignment vertical="center"/>
    </xf>
    <xf numFmtId="4" fontId="45" fillId="25"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5" fillId="25"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07" borderId="31" applyNumberFormat="0" applyProtection="0">
      <alignment horizontal="left" vertical="center" indent="1"/>
    </xf>
    <xf numFmtId="4" fontId="24" fillId="107" borderId="31" applyNumberFormat="0" applyProtection="0">
      <alignment horizontal="left" vertical="center" indent="1"/>
    </xf>
    <xf numFmtId="0" fontId="22" fillId="0" borderId="0"/>
    <xf numFmtId="184" fontId="22" fillId="0" borderId="0"/>
    <xf numFmtId="4" fontId="24" fillId="107" borderId="31" applyNumberFormat="0" applyProtection="0">
      <alignment horizontal="left" vertical="center" indent="1"/>
    </xf>
    <xf numFmtId="184" fontId="22" fillId="0" borderId="0"/>
    <xf numFmtId="4" fontId="43" fillId="25" borderId="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0" fontId="6" fillId="0" borderId="0"/>
    <xf numFmtId="183" fontId="6" fillId="0" borderId="0"/>
    <xf numFmtId="184" fontId="6" fillId="0" borderId="0"/>
    <xf numFmtId="184" fontId="6" fillId="0" borderId="0"/>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24" fillId="107" borderId="31" applyNumberFormat="0" applyProtection="0">
      <alignment horizontal="left" vertical="center" indent="1"/>
    </xf>
    <xf numFmtId="4" fontId="43" fillId="25" borderId="1" applyNumberFormat="0" applyProtection="0">
      <alignment horizontal="left" vertical="center" indent="1"/>
    </xf>
    <xf numFmtId="4" fontId="43" fillId="25"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3" fillId="25"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187" fontId="43" fillId="25" borderId="1" applyNumberFormat="0" applyProtection="0">
      <alignment horizontal="left" vertical="top" indent="1"/>
    </xf>
    <xf numFmtId="0" fontId="22" fillId="0" borderId="0"/>
    <xf numFmtId="184" fontId="22" fillId="0" borderId="0"/>
    <xf numFmtId="187"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22" fillId="0" borderId="0"/>
    <xf numFmtId="184" fontId="22" fillId="0" borderId="0"/>
    <xf numFmtId="0" fontId="22" fillId="0" borderId="0"/>
    <xf numFmtId="184" fontId="22" fillId="0" borderId="0"/>
    <xf numFmtId="0" fontId="144" fillId="25" borderId="1" applyNumberFormat="0" applyProtection="0">
      <alignment horizontal="left" vertical="top" indent="1"/>
    </xf>
    <xf numFmtId="184" fontId="144" fillId="25" borderId="1" applyNumberFormat="0" applyProtection="0">
      <alignment horizontal="left" vertical="top" indent="1"/>
    </xf>
    <xf numFmtId="184" fontId="22" fillId="0" borderId="0"/>
    <xf numFmtId="182" fontId="144"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144" fillId="25" borderId="1" applyNumberFormat="0" applyProtection="0">
      <alignment horizontal="left" vertical="top" indent="1"/>
    </xf>
    <xf numFmtId="183" fontId="144" fillId="25" borderId="1" applyNumberFormat="0" applyProtection="0">
      <alignment horizontal="left" vertical="top" indent="1"/>
    </xf>
    <xf numFmtId="183" fontId="144" fillId="25" borderId="1" applyNumberFormat="0" applyProtection="0">
      <alignment horizontal="left" vertical="top" indent="1"/>
    </xf>
    <xf numFmtId="183"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6" fillId="0" borderId="0"/>
    <xf numFmtId="183" fontId="6" fillId="0" borderId="0"/>
    <xf numFmtId="184" fontId="6" fillId="0" borderId="0"/>
    <xf numFmtId="184" fontId="6" fillId="0" borderId="0"/>
    <xf numFmtId="183"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144" fillId="25" borderId="1" applyNumberFormat="0" applyProtection="0">
      <alignment horizontal="left" vertical="top" indent="1"/>
    </xf>
    <xf numFmtId="183" fontId="144" fillId="25" borderId="1" applyNumberFormat="0" applyProtection="0">
      <alignment horizontal="left" vertical="top" indent="1"/>
    </xf>
    <xf numFmtId="183"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144" fillId="25" borderId="1" applyNumberFormat="0" applyProtection="0">
      <alignment horizontal="left" vertical="top" indent="1"/>
    </xf>
    <xf numFmtId="184" fontId="144" fillId="25" borderId="1" applyNumberFormat="0" applyProtection="0">
      <alignment horizontal="left" vertical="top" indent="1"/>
    </xf>
    <xf numFmtId="184" fontId="144"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3" fillId="25" borderId="1" applyNumberFormat="0" applyProtection="0">
      <alignment horizontal="left" vertical="top" indent="1"/>
    </xf>
    <xf numFmtId="184" fontId="43" fillId="25" borderId="1" applyNumberFormat="0" applyProtection="0">
      <alignment horizontal="left" vertical="top" indent="1"/>
    </xf>
    <xf numFmtId="184" fontId="43" fillId="25"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43" fillId="27"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22" fillId="0" borderId="0"/>
    <xf numFmtId="184" fontId="22" fillId="0" borderId="0"/>
    <xf numFmtId="4" fontId="24" fillId="2" borderId="31" applyNumberFormat="0" applyProtection="0">
      <alignment horizontal="right" vertical="center"/>
    </xf>
    <xf numFmtId="4" fontId="24" fillId="2" borderId="31" applyNumberFormat="0" applyProtection="0">
      <alignment horizontal="right" vertical="center"/>
    </xf>
    <xf numFmtId="0" fontId="22" fillId="0" borderId="0"/>
    <xf numFmtId="184" fontId="22" fillId="0" borderId="0"/>
    <xf numFmtId="4" fontId="24" fillId="2" borderId="31" applyNumberFormat="0" applyProtection="0">
      <alignment horizontal="right" vertical="center"/>
    </xf>
    <xf numFmtId="184" fontId="22" fillId="0" borderId="0"/>
    <xf numFmtId="4" fontId="41" fillId="2" borderId="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24" fillId="2" borderId="3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 borderId="1" applyNumberFormat="0" applyProtection="0">
      <alignment horizontal="right" vertical="center"/>
    </xf>
    <xf numFmtId="4" fontId="41" fillId="2" borderId="1" applyNumberFormat="0" applyProtection="0">
      <alignment horizontal="right" vertical="center"/>
    </xf>
    <xf numFmtId="4" fontId="41" fillId="2"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08" borderId="31" applyNumberFormat="0" applyProtection="0">
      <alignment horizontal="right" vertical="center"/>
    </xf>
    <xf numFmtId="4" fontId="24" fillId="108" borderId="31" applyNumberFormat="0" applyProtection="0">
      <alignment horizontal="right" vertical="center"/>
    </xf>
    <xf numFmtId="0" fontId="22" fillId="0" borderId="0"/>
    <xf numFmtId="184" fontId="22" fillId="0" borderId="0"/>
    <xf numFmtId="4" fontId="24" fillId="108" borderId="31" applyNumberFormat="0" applyProtection="0">
      <alignment horizontal="right" vertical="center"/>
    </xf>
    <xf numFmtId="184" fontId="22" fillId="0" borderId="0"/>
    <xf numFmtId="4" fontId="41" fillId="4" borderId="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24" fillId="108" borderId="3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4" borderId="1" applyNumberFormat="0" applyProtection="0">
      <alignment horizontal="right" vertical="center"/>
    </xf>
    <xf numFmtId="4" fontId="41" fillId="4" borderId="1" applyNumberFormat="0" applyProtection="0">
      <alignment horizontal="right" vertical="center"/>
    </xf>
    <xf numFmtId="4" fontId="41" fillId="4"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1" borderId="50" applyNumberFormat="0" applyProtection="0">
      <alignment horizontal="right" vertical="center"/>
    </xf>
    <xf numFmtId="4" fontId="24" fillId="11" borderId="50" applyNumberFormat="0" applyProtection="0">
      <alignment horizontal="right" vertical="center"/>
    </xf>
    <xf numFmtId="0" fontId="22" fillId="0" borderId="0"/>
    <xf numFmtId="184" fontId="22" fillId="0" borderId="0"/>
    <xf numFmtId="184" fontId="22" fillId="0" borderId="0"/>
    <xf numFmtId="4" fontId="41" fillId="11" borderId="1"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0" fontId="6" fillId="0" borderId="0"/>
    <xf numFmtId="183" fontId="6" fillId="0" borderId="0"/>
    <xf numFmtId="184" fontId="6" fillId="0" borderId="0"/>
    <xf numFmtId="184" fontId="6" fillId="0" borderId="0"/>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24" fillId="11" borderId="50"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11" borderId="1" applyNumberFormat="0" applyProtection="0">
      <alignment horizontal="right" vertical="center"/>
    </xf>
    <xf numFmtId="4" fontId="41" fillId="11" borderId="1" applyNumberFormat="0" applyProtection="0">
      <alignment horizontal="right" vertical="center"/>
    </xf>
    <xf numFmtId="4" fontId="41" fillId="11"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6" borderId="31" applyNumberFormat="0" applyProtection="0">
      <alignment horizontal="right" vertical="center"/>
    </xf>
    <xf numFmtId="4" fontId="24" fillId="6" borderId="31" applyNumberFormat="0" applyProtection="0">
      <alignment horizontal="right" vertical="center"/>
    </xf>
    <xf numFmtId="0" fontId="22" fillId="0" borderId="0"/>
    <xf numFmtId="184" fontId="22" fillId="0" borderId="0"/>
    <xf numFmtId="4" fontId="24" fillId="6" borderId="31" applyNumberFormat="0" applyProtection="0">
      <alignment horizontal="right" vertical="center"/>
    </xf>
    <xf numFmtId="184" fontId="22" fillId="0" borderId="0"/>
    <xf numFmtId="4" fontId="41" fillId="6" borderId="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24" fillId="6" borderId="3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6" borderId="1" applyNumberFormat="0" applyProtection="0">
      <alignment horizontal="right" vertical="center"/>
    </xf>
    <xf numFmtId="4" fontId="41" fillId="6" borderId="1" applyNumberFormat="0" applyProtection="0">
      <alignment horizontal="right" vertical="center"/>
    </xf>
    <xf numFmtId="4" fontId="41" fillId="6"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7" borderId="31" applyNumberFormat="0" applyProtection="0">
      <alignment horizontal="right" vertical="center"/>
    </xf>
    <xf numFmtId="4" fontId="24" fillId="7" borderId="31" applyNumberFormat="0" applyProtection="0">
      <alignment horizontal="right" vertical="center"/>
    </xf>
    <xf numFmtId="0" fontId="22" fillId="0" borderId="0"/>
    <xf numFmtId="184" fontId="22" fillId="0" borderId="0"/>
    <xf numFmtId="4" fontId="24" fillId="7" borderId="31" applyNumberFormat="0" applyProtection="0">
      <alignment horizontal="right" vertical="center"/>
    </xf>
    <xf numFmtId="184" fontId="22" fillId="0" borderId="0"/>
    <xf numFmtId="4" fontId="41" fillId="7" borderId="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24" fillId="7" borderId="3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7" borderId="1" applyNumberFormat="0" applyProtection="0">
      <alignment horizontal="right" vertical="center"/>
    </xf>
    <xf numFmtId="4" fontId="41" fillId="7" borderId="1" applyNumberFormat="0" applyProtection="0">
      <alignment horizontal="right" vertical="center"/>
    </xf>
    <xf numFmtId="4" fontId="41" fillId="7"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9" borderId="31" applyNumberFormat="0" applyProtection="0">
      <alignment horizontal="right" vertical="center"/>
    </xf>
    <xf numFmtId="4" fontId="24" fillId="19" borderId="31" applyNumberFormat="0" applyProtection="0">
      <alignment horizontal="right" vertical="center"/>
    </xf>
    <xf numFmtId="0" fontId="22" fillId="0" borderId="0"/>
    <xf numFmtId="184" fontId="22" fillId="0" borderId="0"/>
    <xf numFmtId="4" fontId="24" fillId="19" borderId="31" applyNumberFormat="0" applyProtection="0">
      <alignment horizontal="right" vertical="center"/>
    </xf>
    <xf numFmtId="184" fontId="22" fillId="0" borderId="0"/>
    <xf numFmtId="4" fontId="41" fillId="19" borderId="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24" fillId="19" borderId="3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19" borderId="1" applyNumberFormat="0" applyProtection="0">
      <alignment horizontal="right" vertical="center"/>
    </xf>
    <xf numFmtId="4" fontId="41" fillId="19" borderId="1" applyNumberFormat="0" applyProtection="0">
      <alignment horizontal="right" vertical="center"/>
    </xf>
    <xf numFmtId="4" fontId="41" fillId="19"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15" borderId="31" applyNumberFormat="0" applyProtection="0">
      <alignment horizontal="right" vertical="center"/>
    </xf>
    <xf numFmtId="4" fontId="24" fillId="15" borderId="31" applyNumberFormat="0" applyProtection="0">
      <alignment horizontal="right" vertical="center"/>
    </xf>
    <xf numFmtId="0" fontId="22" fillId="0" borderId="0"/>
    <xf numFmtId="184" fontId="22" fillId="0" borderId="0"/>
    <xf numFmtId="4" fontId="24" fillId="15" borderId="31" applyNumberFormat="0" applyProtection="0">
      <alignment horizontal="right" vertical="center"/>
    </xf>
    <xf numFmtId="184" fontId="22" fillId="0" borderId="0"/>
    <xf numFmtId="4" fontId="41" fillId="15" borderId="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24" fillId="15" borderId="3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15" borderId="1" applyNumberFormat="0" applyProtection="0">
      <alignment horizontal="right" vertical="center"/>
    </xf>
    <xf numFmtId="4" fontId="41" fillId="15" borderId="1" applyNumberFormat="0" applyProtection="0">
      <alignment horizontal="right" vertical="center"/>
    </xf>
    <xf numFmtId="4" fontId="41" fillId="15"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8" borderId="31" applyNumberFormat="0" applyProtection="0">
      <alignment horizontal="right" vertical="center"/>
    </xf>
    <xf numFmtId="4" fontId="24" fillId="28" borderId="31" applyNumberFormat="0" applyProtection="0">
      <alignment horizontal="right" vertical="center"/>
    </xf>
    <xf numFmtId="0" fontId="22" fillId="0" borderId="0"/>
    <xf numFmtId="184" fontId="22" fillId="0" borderId="0"/>
    <xf numFmtId="4" fontId="24" fillId="28" borderId="31" applyNumberFormat="0" applyProtection="0">
      <alignment horizontal="right" vertical="center"/>
    </xf>
    <xf numFmtId="184" fontId="22" fillId="0" borderId="0"/>
    <xf numFmtId="4" fontId="41" fillId="28" borderId="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24" fillId="28" borderId="3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8" borderId="1" applyNumberFormat="0" applyProtection="0">
      <alignment horizontal="right" vertical="center"/>
    </xf>
    <xf numFmtId="4" fontId="41" fillId="28" borderId="1" applyNumberFormat="0" applyProtection="0">
      <alignment horizontal="right" vertical="center"/>
    </xf>
    <xf numFmtId="4" fontId="41" fillId="28"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5" borderId="31" applyNumberFormat="0" applyProtection="0">
      <alignment horizontal="right" vertical="center"/>
    </xf>
    <xf numFmtId="4" fontId="24" fillId="5" borderId="31" applyNumberFormat="0" applyProtection="0">
      <alignment horizontal="right" vertical="center"/>
    </xf>
    <xf numFmtId="0" fontId="22" fillId="0" borderId="0"/>
    <xf numFmtId="184" fontId="22" fillId="0" borderId="0"/>
    <xf numFmtId="4" fontId="24" fillId="5" borderId="31" applyNumberFormat="0" applyProtection="0">
      <alignment horizontal="right" vertical="center"/>
    </xf>
    <xf numFmtId="184" fontId="22" fillId="0" borderId="0"/>
    <xf numFmtId="4" fontId="41" fillId="5" borderId="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24" fillId="5" borderId="3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5" borderId="1" applyNumberFormat="0" applyProtection="0">
      <alignment horizontal="right" vertical="center"/>
    </xf>
    <xf numFmtId="4" fontId="41" fillId="5" borderId="1" applyNumberFormat="0" applyProtection="0">
      <alignment horizontal="right" vertical="center"/>
    </xf>
    <xf numFmtId="4" fontId="41" fillId="5"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9" borderId="50" applyNumberFormat="0" applyProtection="0">
      <alignment horizontal="left" vertical="center" indent="1"/>
    </xf>
    <xf numFmtId="4" fontId="24" fillId="29" borderId="50" applyNumberFormat="0" applyProtection="0">
      <alignment horizontal="left" vertical="center" indent="1"/>
    </xf>
    <xf numFmtId="0" fontId="22" fillId="0" borderId="0"/>
    <xf numFmtId="184" fontId="22" fillId="0" borderId="0"/>
    <xf numFmtId="184" fontId="22" fillId="0" borderId="0"/>
    <xf numFmtId="4" fontId="43" fillId="29" borderId="2"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24" fillId="29" borderId="50" applyNumberFormat="0" applyProtection="0">
      <alignment horizontal="left" vertical="center" indent="1"/>
    </xf>
    <xf numFmtId="4" fontId="43" fillId="29" borderId="2"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184" fontId="22" fillId="0" borderId="0"/>
    <xf numFmtId="4" fontId="41" fillId="30" borderId="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0"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184" fontId="22" fillId="0" borderId="0"/>
    <xf numFmtId="4" fontId="46" fillId="31" borderId="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22" fillId="31" borderId="50" applyNumberFormat="0" applyProtection="0">
      <alignment horizontal="left" vertical="center" indent="1"/>
    </xf>
    <xf numFmtId="4" fontId="46" fillId="31"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7" borderId="31" applyNumberFormat="0" applyProtection="0">
      <alignment horizontal="right" vertical="center"/>
    </xf>
    <xf numFmtId="4" fontId="24" fillId="27" borderId="31" applyNumberFormat="0" applyProtection="0">
      <alignment horizontal="right" vertical="center"/>
    </xf>
    <xf numFmtId="0" fontId="22" fillId="0" borderId="0"/>
    <xf numFmtId="184" fontId="22" fillId="0" borderId="0"/>
    <xf numFmtId="4" fontId="24" fillId="27" borderId="31" applyNumberFormat="0" applyProtection="0">
      <alignment horizontal="right" vertical="center"/>
    </xf>
    <xf numFmtId="184" fontId="22" fillId="0" borderId="0"/>
    <xf numFmtId="4" fontId="41" fillId="27" borderId="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0" fontId="6" fillId="0" borderId="0"/>
    <xf numFmtId="183" fontId="6" fillId="0" borderId="0"/>
    <xf numFmtId="184" fontId="6" fillId="0" borderId="0"/>
    <xf numFmtId="184" fontId="6" fillId="0" borderId="0"/>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24" fillId="27" borderId="3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1" applyNumberFormat="0" applyProtection="0">
      <alignment horizontal="right" vertical="center"/>
    </xf>
    <xf numFmtId="4" fontId="41" fillId="27" borderId="1" applyNumberFormat="0" applyProtection="0">
      <alignment horizontal="right" vertical="center"/>
    </xf>
    <xf numFmtId="4" fontId="41" fillId="27"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30" borderId="50" applyNumberFormat="0" applyProtection="0">
      <alignment horizontal="left" vertical="center" indent="1"/>
    </xf>
    <xf numFmtId="4" fontId="24" fillId="30" borderId="50" applyNumberFormat="0" applyProtection="0">
      <alignment horizontal="left" vertical="center" indent="1"/>
    </xf>
    <xf numFmtId="0" fontId="22" fillId="0" borderId="0"/>
    <xf numFmtId="184" fontId="22" fillId="0" borderId="0"/>
    <xf numFmtId="184" fontId="22" fillId="0" borderId="0"/>
    <xf numFmtId="4" fontId="41" fillId="30" borderId="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24" fillId="30" borderId="5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4" fontId="41" fillId="30"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0"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24" fillId="27" borderId="50" applyNumberFormat="0" applyProtection="0">
      <alignment horizontal="left" vertical="center" indent="1"/>
    </xf>
    <xf numFmtId="4" fontId="24" fillId="27" borderId="50" applyNumberFormat="0" applyProtection="0">
      <alignment horizontal="left" vertical="center" indent="1"/>
    </xf>
    <xf numFmtId="0" fontId="22" fillId="0" borderId="0"/>
    <xf numFmtId="184" fontId="22" fillId="0" borderId="0"/>
    <xf numFmtId="184" fontId="22" fillId="0" borderId="0"/>
    <xf numFmtId="4" fontId="41" fillId="27" borderId="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24" fillId="27" borderId="50" applyNumberFormat="0" applyProtection="0">
      <alignment horizontal="left" vertical="center" indent="1"/>
    </xf>
    <xf numFmtId="4" fontId="41" fillId="27" borderId="0" applyNumberFormat="0" applyProtection="0">
      <alignment horizontal="left" vertical="center" indent="1"/>
    </xf>
    <xf numFmtId="4" fontId="41" fillId="27"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0" applyNumberFormat="0" applyProtection="0">
      <alignment horizontal="left" vertical="center" indent="1"/>
    </xf>
    <xf numFmtId="4" fontId="41" fillId="27" borderId="0" applyNumberFormat="0" applyProtection="0">
      <alignment horizontal="left" vertical="center" indent="1"/>
    </xf>
    <xf numFmtId="4" fontId="41" fillId="27" borderId="0" applyNumberFormat="0" applyProtection="0">
      <alignment horizontal="left" vertical="center" indent="1"/>
    </xf>
    <xf numFmtId="4" fontId="41" fillId="27"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0"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187" fontId="22" fillId="31" borderId="1" applyNumberFormat="0" applyProtection="0">
      <alignment horizontal="left" vertical="center" indent="1"/>
    </xf>
    <xf numFmtId="0" fontId="22" fillId="0" borderId="0"/>
    <xf numFmtId="184" fontId="22" fillId="0" borderId="0"/>
    <xf numFmtId="187"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0" borderId="0"/>
    <xf numFmtId="184" fontId="22" fillId="0" borderId="0"/>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0" fontId="22" fillId="0" borderId="0"/>
    <xf numFmtId="184" fontId="22" fillId="0" borderId="0"/>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2" fillId="0" borderId="0"/>
    <xf numFmtId="182" fontId="24" fillId="75" borderId="31" applyNumberFormat="0" applyProtection="0">
      <alignment horizontal="left" vertical="center" indent="1"/>
    </xf>
    <xf numFmtId="184"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3"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4" fillId="75" borderId="31" applyNumberFormat="0" applyProtection="0">
      <alignment horizontal="left" vertical="center" indent="1"/>
    </xf>
    <xf numFmtId="187" fontId="24" fillId="75" borderId="31" applyNumberFormat="0" applyProtection="0">
      <alignment horizontal="left" vertical="center" indent="1"/>
    </xf>
    <xf numFmtId="187"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7"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7"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0" fontId="24" fillId="75" borderId="31" applyNumberFormat="0" applyProtection="0">
      <alignment horizontal="left" vertical="center" indent="1"/>
    </xf>
    <xf numFmtId="184" fontId="24" fillId="75" borderId="31" applyNumberFormat="0" applyProtection="0">
      <alignment horizontal="left" vertical="center" indent="1"/>
    </xf>
    <xf numFmtId="184" fontId="24" fillId="75" borderId="3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center" indent="1"/>
    </xf>
    <xf numFmtId="184" fontId="22" fillId="31" borderId="1" applyNumberFormat="0" applyProtection="0">
      <alignment horizontal="left" vertical="center" indent="1"/>
    </xf>
    <xf numFmtId="184" fontId="22" fillId="31"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7" fontId="22"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7"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2"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1" borderId="1" applyNumberFormat="0" applyProtection="0">
      <alignment horizontal="left" vertical="top" indent="1"/>
    </xf>
    <xf numFmtId="184" fontId="22" fillId="31" borderId="1" applyNumberFormat="0" applyProtection="0">
      <alignment horizontal="left" vertical="top" indent="1"/>
    </xf>
    <xf numFmtId="184" fontId="22"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0"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1" borderId="1" applyNumberFormat="0" applyProtection="0">
      <alignment horizontal="left" vertical="top" indent="1"/>
    </xf>
    <xf numFmtId="183"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24" fillId="31" borderId="1" applyNumberFormat="0" applyProtection="0">
      <alignment horizontal="left" vertical="top" indent="1"/>
    </xf>
    <xf numFmtId="184" fontId="24" fillId="31" borderId="1" applyNumberFormat="0" applyProtection="0">
      <alignment horizontal="left" vertical="top" indent="1"/>
    </xf>
    <xf numFmtId="184" fontId="24" fillId="31" borderId="1" applyNumberFormat="0" applyProtection="0">
      <alignment horizontal="left" vertical="top" indent="1"/>
    </xf>
    <xf numFmtId="0" fontId="6" fillId="0" borderId="0"/>
    <xf numFmtId="183" fontId="6" fillId="0" borderId="0"/>
    <xf numFmtId="184" fontId="6" fillId="0" borderId="0"/>
    <xf numFmtId="184" fontId="6" fillId="0" borderId="0"/>
    <xf numFmtId="0" fontId="22" fillId="0" borderId="0"/>
    <xf numFmtId="184" fontId="22" fillId="0" borderId="0"/>
    <xf numFmtId="187" fontId="22" fillId="27" borderId="1" applyNumberFormat="0" applyProtection="0">
      <alignment horizontal="left" vertical="center" indent="1"/>
    </xf>
    <xf numFmtId="0" fontId="22" fillId="0" borderId="0"/>
    <xf numFmtId="184" fontId="22" fillId="0" borderId="0"/>
    <xf numFmtId="187"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0" borderId="0"/>
    <xf numFmtId="184" fontId="22" fillId="0" borderId="0"/>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0" fontId="22" fillId="0" borderId="0"/>
    <xf numFmtId="184" fontId="22" fillId="0" borderId="0"/>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2" fillId="0" borderId="0"/>
    <xf numFmtId="182" fontId="24" fillId="109" borderId="31" applyNumberFormat="0" applyProtection="0">
      <alignment horizontal="left" vertical="center" indent="1"/>
    </xf>
    <xf numFmtId="184"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3"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4" fillId="109" borderId="31" applyNumberFormat="0" applyProtection="0">
      <alignment horizontal="left" vertical="center" indent="1"/>
    </xf>
    <xf numFmtId="187" fontId="24" fillId="109" borderId="31" applyNumberFormat="0" applyProtection="0">
      <alignment horizontal="left" vertical="center" indent="1"/>
    </xf>
    <xf numFmtId="187"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7"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7"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0" fontId="24" fillId="109" borderId="31" applyNumberFormat="0" applyProtection="0">
      <alignment horizontal="left" vertical="center" indent="1"/>
    </xf>
    <xf numFmtId="184" fontId="24" fillId="109" borderId="31" applyNumberFormat="0" applyProtection="0">
      <alignment horizontal="left" vertical="center" indent="1"/>
    </xf>
    <xf numFmtId="184" fontId="24" fillId="109" borderId="3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center" indent="1"/>
    </xf>
    <xf numFmtId="184" fontId="22" fillId="27" borderId="1" applyNumberFormat="0" applyProtection="0">
      <alignment horizontal="left" vertical="center" indent="1"/>
    </xf>
    <xf numFmtId="184" fontId="22" fillId="27"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2" fillId="0" borderId="0"/>
    <xf numFmtId="184" fontId="22" fillId="0" borderId="0"/>
    <xf numFmtId="187" fontId="22" fillId="27" borderId="1" applyNumberFormat="0" applyProtection="0">
      <alignment horizontal="left" vertical="top" indent="1"/>
    </xf>
    <xf numFmtId="0" fontId="22" fillId="0" borderId="0"/>
    <xf numFmtId="184" fontId="22" fillId="0" borderId="0"/>
    <xf numFmtId="187"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0" borderId="0"/>
    <xf numFmtId="184" fontId="22" fillId="0" borderId="0"/>
    <xf numFmtId="0"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0" fontId="22" fillId="0" borderId="0"/>
    <xf numFmtId="184" fontId="22" fillId="0" borderId="0"/>
    <xf numFmtId="0" fontId="24" fillId="27" borderId="1" applyNumberFormat="0" applyProtection="0">
      <alignment horizontal="left" vertical="top" indent="1"/>
    </xf>
    <xf numFmtId="184" fontId="24"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4" fontId="22" fillId="0" borderId="0"/>
    <xf numFmtId="182" fontId="24" fillId="27" borderId="1" applyNumberFormat="0" applyProtection="0">
      <alignment horizontal="left" vertical="top" indent="1"/>
    </xf>
    <xf numFmtId="0" fontId="24" fillId="27" borderId="1" applyNumberFormat="0" applyProtection="0">
      <alignment horizontal="left" vertical="top" indent="1"/>
    </xf>
    <xf numFmtId="0" fontId="24"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27" borderId="1" applyNumberFormat="0" applyProtection="0">
      <alignment horizontal="left" vertical="top" indent="1"/>
    </xf>
    <xf numFmtId="184" fontId="22" fillId="27" borderId="1" applyNumberFormat="0" applyProtection="0">
      <alignment horizontal="left" vertical="top" indent="1"/>
    </xf>
    <xf numFmtId="184" fontId="22" fillId="27"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0"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27" borderId="1" applyNumberFormat="0" applyProtection="0">
      <alignment horizontal="left" vertical="top" indent="1"/>
    </xf>
    <xf numFmtId="183"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24" fillId="27" borderId="1" applyNumberFormat="0" applyProtection="0">
      <alignment horizontal="left" vertical="top" indent="1"/>
    </xf>
    <xf numFmtId="184" fontId="24" fillId="27" borderId="1" applyNumberFormat="0" applyProtection="0">
      <alignment horizontal="left" vertical="top" indent="1"/>
    </xf>
    <xf numFmtId="184" fontId="24"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22" fillId="0" borderId="0"/>
    <xf numFmtId="184" fontId="22" fillId="0" borderId="0"/>
    <xf numFmtId="187" fontId="22" fillId="3" borderId="1" applyNumberFormat="0" applyProtection="0">
      <alignment horizontal="left" vertical="center" indent="1"/>
    </xf>
    <xf numFmtId="0" fontId="22" fillId="0" borderId="0"/>
    <xf numFmtId="184" fontId="22" fillId="0" borderId="0"/>
    <xf numFmtId="187"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0" borderId="0"/>
    <xf numFmtId="184" fontId="22" fillId="0" borderId="0"/>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0" fontId="22" fillId="0" borderId="0"/>
    <xf numFmtId="184" fontId="22" fillId="0" borderId="0"/>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2" fillId="0" borderId="0"/>
    <xf numFmtId="182" fontId="24" fillId="3" borderId="3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183"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4" fillId="3" borderId="31" applyNumberFormat="0" applyProtection="0">
      <alignment horizontal="left" vertical="center" indent="1"/>
    </xf>
    <xf numFmtId="184" fontId="24" fillId="3" borderId="31" applyNumberFormat="0" applyProtection="0">
      <alignment horizontal="left" vertical="center" indent="1"/>
    </xf>
    <xf numFmtId="184" fontId="24" fillId="3" borderId="31" applyNumberFormat="0" applyProtection="0">
      <alignment horizontal="left" vertical="center" indent="1"/>
    </xf>
    <xf numFmtId="0"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center" indent="1"/>
    </xf>
    <xf numFmtId="184" fontId="22" fillId="3" borderId="1" applyNumberFormat="0" applyProtection="0">
      <alignment horizontal="left" vertical="center" indent="1"/>
    </xf>
    <xf numFmtId="184" fontId="22" fillId="3"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2" fillId="0" borderId="0"/>
    <xf numFmtId="184" fontId="22" fillId="0" borderId="0"/>
    <xf numFmtId="187" fontId="22" fillId="3" borderId="1" applyNumberFormat="0" applyProtection="0">
      <alignment horizontal="left" vertical="top" indent="1"/>
    </xf>
    <xf numFmtId="0" fontId="22" fillId="0" borderId="0"/>
    <xf numFmtId="184" fontId="22" fillId="0" borderId="0"/>
    <xf numFmtId="187"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0" borderId="0"/>
    <xf numFmtId="184" fontId="22" fillId="0" borderId="0"/>
    <xf numFmtId="0"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0" fontId="22" fillId="0" borderId="0"/>
    <xf numFmtId="184" fontId="22" fillId="0" borderId="0"/>
    <xf numFmtId="0" fontId="24" fillId="3" borderId="1" applyNumberFormat="0" applyProtection="0">
      <alignment horizontal="left" vertical="top" indent="1"/>
    </xf>
    <xf numFmtId="184" fontId="24"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4" fontId="22" fillId="0" borderId="0"/>
    <xf numFmtId="182" fontId="24" fillId="3" borderId="1" applyNumberFormat="0" applyProtection="0">
      <alignment horizontal="left" vertical="top" indent="1"/>
    </xf>
    <xf numFmtId="0" fontId="24" fillId="3" borderId="1" applyNumberFormat="0" applyProtection="0">
      <alignment horizontal="left" vertical="top" indent="1"/>
    </xf>
    <xf numFmtId="0" fontId="24"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 borderId="1" applyNumberFormat="0" applyProtection="0">
      <alignment horizontal="left" vertical="top" indent="1"/>
    </xf>
    <xf numFmtId="184" fontId="22" fillId="3" borderId="1" applyNumberFormat="0" applyProtection="0">
      <alignment horizontal="left" vertical="top" indent="1"/>
    </xf>
    <xf numFmtId="184" fontId="22" fillId="3"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0"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 borderId="1" applyNumberFormat="0" applyProtection="0">
      <alignment horizontal="left" vertical="top" indent="1"/>
    </xf>
    <xf numFmtId="183"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24" fillId="3" borderId="1" applyNumberFormat="0" applyProtection="0">
      <alignment horizontal="left" vertical="top" indent="1"/>
    </xf>
    <xf numFmtId="184" fontId="24" fillId="3" borderId="1" applyNumberFormat="0" applyProtection="0">
      <alignment horizontal="left" vertical="top" indent="1"/>
    </xf>
    <xf numFmtId="184" fontId="24" fillId="3" borderId="1" applyNumberFormat="0" applyProtection="0">
      <alignment horizontal="left" vertical="top" indent="1"/>
    </xf>
    <xf numFmtId="0" fontId="6" fillId="0" borderId="0"/>
    <xf numFmtId="183" fontId="6" fillId="0" borderId="0"/>
    <xf numFmtId="184" fontId="6" fillId="0" borderId="0"/>
    <xf numFmtId="184" fontId="6" fillId="0" borderId="0"/>
    <xf numFmtId="0" fontId="22" fillId="0" borderId="0"/>
    <xf numFmtId="184" fontId="22" fillId="0" borderId="0"/>
    <xf numFmtId="187" fontId="22" fillId="30" borderId="1" applyNumberFormat="0" applyProtection="0">
      <alignment horizontal="left" vertical="center" indent="1"/>
    </xf>
    <xf numFmtId="0" fontId="22" fillId="0" borderId="0"/>
    <xf numFmtId="184" fontId="22" fillId="0" borderId="0"/>
    <xf numFmtId="187"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0" borderId="0"/>
    <xf numFmtId="184" fontId="22" fillId="0" borderId="0"/>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0" fontId="22" fillId="0" borderId="0"/>
    <xf numFmtId="184" fontId="22" fillId="0" borderId="0"/>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2" fillId="0" borderId="0"/>
    <xf numFmtId="182" fontId="24" fillId="30" borderId="3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6" fillId="0" borderId="0"/>
    <xf numFmtId="183" fontId="6" fillId="0" borderId="0"/>
    <xf numFmtId="184" fontId="6" fillId="0" borderId="0"/>
    <xf numFmtId="184" fontId="6" fillId="0" borderId="0"/>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183"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4" fillId="30" borderId="31" applyNumberFormat="0" applyProtection="0">
      <alignment horizontal="left" vertical="center" indent="1"/>
    </xf>
    <xf numFmtId="184" fontId="24" fillId="30" borderId="31" applyNumberFormat="0" applyProtection="0">
      <alignment horizontal="left" vertical="center" indent="1"/>
    </xf>
    <xf numFmtId="184" fontId="24" fillId="30" borderId="31" applyNumberFormat="0" applyProtection="0">
      <alignment horizontal="left" vertical="center" indent="1"/>
    </xf>
    <xf numFmtId="0"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center" indent="1"/>
    </xf>
    <xf numFmtId="184" fontId="22" fillId="30" borderId="1" applyNumberFormat="0" applyProtection="0">
      <alignment horizontal="left" vertical="center" indent="1"/>
    </xf>
    <xf numFmtId="184" fontId="22" fillId="30"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2" fillId="0" borderId="0"/>
    <xf numFmtId="184" fontId="22" fillId="0" borderId="0"/>
    <xf numFmtId="187" fontId="22" fillId="30" borderId="1" applyNumberFormat="0" applyProtection="0">
      <alignment horizontal="left" vertical="top" indent="1"/>
    </xf>
    <xf numFmtId="0" fontId="22" fillId="0" borderId="0"/>
    <xf numFmtId="184" fontId="22" fillId="0" borderId="0"/>
    <xf numFmtId="187"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0" borderId="0"/>
    <xf numFmtId="184" fontId="22" fillId="0" borderId="0"/>
    <xf numFmtId="0"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0" fontId="22" fillId="0" borderId="0"/>
    <xf numFmtId="184" fontId="22" fillId="0" borderId="0"/>
    <xf numFmtId="0" fontId="24" fillId="30" borderId="1" applyNumberFormat="0" applyProtection="0">
      <alignment horizontal="left" vertical="top" indent="1"/>
    </xf>
    <xf numFmtId="184" fontId="24"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4" fontId="22" fillId="0" borderId="0"/>
    <xf numFmtId="182" fontId="24" fillId="30" borderId="1" applyNumberFormat="0" applyProtection="0">
      <alignment horizontal="left" vertical="top" indent="1"/>
    </xf>
    <xf numFmtId="0" fontId="24" fillId="30" borderId="1" applyNumberFormat="0" applyProtection="0">
      <alignment horizontal="left" vertical="top" indent="1"/>
    </xf>
    <xf numFmtId="0" fontId="24"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30" borderId="1" applyNumberFormat="0" applyProtection="0">
      <alignment horizontal="left" vertical="top" indent="1"/>
    </xf>
    <xf numFmtId="184" fontId="22" fillId="30" borderId="1" applyNumberFormat="0" applyProtection="0">
      <alignment horizontal="left" vertical="top" indent="1"/>
    </xf>
    <xf numFmtId="184" fontId="22" fillId="30"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0"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6" fillId="0" borderId="0"/>
    <xf numFmtId="183" fontId="6" fillId="0" borderId="0"/>
    <xf numFmtId="184" fontId="6" fillId="0" borderId="0"/>
    <xf numFmtId="184" fontId="6" fillId="0" borderId="0"/>
    <xf numFmtId="183" fontId="24" fillId="30" borderId="1" applyNumberFormat="0" applyProtection="0">
      <alignment horizontal="left" vertical="top" indent="1"/>
    </xf>
    <xf numFmtId="183"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4" fillId="30" borderId="1" applyNumberFormat="0" applyProtection="0">
      <alignment horizontal="left" vertical="top" indent="1"/>
    </xf>
    <xf numFmtId="184" fontId="24" fillId="30" borderId="1" applyNumberFormat="0" applyProtection="0">
      <alignment horizontal="left" vertical="top" indent="1"/>
    </xf>
    <xf numFmtId="184" fontId="24" fillId="30" borderId="1" applyNumberFormat="0" applyProtection="0">
      <alignment horizontal="left" vertical="top" indent="1"/>
    </xf>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4" fillId="32" borderId="51" applyNumberFormat="0">
      <protection locked="0"/>
    </xf>
    <xf numFmtId="184" fontId="24" fillId="32" borderId="51" applyNumberFormat="0">
      <protection locked="0"/>
    </xf>
    <xf numFmtId="0" fontId="22" fillId="0" borderId="0"/>
    <xf numFmtId="184" fontId="22" fillId="0" borderId="0"/>
    <xf numFmtId="187" fontId="22" fillId="32" borderId="3" applyNumberFormat="0">
      <protection locked="0"/>
    </xf>
    <xf numFmtId="0" fontId="22" fillId="0" borderId="0"/>
    <xf numFmtId="184" fontId="22" fillId="0" borderId="0"/>
    <xf numFmtId="184" fontId="22" fillId="32" borderId="3" applyNumberFormat="0">
      <protection locked="0"/>
    </xf>
    <xf numFmtId="0" fontId="22" fillId="0" borderId="0"/>
    <xf numFmtId="184" fontId="22" fillId="0" borderId="0"/>
    <xf numFmtId="0" fontId="24" fillId="32" borderId="51" applyNumberFormat="0">
      <protection locked="0"/>
    </xf>
    <xf numFmtId="184" fontId="24" fillId="32" borderId="51" applyNumberFormat="0">
      <protection locked="0"/>
    </xf>
    <xf numFmtId="0" fontId="22" fillId="0" borderId="0"/>
    <xf numFmtId="184" fontId="22" fillId="0" borderId="0"/>
    <xf numFmtId="184" fontId="22" fillId="0" borderId="0"/>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0" fontId="24" fillId="32" borderId="51" applyNumberFormat="0">
      <protection locked="0"/>
    </xf>
    <xf numFmtId="183" fontId="24" fillId="32" borderId="51" applyNumberFormat="0">
      <protection locked="0"/>
    </xf>
    <xf numFmtId="183"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4" fontId="24" fillId="32" borderId="51" applyNumberFormat="0">
      <protection locked="0"/>
    </xf>
    <xf numFmtId="0"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4" fontId="24" fillId="32" borderId="51" applyNumberFormat="0">
      <protection locked="0"/>
    </xf>
    <xf numFmtId="0"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2" fontId="24" fillId="32" borderId="51" applyNumberFormat="0">
      <protection locked="0"/>
    </xf>
    <xf numFmtId="0" fontId="24" fillId="32" borderId="51" applyNumberFormat="0">
      <protection locked="0"/>
    </xf>
    <xf numFmtId="0" fontId="24" fillId="32" borderId="51" applyNumberFormat="0">
      <protection locked="0"/>
    </xf>
    <xf numFmtId="185"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0"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184" fontId="22" fillId="32" borderId="3" applyNumberFormat="0">
      <protection locked="0"/>
    </xf>
    <xf numFmtId="185"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0" fontId="22" fillId="32" borderId="3" applyNumberFormat="0">
      <protection locked="0"/>
    </xf>
    <xf numFmtId="183" fontId="22" fillId="32" borderId="3" applyNumberFormat="0">
      <protection locked="0"/>
    </xf>
    <xf numFmtId="184"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3" fontId="22" fillId="32" borderId="3" applyNumberFormat="0">
      <protection locked="0"/>
    </xf>
    <xf numFmtId="183" fontId="22" fillId="32" borderId="3" applyNumberFormat="0">
      <protection locked="0"/>
    </xf>
    <xf numFmtId="184" fontId="22" fillId="32" borderId="3" applyNumberFormat="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32" borderId="3" applyNumberFormat="0">
      <protection locked="0"/>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3" fontId="24" fillId="32" borderId="51" applyNumberFormat="0">
      <protection locked="0"/>
    </xf>
    <xf numFmtId="183"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4" fontId="24" fillId="32" borderId="51" applyNumberFormat="0">
      <protection locked="0"/>
    </xf>
    <xf numFmtId="0" fontId="24" fillId="32" borderId="51" applyNumberFormat="0">
      <protection locked="0"/>
    </xf>
    <xf numFmtId="0"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0" fontId="24" fillId="32" borderId="51" applyNumberFormat="0">
      <protection locked="0"/>
    </xf>
    <xf numFmtId="0"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183" fontId="24" fillId="32" borderId="51" applyNumberFormat="0">
      <protection locked="0"/>
    </xf>
    <xf numFmtId="184" fontId="24" fillId="32" borderId="51" applyNumberFormat="0">
      <protection locked="0"/>
    </xf>
    <xf numFmtId="184" fontId="24" fillId="32" borderId="51" applyNumberFormat="0">
      <protection locked="0"/>
    </xf>
    <xf numFmtId="0" fontId="6" fillId="0" borderId="0"/>
    <xf numFmtId="183" fontId="6" fillId="0" borderId="0"/>
    <xf numFmtId="184" fontId="6" fillId="0" borderId="0"/>
    <xf numFmtId="184" fontId="6" fillId="0" borderId="0"/>
    <xf numFmtId="183" fontId="24" fillId="32" borderId="51" applyNumberFormat="0">
      <protection locked="0"/>
    </xf>
    <xf numFmtId="184" fontId="24" fillId="32" borderId="51" applyNumberFormat="0">
      <protection locked="0"/>
    </xf>
    <xf numFmtId="184" fontId="24" fillId="32" borderId="51" applyNumberFormat="0">
      <protection locked="0"/>
    </xf>
    <xf numFmtId="182" fontId="145" fillId="31" borderId="52" applyBorder="0"/>
    <xf numFmtId="184" fontId="145" fillId="31" borderId="52" applyBorder="0"/>
    <xf numFmtId="182" fontId="145" fillId="31" borderId="52" applyBorder="0"/>
    <xf numFmtId="0"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185"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5" fillId="31" borderId="52" applyBorder="0"/>
    <xf numFmtId="184" fontId="145" fillId="31" borderId="52" applyBorder="0"/>
    <xf numFmtId="184" fontId="145" fillId="31" borderId="52" applyBorder="0"/>
    <xf numFmtId="0"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185"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185"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5" fillId="31" borderId="52" applyBorder="0"/>
    <xf numFmtId="184" fontId="145" fillId="31" borderId="52" applyBorder="0"/>
    <xf numFmtId="184" fontId="145" fillId="31" borderId="52" applyBorder="0"/>
    <xf numFmtId="183"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5" fillId="31" borderId="52" applyBorder="0"/>
    <xf numFmtId="184" fontId="145" fillId="31" borderId="52" applyBorder="0"/>
    <xf numFmtId="184" fontId="145" fillId="31" borderId="52" applyBorder="0"/>
    <xf numFmtId="0" fontId="145" fillId="31" borderId="52" applyBorder="0"/>
    <xf numFmtId="183" fontId="145" fillId="31" borderId="52" applyBorder="0"/>
    <xf numFmtId="183" fontId="145" fillId="31" borderId="52" applyBorder="0"/>
    <xf numFmtId="184" fontId="145" fillId="31" borderId="52" applyBorder="0"/>
    <xf numFmtId="184" fontId="145" fillId="31" borderId="52" applyBorder="0"/>
    <xf numFmtId="0" fontId="145" fillId="31" borderId="52" applyBorder="0"/>
    <xf numFmtId="184" fontId="145" fillId="31" borderId="52" applyBorder="0"/>
    <xf numFmtId="184" fontId="145" fillId="31" borderId="52" applyBorder="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5" fillId="31" borderId="52" applyBorder="0"/>
    <xf numFmtId="187" fontId="145" fillId="31" borderId="52" applyBorder="0"/>
    <xf numFmtId="184" fontId="145" fillId="31" borderId="52" applyBorder="0"/>
    <xf numFmtId="184" fontId="145" fillId="31" borderId="52" applyBorder="0"/>
    <xf numFmtId="0" fontId="145" fillId="31" borderId="52" applyBorder="0"/>
    <xf numFmtId="184" fontId="145" fillId="31" borderId="52" applyBorder="0"/>
    <xf numFmtId="0" fontId="22" fillId="0" borderId="0"/>
    <xf numFmtId="184" fontId="22" fillId="0" borderId="0"/>
    <xf numFmtId="0" fontId="22" fillId="0" borderId="0"/>
    <xf numFmtId="184" fontId="22" fillId="0" borderId="0"/>
    <xf numFmtId="4" fontId="137" fillId="26" borderId="1" applyNumberFormat="0" applyProtection="0">
      <alignment vertical="center"/>
    </xf>
    <xf numFmtId="184" fontId="22" fillId="0" borderId="0"/>
    <xf numFmtId="4" fontId="41" fillId="26" borderId="1" applyNumberFormat="0" applyProtection="0">
      <alignment vertical="center"/>
    </xf>
    <xf numFmtId="4" fontId="137" fillId="26" borderId="1" applyNumberFormat="0" applyProtection="0">
      <alignment vertical="center"/>
    </xf>
    <xf numFmtId="4" fontId="137" fillId="26" borderId="1" applyNumberFormat="0" applyProtection="0">
      <alignment vertical="center"/>
    </xf>
    <xf numFmtId="4" fontId="137" fillId="26" borderId="1" applyNumberFormat="0" applyProtection="0">
      <alignment vertical="center"/>
    </xf>
    <xf numFmtId="0" fontId="6" fillId="0" borderId="0"/>
    <xf numFmtId="183" fontId="6" fillId="0" borderId="0"/>
    <xf numFmtId="184" fontId="6" fillId="0" borderId="0"/>
    <xf numFmtId="184" fontId="6" fillId="0" borderId="0"/>
    <xf numFmtId="4" fontId="137"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6" borderId="1" applyNumberFormat="0" applyProtection="0">
      <alignment vertical="center"/>
    </xf>
    <xf numFmtId="4" fontId="41" fillId="26" borderId="1" applyNumberFormat="0" applyProtection="0">
      <alignment vertical="center"/>
    </xf>
    <xf numFmtId="4" fontId="41" fillId="26"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184" fontId="22" fillId="0" borderId="0"/>
    <xf numFmtId="4" fontId="47" fillId="26" borderId="1" applyNumberFormat="0" applyProtection="0">
      <alignment vertical="center"/>
    </xf>
    <xf numFmtId="4" fontId="143" fillId="102" borderId="3" applyNumberFormat="0" applyProtection="0">
      <alignment vertical="center"/>
    </xf>
    <xf numFmtId="4" fontId="143" fillId="102" borderId="3" applyNumberFormat="0" applyProtection="0">
      <alignment vertical="center"/>
    </xf>
    <xf numFmtId="0" fontId="6" fillId="0" borderId="0"/>
    <xf numFmtId="183" fontId="6" fillId="0" borderId="0"/>
    <xf numFmtId="184" fontId="6" fillId="0" borderId="0"/>
    <xf numFmtId="184" fontId="6" fillId="0" borderId="0"/>
    <xf numFmtId="4" fontId="47" fillId="26" borderId="1" applyNumberFormat="0" applyProtection="0">
      <alignment vertical="center"/>
    </xf>
    <xf numFmtId="4" fontId="47" fillId="26" borderId="1" applyNumberFormat="0" applyProtection="0">
      <alignmen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7" fillId="26" borderId="1" applyNumberFormat="0" applyProtection="0">
      <alignmen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22" fillId="0" borderId="0"/>
    <xf numFmtId="184" fontId="22" fillId="0" borderId="0"/>
    <xf numFmtId="0" fontId="22" fillId="0" borderId="0"/>
    <xf numFmtId="184" fontId="22" fillId="0" borderId="0"/>
    <xf numFmtId="4" fontId="137" fillId="75" borderId="1" applyNumberFormat="0" applyProtection="0">
      <alignment horizontal="left" vertical="center" indent="1"/>
    </xf>
    <xf numFmtId="184" fontId="22" fillId="0" borderId="0"/>
    <xf numFmtId="4" fontId="41" fillId="26" borderId="1" applyNumberFormat="0" applyProtection="0">
      <alignment horizontal="left" vertical="center" indent="1"/>
    </xf>
    <xf numFmtId="4" fontId="137" fillId="75" borderId="1" applyNumberFormat="0" applyProtection="0">
      <alignment horizontal="left" vertical="center" indent="1"/>
    </xf>
    <xf numFmtId="4" fontId="137" fillId="75" borderId="1" applyNumberFormat="0" applyProtection="0">
      <alignment horizontal="left" vertical="center" indent="1"/>
    </xf>
    <xf numFmtId="4" fontId="137" fillId="75" borderId="1" applyNumberFormat="0" applyProtection="0">
      <alignment horizontal="left" vertical="center" indent="1"/>
    </xf>
    <xf numFmtId="0" fontId="6" fillId="0" borderId="0"/>
    <xf numFmtId="183" fontId="6" fillId="0" borderId="0"/>
    <xf numFmtId="184" fontId="6" fillId="0" borderId="0"/>
    <xf numFmtId="184" fontId="6" fillId="0" borderId="0"/>
    <xf numFmtId="4" fontId="137" fillId="75"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6" borderId="1" applyNumberFormat="0" applyProtection="0">
      <alignment horizontal="left" vertical="center" indent="1"/>
    </xf>
    <xf numFmtId="4" fontId="41" fillId="26" borderId="1" applyNumberFormat="0" applyProtection="0">
      <alignment horizontal="left" vertical="center" indent="1"/>
    </xf>
    <xf numFmtId="4" fontId="41" fillId="26" borderId="1" applyNumberFormat="0" applyProtection="0">
      <alignment horizontal="left" vertical="center"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187" fontId="41" fillId="26" borderId="1" applyNumberFormat="0" applyProtection="0">
      <alignment horizontal="left" vertical="top" indent="1"/>
    </xf>
    <xf numFmtId="0" fontId="22" fillId="0" borderId="0"/>
    <xf numFmtId="184" fontId="22" fillId="0" borderId="0"/>
    <xf numFmtId="187"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22" fillId="0" borderId="0"/>
    <xf numFmtId="184" fontId="22" fillId="0" borderId="0"/>
    <xf numFmtId="0" fontId="22" fillId="0" borderId="0"/>
    <xf numFmtId="184" fontId="22" fillId="0" borderId="0"/>
    <xf numFmtId="0" fontId="137" fillId="26" borderId="1" applyNumberFormat="0" applyProtection="0">
      <alignment horizontal="left" vertical="top" indent="1"/>
    </xf>
    <xf numFmtId="184" fontId="137" fillId="26" borderId="1" applyNumberFormat="0" applyProtection="0">
      <alignment horizontal="left" vertical="top" indent="1"/>
    </xf>
    <xf numFmtId="184" fontId="22" fillId="0" borderId="0"/>
    <xf numFmtId="182" fontId="137"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137" fillId="26" borderId="1" applyNumberFormat="0" applyProtection="0">
      <alignment horizontal="left" vertical="top" indent="1"/>
    </xf>
    <xf numFmtId="183" fontId="137" fillId="26" borderId="1" applyNumberFormat="0" applyProtection="0">
      <alignment horizontal="left" vertical="top" indent="1"/>
    </xf>
    <xf numFmtId="183" fontId="137" fillId="26" borderId="1" applyNumberFormat="0" applyProtection="0">
      <alignment horizontal="left" vertical="top" indent="1"/>
    </xf>
    <xf numFmtId="183"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6" fillId="0" borderId="0"/>
    <xf numFmtId="183" fontId="6" fillId="0" borderId="0"/>
    <xf numFmtId="184" fontId="6" fillId="0" borderId="0"/>
    <xf numFmtId="184" fontId="6" fillId="0" borderId="0"/>
    <xf numFmtId="183"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137" fillId="26" borderId="1" applyNumberFormat="0" applyProtection="0">
      <alignment horizontal="left" vertical="top" indent="1"/>
    </xf>
    <xf numFmtId="183" fontId="137" fillId="26" borderId="1" applyNumberFormat="0" applyProtection="0">
      <alignment horizontal="left" vertical="top" indent="1"/>
    </xf>
    <xf numFmtId="183"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137" fillId="26" borderId="1" applyNumberFormat="0" applyProtection="0">
      <alignment horizontal="left" vertical="top" indent="1"/>
    </xf>
    <xf numFmtId="184" fontId="137" fillId="26" borderId="1" applyNumberFormat="0" applyProtection="0">
      <alignment horizontal="left" vertical="top" indent="1"/>
    </xf>
    <xf numFmtId="184" fontId="137" fillId="26" borderId="1" applyNumberFormat="0" applyProtection="0">
      <alignment horizontal="left" vertical="top" indent="1"/>
    </xf>
    <xf numFmtId="0"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5"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41" fillId="26" borderId="1" applyNumberFormat="0" applyProtection="0">
      <alignment horizontal="left" vertical="top" indent="1"/>
    </xf>
    <xf numFmtId="184" fontId="41" fillId="26" borderId="1" applyNumberFormat="0" applyProtection="0">
      <alignment horizontal="left" vertical="top" indent="1"/>
    </xf>
    <xf numFmtId="184" fontId="41" fillId="26"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4" fontId="41" fillId="30" borderId="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30" borderId="1" applyNumberFormat="0" applyProtection="0">
      <alignment horizontal="right" vertical="center"/>
    </xf>
    <xf numFmtId="4" fontId="41" fillId="30" borderId="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41" fillId="30" borderId="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24" fillId="0" borderId="31" applyNumberFormat="0" applyProtection="0">
      <alignment horizontal="right" vertical="center"/>
    </xf>
    <xf numFmtId="4" fontId="47" fillId="30" borderId="1" applyNumberFormat="0" applyProtection="0">
      <alignment horizontal="right" vertical="center"/>
    </xf>
    <xf numFmtId="4" fontId="47" fillId="30" borderId="1" applyNumberFormat="0" applyProtection="0">
      <alignment horizontal="right" vertical="center"/>
    </xf>
    <xf numFmtId="4" fontId="47" fillId="30"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7" fillId="30" borderId="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143" fillId="110" borderId="31" applyNumberFormat="0" applyProtection="0">
      <alignment horizontal="right" vertical="center"/>
    </xf>
    <xf numFmtId="4" fontId="24" fillId="78" borderId="31" applyNumberFormat="0" applyProtection="0">
      <alignment horizontal="left" vertical="center" indent="1"/>
    </xf>
    <xf numFmtId="4" fontId="41" fillId="27" borderId="1" applyNumberFormat="0" applyProtection="0">
      <alignment horizontal="left" vertical="center" indent="1"/>
    </xf>
    <xf numFmtId="4" fontId="41" fillId="27" borderId="1" applyNumberFormat="0" applyProtection="0">
      <alignment horizontal="left" vertical="center" indent="1"/>
    </xf>
    <xf numFmtId="4" fontId="41" fillId="27" borderId="1" applyNumberFormat="0" applyProtection="0">
      <alignment horizontal="left" vertical="center" indent="1"/>
    </xf>
    <xf numFmtId="4" fontId="41" fillId="27" borderId="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1" fillId="27" borderId="1" applyNumberFormat="0" applyProtection="0">
      <alignment horizontal="left" vertical="center" indent="1"/>
    </xf>
    <xf numFmtId="4" fontId="41" fillId="27" borderId="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41" fillId="27" borderId="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4" fontId="24" fillId="78" borderId="31" applyNumberFormat="0" applyProtection="0">
      <alignment horizontal="left" vertical="center" indent="1"/>
    </xf>
    <xf numFmtId="0" fontId="6" fillId="0" borderId="0"/>
    <xf numFmtId="183" fontId="6" fillId="0" borderId="0"/>
    <xf numFmtId="184" fontId="6" fillId="0" borderId="0"/>
    <xf numFmtId="184" fontId="6" fillId="0" borderId="0"/>
    <xf numFmtId="0" fontId="22" fillId="0" borderId="0"/>
    <xf numFmtId="184" fontId="22" fillId="0" borderId="0"/>
    <xf numFmtId="187" fontId="41" fillId="27" borderId="1" applyNumberFormat="0" applyProtection="0">
      <alignment horizontal="left" vertical="top" indent="1"/>
    </xf>
    <xf numFmtId="0" fontId="22" fillId="0" borderId="0"/>
    <xf numFmtId="184" fontId="22" fillId="0" borderId="0"/>
    <xf numFmtId="187"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22" fillId="0" borderId="0"/>
    <xf numFmtId="184" fontId="22" fillId="0" borderId="0"/>
    <xf numFmtId="0" fontId="22" fillId="0" borderId="0"/>
    <xf numFmtId="184" fontId="22" fillId="0" borderId="0"/>
    <xf numFmtId="0" fontId="137" fillId="27" borderId="1" applyNumberFormat="0" applyProtection="0">
      <alignment horizontal="left" vertical="top" indent="1"/>
    </xf>
    <xf numFmtId="184" fontId="137" fillId="27" borderId="1" applyNumberFormat="0" applyProtection="0">
      <alignment horizontal="left" vertical="top" indent="1"/>
    </xf>
    <xf numFmtId="184" fontId="22" fillId="0" borderId="0"/>
    <xf numFmtId="182" fontId="137"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137" fillId="27" borderId="1" applyNumberFormat="0" applyProtection="0">
      <alignment horizontal="left" vertical="top" indent="1"/>
    </xf>
    <xf numFmtId="183" fontId="137" fillId="27" borderId="1" applyNumberFormat="0" applyProtection="0">
      <alignment horizontal="left" vertical="top" indent="1"/>
    </xf>
    <xf numFmtId="183" fontId="137" fillId="27" borderId="1" applyNumberFormat="0" applyProtection="0">
      <alignment horizontal="left" vertical="top" indent="1"/>
    </xf>
    <xf numFmtId="183"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137" fillId="27" borderId="1" applyNumberFormat="0" applyProtection="0">
      <alignment horizontal="left" vertical="top" indent="1"/>
    </xf>
    <xf numFmtId="183" fontId="137" fillId="27" borderId="1" applyNumberFormat="0" applyProtection="0">
      <alignment horizontal="left" vertical="top" indent="1"/>
    </xf>
    <xf numFmtId="183"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137" fillId="27" borderId="1" applyNumberFormat="0" applyProtection="0">
      <alignment horizontal="left" vertical="top" indent="1"/>
    </xf>
    <xf numFmtId="184" fontId="137" fillId="27" borderId="1" applyNumberFormat="0" applyProtection="0">
      <alignment horizontal="left" vertical="top" indent="1"/>
    </xf>
    <xf numFmtId="184" fontId="137" fillId="27" borderId="1" applyNumberFormat="0" applyProtection="0">
      <alignment horizontal="left" vertical="top" indent="1"/>
    </xf>
    <xf numFmtId="0"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5"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41" fillId="27" borderId="1" applyNumberFormat="0" applyProtection="0">
      <alignment horizontal="left" vertical="top" indent="1"/>
    </xf>
    <xf numFmtId="184" fontId="41" fillId="27" borderId="1" applyNumberFormat="0" applyProtection="0">
      <alignment horizontal="left" vertical="top" indent="1"/>
    </xf>
    <xf numFmtId="184" fontId="41" fillId="27" borderId="1" applyNumberFormat="0" applyProtection="0">
      <alignment horizontal="left" vertical="top" indent="1"/>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184" fontId="22" fillId="0" borderId="0"/>
    <xf numFmtId="4" fontId="48" fillId="33" borderId="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0" fontId="6" fillId="0" borderId="0"/>
    <xf numFmtId="183" fontId="6" fillId="0" borderId="0"/>
    <xf numFmtId="184" fontId="6" fillId="0" borderId="0"/>
    <xf numFmtId="184" fontId="6" fillId="0" borderId="0"/>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146" fillId="33" borderId="50" applyNumberFormat="0" applyProtection="0">
      <alignment horizontal="left" vertical="center" indent="1"/>
    </xf>
    <xf numFmtId="4" fontId="48" fillId="33" borderId="0" applyNumberFormat="0" applyProtection="0">
      <alignment horizontal="left" vertical="center" inden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182" fontId="24" fillId="111" borderId="3"/>
    <xf numFmtId="184" fontId="24" fillId="111" borderId="3"/>
    <xf numFmtId="182" fontId="24" fillId="111" borderId="3"/>
    <xf numFmtId="0"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0"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5"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183" fontId="24" fillId="111" borderId="3"/>
    <xf numFmtId="183"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4" fillId="111" borderId="3"/>
    <xf numFmtId="0" fontId="24" fillId="111" borderId="3"/>
    <xf numFmtId="183" fontId="24" fillId="111" borderId="3"/>
    <xf numFmtId="184" fontId="24" fillId="111" borderId="3"/>
    <xf numFmtId="184" fontId="24" fillId="111" borderId="3"/>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24" fillId="111" borderId="3"/>
    <xf numFmtId="184" fontId="24" fillId="111" borderId="3"/>
    <xf numFmtId="0" fontId="24" fillId="111" borderId="3"/>
    <xf numFmtId="184" fontId="24" fillId="111" borderId="3"/>
    <xf numFmtId="0" fontId="22" fillId="0" borderId="0"/>
    <xf numFmtId="184" fontId="22" fillId="0" borderId="0"/>
    <xf numFmtId="0" fontId="22" fillId="0" borderId="0"/>
    <xf numFmtId="184" fontId="22" fillId="0" borderId="0"/>
    <xf numFmtId="4" fontId="147" fillId="32" borderId="31" applyNumberFormat="0" applyProtection="0">
      <alignment horizontal="right" vertical="center"/>
    </xf>
    <xf numFmtId="184" fontId="22" fillId="0" borderId="0"/>
    <xf numFmtId="4" fontId="42" fillId="30" borderId="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0" fontId="6" fillId="0" borderId="0"/>
    <xf numFmtId="183" fontId="6" fillId="0" borderId="0"/>
    <xf numFmtId="184" fontId="6" fillId="0" borderId="0"/>
    <xf numFmtId="184" fontId="6" fillId="0" borderId="0"/>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147" fillId="32" borderId="31" applyNumberFormat="0" applyProtection="0">
      <alignment horizontal="right" vertical="center"/>
    </xf>
    <xf numFmtId="4" fontId="42" fillId="30" borderId="1" applyNumberFormat="0" applyProtection="0">
      <alignment horizontal="right" vertical="center"/>
    </xf>
    <xf numFmtId="4" fontId="42" fillId="30" borderId="1" applyNumberFormat="0" applyProtection="0">
      <alignment horizontal="right" vertic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 fontId="42" fillId="30" borderId="1" applyNumberFormat="0" applyProtection="0">
      <alignment horizontal="right" vertical="center"/>
    </xf>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3" fontId="22" fillId="0" borderId="0"/>
    <xf numFmtId="184" fontId="22" fillId="0" borderId="0"/>
    <xf numFmtId="0" fontId="6" fillId="0" borderId="0"/>
    <xf numFmtId="183" fontId="6" fillId="0" borderId="0"/>
    <xf numFmtId="184" fontId="6" fillId="0" borderId="0"/>
    <xf numFmtId="184" fontId="6" fillId="0" borderId="0"/>
    <xf numFmtId="184" fontId="22" fillId="0" borderId="0"/>
    <xf numFmtId="185"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22" fillId="0" borderId="0"/>
    <xf numFmtId="0" fontId="22" fillId="0" borderId="0"/>
    <xf numFmtId="183" fontId="22" fillId="0" borderId="0"/>
    <xf numFmtId="184" fontId="22" fillId="0" borderId="0"/>
    <xf numFmtId="184" fontId="22"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22" fillId="0" borderId="0"/>
    <xf numFmtId="184" fontId="22" fillId="0" borderId="0"/>
    <xf numFmtId="0" fontId="22" fillId="0" borderId="0"/>
    <xf numFmtId="184" fontId="22" fillId="0" borderId="0"/>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5"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3"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0"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1" fillId="1" borderId="9" applyNumberFormat="0" applyFont="0" applyAlignment="0">
      <alignment horizontal="center"/>
    </xf>
    <xf numFmtId="187" fontId="141" fillId="1" borderId="9" applyNumberFormat="0" applyFont="0" applyAlignment="0">
      <alignment horizontal="center"/>
    </xf>
    <xf numFmtId="187"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7" fontId="141" fillId="1" borderId="9" applyNumberFormat="0" applyFont="0" applyAlignment="0">
      <alignment horizontal="center"/>
    </xf>
    <xf numFmtId="184" fontId="141" fillId="1" borderId="9" applyNumberFormat="0" applyFont="0" applyAlignment="0">
      <alignment horizontal="center"/>
    </xf>
    <xf numFmtId="184" fontId="141" fillId="1" borderId="9" applyNumberFormat="0" applyFont="0" applyAlignment="0">
      <alignment horizontal="center"/>
    </xf>
    <xf numFmtId="182"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148" fillId="0" borderId="0" applyNumberFormat="0" applyFill="0" applyBorder="0" applyAlignment="0">
      <alignment horizontal="center"/>
    </xf>
    <xf numFmtId="184" fontId="148" fillId="0" borderId="0" applyNumberFormat="0" applyFill="0" applyBorder="0" applyAlignment="0">
      <alignment horizontal="center"/>
    </xf>
    <xf numFmtId="0"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0"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5"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183"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8" fillId="0" borderId="0" applyNumberFormat="0" applyFill="0" applyBorder="0" applyAlignment="0">
      <alignment horizontal="center"/>
    </xf>
    <xf numFmtId="0" fontId="148" fillId="0" borderId="0" applyNumberFormat="0" applyFill="0" applyBorder="0" applyAlignment="0">
      <alignment horizontal="center"/>
    </xf>
    <xf numFmtId="183" fontId="148" fillId="0" borderId="0" applyNumberFormat="0" applyFill="0" applyBorder="0" applyAlignment="0">
      <alignment horizontal="center"/>
    </xf>
    <xf numFmtId="184" fontId="148" fillId="0" borderId="0" applyNumberFormat="0" applyFill="0" applyBorder="0" applyAlignment="0">
      <alignment horizontal="center"/>
    </xf>
    <xf numFmtId="184" fontId="148" fillId="0" borderId="0" applyNumberFormat="0" applyFill="0" applyBorder="0" applyAlignment="0">
      <alignment horizontal="center"/>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48" fillId="0" borderId="0" applyNumberFormat="0" applyFill="0" applyBorder="0" applyAlignment="0">
      <alignment horizontal="center"/>
    </xf>
    <xf numFmtId="184" fontId="148" fillId="0" borderId="0" applyNumberFormat="0" applyFill="0" applyBorder="0" applyAlignment="0">
      <alignment horizontal="center"/>
    </xf>
    <xf numFmtId="183" fontId="149" fillId="0" borderId="0">
      <alignment horizontal="right"/>
    </xf>
    <xf numFmtId="183" fontId="149" fillId="0" borderId="0">
      <alignment horizontal="right"/>
    </xf>
    <xf numFmtId="184" fontId="149" fillId="0" borderId="0">
      <alignment horizontal="righ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49" fillId="0" borderId="0">
      <alignment horizontal="right"/>
    </xf>
    <xf numFmtId="186" fontId="22" fillId="0" borderId="0">
      <alignment horizontal="left" wrapText="1"/>
    </xf>
    <xf numFmtId="186" fontId="22" fillId="0" borderId="0">
      <alignment horizontal="left" wrapText="1"/>
    </xf>
    <xf numFmtId="186" fontId="22" fillId="0" borderId="0">
      <alignment horizontal="left"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6" fontId="22" fillId="0" borderId="0">
      <alignment horizontal="left"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0" fontId="150" fillId="0" borderId="0" applyBorder="0">
      <alignment horizontal="right"/>
    </xf>
    <xf numFmtId="40" fontId="150" fillId="0" borderId="0" applyBorder="0">
      <alignment horizontal="righ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49" fontId="151" fillId="0" borderId="0">
      <alignment horizontal="left"/>
    </xf>
    <xf numFmtId="49" fontId="151" fillId="0" borderId="0">
      <alignment horizontal="left"/>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152" fillId="112" borderId="0" applyNumberFormat="0" applyBorder="0" applyAlignment="0" applyProtection="0">
      <protection locked="0"/>
    </xf>
    <xf numFmtId="183" fontId="152" fillId="112" borderId="0" applyNumberFormat="0" applyBorder="0" applyAlignment="0" applyProtection="0">
      <protection locked="0"/>
    </xf>
    <xf numFmtId="184" fontId="152" fillId="112" borderId="0" applyNumberFormat="0" applyBorder="0" applyAlignment="0" applyProtection="0">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2" fillId="112" borderId="0" applyNumberFormat="0" applyBorder="0" applyAlignment="0" applyProtection="0">
      <protection locked="0"/>
    </xf>
    <xf numFmtId="0"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9" fillId="0" borderId="0" applyNumberFormat="0" applyFill="0" applyBorder="0" applyAlignment="0" applyProtection="0"/>
    <xf numFmtId="0" fontId="153" fillId="0" borderId="0" applyNumberFormat="0" applyFill="0" applyBorder="0" applyAlignment="0" applyProtection="0"/>
    <xf numFmtId="184" fontId="153" fillId="0" borderId="0" applyNumberFormat="0" applyFill="0" applyBorder="0" applyAlignment="0" applyProtection="0"/>
    <xf numFmtId="184" fontId="49" fillId="0" borderId="0" applyNumberFormat="0" applyFill="0" applyBorder="0" applyAlignment="0" applyProtection="0"/>
    <xf numFmtId="184" fontId="15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0"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0"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153"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15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185"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73" fillId="0" borderId="0" applyNumberFormat="0" applyFill="0" applyBorder="0" applyAlignment="0" applyProtection="0"/>
    <xf numFmtId="183"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73" fillId="0" borderId="0" applyNumberFormat="0" applyFill="0" applyBorder="0" applyAlignment="0" applyProtection="0"/>
    <xf numFmtId="0" fontId="153"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0" fontId="153" fillId="0" borderId="0" applyNumberFormat="0" applyFill="0" applyBorder="0" applyAlignment="0" applyProtection="0"/>
    <xf numFmtId="183" fontId="153" fillId="0" borderId="0" applyNumberFormat="0" applyFill="0" applyBorder="0" applyAlignment="0" applyProtection="0"/>
    <xf numFmtId="184" fontId="153" fillId="0" borderId="0" applyNumberFormat="0" applyFill="0" applyBorder="0" applyAlignment="0" applyProtection="0"/>
    <xf numFmtId="184" fontId="153"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3"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5" fontId="49" fillId="0" borderId="0" applyNumberFormat="0" applyFill="0" applyBorder="0" applyAlignment="0" applyProtection="0"/>
    <xf numFmtId="183" fontId="49" fillId="0" borderId="0" applyNumberFormat="0" applyFill="0" applyBorder="0" applyAlignment="0" applyProtection="0"/>
    <xf numFmtId="184" fontId="49" fillId="0" borderId="0" applyNumberFormat="0" applyFill="0" applyBorder="0" applyAlignment="0" applyProtection="0"/>
    <xf numFmtId="184" fontId="49"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49" fillId="0" borderId="0" applyNumberFormat="0" applyFill="0" applyBorder="0" applyAlignment="0" applyProtection="0"/>
    <xf numFmtId="184" fontId="73" fillId="0" borderId="0" applyNumberFormat="0" applyFill="0" applyBorder="0" applyAlignment="0" applyProtection="0"/>
    <xf numFmtId="182" fontId="73" fillId="0" borderId="0" applyNumberFormat="0" applyFill="0" applyBorder="0" applyAlignment="0" applyProtection="0"/>
    <xf numFmtId="182" fontId="52" fillId="0" borderId="27" applyNumberFormat="0" applyFill="0" applyAlignment="0" applyProtection="0"/>
    <xf numFmtId="0"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40" fillId="0" borderId="54" applyNumberFormat="0" applyFill="0" applyAlignment="0" applyProtection="0"/>
    <xf numFmtId="0"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7"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40" fillId="0" borderId="53" applyNumberFormat="0" applyFill="0" applyAlignment="0" applyProtection="0"/>
    <xf numFmtId="182" fontId="40" fillId="0" borderId="54"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40" fillId="0" borderId="53"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185"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52" fillId="0" borderId="27" applyNumberFormat="0" applyFill="0" applyAlignment="0" applyProtection="0"/>
    <xf numFmtId="183" fontId="52" fillId="0" borderId="27" applyNumberFormat="0" applyFill="0" applyAlignment="0" applyProtection="0"/>
    <xf numFmtId="184" fontId="52" fillId="0" borderId="27" applyNumberFormat="0" applyFill="0" applyAlignment="0" applyProtection="0"/>
    <xf numFmtId="184" fontId="52" fillId="0" borderId="27"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52" fillId="0" borderId="27" applyNumberFormat="0" applyFill="0" applyAlignment="0" applyProtection="0"/>
    <xf numFmtId="0"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3" fontId="40" fillId="0" borderId="53" applyNumberFormat="0" applyFill="0" applyAlignment="0" applyProtection="0"/>
    <xf numFmtId="183"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40" fillId="0" borderId="53" applyNumberFormat="0" applyFill="0" applyAlignment="0" applyProtection="0"/>
    <xf numFmtId="184" fontId="40" fillId="0" borderId="53" applyNumberFormat="0" applyFill="0" applyAlignment="0" applyProtection="0"/>
    <xf numFmtId="184" fontId="40" fillId="0" borderId="53" applyNumberFormat="0" applyFill="0" applyAlignment="0" applyProtection="0"/>
    <xf numFmtId="197" fontId="22" fillId="0" borderId="15">
      <protection locked="0"/>
    </xf>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3" fontId="40" fillId="0" borderId="54" applyNumberFormat="0" applyFill="0" applyAlignment="0" applyProtection="0"/>
    <xf numFmtId="183"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5" fontId="40" fillId="0" borderId="54" applyNumberFormat="0" applyFill="0" applyAlignment="0" applyProtection="0"/>
    <xf numFmtId="184" fontId="40" fillId="0" borderId="54" applyNumberFormat="0" applyFill="0" applyAlignment="0" applyProtection="0"/>
    <xf numFmtId="184" fontId="40" fillId="0" borderId="54" applyNumberFormat="0" applyFill="0" applyAlignment="0" applyProtection="0"/>
    <xf numFmtId="197" fontId="22" fillId="0" borderId="15">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52" fillId="0" borderId="27" applyNumberFormat="0" applyFill="0" applyAlignment="0" applyProtection="0"/>
    <xf numFmtId="184" fontId="52" fillId="0" borderId="27" applyNumberFormat="0" applyFill="0" applyAlignment="0" applyProtection="0"/>
    <xf numFmtId="0" fontId="40" fillId="0" borderId="54" applyNumberFormat="0" applyFill="0" applyAlignment="0" applyProtection="0"/>
    <xf numFmtId="184" fontId="40" fillId="0" borderId="54" applyNumberFormat="0" applyFill="0" applyAlignment="0" applyProtection="0"/>
    <xf numFmtId="184" fontId="52" fillId="0" borderId="27" applyNumberFormat="0" applyFill="0" applyAlignment="0" applyProtection="0"/>
    <xf numFmtId="37" fontId="24" fillId="107" borderId="0" applyNumberFormat="0" applyBorder="0" applyAlignment="0" applyProtection="0"/>
    <xf numFmtId="37" fontId="24" fillId="107" borderId="0" applyNumberFormat="0" applyBorder="0" applyAlignment="0" applyProtection="0"/>
    <xf numFmtId="37" fontId="24" fillId="107" borderId="0" applyNumberFormat="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107" borderId="0" applyNumberFormat="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0" borderId="0"/>
    <xf numFmtId="37" fontId="24" fillId="0" borderId="0"/>
    <xf numFmtId="37" fontId="2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0" borderId="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37" fontId="24" fillId="0" borderId="0"/>
    <xf numFmtId="37" fontId="24" fillId="69" borderId="0" applyNumberFormat="0" applyBorder="0" applyAlignment="0" applyProtection="0"/>
    <xf numFmtId="3" fontId="154" fillId="0" borderId="41" applyProtection="0"/>
    <xf numFmtId="3" fontId="154" fillId="0" borderId="41"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155" fillId="0" borderId="0" applyNumberFormat="0" applyFill="0" applyBorder="0" applyAlignment="0" applyProtection="0"/>
    <xf numFmtId="0"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182" fontId="156"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156"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3" fontId="156" fillId="0" borderId="0" applyNumberFormat="0" applyFill="0" applyBorder="0" applyAlignment="0" applyProtection="0"/>
    <xf numFmtId="183" fontId="156" fillId="0" borderId="0" applyNumberFormat="0" applyFill="0" applyBorder="0" applyAlignment="0" applyProtection="0"/>
    <xf numFmtId="184" fontId="156"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6" fillId="0" borderId="0" applyNumberFormat="0" applyFill="0" applyBorder="0" applyAlignment="0" applyProtection="0"/>
    <xf numFmtId="0" fontId="156" fillId="0" borderId="0" applyNumberFormat="0" applyFill="0" applyBorder="0" applyAlignment="0" applyProtection="0"/>
    <xf numFmtId="183" fontId="156" fillId="0" borderId="0" applyNumberFormat="0" applyFill="0" applyBorder="0" applyAlignment="0" applyProtection="0"/>
    <xf numFmtId="184" fontId="156" fillId="0" borderId="0" applyNumberFormat="0" applyFill="0" applyBorder="0" applyAlignment="0" applyProtection="0"/>
    <xf numFmtId="184" fontId="156"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6"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7" fontId="155" fillId="0" borderId="0" applyNumberFormat="0" applyFill="0" applyBorder="0" applyAlignment="0" applyProtection="0"/>
    <xf numFmtId="0"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15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185"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85" fillId="0" borderId="0" applyNumberFormat="0" applyFill="0" applyBorder="0" applyAlignment="0" applyProtection="0"/>
    <xf numFmtId="183"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8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185" fontId="155" fillId="0" borderId="0" applyNumberFormat="0" applyFill="0" applyBorder="0" applyAlignment="0" applyProtection="0"/>
    <xf numFmtId="183" fontId="155" fillId="0" borderId="0" applyNumberFormat="0" applyFill="0" applyBorder="0" applyAlignment="0" applyProtection="0"/>
    <xf numFmtId="184" fontId="155" fillId="0" borderId="0" applyNumberFormat="0" applyFill="0" applyBorder="0" applyAlignment="0" applyProtection="0"/>
    <xf numFmtId="184" fontId="155" fillId="0" borderId="0" applyNumberFormat="0" applyFill="0" applyBorder="0" applyAlignment="0" applyProtection="0"/>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84" fontId="155" fillId="0" borderId="0" applyNumberFormat="0" applyFill="0" applyBorder="0" applyAlignment="0" applyProtection="0"/>
    <xf numFmtId="0" fontId="85" fillId="0" borderId="0" applyNumberFormat="0" applyFill="0" applyBorder="0" applyAlignment="0" applyProtection="0"/>
    <xf numFmtId="184" fontId="85" fillId="0" borderId="0" applyNumberFormat="0" applyFill="0" applyBorder="0" applyAlignment="0" applyProtection="0"/>
    <xf numFmtId="184" fontId="85" fillId="0" borderId="0" applyNumberFormat="0" applyFill="0" applyBorder="0" applyAlignment="0" applyProtection="0"/>
    <xf numFmtId="182" fontId="85" fillId="0" borderId="0" applyNumberFormat="0" applyFill="0" applyBorder="0" applyAlignment="0" applyProtection="0"/>
    <xf numFmtId="9" fontId="157" fillId="110" borderId="55" applyNumberFormat="0" applyFill="0" applyBorder="0" applyAlignment="0" applyProtection="0">
      <alignment horizontal="center"/>
      <protection locked="0"/>
    </xf>
    <xf numFmtId="9" fontId="157" fillId="110" borderId="55" applyNumberFormat="0" applyFill="0" applyBorder="0" applyAlignment="0" applyProtection="0">
      <alignment horizontal="center"/>
      <protection locked="0"/>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190" fontId="98" fillId="0" borderId="0" applyNumberFormat="0" applyFont="0" applyFill="0" applyBorder="0" applyProtection="0">
      <alignment wrapText="1"/>
    </xf>
    <xf numFmtId="190" fontId="98" fillId="0" borderId="0" applyNumberFormat="0" applyFont="0" applyFill="0" applyBorder="0" applyProtection="0">
      <alignment wrapText="1"/>
    </xf>
    <xf numFmtId="0" fontId="6" fillId="0" borderId="0"/>
    <xf numFmtId="183" fontId="6" fillId="0" borderId="0"/>
    <xf numFmtId="184" fontId="6" fillId="0" borderId="0"/>
    <xf numFmtId="184" fontId="6" fillId="0" borderId="0"/>
    <xf numFmtId="0" fontId="6" fillId="0" borderId="0"/>
    <xf numFmtId="183" fontId="6" fillId="0" borderId="0"/>
    <xf numFmtId="184" fontId="6" fillId="0" borderId="0"/>
    <xf numFmtId="184" fontId="6" fillId="0" borderId="0"/>
    <xf numFmtId="0" fontId="6" fillId="0" borderId="0"/>
    <xf numFmtId="0" fontId="6" fillId="0" borderId="0"/>
    <xf numFmtId="0" fontId="6" fillId="0" borderId="0"/>
    <xf numFmtId="44"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1" fontId="3" fillId="0" borderId="0" applyFont="0" applyFill="0" applyBorder="0" applyAlignment="0" applyProtection="0"/>
    <xf numFmtId="0" fontId="3" fillId="44" borderId="26" applyNumberFormat="0" applyFont="0" applyAlignment="0" applyProtection="0"/>
    <xf numFmtId="0" fontId="3" fillId="0" borderId="0"/>
    <xf numFmtId="43" fontId="3" fillId="0" borderId="0" applyFont="0" applyFill="0" applyBorder="0" applyAlignment="0" applyProtection="0"/>
    <xf numFmtId="41" fontId="165"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cellStyleXfs>
  <cellXfs count="1247">
    <xf numFmtId="0" fontId="0" fillId="0" borderId="0" xfId="0"/>
    <xf numFmtId="0" fontId="23" fillId="0" borderId="0" xfId="0" applyFont="1"/>
    <xf numFmtId="0" fontId="23" fillId="0" borderId="0" xfId="0" applyFont="1" applyAlignment="1">
      <alignment horizontal="center"/>
    </xf>
    <xf numFmtId="0" fontId="26" fillId="0" borderId="0" xfId="0" applyFont="1" applyAlignment="1">
      <alignment horizontal="center"/>
    </xf>
    <xf numFmtId="0" fontId="23" fillId="0" borderId="0" xfId="0" quotePrefix="1" applyFont="1" applyAlignment="1">
      <alignment horizontal="center"/>
    </xf>
    <xf numFmtId="164" fontId="0" fillId="34" borderId="0" xfId="0" applyNumberFormat="1" applyFill="1"/>
    <xf numFmtId="164" fontId="0" fillId="0" borderId="0" xfId="0" applyNumberFormat="1"/>
    <xf numFmtId="165" fontId="0" fillId="0" borderId="0" xfId="0" applyNumberFormat="1"/>
    <xf numFmtId="0" fontId="0" fillId="35" borderId="0" xfId="0" applyFill="1"/>
    <xf numFmtId="0" fontId="27" fillId="35" borderId="0" xfId="0" applyFont="1" applyFill="1"/>
    <xf numFmtId="0" fontId="28" fillId="35" borderId="0" xfId="0" applyFont="1" applyFill="1"/>
    <xf numFmtId="0" fontId="25" fillId="0" borderId="0" xfId="0" applyFont="1"/>
    <xf numFmtId="0" fontId="0" fillId="0" borderId="0" xfId="0" applyAlignment="1">
      <alignment horizontal="left" indent="1"/>
    </xf>
    <xf numFmtId="0" fontId="25" fillId="0" borderId="0" xfId="28"/>
    <xf numFmtId="0" fontId="25" fillId="0" borderId="0" xfId="28" applyAlignment="1">
      <alignment horizontal="left"/>
    </xf>
    <xf numFmtId="0" fontId="23" fillId="0" borderId="0" xfId="28" applyFont="1" applyAlignment="1">
      <alignment horizontal="left"/>
    </xf>
    <xf numFmtId="3" fontId="25" fillId="0" borderId="0" xfId="28" applyNumberFormat="1"/>
    <xf numFmtId="1" fontId="25" fillId="0" borderId="0" xfId="28" applyNumberFormat="1" applyAlignment="1">
      <alignment horizontal="center"/>
    </xf>
    <xf numFmtId="0" fontId="26" fillId="0" borderId="0" xfId="28" applyFont="1" applyAlignment="1">
      <alignment horizontal="center"/>
    </xf>
    <xf numFmtId="0" fontId="23" fillId="0" borderId="0" xfId="28" applyFont="1" applyAlignment="1">
      <alignment horizontal="center"/>
    </xf>
    <xf numFmtId="167" fontId="25" fillId="0" borderId="0" xfId="28" applyNumberFormat="1" applyAlignment="1">
      <alignment horizontal="right"/>
    </xf>
    <xf numFmtId="3" fontId="25" fillId="0" borderId="0" xfId="28" applyNumberFormat="1" applyAlignment="1">
      <alignment horizontal="left" indent="1"/>
    </xf>
    <xf numFmtId="0" fontId="25" fillId="0" borderId="0" xfId="28" applyAlignment="1">
      <alignment horizontal="right"/>
    </xf>
    <xf numFmtId="167" fontId="25" fillId="0" borderId="0" xfId="28" quotePrefix="1" applyNumberFormat="1" applyAlignment="1">
      <alignment horizontal="left" indent="1"/>
    </xf>
    <xf numFmtId="165" fontId="29" fillId="0" borderId="0" xfId="20" applyNumberFormat="1" applyFont="1" applyFill="1" applyBorder="1" applyAlignment="1">
      <alignment horizontal="right"/>
    </xf>
    <xf numFmtId="0" fontId="0" fillId="0" borderId="0" xfId="0" applyAlignment="1">
      <alignment horizontal="right"/>
    </xf>
    <xf numFmtId="10" fontId="0" fillId="0" borderId="0" xfId="0" applyNumberFormat="1"/>
    <xf numFmtId="0" fontId="0" fillId="34" borderId="0" xfId="0" applyFill="1"/>
    <xf numFmtId="0" fontId="29" fillId="0" borderId="0" xfId="0" applyFont="1"/>
    <xf numFmtId="165" fontId="29" fillId="0" borderId="0" xfId="0" applyNumberFormat="1" applyFont="1"/>
    <xf numFmtId="0" fontId="26" fillId="0" borderId="0" xfId="0" applyFont="1"/>
    <xf numFmtId="0" fontId="0" fillId="0" borderId="0" xfId="0" quotePrefix="1"/>
    <xf numFmtId="0" fontId="26" fillId="0" borderId="0" xfId="0" applyFont="1" applyAlignment="1">
      <alignment horizontal="left"/>
    </xf>
    <xf numFmtId="0" fontId="0" fillId="0" borderId="0" xfId="0" quotePrefix="1" applyAlignment="1">
      <alignment horizontal="center"/>
    </xf>
    <xf numFmtId="0" fontId="23" fillId="0" borderId="0" xfId="0" applyFont="1" applyAlignment="1">
      <alignment horizontal="left" indent="2"/>
    </xf>
    <xf numFmtId="0" fontId="0" fillId="0" borderId="0" xfId="0" applyAlignment="1">
      <alignment horizontal="right" indent="1"/>
    </xf>
    <xf numFmtId="164" fontId="29" fillId="0" borderId="0" xfId="0" applyNumberFormat="1" applyFont="1" applyAlignment="1">
      <alignment horizontal="right"/>
    </xf>
    <xf numFmtId="0" fontId="0" fillId="0" borderId="0" xfId="0" applyAlignment="1">
      <alignment horizontal="center"/>
    </xf>
    <xf numFmtId="0" fontId="0" fillId="0" borderId="0" xfId="0" applyAlignment="1">
      <alignment horizontal="left"/>
    </xf>
    <xf numFmtId="0" fontId="23" fillId="0" borderId="0" xfId="0" applyFont="1" applyAlignment="1">
      <alignment horizontal="right"/>
    </xf>
    <xf numFmtId="0" fontId="23" fillId="0" borderId="0" xfId="0" applyFont="1" applyAlignment="1">
      <alignment horizontal="left" indent="1"/>
    </xf>
    <xf numFmtId="166" fontId="0" fillId="0" borderId="0" xfId="0" applyNumberFormat="1"/>
    <xf numFmtId="164" fontId="23" fillId="0" borderId="0" xfId="0" applyNumberFormat="1" applyFont="1"/>
    <xf numFmtId="167" fontId="23" fillId="0" borderId="0" xfId="20" applyNumberFormat="1" applyFont="1" applyFill="1" applyBorder="1" applyAlignment="1">
      <alignment horizontal="center"/>
    </xf>
    <xf numFmtId="0" fontId="29" fillId="0" borderId="0" xfId="0" applyFont="1" applyAlignment="1">
      <alignment horizontal="left"/>
    </xf>
    <xf numFmtId="0" fontId="25" fillId="0" borderId="0" xfId="28" applyAlignment="1">
      <alignment horizontal="left" indent="1"/>
    </xf>
    <xf numFmtId="3" fontId="0" fillId="0" borderId="0" xfId="0" applyNumberFormat="1" applyAlignment="1">
      <alignment horizontal="center"/>
    </xf>
    <xf numFmtId="0" fontId="23" fillId="0" borderId="0" xfId="0" applyFont="1" applyAlignment="1">
      <alignment horizontal="left"/>
    </xf>
    <xf numFmtId="0" fontId="26" fillId="0" borderId="0" xfId="0" quotePrefix="1" applyFont="1" applyAlignment="1">
      <alignment horizontal="center"/>
    </xf>
    <xf numFmtId="1" fontId="25" fillId="0" borderId="0" xfId="28" applyNumberFormat="1" applyAlignment="1">
      <alignment horizontal="right"/>
    </xf>
    <xf numFmtId="0" fontId="25" fillId="0" borderId="0" xfId="0" applyFont="1" applyAlignment="1">
      <alignment horizontal="center"/>
    </xf>
    <xf numFmtId="172" fontId="0" fillId="34" borderId="0" xfId="0" applyNumberFormat="1" applyFill="1"/>
    <xf numFmtId="0" fontId="23" fillId="0" borderId="0" xfId="0" applyFont="1" applyAlignment="1">
      <alignment wrapText="1"/>
    </xf>
    <xf numFmtId="164" fontId="29" fillId="0" borderId="0" xfId="0" applyNumberFormat="1" applyFont="1"/>
    <xf numFmtId="0" fontId="0" fillId="36" borderId="0" xfId="0" applyFill="1"/>
    <xf numFmtId="2" fontId="0" fillId="0" borderId="0" xfId="0" applyNumberFormat="1"/>
    <xf numFmtId="3" fontId="0" fillId="0" borderId="0" xfId="0" applyNumberFormat="1"/>
    <xf numFmtId="3" fontId="29" fillId="36" borderId="0" xfId="0" applyNumberFormat="1" applyFont="1" applyFill="1"/>
    <xf numFmtId="0" fontId="23" fillId="0" borderId="0" xfId="0" applyFont="1" applyAlignment="1">
      <alignment horizontal="left" indent="3"/>
    </xf>
    <xf numFmtId="164" fontId="0" fillId="36" borderId="0" xfId="0" applyNumberFormat="1" applyFill="1"/>
    <xf numFmtId="164" fontId="29" fillId="34" borderId="0" xfId="0" applyNumberFormat="1" applyFont="1" applyFill="1"/>
    <xf numFmtId="164" fontId="29" fillId="36" borderId="0" xfId="0" applyNumberFormat="1" applyFont="1" applyFill="1"/>
    <xf numFmtId="0" fontId="29" fillId="0" borderId="0" xfId="0" applyFont="1" applyAlignment="1">
      <alignment horizontal="center"/>
    </xf>
    <xf numFmtId="0" fontId="0" fillId="37" borderId="0" xfId="0" applyFill="1"/>
    <xf numFmtId="0" fontId="27" fillId="0" borderId="0" xfId="0" applyFont="1"/>
    <xf numFmtId="0" fontId="28" fillId="0" borderId="0" xfId="0" applyFont="1"/>
    <xf numFmtId="0" fontId="32" fillId="0" borderId="0" xfId="34" applyFont="1"/>
    <xf numFmtId="167" fontId="32" fillId="0" borderId="0" xfId="19" applyNumberFormat="1" applyFont="1" applyBorder="1"/>
    <xf numFmtId="0" fontId="32" fillId="0" borderId="0" xfId="34" applyFont="1" applyAlignment="1">
      <alignment horizontal="left"/>
    </xf>
    <xf numFmtId="10" fontId="32" fillId="0" borderId="0" xfId="37" applyNumberFormat="1" applyFont="1" applyBorder="1" applyAlignment="1">
      <alignment horizontal="left" indent="3"/>
    </xf>
    <xf numFmtId="0" fontId="32" fillId="0" borderId="0" xfId="34" applyFont="1" applyAlignment="1">
      <alignment horizontal="right" wrapText="1"/>
    </xf>
    <xf numFmtId="42" fontId="32" fillId="0" borderId="0" xfId="34" applyNumberFormat="1" applyFont="1"/>
    <xf numFmtId="175" fontId="32" fillId="0" borderId="0" xfId="34" applyNumberFormat="1" applyFont="1"/>
    <xf numFmtId="0" fontId="33" fillId="0" borderId="0" xfId="34" applyFont="1"/>
    <xf numFmtId="0" fontId="33" fillId="0" borderId="0" xfId="34" applyFont="1" applyAlignment="1">
      <alignment vertical="center" wrapText="1"/>
    </xf>
    <xf numFmtId="42" fontId="33" fillId="0" borderId="0" xfId="19" applyNumberFormat="1" applyFont="1" applyBorder="1" applyAlignment="1">
      <alignment vertical="center"/>
    </xf>
    <xf numFmtId="171" fontId="33" fillId="0" borderId="0" xfId="37" applyNumberFormat="1" applyFont="1" applyBorder="1" applyAlignment="1">
      <alignment horizontal="center" vertical="center"/>
    </xf>
    <xf numFmtId="164" fontId="32" fillId="0" borderId="0" xfId="19" applyNumberFormat="1" applyFont="1" applyBorder="1"/>
    <xf numFmtId="0" fontId="32" fillId="0" borderId="0" xfId="28" applyFont="1"/>
    <xf numFmtId="164" fontId="0" fillId="0" borderId="0" xfId="0" applyNumberFormat="1" applyAlignment="1">
      <alignment horizontal="right" indent="1"/>
    </xf>
    <xf numFmtId="165" fontId="34" fillId="0" borderId="0" xfId="0" applyNumberFormat="1" applyFont="1"/>
    <xf numFmtId="165" fontId="35" fillId="0" borderId="0" xfId="0" applyNumberFormat="1" applyFont="1"/>
    <xf numFmtId="1" fontId="25" fillId="36" borderId="0" xfId="28" applyNumberFormat="1" applyFill="1" applyAlignment="1">
      <alignment horizontal="center"/>
    </xf>
    <xf numFmtId="0" fontId="0" fillId="36" borderId="0" xfId="0" quotePrefix="1" applyFill="1" applyAlignment="1">
      <alignment horizontal="center"/>
    </xf>
    <xf numFmtId="0" fontId="0" fillId="36" borderId="0" xfId="0" applyFill="1" applyAlignment="1">
      <alignment horizontal="center"/>
    </xf>
    <xf numFmtId="0" fontId="23" fillId="0" borderId="0" xfId="0" quotePrefix="1" applyFont="1" applyAlignment="1">
      <alignment horizontal="right"/>
    </xf>
    <xf numFmtId="164" fontId="29" fillId="36" borderId="0" xfId="19" applyNumberFormat="1" applyFont="1" applyFill="1" applyBorder="1"/>
    <xf numFmtId="10" fontId="29" fillId="0" borderId="0" xfId="37" applyNumberFormat="1" applyFont="1" applyBorder="1" applyAlignment="1">
      <alignment horizontal="center"/>
    </xf>
    <xf numFmtId="164" fontId="23" fillId="0" borderId="0" xfId="19" applyNumberFormat="1" applyFont="1" applyBorder="1" applyAlignment="1">
      <alignment vertical="center"/>
    </xf>
    <xf numFmtId="10" fontId="23" fillId="0" borderId="0" xfId="37" applyNumberFormat="1" applyFont="1" applyBorder="1" applyAlignment="1">
      <alignment horizontal="center" vertical="center"/>
    </xf>
    <xf numFmtId="0" fontId="26" fillId="0" borderId="0" xfId="34" applyFont="1" applyAlignment="1">
      <alignment horizontal="center"/>
    </xf>
    <xf numFmtId="0" fontId="23" fillId="0" borderId="0" xfId="34" applyFont="1"/>
    <xf numFmtId="0" fontId="23" fillId="0" borderId="0" xfId="34" applyFont="1" applyAlignment="1">
      <alignment horizontal="left" wrapText="1"/>
    </xf>
    <xf numFmtId="0" fontId="25" fillId="0" borderId="0" xfId="34" applyAlignment="1">
      <alignment horizontal="left" wrapText="1"/>
    </xf>
    <xf numFmtId="0" fontId="23" fillId="0" borderId="0" xfId="34" applyFont="1" applyAlignment="1">
      <alignment vertical="center" wrapText="1"/>
    </xf>
    <xf numFmtId="0" fontId="23" fillId="0" borderId="0" xfId="34" applyFont="1" applyAlignment="1">
      <alignment horizontal="center"/>
    </xf>
    <xf numFmtId="0" fontId="25" fillId="0" borderId="0" xfId="34"/>
    <xf numFmtId="0" fontId="25" fillId="36" borderId="0" xfId="34" applyFill="1"/>
    <xf numFmtId="41" fontId="25" fillId="0" borderId="0" xfId="34" applyNumberFormat="1"/>
    <xf numFmtId="10" fontId="25" fillId="0" borderId="0" xfId="34" applyNumberFormat="1" applyAlignment="1">
      <alignment horizontal="center"/>
    </xf>
    <xf numFmtId="5" fontId="29" fillId="36" borderId="0" xfId="19" applyNumberFormat="1" applyFont="1" applyFill="1" applyBorder="1"/>
    <xf numFmtId="10" fontId="29" fillId="0" borderId="0" xfId="37" applyNumberFormat="1" applyFont="1" applyFill="1" applyBorder="1" applyAlignment="1">
      <alignment horizontal="center"/>
    </xf>
    <xf numFmtId="0" fontId="25" fillId="0" borderId="0" xfId="34" applyAlignment="1">
      <alignment horizontal="right" wrapText="1"/>
    </xf>
    <xf numFmtId="0" fontId="53" fillId="36" borderId="0" xfId="34" applyFont="1" applyFill="1"/>
    <xf numFmtId="0" fontId="23" fillId="36" borderId="0" xfId="0" applyFont="1" applyFill="1" applyAlignment="1">
      <alignment horizontal="center"/>
    </xf>
    <xf numFmtId="0" fontId="26" fillId="36" borderId="0" xfId="0" applyFont="1" applyFill="1" applyAlignment="1">
      <alignment horizontal="center"/>
    </xf>
    <xf numFmtId="0" fontId="23" fillId="0" borderId="3" xfId="0" applyFont="1" applyBorder="1" applyAlignment="1">
      <alignment horizontal="center"/>
    </xf>
    <xf numFmtId="0" fontId="23" fillId="0" borderId="3" xfId="0" applyFont="1" applyBorder="1" applyAlignment="1">
      <alignment horizontal="center" wrapText="1"/>
    </xf>
    <xf numFmtId="0" fontId="23" fillId="0" borderId="3" xfId="0" applyFont="1" applyBorder="1" applyAlignment="1">
      <alignment wrapText="1"/>
    </xf>
    <xf numFmtId="0" fontId="23" fillId="0" borderId="0" xfId="0" quotePrefix="1" applyFont="1"/>
    <xf numFmtId="37" fontId="23" fillId="0" borderId="0" xfId="0" applyNumberFormat="1" applyFont="1" applyAlignment="1">
      <alignment horizontal="center"/>
    </xf>
    <xf numFmtId="0" fontId="23" fillId="0" borderId="3" xfId="0" applyFont="1" applyBorder="1" applyAlignment="1">
      <alignment horizontal="right"/>
    </xf>
    <xf numFmtId="0" fontId="54" fillId="0" borderId="0" xfId="0" applyFont="1"/>
    <xf numFmtId="0" fontId="54" fillId="0" borderId="0" xfId="0" applyFont="1" applyAlignment="1">
      <alignment horizontal="right"/>
    </xf>
    <xf numFmtId="164" fontId="54" fillId="0" borderId="0" xfId="0" applyNumberFormat="1" applyFont="1"/>
    <xf numFmtId="0" fontId="55" fillId="0" borderId="0" xfId="0" applyFont="1" applyAlignment="1">
      <alignment horizontal="center"/>
    </xf>
    <xf numFmtId="164" fontId="54" fillId="36" borderId="0" xfId="0" applyNumberFormat="1" applyFont="1" applyFill="1"/>
    <xf numFmtId="164" fontId="54" fillId="0" borderId="0" xfId="0" applyNumberFormat="1" applyFont="1" applyAlignment="1">
      <alignment horizontal="right"/>
    </xf>
    <xf numFmtId="164" fontId="54" fillId="0" borderId="0" xfId="0" quotePrefix="1" applyNumberFormat="1" applyFont="1" applyAlignment="1">
      <alignment horizontal="center"/>
    </xf>
    <xf numFmtId="10" fontId="54" fillId="0" borderId="0" xfId="0" applyNumberFormat="1" applyFont="1"/>
    <xf numFmtId="0" fontId="52" fillId="0" borderId="0" xfId="0" applyFont="1" applyAlignment="1">
      <alignment horizontal="center"/>
    </xf>
    <xf numFmtId="0" fontId="57" fillId="0" borderId="0" xfId="0" applyFont="1" applyAlignment="1">
      <alignment horizontal="center"/>
    </xf>
    <xf numFmtId="166" fontId="54" fillId="0" borderId="0" xfId="0" applyNumberFormat="1" applyFont="1"/>
    <xf numFmtId="0" fontId="54" fillId="0" borderId="0" xfId="0" applyFont="1" applyAlignment="1">
      <alignment horizontal="left" indent="1"/>
    </xf>
    <xf numFmtId="165" fontId="54" fillId="0" borderId="0" xfId="0" applyNumberFormat="1" applyFont="1"/>
    <xf numFmtId="0" fontId="54" fillId="0" borderId="0" xfId="0" applyFont="1" applyAlignment="1">
      <alignment horizontal="center"/>
    </xf>
    <xf numFmtId="0" fontId="23" fillId="36" borderId="0" xfId="0" quotePrefix="1" applyFont="1" applyFill="1" applyAlignment="1">
      <alignment horizontal="center"/>
    </xf>
    <xf numFmtId="0" fontId="23" fillId="0" borderId="0" xfId="28" applyFont="1"/>
    <xf numFmtId="0" fontId="25" fillId="36" borderId="0" xfId="28" applyFill="1"/>
    <xf numFmtId="0" fontId="23" fillId="0" borderId="0" xfId="28" applyFont="1" applyAlignment="1">
      <alignment horizontal="left" vertical="center"/>
    </xf>
    <xf numFmtId="0" fontId="23" fillId="0" borderId="0" xfId="28" applyFont="1" applyAlignment="1">
      <alignment horizontal="center" vertical="center" wrapText="1"/>
    </xf>
    <xf numFmtId="0" fontId="23" fillId="0" borderId="0" xfId="28" applyFont="1" applyAlignment="1">
      <alignment horizontal="center" vertical="center"/>
    </xf>
    <xf numFmtId="0" fontId="25" fillId="0" borderId="0" xfId="28" applyAlignment="1">
      <alignment horizontal="left" vertical="center" indent="1"/>
    </xf>
    <xf numFmtId="164" fontId="25" fillId="0" borderId="0" xfId="28" applyNumberFormat="1" applyAlignment="1">
      <alignment horizontal="right" vertical="center" wrapText="1"/>
    </xf>
    <xf numFmtId="164" fontId="25" fillId="0" borderId="0" xfId="28" applyNumberFormat="1" applyAlignment="1">
      <alignment horizontal="right"/>
    </xf>
    <xf numFmtId="164" fontId="29" fillId="0" borderId="0" xfId="28" applyNumberFormat="1" applyFont="1" applyAlignment="1">
      <alignment horizontal="right" vertical="center" wrapText="1"/>
    </xf>
    <xf numFmtId="164" fontId="29" fillId="0" borderId="0" xfId="20" applyNumberFormat="1" applyFont="1" applyFill="1"/>
    <xf numFmtId="164" fontId="29" fillId="0" borderId="0" xfId="28" applyNumberFormat="1" applyFont="1" applyAlignment="1">
      <alignment horizontal="right"/>
    </xf>
    <xf numFmtId="164" fontId="25" fillId="0" borderId="0" xfId="28" applyNumberFormat="1" applyAlignment="1">
      <alignment vertical="center"/>
    </xf>
    <xf numFmtId="41" fontId="25" fillId="0" borderId="0" xfId="28" applyNumberFormat="1"/>
    <xf numFmtId="0" fontId="25" fillId="0" borderId="0" xfId="28" applyAlignment="1">
      <alignment horizontal="left" wrapText="1" indent="1"/>
    </xf>
    <xf numFmtId="164" fontId="25" fillId="0" borderId="0" xfId="28" applyNumberFormat="1"/>
    <xf numFmtId="164" fontId="36" fillId="0" borderId="0" xfId="20" applyNumberFormat="1" applyFont="1" applyFill="1"/>
    <xf numFmtId="42" fontId="36" fillId="0" borderId="0" xfId="28" applyNumberFormat="1" applyFont="1"/>
    <xf numFmtId="42" fontId="25" fillId="0" borderId="0" xfId="28" applyNumberFormat="1"/>
    <xf numFmtId="43" fontId="25" fillId="0" borderId="0" xfId="28" applyNumberFormat="1"/>
    <xf numFmtId="0" fontId="23" fillId="0" borderId="0" xfId="28" applyFont="1" applyAlignment="1">
      <alignment horizontal="center" wrapText="1"/>
    </xf>
    <xf numFmtId="0" fontId="26" fillId="0" borderId="0" xfId="28" applyFont="1"/>
    <xf numFmtId="0" fontId="25" fillId="0" borderId="0" xfId="28" applyAlignment="1">
      <alignment horizontal="right" vertical="center"/>
    </xf>
    <xf numFmtId="39" fontId="23" fillId="0" borderId="3" xfId="22" quotePrefix="1" applyNumberFormat="1" applyFont="1" applyBorder="1" applyAlignment="1">
      <alignment horizontal="center" wrapText="1"/>
    </xf>
    <xf numFmtId="39" fontId="23" fillId="0" borderId="3" xfId="22" applyNumberFormat="1" applyFont="1" applyBorder="1" applyAlignment="1">
      <alignment horizontal="center" wrapText="1"/>
    </xf>
    <xf numFmtId="176" fontId="23" fillId="0" borderId="3" xfId="22" applyFont="1" applyBorder="1" applyAlignment="1">
      <alignment horizontal="center" wrapText="1"/>
    </xf>
    <xf numFmtId="39" fontId="23" fillId="0" borderId="0" xfId="22" quotePrefix="1" applyNumberFormat="1" applyFont="1" applyBorder="1" applyAlignment="1">
      <alignment horizontal="center"/>
    </xf>
    <xf numFmtId="37" fontId="23" fillId="0" borderId="3" xfId="22" quotePrefix="1" applyNumberFormat="1" applyFont="1" applyBorder="1" applyAlignment="1">
      <alignment horizontal="center"/>
    </xf>
    <xf numFmtId="37" fontId="23" fillId="0" borderId="0" xfId="22" quotePrefix="1" applyNumberFormat="1" applyFont="1" applyBorder="1" applyAlignment="1">
      <alignment horizontal="center"/>
    </xf>
    <xf numFmtId="176" fontId="25" fillId="0" borderId="0" xfId="22" applyFont="1" applyBorder="1" applyAlignment="1">
      <alignment horizontal="center"/>
    </xf>
    <xf numFmtId="37" fontId="23" fillId="36" borderId="3" xfId="22" quotePrefix="1" applyNumberFormat="1" applyFont="1" applyFill="1" applyBorder="1" applyAlignment="1">
      <alignment horizontal="center"/>
    </xf>
    <xf numFmtId="37" fontId="23" fillId="0" borderId="0" xfId="22" quotePrefix="1" applyNumberFormat="1" applyFont="1" applyFill="1" applyBorder="1" applyAlignment="1">
      <alignment horizontal="center"/>
    </xf>
    <xf numFmtId="37" fontId="23" fillId="0" borderId="3" xfId="22" quotePrefix="1" applyNumberFormat="1" applyFont="1" applyFill="1" applyBorder="1" applyAlignment="1">
      <alignment horizontal="center"/>
    </xf>
    <xf numFmtId="39" fontId="23" fillId="0" borderId="0" xfId="22" quotePrefix="1" applyNumberFormat="1" applyFont="1" applyFill="1" applyBorder="1" applyAlignment="1">
      <alignment horizontal="center"/>
    </xf>
    <xf numFmtId="39" fontId="23" fillId="0" borderId="3" xfId="22" applyNumberFormat="1" applyFont="1" applyFill="1" applyBorder="1" applyAlignment="1">
      <alignment horizontal="center" wrapText="1"/>
    </xf>
    <xf numFmtId="39" fontId="25" fillId="0" borderId="0" xfId="22" applyNumberFormat="1" applyFont="1" applyFill="1" applyBorder="1" applyAlignment="1">
      <alignment horizontal="center"/>
    </xf>
    <xf numFmtId="39" fontId="53" fillId="0" borderId="0" xfId="22" quotePrefix="1" applyNumberFormat="1" applyFont="1" applyBorder="1" applyAlignment="1">
      <alignment horizontal="center"/>
    </xf>
    <xf numFmtId="177" fontId="53" fillId="0" borderId="0" xfId="22" applyNumberFormat="1" applyFont="1" applyBorder="1" applyAlignment="1">
      <alignment horizontal="center"/>
    </xf>
    <xf numFmtId="39" fontId="53" fillId="0" borderId="0" xfId="22" applyNumberFormat="1" applyFont="1" applyBorder="1" applyAlignment="1">
      <alignment horizontal="left"/>
    </xf>
    <xf numFmtId="37" fontId="23" fillId="37" borderId="3" xfId="22" quotePrefix="1" applyNumberFormat="1" applyFont="1" applyFill="1" applyBorder="1" applyAlignment="1">
      <alignment horizontal="center"/>
    </xf>
    <xf numFmtId="39" fontId="23" fillId="37" borderId="3" xfId="22" applyNumberFormat="1" applyFont="1" applyFill="1" applyBorder="1" applyAlignment="1">
      <alignment horizontal="center"/>
    </xf>
    <xf numFmtId="39" fontId="58" fillId="0" borderId="0" xfId="22" quotePrefix="1" applyNumberFormat="1" applyFont="1" applyBorder="1" applyAlignment="1">
      <alignment horizontal="center"/>
    </xf>
    <xf numFmtId="0" fontId="23" fillId="37" borderId="0" xfId="0" quotePrefix="1" applyFont="1" applyFill="1"/>
    <xf numFmtId="0" fontId="23" fillId="37" borderId="0" xfId="0" applyFont="1" applyFill="1"/>
    <xf numFmtId="37" fontId="58" fillId="0" borderId="0" xfId="22" quotePrefix="1" applyNumberFormat="1" applyFont="1" applyBorder="1" applyAlignment="1">
      <alignment horizontal="center"/>
    </xf>
    <xf numFmtId="0" fontId="23" fillId="37" borderId="3" xfId="0" applyFont="1" applyFill="1" applyBorder="1" applyAlignment="1">
      <alignment horizontal="center"/>
    </xf>
    <xf numFmtId="39" fontId="23" fillId="0" borderId="3" xfId="22" applyNumberFormat="1" applyFont="1" applyFill="1" applyBorder="1" applyAlignment="1">
      <alignment horizontal="right" wrapText="1"/>
    </xf>
    <xf numFmtId="0" fontId="23" fillId="36" borderId="3" xfId="0" quotePrefix="1" applyFont="1" applyFill="1" applyBorder="1"/>
    <xf numFmtId="39" fontId="23" fillId="36" borderId="3" xfId="22" quotePrefix="1" applyNumberFormat="1" applyFont="1" applyFill="1" applyBorder="1" applyAlignment="1">
      <alignment horizontal="center"/>
    </xf>
    <xf numFmtId="0" fontId="23" fillId="36" borderId="3" xfId="0" applyFont="1" applyFill="1" applyBorder="1"/>
    <xf numFmtId="37" fontId="23" fillId="0" borderId="0" xfId="22" applyNumberFormat="1" applyFont="1" applyFill="1" applyBorder="1" applyAlignment="1">
      <alignment horizontal="center"/>
    </xf>
    <xf numFmtId="39" fontId="23" fillId="0" borderId="0" xfId="22" applyNumberFormat="1" applyFont="1" applyBorder="1" applyAlignment="1">
      <alignment horizontal="center"/>
    </xf>
    <xf numFmtId="39" fontId="23" fillId="0" borderId="0" xfId="22" applyNumberFormat="1" applyFont="1" applyFill="1" applyBorder="1" applyAlignment="1">
      <alignment horizontal="center"/>
    </xf>
    <xf numFmtId="39" fontId="23" fillId="37" borderId="0" xfId="22" quotePrefix="1" applyNumberFormat="1" applyFont="1" applyFill="1" applyBorder="1" applyAlignment="1">
      <alignment horizontal="center"/>
    </xf>
    <xf numFmtId="39" fontId="25" fillId="0" borderId="0" xfId="22" applyNumberFormat="1" applyFont="1" applyBorder="1" applyAlignment="1">
      <alignment horizontal="center"/>
    </xf>
    <xf numFmtId="164" fontId="23" fillId="0" borderId="0" xfId="0" applyNumberFormat="1" applyFont="1" applyAlignment="1">
      <alignment horizontal="center"/>
    </xf>
    <xf numFmtId="164" fontId="26" fillId="0" borderId="0" xfId="0" applyNumberFormat="1" applyFont="1" applyAlignment="1">
      <alignment horizontal="center"/>
    </xf>
    <xf numFmtId="164" fontId="59" fillId="0" borderId="0" xfId="0" applyNumberFormat="1" applyFont="1"/>
    <xf numFmtId="0" fontId="56" fillId="0" borderId="0" xfId="0" applyFont="1" applyAlignment="1">
      <alignment horizontal="center"/>
    </xf>
    <xf numFmtId="3" fontId="54" fillId="36" borderId="0" xfId="0" applyNumberFormat="1" applyFont="1" applyFill="1"/>
    <xf numFmtId="0" fontId="52" fillId="0" borderId="0" xfId="0" applyFont="1"/>
    <xf numFmtId="0" fontId="30" fillId="0" borderId="0" xfId="27" applyAlignment="1" applyProtection="1"/>
    <xf numFmtId="0" fontId="0" fillId="0" borderId="0" xfId="0" applyAlignment="1">
      <alignment horizontal="left" indent="2"/>
    </xf>
    <xf numFmtId="166" fontId="54" fillId="0" borderId="0" xfId="0" quotePrefix="1" applyNumberFormat="1" applyFont="1" applyAlignment="1">
      <alignment horizontal="right"/>
    </xf>
    <xf numFmtId="168" fontId="29" fillId="0" borderId="0" xfId="0" applyNumberFormat="1" applyFont="1"/>
    <xf numFmtId="0" fontId="60" fillId="0" borderId="0" xfId="0" applyFont="1" applyAlignment="1">
      <alignment horizontal="center"/>
    </xf>
    <xf numFmtId="164" fontId="42" fillId="0" borderId="0" xfId="0" applyNumberFormat="1" applyFont="1"/>
    <xf numFmtId="0" fontId="0" fillId="36" borderId="0" xfId="0" applyFill="1" applyAlignment="1">
      <alignment horizontal="left" indent="1"/>
    </xf>
    <xf numFmtId="0" fontId="26" fillId="0" borderId="0" xfId="0" applyFont="1" applyAlignment="1">
      <alignment horizontal="left" indent="1"/>
    </xf>
    <xf numFmtId="168" fontId="54" fillId="0" borderId="0" xfId="0" applyNumberFormat="1" applyFont="1"/>
    <xf numFmtId="0" fontId="0" fillId="0" borderId="8" xfId="0" applyBorder="1" applyAlignment="1">
      <alignment horizontal="center"/>
    </xf>
    <xf numFmtId="0" fontId="55" fillId="0" borderId="0" xfId="0" applyFont="1"/>
    <xf numFmtId="0" fontId="54" fillId="36" borderId="0" xfId="0" applyFont="1" applyFill="1"/>
    <xf numFmtId="164" fontId="59" fillId="36" borderId="0" xfId="0" applyNumberFormat="1" applyFont="1" applyFill="1"/>
    <xf numFmtId="0" fontId="56" fillId="0" borderId="0" xfId="0" applyFont="1"/>
    <xf numFmtId="0" fontId="23" fillId="36" borderId="0" xfId="0" quotePrefix="1" applyFont="1" applyFill="1" applyAlignment="1">
      <alignment vertical="center"/>
    </xf>
    <xf numFmtId="164" fontId="57" fillId="0" borderId="0" xfId="0" applyNumberFormat="1" applyFont="1" applyAlignment="1">
      <alignment horizontal="center"/>
    </xf>
    <xf numFmtId="165" fontId="22" fillId="0" borderId="0" xfId="0" applyNumberFormat="1" applyFont="1"/>
    <xf numFmtId="37" fontId="23" fillId="0" borderId="3" xfId="22" applyNumberFormat="1" applyFont="1" applyFill="1" applyBorder="1" applyAlignment="1">
      <alignment horizontal="center"/>
    </xf>
    <xf numFmtId="37" fontId="23" fillId="37" borderId="3" xfId="0" applyNumberFormat="1" applyFont="1" applyFill="1" applyBorder="1" applyAlignment="1">
      <alignment horizontal="center"/>
    </xf>
    <xf numFmtId="164" fontId="29" fillId="36" borderId="0" xfId="0" applyNumberFormat="1" applyFont="1" applyFill="1" applyAlignment="1">
      <alignment horizontal="right"/>
    </xf>
    <xf numFmtId="0" fontId="51" fillId="0" borderId="0" xfId="28" applyFont="1" applyAlignment="1">
      <alignment horizontal="left"/>
    </xf>
    <xf numFmtId="0" fontId="51" fillId="0" borderId="0" xfId="28" applyFont="1" applyAlignment="1">
      <alignment horizontal="center"/>
    </xf>
    <xf numFmtId="0" fontId="51" fillId="36" borderId="0" xfId="28" applyFont="1" applyFill="1" applyAlignment="1">
      <alignment horizontal="center"/>
    </xf>
    <xf numFmtId="0" fontId="23" fillId="0" borderId="0" xfId="28" applyFont="1" applyAlignment="1">
      <alignment vertical="top"/>
    </xf>
    <xf numFmtId="0" fontId="23" fillId="0" borderId="0" xfId="28" applyFont="1" applyAlignment="1">
      <alignment horizontal="left" vertical="top"/>
    </xf>
    <xf numFmtId="0" fontId="23" fillId="0" borderId="0" xfId="28" applyFont="1" applyAlignment="1">
      <alignment horizontal="center" vertical="top"/>
    </xf>
    <xf numFmtId="0" fontId="51" fillId="0" borderId="0" xfId="28" applyFont="1" applyAlignment="1">
      <alignment horizontal="center" vertical="top"/>
    </xf>
    <xf numFmtId="0" fontId="26" fillId="0" borderId="0" xfId="0" quotePrefix="1" applyFont="1" applyAlignment="1">
      <alignment horizontal="center" vertical="top"/>
    </xf>
    <xf numFmtId="0" fontId="23" fillId="0" borderId="6" xfId="28" applyFont="1" applyBorder="1" applyAlignment="1">
      <alignment horizontal="center"/>
    </xf>
    <xf numFmtId="0" fontId="23" fillId="0" borderId="3" xfId="28" applyFont="1" applyBorder="1" applyAlignment="1">
      <alignment horizontal="center"/>
    </xf>
    <xf numFmtId="167" fontId="23" fillId="0" borderId="0" xfId="28" applyNumberFormat="1" applyFont="1" applyAlignment="1">
      <alignment horizontal="center"/>
    </xf>
    <xf numFmtId="167" fontId="23" fillId="0" borderId="0" xfId="28" applyNumberFormat="1" applyFont="1"/>
    <xf numFmtId="0" fontId="23" fillId="0" borderId="0" xfId="28" applyFont="1" applyAlignment="1">
      <alignment horizontal="right"/>
    </xf>
    <xf numFmtId="167" fontId="23" fillId="0" borderId="3" xfId="22" applyNumberFormat="1" applyFont="1" applyFill="1" applyBorder="1" applyAlignment="1">
      <alignment horizontal="center" wrapText="1"/>
    </xf>
    <xf numFmtId="171" fontId="23" fillId="0" borderId="0" xfId="37" applyNumberFormat="1" applyFont="1" applyFill="1" applyBorder="1" applyAlignment="1">
      <alignment horizontal="center" wrapText="1"/>
    </xf>
    <xf numFmtId="167" fontId="23" fillId="0" borderId="0" xfId="22" applyNumberFormat="1" applyFont="1" applyFill="1" applyBorder="1"/>
    <xf numFmtId="0" fontId="23" fillId="0" borderId="0" xfId="39" applyNumberFormat="1" applyFont="1" applyFill="1" applyBorder="1" applyAlignment="1">
      <alignment horizontal="center" wrapText="1"/>
    </xf>
    <xf numFmtId="171" fontId="23" fillId="0" borderId="0" xfId="39" applyNumberFormat="1" applyFont="1" applyFill="1" applyBorder="1" applyAlignment="1">
      <alignment horizontal="center" wrapText="1"/>
    </xf>
    <xf numFmtId="0" fontId="26" fillId="0" borderId="0" xfId="28" applyFont="1" applyAlignment="1">
      <alignment vertical="top" wrapText="1"/>
    </xf>
    <xf numFmtId="0" fontId="54" fillId="34" borderId="0" xfId="0" applyFont="1" applyFill="1"/>
    <xf numFmtId="0" fontId="54" fillId="0" borderId="0" xfId="0" applyFont="1" applyAlignment="1">
      <alignment horizontal="left" indent="2"/>
    </xf>
    <xf numFmtId="0" fontId="55" fillId="0" borderId="0" xfId="0" quotePrefix="1" applyFont="1" applyAlignment="1">
      <alignment horizontal="center"/>
    </xf>
    <xf numFmtId="0" fontId="54" fillId="0" borderId="0" xfId="0" quotePrefix="1" applyFont="1"/>
    <xf numFmtId="164" fontId="52" fillId="0" borderId="0" xfId="0" applyNumberFormat="1" applyFont="1" applyAlignment="1">
      <alignment horizontal="center"/>
    </xf>
    <xf numFmtId="0" fontId="22" fillId="0" borderId="0" xfId="0" applyFont="1" applyAlignment="1">
      <alignment horizontal="right"/>
    </xf>
    <xf numFmtId="0" fontId="22" fillId="0" borderId="0" xfId="0" applyFont="1" applyAlignment="1">
      <alignment horizontal="left" indent="1"/>
    </xf>
    <xf numFmtId="0" fontId="22" fillId="0" borderId="0" xfId="0" applyFont="1"/>
    <xf numFmtId="0" fontId="22" fillId="0" borderId="0" xfId="0" applyFont="1" applyAlignment="1">
      <alignment horizontal="center"/>
    </xf>
    <xf numFmtId="164" fontId="22" fillId="0" borderId="0" xfId="0" applyNumberFormat="1" applyFont="1"/>
    <xf numFmtId="179" fontId="22" fillId="34" borderId="0" xfId="35" applyNumberFormat="1" applyFont="1" applyFill="1" applyAlignment="1">
      <alignment horizontal="left"/>
    </xf>
    <xf numFmtId="179" fontId="22" fillId="0" borderId="0" xfId="35" applyNumberFormat="1" applyFont="1" applyAlignment="1">
      <alignment horizontal="left"/>
    </xf>
    <xf numFmtId="179" fontId="22" fillId="0" borderId="0" xfId="35" applyNumberFormat="1" applyFont="1" applyAlignment="1">
      <alignment horizontal="right"/>
    </xf>
    <xf numFmtId="0" fontId="22" fillId="0" borderId="0" xfId="0" quotePrefix="1" applyFont="1" applyAlignment="1">
      <alignment horizontal="center"/>
    </xf>
    <xf numFmtId="0" fontId="22" fillId="36" borderId="0" xfId="0" applyFont="1" applyFill="1"/>
    <xf numFmtId="0" fontId="22" fillId="0" borderId="0" xfId="28" applyFont="1"/>
    <xf numFmtId="10" fontId="0" fillId="0" borderId="0" xfId="37" applyNumberFormat="1" applyFont="1"/>
    <xf numFmtId="0" fontId="22" fillId="0" borderId="0" xfId="0" quotePrefix="1" applyFont="1"/>
    <xf numFmtId="17" fontId="22" fillId="0" borderId="0" xfId="0" quotePrefix="1" applyNumberFormat="1" applyFont="1" applyAlignment="1">
      <alignment horizontal="center"/>
    </xf>
    <xf numFmtId="0" fontId="22" fillId="0" borderId="0" xfId="0" applyFont="1" applyAlignment="1">
      <alignment wrapText="1"/>
    </xf>
    <xf numFmtId="0" fontId="22" fillId="0" borderId="0" xfId="0" applyFont="1" applyAlignment="1">
      <alignment horizontal="right" indent="1"/>
    </xf>
    <xf numFmtId="0" fontId="22" fillId="0" borderId="0" xfId="0" applyFont="1" applyAlignment="1">
      <alignment horizontal="left" indent="2"/>
    </xf>
    <xf numFmtId="0" fontId="22" fillId="0" borderId="0" xfId="0" quotePrefix="1" applyFont="1" applyAlignment="1">
      <alignment horizontal="center" vertical="justify"/>
    </xf>
    <xf numFmtId="10" fontId="29" fillId="0" borderId="0" xfId="0" applyNumberFormat="1" applyFont="1"/>
    <xf numFmtId="166" fontId="22" fillId="0" borderId="0" xfId="0" applyNumberFormat="1" applyFont="1" applyAlignment="1">
      <alignment horizontal="left" indent="1"/>
    </xf>
    <xf numFmtId="166" fontId="26" fillId="0" borderId="0" xfId="0" applyNumberFormat="1" applyFont="1" applyAlignment="1">
      <alignment horizontal="center"/>
    </xf>
    <xf numFmtId="0" fontId="22" fillId="0" borderId="0" xfId="28" applyFont="1" applyAlignment="1">
      <alignment horizontal="left"/>
    </xf>
    <xf numFmtId="164" fontId="22" fillId="36" borderId="0" xfId="0" applyNumberFormat="1" applyFont="1" applyFill="1"/>
    <xf numFmtId="0" fontId="22" fillId="0" borderId="0" xfId="28" applyFont="1" applyAlignment="1">
      <alignment horizontal="right"/>
    </xf>
    <xf numFmtId="3" fontId="22" fillId="0" borderId="0" xfId="28" applyNumberFormat="1" applyFont="1" applyAlignment="1">
      <alignment horizontal="left" indent="1"/>
    </xf>
    <xf numFmtId="1" fontId="22" fillId="0" borderId="0" xfId="28" applyNumberFormat="1" applyFont="1" applyAlignment="1">
      <alignment horizontal="center"/>
    </xf>
    <xf numFmtId="37" fontId="22" fillId="0" borderId="0" xfId="36" applyNumberFormat="1" applyFont="1" applyAlignment="1">
      <alignment horizontal="left" indent="1"/>
    </xf>
    <xf numFmtId="10" fontId="22" fillId="0" borderId="0" xfId="0" applyNumberFormat="1" applyFont="1"/>
    <xf numFmtId="0" fontId="22" fillId="36" borderId="0" xfId="34" applyFont="1" applyFill="1"/>
    <xf numFmtId="1" fontId="22" fillId="0" borderId="0" xfId="28" quotePrefix="1" applyNumberFormat="1" applyFont="1" applyAlignment="1">
      <alignment horizontal="right"/>
    </xf>
    <xf numFmtId="164" fontId="22" fillId="0" borderId="0" xfId="0" applyNumberFormat="1" applyFont="1" applyAlignment="1">
      <alignment horizontal="right"/>
    </xf>
    <xf numFmtId="164" fontId="23" fillId="0" borderId="0" xfId="0" applyNumberFormat="1" applyFont="1" applyAlignment="1">
      <alignment horizontal="right"/>
    </xf>
    <xf numFmtId="164" fontId="22" fillId="36" borderId="0" xfId="0" applyNumberFormat="1" applyFont="1" applyFill="1" applyAlignment="1">
      <alignment horizontal="right"/>
    </xf>
    <xf numFmtId="0" fontId="22" fillId="36" borderId="0" xfId="0" applyFont="1" applyFill="1" applyAlignment="1">
      <alignment horizontal="left" indent="1"/>
    </xf>
    <xf numFmtId="0" fontId="22" fillId="36" borderId="0" xfId="0" applyFont="1" applyFill="1" applyAlignment="1">
      <alignment horizontal="left"/>
    </xf>
    <xf numFmtId="0" fontId="22" fillId="36" borderId="0" xfId="0" quotePrefix="1" applyFont="1" applyFill="1"/>
    <xf numFmtId="164" fontId="22" fillId="0" borderId="0" xfId="0" applyNumberFormat="1" applyFont="1" applyAlignment="1">
      <alignment horizontal="left" indent="1"/>
    </xf>
    <xf numFmtId="0" fontId="61" fillId="0" borderId="0" xfId="0" applyFont="1"/>
    <xf numFmtId="37" fontId="54" fillId="0" borderId="0" xfId="0" applyNumberFormat="1" applyFont="1"/>
    <xf numFmtId="165" fontId="54" fillId="0" borderId="0" xfId="0" applyNumberFormat="1" applyFont="1" applyAlignment="1">
      <alignment horizontal="left" indent="1"/>
    </xf>
    <xf numFmtId="164" fontId="56" fillId="0" borderId="0" xfId="0" applyNumberFormat="1" applyFont="1"/>
    <xf numFmtId="39" fontId="54" fillId="0" borderId="0" xfId="0" applyNumberFormat="1" applyFont="1" applyAlignment="1">
      <alignment horizontal="left" indent="1"/>
    </xf>
    <xf numFmtId="39" fontId="54" fillId="0" borderId="0" xfId="0" applyNumberFormat="1" applyFont="1"/>
    <xf numFmtId="0" fontId="22" fillId="36" borderId="0" xfId="0" quotePrefix="1" applyFont="1" applyFill="1" applyAlignment="1">
      <alignment horizontal="center"/>
    </xf>
    <xf numFmtId="170" fontId="22" fillId="0" borderId="0" xfId="0" applyNumberFormat="1" applyFont="1" applyAlignment="1">
      <alignment horizontal="center"/>
    </xf>
    <xf numFmtId="0" fontId="22" fillId="0" borderId="0" xfId="0" applyFont="1" applyAlignment="1">
      <alignment horizontal="left"/>
    </xf>
    <xf numFmtId="164" fontId="29" fillId="0" borderId="0" xfId="28" applyNumberFormat="1" applyFont="1"/>
    <xf numFmtId="37" fontId="22" fillId="0" borderId="0" xfId="0" applyNumberFormat="1" applyFont="1" applyAlignment="1">
      <alignment horizontal="left" indent="1"/>
    </xf>
    <xf numFmtId="0" fontId="22" fillId="0" borderId="0" xfId="0" quotePrefix="1" applyFont="1" applyAlignment="1">
      <alignment horizontal="left" indent="1"/>
    </xf>
    <xf numFmtId="0" fontId="22" fillId="0" borderId="3" xfId="0" applyFont="1" applyBorder="1" applyAlignment="1">
      <alignment horizontal="center"/>
    </xf>
    <xf numFmtId="0" fontId="22" fillId="0" borderId="3" xfId="0" applyFont="1" applyBorder="1"/>
    <xf numFmtId="39" fontId="22" fillId="0" borderId="3" xfId="22" applyNumberFormat="1" applyFont="1" applyFill="1" applyBorder="1" applyAlignment="1">
      <alignment horizontal="center"/>
    </xf>
    <xf numFmtId="0" fontId="22" fillId="0" borderId="0" xfId="0" applyFont="1" applyAlignment="1">
      <alignment vertical="top"/>
    </xf>
    <xf numFmtId="37" fontId="54" fillId="36" borderId="0" xfId="81" applyNumberFormat="1" applyFont="1" applyFill="1" applyAlignment="1">
      <alignment horizontal="right"/>
    </xf>
    <xf numFmtId="6" fontId="0" fillId="0" borderId="0" xfId="0" applyNumberFormat="1"/>
    <xf numFmtId="180" fontId="0" fillId="0" borderId="0" xfId="0" applyNumberFormat="1"/>
    <xf numFmtId="0" fontId="22" fillId="0" borderId="0" xfId="0" quotePrefix="1" applyFont="1" applyAlignment="1">
      <alignment horizontal="center" vertical="center"/>
    </xf>
    <xf numFmtId="0" fontId="23" fillId="0" borderId="0" xfId="108" applyFont="1"/>
    <xf numFmtId="0" fontId="22" fillId="0" borderId="0" xfId="108"/>
    <xf numFmtId="0" fontId="26" fillId="0" borderId="0" xfId="108" applyFont="1"/>
    <xf numFmtId="0" fontId="23" fillId="0" borderId="0" xfId="108" applyFont="1" applyAlignment="1">
      <alignment horizontal="center"/>
    </xf>
    <xf numFmtId="0" fontId="26" fillId="0" borderId="0" xfId="108" applyFont="1" applyAlignment="1">
      <alignment horizontal="center"/>
    </xf>
    <xf numFmtId="0" fontId="26" fillId="0" borderId="0" xfId="108" applyFont="1" applyAlignment="1">
      <alignment horizontal="left"/>
    </xf>
    <xf numFmtId="164" fontId="22" fillId="0" borderId="0" xfId="108" applyNumberFormat="1"/>
    <xf numFmtId="0" fontId="22" fillId="36" borderId="0" xfId="108" applyFill="1"/>
    <xf numFmtId="164" fontId="22" fillId="36" borderId="0" xfId="108" applyNumberFormat="1" applyFill="1"/>
    <xf numFmtId="164" fontId="29" fillId="36" borderId="0" xfId="108" applyNumberFormat="1" applyFont="1" applyFill="1"/>
    <xf numFmtId="3" fontId="32" fillId="0" borderId="0" xfId="34" applyNumberFormat="1" applyFont="1"/>
    <xf numFmtId="171" fontId="0" fillId="36" borderId="0" xfId="0" applyNumberFormat="1" applyFill="1"/>
    <xf numFmtId="167" fontId="22" fillId="0" borderId="0" xfId="28" applyNumberFormat="1" applyFont="1"/>
    <xf numFmtId="0" fontId="66" fillId="0" borderId="0" xfId="0" applyFont="1"/>
    <xf numFmtId="0" fontId="22" fillId="0" borderId="0" xfId="28" applyFont="1" applyAlignment="1" applyProtection="1">
      <alignment horizontal="left" indent="1"/>
      <protection locked="0"/>
    </xf>
    <xf numFmtId="0" fontId="22" fillId="0" borderId="0" xfId="100"/>
    <xf numFmtId="0" fontId="22" fillId="0" borderId="0" xfId="100" applyAlignment="1">
      <alignment horizontal="left" indent="1"/>
    </xf>
    <xf numFmtId="164" fontId="22" fillId="0" borderId="0" xfId="100" applyNumberFormat="1"/>
    <xf numFmtId="164" fontId="53" fillId="0" borderId="0" xfId="100" applyNumberFormat="1" applyFont="1"/>
    <xf numFmtId="0" fontId="23" fillId="0" borderId="0" xfId="100" applyFont="1"/>
    <xf numFmtId="0" fontId="23" fillId="0" borderId="0" xfId="100" applyFont="1" applyAlignment="1">
      <alignment horizontal="left" indent="1"/>
    </xf>
    <xf numFmtId="0" fontId="62" fillId="0" borderId="0" xfId="100" applyFont="1" applyAlignment="1">
      <alignment horizontal="left"/>
    </xf>
    <xf numFmtId="0" fontId="23" fillId="0" borderId="0" xfId="100" applyFont="1" applyAlignment="1">
      <alignment horizontal="center"/>
    </xf>
    <xf numFmtId="0" fontId="22" fillId="0" borderId="0" xfId="100" applyAlignment="1">
      <alignment horizontal="right"/>
    </xf>
    <xf numFmtId="0" fontId="23" fillId="0" borderId="0" xfId="100" applyFont="1" applyAlignment="1">
      <alignment horizontal="right"/>
    </xf>
    <xf numFmtId="0" fontId="23" fillId="0" borderId="8" xfId="100" applyFont="1" applyBorder="1" applyAlignment="1">
      <alignment horizontal="center"/>
    </xf>
    <xf numFmtId="0" fontId="22" fillId="36" borderId="0" xfId="100" applyFill="1"/>
    <xf numFmtId="164" fontId="22" fillId="36" borderId="0" xfId="100" applyNumberFormat="1" applyFill="1"/>
    <xf numFmtId="170" fontId="22" fillId="0" borderId="0" xfId="100" applyNumberFormat="1" applyAlignment="1">
      <alignment horizontal="center"/>
    </xf>
    <xf numFmtId="170" fontId="22" fillId="0" borderId="0" xfId="100" quotePrefix="1" applyNumberFormat="1" applyAlignment="1">
      <alignment horizontal="center"/>
    </xf>
    <xf numFmtId="164" fontId="22" fillId="0" borderId="0" xfId="96" applyNumberFormat="1" applyFont="1" applyBorder="1"/>
    <xf numFmtId="164" fontId="22" fillId="0" borderId="0" xfId="96" applyNumberFormat="1" applyFont="1"/>
    <xf numFmtId="168" fontId="22" fillId="0" borderId="0" xfId="96" applyNumberFormat="1" applyFont="1" applyBorder="1"/>
    <xf numFmtId="0" fontId="22" fillId="0" borderId="0" xfId="100" quotePrefix="1" applyAlignment="1">
      <alignment horizontal="left" indent="1"/>
    </xf>
    <xf numFmtId="164" fontId="22" fillId="0" borderId="0" xfId="96" applyNumberFormat="1" applyFont="1" applyBorder="1" applyAlignment="1">
      <alignment horizontal="left" indent="1"/>
    </xf>
    <xf numFmtId="39" fontId="22" fillId="0" borderId="0" xfId="96" applyNumberFormat="1" applyFont="1" applyBorder="1"/>
    <xf numFmtId="37" fontId="22" fillId="0" borderId="0" xfId="96" applyNumberFormat="1" applyFont="1" applyBorder="1" applyAlignment="1">
      <alignment horizontal="center"/>
    </xf>
    <xf numFmtId="164" fontId="22" fillId="0" borderId="0" xfId="96" applyNumberFormat="1" applyFont="1" applyFill="1" applyBorder="1"/>
    <xf numFmtId="164" fontId="23" fillId="0" borderId="0" xfId="100" applyNumberFormat="1" applyFont="1" applyAlignment="1">
      <alignment horizontal="center"/>
    </xf>
    <xf numFmtId="164" fontId="23" fillId="0" borderId="8" xfId="100" applyNumberFormat="1" applyFont="1" applyBorder="1" applyAlignment="1">
      <alignment horizontal="center"/>
    </xf>
    <xf numFmtId="0" fontId="26" fillId="0" borderId="0" xfId="100" applyFont="1" applyAlignment="1">
      <alignment horizontal="center"/>
    </xf>
    <xf numFmtId="0" fontId="22" fillId="0" borderId="0" xfId="100" applyAlignment="1">
      <alignment horizontal="left"/>
    </xf>
    <xf numFmtId="1" fontId="22" fillId="36" borderId="0" xfId="100" applyNumberFormat="1" applyFill="1" applyAlignment="1">
      <alignment horizontal="center"/>
    </xf>
    <xf numFmtId="164" fontId="22" fillId="0" borderId="0" xfId="0" applyNumberFormat="1" applyFont="1" applyAlignment="1">
      <alignment horizontal="center"/>
    </xf>
    <xf numFmtId="1" fontId="22" fillId="0" borderId="0" xfId="100" quotePrefix="1" applyNumberFormat="1" applyAlignment="1">
      <alignment horizontal="right"/>
    </xf>
    <xf numFmtId="164" fontId="22" fillId="0" borderId="0" xfId="0" quotePrefix="1" applyNumberFormat="1" applyFont="1" applyAlignment="1">
      <alignment horizontal="center"/>
    </xf>
    <xf numFmtId="0" fontId="23" fillId="0" borderId="0" xfId="100" applyFont="1" applyAlignment="1">
      <alignment horizontal="left"/>
    </xf>
    <xf numFmtId="0" fontId="26" fillId="0" borderId="0" xfId="100" quotePrefix="1" applyFont="1" applyAlignment="1">
      <alignment horizontal="center"/>
    </xf>
    <xf numFmtId="0" fontId="22" fillId="0" borderId="0" xfId="100" quotePrefix="1" applyAlignment="1">
      <alignment horizontal="center"/>
    </xf>
    <xf numFmtId="0" fontId="22" fillId="0" borderId="0" xfId="100" applyAlignment="1">
      <alignment horizontal="center"/>
    </xf>
    <xf numFmtId="0" fontId="26" fillId="0" borderId="0" xfId="100" applyFont="1"/>
    <xf numFmtId="10" fontId="22" fillId="0" borderId="0" xfId="37" applyNumberFormat="1" applyFont="1" applyFill="1" applyAlignment="1"/>
    <xf numFmtId="167" fontId="22" fillId="0" borderId="0" xfId="100" applyNumberFormat="1"/>
    <xf numFmtId="164" fontId="29" fillId="0" borderId="0" xfId="100" applyNumberFormat="1" applyFont="1"/>
    <xf numFmtId="0" fontId="22" fillId="0" borderId="0" xfId="100" applyAlignment="1">
      <alignment horizontal="right" indent="1"/>
    </xf>
    <xf numFmtId="167" fontId="0" fillId="0" borderId="0" xfId="19" applyNumberFormat="1" applyFont="1"/>
    <xf numFmtId="164" fontId="22" fillId="0" borderId="0" xfId="100" applyNumberFormat="1" applyAlignment="1">
      <alignment horizontal="right"/>
    </xf>
    <xf numFmtId="164" fontId="22" fillId="36" borderId="0" xfId="100" applyNumberFormat="1" applyFill="1" applyAlignment="1">
      <alignment horizontal="right"/>
    </xf>
    <xf numFmtId="10" fontId="0" fillId="0" borderId="0" xfId="37" applyNumberFormat="1" applyFont="1" applyAlignment="1">
      <alignment horizontal="center"/>
    </xf>
    <xf numFmtId="10" fontId="26" fillId="0" borderId="0" xfId="100" applyNumberFormat="1" applyFont="1" applyAlignment="1">
      <alignment horizontal="center"/>
    </xf>
    <xf numFmtId="10" fontId="22" fillId="0" borderId="0" xfId="37" applyNumberFormat="1" applyAlignment="1">
      <alignment horizontal="center"/>
    </xf>
    <xf numFmtId="0" fontId="24" fillId="0" borderId="0" xfId="0" applyFont="1" applyAlignment="1">
      <alignment horizontal="center"/>
    </xf>
    <xf numFmtId="0" fontId="23" fillId="0" borderId="0" xfId="0" applyFont="1" applyAlignment="1">
      <alignment horizontal="center" wrapText="1"/>
    </xf>
    <xf numFmtId="164" fontId="23" fillId="0" borderId="0" xfId="0" applyNumberFormat="1" applyFont="1" applyAlignment="1">
      <alignment horizontal="right" indent="1"/>
    </xf>
    <xf numFmtId="0" fontId="22" fillId="0" borderId="0" xfId="0" quotePrefix="1" applyFont="1" applyAlignment="1">
      <alignment horizontal="center" wrapText="1"/>
    </xf>
    <xf numFmtId="0" fontId="24" fillId="0" borderId="0" xfId="0" quotePrefix="1" applyFont="1" applyAlignment="1">
      <alignment horizontal="center"/>
    </xf>
    <xf numFmtId="0" fontId="22" fillId="0" borderId="0" xfId="100" quotePrefix="1" applyAlignment="1">
      <alignment horizontal="right"/>
    </xf>
    <xf numFmtId="164" fontId="23" fillId="0" borderId="0" xfId="100" applyNumberFormat="1" applyFont="1"/>
    <xf numFmtId="166" fontId="23" fillId="0" borderId="0" xfId="100" applyNumberFormat="1" applyFont="1"/>
    <xf numFmtId="10" fontId="26" fillId="0" borderId="0" xfId="37" applyNumberFormat="1" applyFont="1" applyAlignment="1">
      <alignment horizontal="center"/>
    </xf>
    <xf numFmtId="5" fontId="22" fillId="0" borderId="0" xfId="19" applyNumberFormat="1" applyFont="1" applyFill="1" applyAlignment="1"/>
    <xf numFmtId="5" fontId="0" fillId="0" borderId="0" xfId="19" applyNumberFormat="1" applyFont="1" applyFill="1"/>
    <xf numFmtId="5" fontId="0" fillId="36" borderId="0" xfId="19" applyNumberFormat="1" applyFont="1" applyFill="1"/>
    <xf numFmtId="178" fontId="22" fillId="0" borderId="0" xfId="23" applyNumberFormat="1" applyFont="1"/>
    <xf numFmtId="10" fontId="22" fillId="0" borderId="0" xfId="100" applyNumberFormat="1"/>
    <xf numFmtId="0" fontId="29" fillId="0" borderId="0" xfId="100" applyFont="1" applyAlignment="1">
      <alignment horizontal="center"/>
    </xf>
    <xf numFmtId="5" fontId="22" fillId="0" borderId="0" xfId="19" applyNumberFormat="1"/>
    <xf numFmtId="5" fontId="22" fillId="0" borderId="0" xfId="100" applyNumberFormat="1"/>
    <xf numFmtId="172" fontId="0" fillId="0" borderId="0" xfId="0" applyNumberFormat="1"/>
    <xf numFmtId="0" fontId="22" fillId="36" borderId="0" xfId="0" applyFont="1" applyFill="1" applyAlignment="1">
      <alignment horizontal="center"/>
    </xf>
    <xf numFmtId="0" fontId="23" fillId="0" borderId="8" xfId="108" applyFont="1" applyBorder="1" applyAlignment="1">
      <alignment horizontal="center"/>
    </xf>
    <xf numFmtId="0" fontId="42" fillId="0" borderId="0" xfId="0" applyFont="1"/>
    <xf numFmtId="164" fontId="22" fillId="0" borderId="14" xfId="108" applyNumberFormat="1" applyBorder="1"/>
    <xf numFmtId="0" fontId="23" fillId="0" borderId="0" xfId="108" quotePrefix="1" applyFont="1" applyAlignment="1">
      <alignment horizontal="center"/>
    </xf>
    <xf numFmtId="0" fontId="40" fillId="0" borderId="0" xfId="0" applyFont="1" applyAlignment="1">
      <alignment horizontal="center"/>
    </xf>
    <xf numFmtId="164" fontId="22" fillId="0" borderId="0" xfId="108" applyNumberFormat="1" applyAlignment="1">
      <alignment horizontal="right"/>
    </xf>
    <xf numFmtId="164" fontId="22" fillId="0" borderId="15" xfId="108" applyNumberFormat="1" applyBorder="1"/>
    <xf numFmtId="0" fontId="22" fillId="0" borderId="8" xfId="0" applyFont="1" applyBorder="1" applyAlignment="1">
      <alignment horizontal="center"/>
    </xf>
    <xf numFmtId="164" fontId="22" fillId="0" borderId="0" xfId="19" applyNumberFormat="1" applyFont="1" applyFill="1" applyBorder="1"/>
    <xf numFmtId="37" fontId="22" fillId="0" borderId="0" xfId="19" applyNumberFormat="1" applyFont="1" applyFill="1" applyBorder="1"/>
    <xf numFmtId="165" fontId="0" fillId="0" borderId="0" xfId="37" quotePrefix="1" applyNumberFormat="1" applyFont="1" applyFill="1" applyBorder="1"/>
    <xf numFmtId="165" fontId="0" fillId="0" borderId="8" xfId="37" applyNumberFormat="1" applyFont="1" applyFill="1" applyBorder="1"/>
    <xf numFmtId="165" fontId="0" fillId="0" borderId="0" xfId="37" applyNumberFormat="1" applyFont="1" applyFill="1" applyBorder="1"/>
    <xf numFmtId="164" fontId="0" fillId="0" borderId="14" xfId="19" applyNumberFormat="1" applyFont="1" applyBorder="1"/>
    <xf numFmtId="164" fontId="0" fillId="0" borderId="0" xfId="19" applyNumberFormat="1" applyFont="1" applyFill="1" applyBorder="1"/>
    <xf numFmtId="164" fontId="0" fillId="0" borderId="14" xfId="0" applyNumberFormat="1" applyBorder="1"/>
    <xf numFmtId="0" fontId="42" fillId="0" borderId="0" xfId="0" applyFont="1" applyAlignment="1">
      <alignment wrapText="1"/>
    </xf>
    <xf numFmtId="164" fontId="22" fillId="36" borderId="0" xfId="19" applyNumberFormat="1" applyFont="1" applyFill="1" applyBorder="1"/>
    <xf numFmtId="9" fontId="0" fillId="0" borderId="8" xfId="0" applyNumberFormat="1" applyBorder="1"/>
    <xf numFmtId="0" fontId="22" fillId="36" borderId="0" xfId="100" quotePrefix="1" applyFill="1" applyAlignment="1">
      <alignment horizontal="left"/>
    </xf>
    <xf numFmtId="0" fontId="22" fillId="0" borderId="0" xfId="0" quotePrefix="1" applyFont="1" applyAlignment="1">
      <alignment horizontal="right"/>
    </xf>
    <xf numFmtId="49" fontId="22" fillId="0" borderId="0" xfId="19" applyNumberFormat="1" applyFont="1" applyBorder="1" applyAlignment="1">
      <alignment horizontal="left" indent="1"/>
    </xf>
    <xf numFmtId="5" fontId="22" fillId="36" borderId="0" xfId="19" applyNumberFormat="1" applyFont="1" applyFill="1" applyBorder="1"/>
    <xf numFmtId="37" fontId="22" fillId="36" borderId="3" xfId="0" applyNumberFormat="1" applyFont="1" applyFill="1" applyBorder="1" applyAlignment="1">
      <alignment horizontal="center"/>
    </xf>
    <xf numFmtId="0" fontId="53" fillId="36" borderId="0" xfId="0" applyFont="1" applyFill="1"/>
    <xf numFmtId="164" fontId="54" fillId="36" borderId="0" xfId="125" applyNumberFormat="1" applyFont="1" applyFill="1"/>
    <xf numFmtId="164" fontId="22" fillId="36" borderId="0" xfId="125" applyNumberFormat="1" applyFill="1"/>
    <xf numFmtId="39" fontId="22" fillId="0" borderId="0" xfId="0" applyNumberFormat="1" applyFont="1" applyAlignment="1">
      <alignment horizontal="left" indent="1"/>
    </xf>
    <xf numFmtId="164" fontId="22" fillId="36" borderId="0" xfId="23" applyNumberFormat="1" applyFont="1" applyFill="1" applyAlignment="1">
      <alignment horizontal="right"/>
    </xf>
    <xf numFmtId="0" fontId="22" fillId="36" borderId="0" xfId="0" applyFont="1" applyFill="1" applyAlignment="1">
      <alignment wrapText="1"/>
    </xf>
    <xf numFmtId="0" fontId="68" fillId="0" borderId="0" xfId="126" applyFont="1"/>
    <xf numFmtId="0" fontId="22" fillId="0" borderId="0" xfId="126"/>
    <xf numFmtId="0" fontId="22" fillId="0" borderId="0" xfId="126" applyAlignment="1">
      <alignment horizontal="center"/>
    </xf>
    <xf numFmtId="0" fontId="26" fillId="0" borderId="0" xfId="126" applyFont="1" applyAlignment="1">
      <alignment horizontal="center"/>
    </xf>
    <xf numFmtId="0" fontId="23" fillId="0" borderId="0" xfId="126" applyFont="1" applyAlignment="1">
      <alignment horizontal="right"/>
    </xf>
    <xf numFmtId="0" fontId="22" fillId="0" borderId="0" xfId="126" applyAlignment="1">
      <alignment horizontal="left" indent="1"/>
    </xf>
    <xf numFmtId="0" fontId="23" fillId="34" borderId="0" xfId="127" applyFont="1" applyFill="1"/>
    <xf numFmtId="0" fontId="22" fillId="36" borderId="0" xfId="127" applyFill="1"/>
    <xf numFmtId="164" fontId="22" fillId="0" borderId="0" xfId="126" applyNumberFormat="1"/>
    <xf numFmtId="0" fontId="26" fillId="0" borderId="0" xfId="126" quotePrefix="1" applyFont="1" applyAlignment="1">
      <alignment horizontal="center"/>
    </xf>
    <xf numFmtId="0" fontId="22" fillId="0" borderId="0" xfId="126" quotePrefix="1" applyAlignment="1">
      <alignment horizontal="center" wrapText="1"/>
    </xf>
    <xf numFmtId="0" fontId="26" fillId="0" borderId="0" xfId="126" quotePrefix="1" applyFont="1" applyAlignment="1">
      <alignment horizontal="center" vertical="center" wrapText="1"/>
    </xf>
    <xf numFmtId="0" fontId="23" fillId="0" borderId="3" xfId="126" applyFont="1" applyBorder="1" applyAlignment="1">
      <alignment horizontal="center" wrapText="1"/>
    </xf>
    <xf numFmtId="0" fontId="23" fillId="0" borderId="3" xfId="126" quotePrefix="1" applyFont="1" applyBorder="1" applyAlignment="1">
      <alignment horizontal="center" wrapText="1"/>
    </xf>
    <xf numFmtId="0" fontId="23" fillId="0" borderId="6" xfId="126" applyFont="1" applyBorder="1" applyAlignment="1">
      <alignment horizontal="center" wrapText="1"/>
    </xf>
    <xf numFmtId="0" fontId="23" fillId="0" borderId="3" xfId="126" applyFont="1" applyBorder="1" applyAlignment="1">
      <alignment horizontal="center"/>
    </xf>
    <xf numFmtId="0" fontId="23" fillId="0" borderId="4" xfId="126" applyFont="1" applyBorder="1" applyAlignment="1">
      <alignment horizontal="center" wrapText="1"/>
    </xf>
    <xf numFmtId="0" fontId="23" fillId="0" borderId="0" xfId="126" applyFont="1" applyAlignment="1">
      <alignment horizontal="center"/>
    </xf>
    <xf numFmtId="0" fontId="22" fillId="0" borderId="0" xfId="126" quotePrefix="1" applyAlignment="1">
      <alignment horizontal="center"/>
    </xf>
    <xf numFmtId="179" fontId="22" fillId="34" borderId="0" xfId="35" quotePrefix="1" applyNumberFormat="1" applyFont="1" applyFill="1" applyAlignment="1">
      <alignment horizontal="left"/>
    </xf>
    <xf numFmtId="3" fontId="22" fillId="0" borderId="0" xfId="126" applyNumberFormat="1"/>
    <xf numFmtId="3" fontId="44" fillId="0" borderId="0" xfId="129" applyNumberFormat="1"/>
    <xf numFmtId="2" fontId="23" fillId="0" borderId="3" xfId="126" applyNumberFormat="1" applyFont="1" applyBorder="1" applyAlignment="1">
      <alignment horizontal="center" wrapText="1"/>
    </xf>
    <xf numFmtId="2" fontId="22" fillId="0" borderId="0" xfId="126" applyNumberFormat="1" applyAlignment="1">
      <alignment horizontal="center" wrapText="1"/>
    </xf>
    <xf numFmtId="2" fontId="23" fillId="0" borderId="0" xfId="126" applyNumberFormat="1" applyFont="1" applyAlignment="1">
      <alignment horizontal="center"/>
    </xf>
    <xf numFmtId="2" fontId="22" fillId="0" borderId="0" xfId="126" applyNumberFormat="1"/>
    <xf numFmtId="2" fontId="22" fillId="0" borderId="0" xfId="126" applyNumberFormat="1" applyAlignment="1">
      <alignment horizontal="center"/>
    </xf>
    <xf numFmtId="0" fontId="23" fillId="0" borderId="0" xfId="126" applyFont="1" applyAlignment="1">
      <alignment horizontal="center" vertical="center" wrapText="1"/>
    </xf>
    <xf numFmtId="179" fontId="23" fillId="0" borderId="3" xfId="35" applyNumberFormat="1" applyFont="1" applyBorder="1" applyAlignment="1">
      <alignment horizontal="center"/>
    </xf>
    <xf numFmtId="0" fontId="26" fillId="0" borderId="0" xfId="126" applyFont="1"/>
    <xf numFmtId="0" fontId="22" fillId="0" borderId="0" xfId="126" applyAlignment="1">
      <alignment horizontal="left"/>
    </xf>
    <xf numFmtId="0" fontId="23" fillId="0" borderId="6" xfId="126" applyFont="1" applyBorder="1"/>
    <xf numFmtId="0" fontId="22" fillId="0" borderId="9" xfId="126" applyBorder="1"/>
    <xf numFmtId="0" fontId="22" fillId="36" borderId="0" xfId="126" applyFill="1"/>
    <xf numFmtId="0" fontId="23" fillId="0" borderId="0" xfId="126" applyFont="1" applyAlignment="1">
      <alignment horizontal="center" vertical="center"/>
    </xf>
    <xf numFmtId="0" fontId="26" fillId="0" borderId="0" xfId="126" quotePrefix="1" applyFont="1" applyAlignment="1">
      <alignment horizontal="center" wrapText="1"/>
    </xf>
    <xf numFmtId="0" fontId="23" fillId="34" borderId="7" xfId="126" applyFont="1" applyFill="1" applyBorder="1" applyAlignment="1">
      <alignment horizontal="center" wrapText="1"/>
    </xf>
    <xf numFmtId="0" fontId="26" fillId="0" borderId="7" xfId="126" quotePrefix="1" applyFont="1" applyBorder="1" applyAlignment="1">
      <alignment horizontal="center"/>
    </xf>
    <xf numFmtId="0" fontId="23" fillId="0" borderId="5" xfId="126" applyFont="1" applyBorder="1" applyAlignment="1">
      <alignment horizontal="center" wrapText="1"/>
    </xf>
    <xf numFmtId="0" fontId="23" fillId="34" borderId="10" xfId="126" applyFont="1" applyFill="1" applyBorder="1" applyAlignment="1">
      <alignment horizontal="center" wrapText="1"/>
    </xf>
    <xf numFmtId="0" fontId="23" fillId="34" borderId="5" xfId="126" applyFont="1" applyFill="1" applyBorder="1" applyAlignment="1">
      <alignment horizontal="center" wrapText="1"/>
    </xf>
    <xf numFmtId="164" fontId="53" fillId="0" borderId="0" xfId="135" applyNumberFormat="1" applyFont="1"/>
    <xf numFmtId="164" fontId="70" fillId="0" borderId="0" xfId="135" applyNumberFormat="1" applyFont="1"/>
    <xf numFmtId="164" fontId="58" fillId="0" borderId="0" xfId="135" applyNumberFormat="1" applyFont="1"/>
    <xf numFmtId="0" fontId="22" fillId="0" borderId="0" xfId="28" applyFont="1" applyAlignment="1">
      <alignment horizontal="center" vertical="center"/>
    </xf>
    <xf numFmtId="43" fontId="22" fillId="0" borderId="0" xfId="0" applyNumberFormat="1" applyFont="1"/>
    <xf numFmtId="0" fontId="22" fillId="0" borderId="0" xfId="28" applyFont="1" applyAlignment="1">
      <alignment horizontal="center"/>
    </xf>
    <xf numFmtId="167" fontId="22" fillId="0" borderId="0" xfId="22" applyNumberFormat="1" applyFont="1"/>
    <xf numFmtId="164" fontId="22" fillId="0" borderId="0" xfId="28" applyNumberFormat="1" applyFont="1"/>
    <xf numFmtId="164" fontId="22" fillId="0" borderId="0" xfId="28" applyNumberFormat="1" applyFont="1" applyAlignment="1">
      <alignment horizontal="center"/>
    </xf>
    <xf numFmtId="0" fontId="22" fillId="36" borderId="0" xfId="28" applyFont="1" applyFill="1"/>
    <xf numFmtId="167" fontId="22" fillId="36" borderId="0" xfId="28" quotePrefix="1" applyNumberFormat="1" applyFont="1" applyFill="1" applyAlignment="1">
      <alignment horizontal="center"/>
    </xf>
    <xf numFmtId="167" fontId="22" fillId="0" borderId="8" xfId="28" applyNumberFormat="1" applyFont="1" applyBorder="1" applyAlignment="1">
      <alignment horizontal="center"/>
    </xf>
    <xf numFmtId="164" fontId="22" fillId="0" borderId="8" xfId="28" applyNumberFormat="1" applyFont="1" applyBorder="1" applyAlignment="1">
      <alignment horizontal="center"/>
    </xf>
    <xf numFmtId="5" fontId="22" fillId="0" borderId="8" xfId="28" quotePrefix="1" applyNumberFormat="1" applyFont="1" applyBorder="1" applyAlignment="1">
      <alignment horizontal="right"/>
    </xf>
    <xf numFmtId="164" fontId="22" fillId="0" borderId="0" xfId="22" applyNumberFormat="1" applyFont="1" applyFill="1" applyBorder="1"/>
    <xf numFmtId="164" fontId="22" fillId="0" borderId="0" xfId="22" applyNumberFormat="1" applyFont="1" applyFill="1" applyBorder="1" applyAlignment="1">
      <alignment horizontal="center"/>
    </xf>
    <xf numFmtId="164" fontId="22" fillId="0" borderId="0" xfId="22" applyNumberFormat="1" applyFont="1" applyBorder="1"/>
    <xf numFmtId="167" fontId="22" fillId="0" borderId="0" xfId="22" applyNumberFormat="1" applyFont="1" applyFill="1" applyBorder="1"/>
    <xf numFmtId="0" fontId="22" fillId="0" borderId="0" xfId="22" applyNumberFormat="1" applyFont="1" applyFill="1" applyBorder="1" applyAlignment="1">
      <alignment horizontal="center"/>
    </xf>
    <xf numFmtId="167" fontId="22" fillId="0" borderId="0" xfId="28" applyNumberFormat="1" applyFont="1" applyAlignment="1">
      <alignment horizontal="center"/>
    </xf>
    <xf numFmtId="167" fontId="22" fillId="0" borderId="0" xfId="22" applyNumberFormat="1" applyFont="1" applyBorder="1"/>
    <xf numFmtId="167" fontId="22" fillId="0" borderId="0" xfId="22" applyNumberFormat="1" applyFont="1" applyFill="1" applyBorder="1" applyAlignment="1">
      <alignment horizontal="center"/>
    </xf>
    <xf numFmtId="167" fontId="22" fillId="0" borderId="8" xfId="28" quotePrefix="1" applyNumberFormat="1" applyFont="1" applyBorder="1" applyAlignment="1">
      <alignment horizontal="center"/>
    </xf>
    <xf numFmtId="167" fontId="22" fillId="0" borderId="8" xfId="28" applyNumberFormat="1" applyFont="1" applyBorder="1"/>
    <xf numFmtId="0" fontId="22" fillId="0" borderId="0" xfId="22" applyNumberFormat="1" applyFont="1" applyFill="1" applyBorder="1"/>
    <xf numFmtId="164" fontId="22" fillId="0" borderId="0" xfId="28" applyNumberFormat="1" applyFont="1" applyAlignment="1">
      <alignment vertical="top" wrapText="1"/>
    </xf>
    <xf numFmtId="167" fontId="22" fillId="0" borderId="0" xfId="22" applyNumberFormat="1" applyFont="1" applyFill="1" applyBorder="1" applyAlignment="1">
      <alignment horizontal="center" wrapText="1"/>
    </xf>
    <xf numFmtId="167" fontId="22" fillId="0" borderId="0" xfId="22" applyNumberFormat="1" applyFont="1" applyFill="1" applyBorder="1" applyAlignment="1"/>
    <xf numFmtId="171" fontId="22" fillId="0" borderId="8" xfId="37" applyNumberFormat="1" applyFont="1" applyFill="1" applyBorder="1" applyAlignment="1">
      <alignment horizontal="center" wrapText="1"/>
    </xf>
    <xf numFmtId="167" fontId="22" fillId="0" borderId="8" xfId="22" applyNumberFormat="1" applyFont="1" applyFill="1" applyBorder="1" applyAlignment="1">
      <alignment horizontal="center" wrapText="1"/>
    </xf>
    <xf numFmtId="0" fontId="22" fillId="0" borderId="0" xfId="39" applyNumberFormat="1" applyFont="1" applyFill="1" applyBorder="1" applyAlignment="1">
      <alignment horizontal="center" wrapText="1"/>
    </xf>
    <xf numFmtId="171" fontId="22" fillId="0" borderId="0" xfId="39" applyNumberFormat="1" applyFont="1" applyFill="1" applyBorder="1" applyAlignment="1">
      <alignment horizontal="center" wrapText="1"/>
    </xf>
    <xf numFmtId="0" fontId="22" fillId="0" borderId="0" xfId="28" applyFont="1" applyAlignment="1">
      <alignment vertical="justify"/>
    </xf>
    <xf numFmtId="167" fontId="22" fillId="0" borderId="0" xfId="28" applyNumberFormat="1" applyFont="1" applyAlignment="1">
      <alignment vertical="justify"/>
    </xf>
    <xf numFmtId="0" fontId="22" fillId="0" borderId="0" xfId="28" applyFont="1" applyAlignment="1">
      <alignment vertical="top"/>
    </xf>
    <xf numFmtId="167" fontId="22" fillId="0" borderId="0" xfId="22" applyNumberFormat="1" applyFont="1" applyFill="1"/>
    <xf numFmtId="0" fontId="22" fillId="0" borderId="0" xfId="28" applyFont="1" applyAlignment="1">
      <alignment vertical="top" wrapText="1"/>
    </xf>
    <xf numFmtId="0" fontId="22" fillId="0" borderId="0" xfId="28" applyFont="1" applyAlignment="1" applyProtection="1">
      <alignment horizontal="left" vertical="top" indent="1"/>
      <protection locked="0"/>
    </xf>
    <xf numFmtId="0" fontId="22" fillId="0" borderId="0" xfId="28" applyFont="1" applyAlignment="1">
      <alignment horizontal="left" indent="1"/>
    </xf>
    <xf numFmtId="165" fontId="22" fillId="0" borderId="0" xfId="28" applyNumberFormat="1" applyFont="1"/>
    <xf numFmtId="0" fontId="22" fillId="36" borderId="0" xfId="100" applyFill="1" applyAlignment="1">
      <alignment horizontal="center"/>
    </xf>
    <xf numFmtId="0" fontId="22" fillId="0" borderId="0" xfId="0" quotePrefix="1" applyFont="1" applyAlignment="1">
      <alignment horizontal="left" indent="2"/>
    </xf>
    <xf numFmtId="0" fontId="22" fillId="0" borderId="0" xfId="0" applyFont="1" applyAlignment="1">
      <alignment horizontal="left" indent="3"/>
    </xf>
    <xf numFmtId="0" fontId="54" fillId="0" borderId="0" xfId="0" applyFont="1" applyAlignment="1">
      <alignment horizontal="left"/>
    </xf>
    <xf numFmtId="10" fontId="22" fillId="0" borderId="0" xfId="0" quotePrefix="1" applyNumberFormat="1" applyFont="1" applyAlignment="1">
      <alignment horizontal="right"/>
    </xf>
    <xf numFmtId="0" fontId="55" fillId="36" borderId="0" xfId="0" quotePrefix="1" applyFont="1" applyFill="1" applyAlignment="1">
      <alignment horizontal="center"/>
    </xf>
    <xf numFmtId="0" fontId="65" fillId="0" borderId="0" xfId="0" applyFont="1" applyAlignment="1">
      <alignment horizontal="left" vertical="center"/>
    </xf>
    <xf numFmtId="0" fontId="22" fillId="0" borderId="0" xfId="34" applyFont="1" applyAlignment="1">
      <alignment horizontal="right"/>
    </xf>
    <xf numFmtId="0" fontId="56" fillId="0" borderId="0" xfId="0" applyFont="1" applyAlignment="1">
      <alignment horizontal="left" indent="1"/>
    </xf>
    <xf numFmtId="0" fontId="54" fillId="0" borderId="0" xfId="0" quotePrefix="1" applyFont="1" applyAlignment="1">
      <alignment horizontal="center"/>
    </xf>
    <xf numFmtId="164" fontId="0" fillId="0" borderId="0" xfId="0" applyNumberFormat="1" applyAlignment="1">
      <alignment horizontal="right"/>
    </xf>
    <xf numFmtId="10" fontId="22" fillId="0" borderId="0" xfId="37" applyNumberFormat="1" applyFont="1" applyFill="1" applyAlignment="1">
      <alignment horizontal="center"/>
    </xf>
    <xf numFmtId="0" fontId="23" fillId="0" borderId="7" xfId="28" applyFont="1" applyBorder="1" applyAlignment="1">
      <alignment horizontal="center"/>
    </xf>
    <xf numFmtId="0" fontId="22" fillId="0" borderId="0" xfId="28" quotePrefix="1" applyFont="1"/>
    <xf numFmtId="0" fontId="22" fillId="0" borderId="0" xfId="28" applyFont="1" applyAlignment="1" applyProtection="1">
      <alignment horizontal="left" indent="2"/>
      <protection locked="0"/>
    </xf>
    <xf numFmtId="10" fontId="22" fillId="0" borderId="0" xfId="28" applyNumberFormat="1" applyFont="1"/>
    <xf numFmtId="0" fontId="64" fillId="0" borderId="0" xfId="0" applyFont="1"/>
    <xf numFmtId="37" fontId="22" fillId="0" borderId="3" xfId="0" applyNumberFormat="1" applyFont="1" applyBorder="1" applyAlignment="1">
      <alignment horizontal="center"/>
    </xf>
    <xf numFmtId="37" fontId="22" fillId="0" borderId="3" xfId="97" quotePrefix="1" applyNumberFormat="1" applyFont="1" applyFill="1" applyBorder="1" applyAlignment="1">
      <alignment horizontal="center"/>
    </xf>
    <xf numFmtId="0" fontId="22" fillId="0" borderId="3" xfId="0" quotePrefix="1" applyFont="1" applyBorder="1"/>
    <xf numFmtId="0" fontId="22" fillId="0" borderId="3" xfId="0" quotePrefix="1" applyFont="1" applyBorder="1" applyAlignment="1">
      <alignment horizontal="center"/>
    </xf>
    <xf numFmtId="49" fontId="22" fillId="0" borderId="0" xfId="22" applyNumberFormat="1" applyFont="1" applyFill="1" applyBorder="1" applyAlignment="1">
      <alignment horizontal="left"/>
    </xf>
    <xf numFmtId="0" fontId="22" fillId="0" borderId="0" xfId="108" applyAlignment="1">
      <alignment horizontal="left" indent="1"/>
    </xf>
    <xf numFmtId="171" fontId="0" fillId="0" borderId="0" xfId="0" applyNumberFormat="1"/>
    <xf numFmtId="0" fontId="37" fillId="0" borderId="0" xfId="28" applyFont="1" applyAlignment="1">
      <alignment vertical="center"/>
    </xf>
    <xf numFmtId="164" fontId="22" fillId="0" borderId="0" xfId="106" applyNumberFormat="1" applyFont="1" applyFill="1"/>
    <xf numFmtId="0" fontId="32" fillId="0" borderId="0" xfId="100" applyFont="1"/>
    <xf numFmtId="0" fontId="22" fillId="0" borderId="0" xfId="28" applyFont="1" applyAlignment="1">
      <alignment vertical="center"/>
    </xf>
    <xf numFmtId="164" fontId="22" fillId="0" borderId="8" xfId="96" applyNumberFormat="1" applyFont="1" applyBorder="1"/>
    <xf numFmtId="17" fontId="22" fillId="36" borderId="0" xfId="100" quotePrefix="1" applyNumberFormat="1" applyFill="1" applyAlignment="1">
      <alignment horizontal="left"/>
    </xf>
    <xf numFmtId="42" fontId="22" fillId="0" borderId="0" xfId="0" applyNumberFormat="1" applyFont="1"/>
    <xf numFmtId="164" fontId="22" fillId="36" borderId="0" xfId="19" applyNumberFormat="1" applyFont="1" applyFill="1" applyBorder="1" applyAlignment="1">
      <alignment wrapText="1"/>
    </xf>
    <xf numFmtId="167" fontId="54" fillId="36" borderId="0" xfId="133" applyNumberFormat="1" applyFont="1" applyFill="1"/>
    <xf numFmtId="167" fontId="54" fillId="36" borderId="0" xfId="133" applyNumberFormat="1" applyFont="1" applyFill="1" applyBorder="1"/>
    <xf numFmtId="3" fontId="22" fillId="36" borderId="0" xfId="128" applyNumberFormat="1" applyFont="1" applyFill="1"/>
    <xf numFmtId="3" fontId="22" fillId="36" borderId="0" xfId="129" applyNumberFormat="1" applyFont="1" applyFill="1"/>
    <xf numFmtId="3" fontId="22" fillId="36" borderId="0" xfId="130" applyNumberFormat="1" applyFont="1" applyFill="1"/>
    <xf numFmtId="3" fontId="22" fillId="36" borderId="0" xfId="126" applyNumberFormat="1" applyFill="1"/>
    <xf numFmtId="3" fontId="22" fillId="36" borderId="0" xfId="128" applyNumberFormat="1" applyFont="1" applyFill="1" applyAlignment="1">
      <alignment horizontal="center"/>
    </xf>
    <xf numFmtId="3" fontId="22" fillId="36" borderId="0" xfId="129" applyNumberFormat="1" applyFont="1" applyFill="1" applyAlignment="1">
      <alignment horizontal="center"/>
    </xf>
    <xf numFmtId="3" fontId="22" fillId="36" borderId="0" xfId="130" applyNumberFormat="1" applyFont="1" applyFill="1" applyAlignment="1">
      <alignment horizontal="center"/>
    </xf>
    <xf numFmtId="164" fontId="22" fillId="36" borderId="0" xfId="255" applyNumberFormat="1" applyFont="1" applyFill="1" applyAlignment="1">
      <alignment horizontal="right"/>
    </xf>
    <xf numFmtId="3" fontId="0" fillId="36" borderId="0" xfId="0" applyNumberFormat="1" applyFill="1"/>
    <xf numFmtId="170" fontId="22" fillId="36" borderId="0" xfId="100" applyNumberFormat="1" applyFill="1" applyAlignment="1">
      <alignment horizontal="center"/>
    </xf>
    <xf numFmtId="164" fontId="22" fillId="36" borderId="0" xfId="96" applyNumberFormat="1" applyFont="1" applyFill="1" applyBorder="1"/>
    <xf numFmtId="0" fontId="54" fillId="36" borderId="0" xfId="125" applyFont="1" applyFill="1"/>
    <xf numFmtId="170" fontId="22" fillId="36" borderId="0" xfId="125" quotePrefix="1" applyNumberFormat="1" applyFill="1" applyAlignment="1">
      <alignment horizontal="center"/>
    </xf>
    <xf numFmtId="0" fontId="22" fillId="36" borderId="0" xfId="125" applyFill="1"/>
    <xf numFmtId="164" fontId="54" fillId="36" borderId="0" xfId="96" applyNumberFormat="1" applyFont="1" applyFill="1" applyBorder="1"/>
    <xf numFmtId="164" fontId="65" fillId="36" borderId="0" xfId="0" applyNumberFormat="1" applyFont="1" applyFill="1"/>
    <xf numFmtId="37" fontId="22" fillId="36" borderId="3" xfId="97" quotePrefix="1" applyNumberFormat="1" applyFont="1" applyFill="1" applyBorder="1" applyAlignment="1">
      <alignment horizontal="center"/>
    </xf>
    <xf numFmtId="0" fontId="0" fillId="36" borderId="0" xfId="0" applyFill="1" applyAlignment="1">
      <alignment horizontal="left" vertical="top" wrapText="1"/>
    </xf>
    <xf numFmtId="164" fontId="22" fillId="34" borderId="0" xfId="0" applyNumberFormat="1" applyFont="1" applyFill="1"/>
    <xf numFmtId="181" fontId="23" fillId="36" borderId="0" xfId="19" applyNumberFormat="1" applyFont="1" applyFill="1" applyAlignment="1">
      <alignment horizontal="center"/>
    </xf>
    <xf numFmtId="10" fontId="22" fillId="0" borderId="0" xfId="0" applyNumberFormat="1" applyFont="1" applyAlignment="1">
      <alignment horizontal="right" wrapText="1"/>
    </xf>
    <xf numFmtId="0" fontId="53" fillId="0" borderId="0" xfId="126" applyFont="1" applyAlignment="1">
      <alignment horizontal="center"/>
    </xf>
    <xf numFmtId="0" fontId="22" fillId="0" borderId="5" xfId="126" applyBorder="1" applyAlignment="1">
      <alignment horizontal="center" wrapText="1"/>
    </xf>
    <xf numFmtId="0" fontId="22" fillId="0" borderId="0" xfId="126" applyAlignment="1">
      <alignment horizontal="center" wrapText="1"/>
    </xf>
    <xf numFmtId="0" fontId="22" fillId="0" borderId="18" xfId="126" applyBorder="1" applyAlignment="1">
      <alignment horizontal="center"/>
    </xf>
    <xf numFmtId="9" fontId="22" fillId="0" borderId="0" xfId="37" applyFont="1" applyFill="1"/>
    <xf numFmtId="0" fontId="158" fillId="0" borderId="0" xfId="126" applyFont="1" applyAlignment="1">
      <alignment horizontal="center"/>
    </xf>
    <xf numFmtId="0" fontId="23" fillId="0" borderId="4" xfId="126" applyFont="1" applyBorder="1" applyAlignment="1">
      <alignment horizontal="center"/>
    </xf>
    <xf numFmtId="0" fontId="158" fillId="0" borderId="0" xfId="126" quotePrefix="1" applyFont="1" applyAlignment="1">
      <alignment horizontal="center" wrapText="1"/>
    </xf>
    <xf numFmtId="0" fontId="160" fillId="0" borderId="0" xfId="126" quotePrefix="1" applyFont="1" applyAlignment="1">
      <alignment horizontal="center"/>
    </xf>
    <xf numFmtId="2" fontId="161" fillId="0" borderId="28" xfId="126" applyNumberFormat="1" applyFont="1" applyBorder="1" applyAlignment="1">
      <alignment horizontal="center" wrapText="1"/>
    </xf>
    <xf numFmtId="2" fontId="161" fillId="0" borderId="0" xfId="126" applyNumberFormat="1" applyFont="1" applyAlignment="1">
      <alignment horizontal="center" wrapText="1"/>
    </xf>
    <xf numFmtId="2" fontId="158" fillId="0" borderId="0" xfId="126" applyNumberFormat="1" applyFont="1"/>
    <xf numFmtId="164" fontId="158" fillId="0" borderId="0" xfId="126" applyNumberFormat="1" applyFont="1"/>
    <xf numFmtId="1" fontId="158" fillId="0" borderId="0" xfId="126" applyNumberFormat="1" applyFont="1"/>
    <xf numFmtId="0" fontId="22" fillId="0" borderId="0" xfId="126" applyAlignment="1">
      <alignment readingOrder="1"/>
    </xf>
    <xf numFmtId="0" fontId="22" fillId="0" borderId="0" xfId="126" applyAlignment="1">
      <alignment wrapText="1"/>
    </xf>
    <xf numFmtId="10" fontId="22" fillId="0" borderId="0" xfId="126" applyNumberFormat="1"/>
    <xf numFmtId="0" fontId="22" fillId="0" borderId="0" xfId="100" applyAlignment="1">
      <alignment horizontal="left" indent="2"/>
    </xf>
    <xf numFmtId="0" fontId="22" fillId="0" borderId="0" xfId="0" applyFont="1" applyAlignment="1">
      <alignment horizontal="left" indent="4"/>
    </xf>
    <xf numFmtId="49" fontId="22" fillId="0" borderId="0" xfId="0" applyNumberFormat="1" applyFont="1" applyAlignment="1">
      <alignment horizontal="left" indent="1"/>
    </xf>
    <xf numFmtId="37" fontId="22" fillId="36" borderId="3" xfId="22" quotePrefix="1" applyNumberFormat="1" applyFont="1" applyFill="1" applyBorder="1" applyAlignment="1">
      <alignment horizontal="center"/>
    </xf>
    <xf numFmtId="37" fontId="0" fillId="36" borderId="0" xfId="19" applyNumberFormat="1" applyFont="1" applyFill="1"/>
    <xf numFmtId="3" fontId="22" fillId="0" borderId="0" xfId="100" applyNumberFormat="1" applyAlignment="1">
      <alignment horizontal="left" indent="1"/>
    </xf>
    <xf numFmtId="167" fontId="23" fillId="0" borderId="0" xfId="96" applyNumberFormat="1" applyFont="1" applyFill="1" applyBorder="1" applyAlignment="1">
      <alignment horizontal="center"/>
    </xf>
    <xf numFmtId="165" fontId="0" fillId="36" borderId="0" xfId="0" applyNumberFormat="1" applyFill="1"/>
    <xf numFmtId="164" fontId="22" fillId="36" borderId="0" xfId="100" applyNumberFormat="1" applyFill="1" applyAlignment="1">
      <alignment vertical="top" wrapText="1"/>
    </xf>
    <xf numFmtId="1" fontId="22" fillId="36" borderId="0" xfId="0" applyNumberFormat="1" applyFont="1" applyFill="1" applyAlignment="1">
      <alignment horizontal="center"/>
    </xf>
    <xf numFmtId="164" fontId="22" fillId="34" borderId="0" xfId="96" applyNumberFormat="1" applyFont="1" applyFill="1" applyBorder="1" applyAlignment="1">
      <alignment horizontal="right"/>
    </xf>
    <xf numFmtId="0" fontId="22" fillId="0" borderId="0" xfId="100" quotePrefix="1" applyAlignment="1">
      <alignment horizontal="left"/>
    </xf>
    <xf numFmtId="164" fontId="22" fillId="0" borderId="0" xfId="96" applyNumberFormat="1" applyFont="1" applyFill="1" applyBorder="1" applyAlignment="1">
      <alignment horizontal="right"/>
    </xf>
    <xf numFmtId="167" fontId="22" fillId="0" borderId="0" xfId="100" quotePrefix="1" applyNumberFormat="1" applyAlignment="1">
      <alignment horizontal="left" indent="1"/>
    </xf>
    <xf numFmtId="0" fontId="26" fillId="0" borderId="0" xfId="100" applyFont="1" applyAlignment="1">
      <alignment horizontal="left"/>
    </xf>
    <xf numFmtId="167" fontId="22" fillId="0" borderId="0" xfId="96" applyNumberFormat="1" applyFont="1" applyFill="1" applyBorder="1" applyAlignment="1">
      <alignment horizontal="right"/>
    </xf>
    <xf numFmtId="167" fontId="22" fillId="0" borderId="0" xfId="100" applyNumberFormat="1" applyAlignment="1">
      <alignment horizontal="right"/>
    </xf>
    <xf numFmtId="1" fontId="22" fillId="0" borderId="0" xfId="100" applyNumberFormat="1" applyAlignment="1">
      <alignment horizontal="center"/>
    </xf>
    <xf numFmtId="3" fontId="22" fillId="0" borderId="0" xfId="100" applyNumberFormat="1"/>
    <xf numFmtId="3" fontId="26" fillId="0" borderId="0" xfId="100" applyNumberFormat="1" applyFont="1" applyAlignment="1">
      <alignment horizontal="center"/>
    </xf>
    <xf numFmtId="165" fontId="29" fillId="0" borderId="0" xfId="96" applyNumberFormat="1" applyFont="1" applyFill="1" applyBorder="1" applyAlignment="1">
      <alignment horizontal="right"/>
    </xf>
    <xf numFmtId="42" fontId="22" fillId="0" borderId="0" xfId="0" quotePrefix="1" applyNumberFormat="1" applyFont="1" applyAlignment="1">
      <alignment horizontal="center"/>
    </xf>
    <xf numFmtId="0" fontId="22" fillId="0" borderId="0" xfId="0" quotePrefix="1" applyFont="1" applyAlignment="1">
      <alignment horizontal="left"/>
    </xf>
    <xf numFmtId="164" fontId="22" fillId="36" borderId="0" xfId="0" quotePrefix="1" applyNumberFormat="1" applyFont="1" applyFill="1" applyAlignment="1">
      <alignment horizontal="right"/>
    </xf>
    <xf numFmtId="171" fontId="22" fillId="0" borderId="0" xfId="0" quotePrefix="1" applyNumberFormat="1" applyFont="1" applyAlignment="1">
      <alignment horizontal="right"/>
    </xf>
    <xf numFmtId="165" fontId="22" fillId="0" borderId="0" xfId="96" applyNumberFormat="1" applyFont="1" applyFill="1" applyBorder="1" applyAlignment="1">
      <alignment horizontal="right"/>
    </xf>
    <xf numFmtId="3" fontId="22" fillId="0" borderId="0" xfId="100" applyNumberFormat="1" applyAlignment="1">
      <alignment horizontal="left"/>
    </xf>
    <xf numFmtId="0" fontId="65" fillId="0" borderId="0" xfId="0" applyFont="1" applyAlignment="1">
      <alignment horizontal="left" vertical="center" indent="1"/>
    </xf>
    <xf numFmtId="171" fontId="22" fillId="0" borderId="0" xfId="0" applyNumberFormat="1" applyFont="1"/>
    <xf numFmtId="37" fontId="23" fillId="36" borderId="3" xfId="97" quotePrefix="1" applyNumberFormat="1" applyFont="1" applyFill="1" applyBorder="1" applyAlignment="1">
      <alignment horizontal="center"/>
    </xf>
    <xf numFmtId="0" fontId="22" fillId="36" borderId="3" xfId="0" quotePrefix="1" applyFont="1" applyFill="1" applyBorder="1" applyAlignment="1">
      <alignment horizontal="center"/>
    </xf>
    <xf numFmtId="0" fontId="22" fillId="36" borderId="3" xfId="0" applyFont="1" applyFill="1" applyBorder="1"/>
    <xf numFmtId="0" fontId="22" fillId="36" borderId="3" xfId="0" applyFont="1" applyFill="1" applyBorder="1" applyAlignment="1">
      <alignment horizontal="center"/>
    </xf>
    <xf numFmtId="164" fontId="22" fillId="36" borderId="0" xfId="100" applyNumberFormat="1" applyFill="1" applyAlignment="1">
      <alignment horizontal="right" vertical="center" wrapText="1"/>
    </xf>
    <xf numFmtId="164" fontId="29" fillId="36" borderId="0" xfId="100" applyNumberFormat="1" applyFont="1" applyFill="1" applyAlignment="1">
      <alignment horizontal="right" vertical="center" wrapText="1"/>
    </xf>
    <xf numFmtId="164" fontId="22" fillId="36" borderId="0" xfId="96" applyNumberFormat="1" applyFont="1" applyFill="1"/>
    <xf numFmtId="164" fontId="36" fillId="36" borderId="0" xfId="96" applyNumberFormat="1" applyFont="1" applyFill="1"/>
    <xf numFmtId="164" fontId="36" fillId="36" borderId="0" xfId="100" applyNumberFormat="1" applyFont="1" applyFill="1"/>
    <xf numFmtId="1" fontId="22" fillId="36" borderId="0" xfId="126" applyNumberFormat="1" applyFill="1"/>
    <xf numFmtId="0" fontId="53" fillId="0" borderId="0" xfId="0" applyFont="1"/>
    <xf numFmtId="0" fontId="22" fillId="0" borderId="11" xfId="0" applyFont="1" applyBorder="1" applyAlignment="1">
      <alignment horizontal="center"/>
    </xf>
    <xf numFmtId="0" fontId="22" fillId="0" borderId="4" xfId="0" applyFont="1" applyBorder="1" applyAlignment="1">
      <alignment horizontal="center"/>
    </xf>
    <xf numFmtId="0" fontId="22" fillId="0" borderId="56" xfId="0" applyFont="1" applyBorder="1" applyAlignment="1">
      <alignment horizontal="center"/>
    </xf>
    <xf numFmtId="164" fontId="22" fillId="36" borderId="0" xfId="0" applyNumberFormat="1" applyFont="1" applyFill="1" applyAlignment="1">
      <alignment horizontal="center"/>
    </xf>
    <xf numFmtId="3" fontId="54" fillId="0" borderId="0" xfId="0" applyNumberFormat="1" applyFont="1"/>
    <xf numFmtId="164" fontId="22" fillId="0" borderId="0" xfId="23" applyNumberFormat="1" applyFont="1" applyFill="1" applyAlignment="1">
      <alignment horizontal="right"/>
    </xf>
    <xf numFmtId="49" fontId="22" fillId="0" borderId="0" xfId="0" applyNumberFormat="1" applyFont="1" applyAlignment="1">
      <alignment horizontal="center"/>
    </xf>
    <xf numFmtId="0" fontId="22" fillId="0" borderId="0" xfId="0" applyFont="1" applyAlignment="1">
      <alignment horizontal="left" wrapText="1"/>
    </xf>
    <xf numFmtId="0" fontId="72" fillId="0" borderId="0" xfId="0" applyFont="1" applyAlignment="1">
      <alignment horizontal="left" wrapText="1"/>
    </xf>
    <xf numFmtId="49" fontId="72" fillId="0" borderId="0" xfId="0" quotePrefix="1" applyNumberFormat="1" applyFont="1" applyAlignment="1">
      <alignment horizontal="left" indent="1"/>
    </xf>
    <xf numFmtId="0" fontId="72" fillId="0" borderId="0" xfId="0" applyFont="1"/>
    <xf numFmtId="49" fontId="72" fillId="0" borderId="0" xfId="0" applyNumberFormat="1" applyFont="1" applyAlignment="1">
      <alignment horizontal="left" indent="1"/>
    </xf>
    <xf numFmtId="3" fontId="22" fillId="0" borderId="0" xfId="23" applyNumberFormat="1" applyFont="1" applyBorder="1" applyAlignment="1">
      <alignment horizontal="right"/>
    </xf>
    <xf numFmtId="3" fontId="22" fillId="0" borderId="0" xfId="0" applyNumberFormat="1" applyFont="1"/>
    <xf numFmtId="49" fontId="56" fillId="0" borderId="0" xfId="0" applyNumberFormat="1" applyFont="1" applyAlignment="1">
      <alignment horizontal="center"/>
    </xf>
    <xf numFmtId="0" fontId="23" fillId="0" borderId="0" xfId="0" applyFont="1" applyAlignment="1">
      <alignment horizontal="center" vertical="top"/>
    </xf>
    <xf numFmtId="3" fontId="22" fillId="36" borderId="0" xfId="0" applyNumberFormat="1" applyFont="1" applyFill="1"/>
    <xf numFmtId="0" fontId="58" fillId="0" borderId="0" xfId="0" applyFont="1" applyAlignment="1">
      <alignment horizontal="center"/>
    </xf>
    <xf numFmtId="37" fontId="53" fillId="0" borderId="0" xfId="0" applyNumberFormat="1" applyFont="1"/>
    <xf numFmtId="0" fontId="22" fillId="0" borderId="3" xfId="0" applyFont="1" applyBorder="1" applyAlignment="1">
      <alignment horizontal="left"/>
    </xf>
    <xf numFmtId="0" fontId="22" fillId="0" borderId="3" xfId="0" quotePrefix="1" applyFont="1" applyBorder="1" applyAlignment="1">
      <alignment horizontal="left"/>
    </xf>
    <xf numFmtId="207" fontId="22" fillId="36" borderId="0" xfId="0" quotePrefix="1" applyNumberFormat="1" applyFont="1" applyFill="1" applyAlignment="1">
      <alignment horizontal="center"/>
    </xf>
    <xf numFmtId="37" fontId="23" fillId="0" borderId="3" xfId="0" applyNumberFormat="1" applyFont="1" applyBorder="1" applyAlignment="1">
      <alignment horizontal="center"/>
    </xf>
    <xf numFmtId="10" fontId="22" fillId="36" borderId="0" xfId="0" applyNumberFormat="1" applyFont="1" applyFill="1" applyAlignment="1">
      <alignment horizontal="right"/>
    </xf>
    <xf numFmtId="0" fontId="70" fillId="0" borderId="0" xfId="0" applyFont="1"/>
    <xf numFmtId="167" fontId="22" fillId="0" borderId="0" xfId="28" applyNumberFormat="1" applyFont="1" applyAlignment="1">
      <alignment vertical="center"/>
    </xf>
    <xf numFmtId="0" fontId="23" fillId="0" borderId="0" xfId="0" applyFont="1" applyAlignment="1">
      <alignment horizontal="center" vertical="center"/>
    </xf>
    <xf numFmtId="171" fontId="22" fillId="0" borderId="0" xfId="39" applyNumberFormat="1" applyFont="1" applyFill="1" applyBorder="1" applyAlignment="1">
      <alignment horizontal="center" vertical="justify" wrapText="1"/>
    </xf>
    <xf numFmtId="171" fontId="22" fillId="0" borderId="8" xfId="39" applyNumberFormat="1" applyFont="1" applyFill="1" applyBorder="1" applyAlignment="1">
      <alignment horizontal="center" wrapText="1"/>
    </xf>
    <xf numFmtId="0" fontId="22" fillId="0" borderId="0" xfId="100" quotePrefix="1"/>
    <xf numFmtId="0" fontId="22" fillId="0" borderId="0" xfId="100" quotePrefix="1" applyAlignment="1">
      <alignment horizontal="center" wrapText="1"/>
    </xf>
    <xf numFmtId="10" fontId="22" fillId="0" borderId="0" xfId="37" quotePrefix="1" applyNumberFormat="1" applyFont="1" applyFill="1" applyAlignment="1">
      <alignment horizontal="center" wrapText="1"/>
    </xf>
    <xf numFmtId="0" fontId="22" fillId="0" borderId="0" xfId="100" applyAlignment="1">
      <alignment horizontal="center" wrapText="1"/>
    </xf>
    <xf numFmtId="164" fontId="22" fillId="0" borderId="0" xfId="100" quotePrefix="1" applyNumberFormat="1" applyAlignment="1">
      <alignment horizontal="center"/>
    </xf>
    <xf numFmtId="10" fontId="0" fillId="0" borderId="0" xfId="37" applyNumberFormat="1" applyFont="1" applyFill="1" applyAlignment="1">
      <alignment horizontal="center"/>
    </xf>
    <xf numFmtId="1" fontId="25" fillId="0" borderId="0" xfId="28" quotePrefix="1" applyNumberFormat="1" applyAlignment="1">
      <alignment horizontal="right"/>
    </xf>
    <xf numFmtId="164" fontId="22" fillId="0" borderId="0" xfId="96" applyNumberFormat="1" applyFont="1" applyFill="1" applyBorder="1" applyAlignment="1">
      <alignment horizontal="left" indent="1"/>
    </xf>
    <xf numFmtId="0" fontId="22" fillId="0" borderId="0" xfId="28" quotePrefix="1" applyFont="1" applyAlignment="1">
      <alignment horizontal="center" vertical="center"/>
    </xf>
    <xf numFmtId="0" fontId="22" fillId="0" borderId="0" xfId="28" quotePrefix="1" applyFont="1" applyAlignment="1">
      <alignment horizontal="center"/>
    </xf>
    <xf numFmtId="167" fontId="22" fillId="0" borderId="0" xfId="28" quotePrefix="1" applyNumberFormat="1" applyFont="1" applyAlignment="1">
      <alignment horizontal="center"/>
    </xf>
    <xf numFmtId="0" fontId="22" fillId="0" borderId="0" xfId="28" quotePrefix="1" applyFont="1" applyAlignment="1">
      <alignment vertical="center"/>
    </xf>
    <xf numFmtId="0" fontId="25" fillId="0" borderId="0" xfId="28" applyAlignment="1">
      <alignment vertical="center"/>
    </xf>
    <xf numFmtId="0" fontId="23" fillId="0" borderId="0" xfId="28" applyFont="1" applyAlignment="1">
      <alignment horizontal="right" vertical="center"/>
    </xf>
    <xf numFmtId="0" fontId="22" fillId="0" borderId="0" xfId="126" applyAlignment="1">
      <alignment vertical="center" wrapText="1"/>
    </xf>
    <xf numFmtId="0" fontId="22" fillId="0" borderId="0" xfId="126" applyAlignment="1">
      <alignment horizontal="center" vertical="center" wrapText="1"/>
    </xf>
    <xf numFmtId="0" fontId="22" fillId="0" borderId="17" xfId="0" applyFont="1" applyBorder="1" applyAlignment="1">
      <alignment horizontal="center"/>
    </xf>
    <xf numFmtId="166" fontId="22" fillId="0" borderId="0" xfId="126" applyNumberFormat="1"/>
    <xf numFmtId="3" fontId="22" fillId="0" borderId="0" xfId="131" applyNumberFormat="1" applyFont="1"/>
    <xf numFmtId="3" fontId="22" fillId="0" borderId="0" xfId="132" applyNumberFormat="1" applyFont="1"/>
    <xf numFmtId="3" fontId="22" fillId="0" borderId="0" xfId="130" applyNumberFormat="1" applyFont="1" applyAlignment="1">
      <alignment horizontal="center"/>
    </xf>
    <xf numFmtId="179" fontId="23" fillId="0" borderId="0" xfId="35" applyNumberFormat="1" applyFont="1" applyAlignment="1">
      <alignment horizontal="left"/>
    </xf>
    <xf numFmtId="0" fontId="22" fillId="0" borderId="7" xfId="126" applyBorder="1"/>
    <xf numFmtId="0" fontId="22" fillId="0" borderId="7" xfId="126" applyBorder="1" applyAlignment="1">
      <alignment horizontal="center"/>
    </xf>
    <xf numFmtId="174" fontId="22" fillId="36" borderId="0" xfId="0" applyNumberFormat="1" applyFont="1" applyFill="1" applyAlignment="1">
      <alignment horizontal="center"/>
    </xf>
    <xf numFmtId="0" fontId="53" fillId="0" borderId="10" xfId="126" applyFont="1" applyBorder="1" applyAlignment="1">
      <alignment horizontal="center"/>
    </xf>
    <xf numFmtId="9" fontId="0" fillId="0" borderId="0" xfId="0" applyNumberFormat="1" applyAlignment="1">
      <alignment horizontal="left"/>
    </xf>
    <xf numFmtId="0" fontId="22" fillId="0" borderId="4" xfId="126" applyBorder="1" applyAlignment="1">
      <alignment wrapText="1"/>
    </xf>
    <xf numFmtId="0" fontId="22" fillId="0" borderId="0" xfId="126" quotePrefix="1" applyAlignment="1">
      <alignment horizontal="center" vertical="center" wrapText="1"/>
    </xf>
    <xf numFmtId="0" fontId="22" fillId="0" borderId="0" xfId="126" quotePrefix="1" applyAlignment="1">
      <alignment horizontal="center" vertical="top" wrapText="1"/>
    </xf>
    <xf numFmtId="3" fontId="22" fillId="0" borderId="3" xfId="126" applyNumberFormat="1" applyBorder="1"/>
    <xf numFmtId="10" fontId="22" fillId="0" borderId="3" xfId="126" applyNumberFormat="1" applyBorder="1"/>
    <xf numFmtId="10" fontId="54" fillId="0" borderId="3" xfId="134" applyNumberFormat="1" applyFont="1" applyFill="1" applyBorder="1"/>
    <xf numFmtId="0" fontId="64" fillId="0" borderId="0" xfId="126" quotePrefix="1" applyFont="1" applyAlignment="1">
      <alignment horizontal="center" vertical="center" wrapText="1"/>
    </xf>
    <xf numFmtId="0" fontId="22" fillId="0" borderId="6" xfId="126" quotePrefix="1" applyBorder="1" applyAlignment="1">
      <alignment horizontal="center" wrapText="1"/>
    </xf>
    <xf numFmtId="0" fontId="22" fillId="0" borderId="5" xfId="126" quotePrefix="1" applyBorder="1" applyAlignment="1">
      <alignment horizontal="center" wrapText="1"/>
    </xf>
    <xf numFmtId="0" fontId="23" fillId="0" borderId="9" xfId="126" applyFont="1" applyBorder="1"/>
    <xf numFmtId="0" fontId="22" fillId="0" borderId="4" xfId="126" applyBorder="1"/>
    <xf numFmtId="164" fontId="22" fillId="0" borderId="8" xfId="0" applyNumberFormat="1" applyFont="1" applyBorder="1"/>
    <xf numFmtId="208" fontId="0" fillId="36" borderId="0" xfId="0" applyNumberFormat="1" applyFill="1" applyAlignment="1">
      <alignment horizontal="center"/>
    </xf>
    <xf numFmtId="0" fontId="22" fillId="36" borderId="0" xfId="125" quotePrefix="1" applyFill="1"/>
    <xf numFmtId="208" fontId="22" fillId="36" borderId="0" xfId="0" quotePrefix="1" applyNumberFormat="1" applyFont="1" applyFill="1" applyAlignment="1">
      <alignment horizontal="center"/>
    </xf>
    <xf numFmtId="0" fontId="70" fillId="0" borderId="0" xfId="0" applyFont="1" applyAlignment="1">
      <alignment horizontal="left" indent="2"/>
    </xf>
    <xf numFmtId="0" fontId="163" fillId="0" borderId="0" xfId="0" applyFont="1"/>
    <xf numFmtId="0" fontId="70" fillId="0" borderId="0" xfId="0" applyFont="1" applyAlignment="1">
      <alignment horizontal="left" indent="1"/>
    </xf>
    <xf numFmtId="0" fontId="27" fillId="37" borderId="0" xfId="0" applyFont="1" applyFill="1"/>
    <xf numFmtId="0" fontId="163" fillId="0" borderId="0" xfId="0" applyFont="1" applyAlignment="1">
      <alignment horizontal="right"/>
    </xf>
    <xf numFmtId="0" fontId="164" fillId="0" borderId="0" xfId="0" applyFont="1"/>
    <xf numFmtId="0" fontId="0" fillId="0" borderId="0" xfId="0" applyAlignment="1">
      <alignment horizontal="left" vertical="center" indent="1"/>
    </xf>
    <xf numFmtId="3" fontId="61" fillId="0" borderId="0" xfId="0" applyNumberFormat="1" applyFont="1"/>
    <xf numFmtId="0" fontId="23" fillId="0" borderId="0" xfId="34" applyFont="1" applyAlignment="1">
      <alignment horizontal="right"/>
    </xf>
    <xf numFmtId="0" fontId="23" fillId="0" borderId="0" xfId="0" applyFont="1" applyAlignment="1">
      <alignment horizontal="right" indent="1"/>
    </xf>
    <xf numFmtId="0" fontId="22" fillId="0" borderId="4" xfId="0" applyFont="1" applyBorder="1"/>
    <xf numFmtId="167" fontId="55" fillId="0" borderId="0" xfId="19" quotePrefix="1" applyNumberFormat="1" applyFont="1"/>
    <xf numFmtId="167" fontId="55" fillId="0" borderId="0" xfId="19" applyNumberFormat="1" applyFont="1" applyBorder="1" applyAlignment="1">
      <alignment horizontal="center"/>
    </xf>
    <xf numFmtId="167" fontId="52" fillId="0" borderId="0" xfId="19" applyNumberFormat="1" applyFont="1" applyBorder="1" applyAlignment="1"/>
    <xf numFmtId="167" fontId="54" fillId="0" borderId="0" xfId="19" applyNumberFormat="1" applyFont="1"/>
    <xf numFmtId="167" fontId="55" fillId="0" borderId="0" xfId="19" quotePrefix="1" applyNumberFormat="1" applyFont="1" applyAlignment="1">
      <alignment horizontal="right"/>
    </xf>
    <xf numFmtId="181" fontId="55" fillId="36" borderId="0" xfId="19" quotePrefix="1" applyNumberFormat="1" applyFont="1" applyFill="1" applyAlignment="1">
      <alignment horizontal="center"/>
    </xf>
    <xf numFmtId="167" fontId="54" fillId="0" borderId="0" xfId="19" applyNumberFormat="1" applyFont="1" applyAlignment="1">
      <alignment horizontal="center"/>
    </xf>
    <xf numFmtId="167" fontId="55" fillId="0" borderId="0" xfId="19" quotePrefix="1" applyNumberFormat="1" applyFont="1" applyAlignment="1">
      <alignment horizontal="center"/>
    </xf>
    <xf numFmtId="167" fontId="0" fillId="0" borderId="0" xfId="19" applyNumberFormat="1" applyFont="1" applyAlignment="1">
      <alignment horizontal="center"/>
    </xf>
    <xf numFmtId="167" fontId="61" fillId="0" borderId="0" xfId="19" applyNumberFormat="1" applyFont="1" applyAlignment="1">
      <alignment horizontal="center"/>
    </xf>
    <xf numFmtId="167" fontId="55" fillId="0" borderId="61" xfId="19" applyNumberFormat="1" applyFont="1" applyBorder="1" applyAlignment="1">
      <alignment horizontal="center" vertical="center"/>
    </xf>
    <xf numFmtId="167" fontId="55" fillId="0" borderId="61" xfId="19" quotePrefix="1" applyNumberFormat="1" applyFont="1" applyBorder="1" applyAlignment="1">
      <alignment horizontal="center" vertical="center"/>
    </xf>
    <xf numFmtId="167" fontId="166" fillId="0" borderId="0" xfId="19" applyNumberFormat="1" applyFont="1" applyAlignment="1">
      <alignment horizontal="center"/>
    </xf>
    <xf numFmtId="167" fontId="55" fillId="0" borderId="0" xfId="19" applyNumberFormat="1" applyFont="1" applyFill="1" applyBorder="1" applyAlignment="1">
      <alignment horizontal="center" wrapText="1"/>
    </xf>
    <xf numFmtId="167" fontId="0" fillId="0" borderId="0" xfId="19" applyNumberFormat="1" applyFont="1" applyFill="1" applyBorder="1" applyAlignment="1">
      <alignment horizontal="center" vertical="center" wrapText="1"/>
    </xf>
    <xf numFmtId="0" fontId="55" fillId="0" borderId="0" xfId="19" applyNumberFormat="1" applyFont="1" applyAlignment="1">
      <alignment horizontal="center"/>
    </xf>
    <xf numFmtId="167" fontId="56" fillId="0" borderId="0" xfId="19" applyNumberFormat="1" applyFont="1"/>
    <xf numFmtId="167" fontId="167" fillId="0" borderId="0" xfId="19" applyNumberFormat="1" applyFont="1"/>
    <xf numFmtId="167" fontId="54" fillId="0" borderId="0" xfId="19" applyNumberFormat="1" applyFont="1" applyFill="1"/>
    <xf numFmtId="0" fontId="54" fillId="0" borderId="0" xfId="19" applyNumberFormat="1" applyFont="1" applyFill="1" applyAlignment="1">
      <alignment horizontal="center"/>
    </xf>
    <xf numFmtId="167" fontId="54" fillId="36" borderId="0" xfId="19" applyNumberFormat="1" applyFont="1" applyFill="1"/>
    <xf numFmtId="167" fontId="54" fillId="36" borderId="0" xfId="19" quotePrefix="1" applyNumberFormat="1" applyFont="1" applyFill="1" applyAlignment="1">
      <alignment vertical="center"/>
    </xf>
    <xf numFmtId="0" fontId="54" fillId="36" borderId="0" xfId="19" applyNumberFormat="1" applyFont="1" applyFill="1"/>
    <xf numFmtId="0" fontId="55" fillId="0" borderId="0" xfId="19" quotePrefix="1" applyNumberFormat="1" applyFont="1" applyAlignment="1">
      <alignment horizontal="center"/>
    </xf>
    <xf numFmtId="167" fontId="54" fillId="0" borderId="0" xfId="19" applyNumberFormat="1" applyFont="1" applyFill="1" applyAlignment="1">
      <alignment horizontal="right"/>
    </xf>
    <xf numFmtId="0" fontId="54" fillId="0" borderId="0" xfId="19" applyNumberFormat="1" applyFont="1" applyFill="1"/>
    <xf numFmtId="167" fontId="167" fillId="0" borderId="0" xfId="19" applyNumberFormat="1" applyFont="1" applyFill="1"/>
    <xf numFmtId="0" fontId="167" fillId="0" borderId="0" xfId="19" applyNumberFormat="1" applyFont="1" applyFill="1"/>
    <xf numFmtId="41" fontId="54" fillId="0" borderId="0" xfId="0" applyNumberFormat="1" applyFont="1"/>
    <xf numFmtId="167" fontId="168" fillId="0" borderId="0" xfId="19" applyNumberFormat="1" applyFont="1" applyFill="1"/>
    <xf numFmtId="41" fontId="54" fillId="36" borderId="9" xfId="0" applyNumberFormat="1" applyFont="1" applyFill="1" applyBorder="1"/>
    <xf numFmtId="167" fontId="55" fillId="0" borderId="0" xfId="19" applyNumberFormat="1" applyFont="1" applyFill="1"/>
    <xf numFmtId="0" fontId="55" fillId="0" borderId="0" xfId="19" applyNumberFormat="1" applyFont="1" applyFill="1"/>
    <xf numFmtId="167" fontId="53" fillId="0" borderId="0" xfId="19" applyNumberFormat="1" applyFont="1" applyFill="1"/>
    <xf numFmtId="0" fontId="53" fillId="0" borderId="0" xfId="19" applyNumberFormat="1" applyFont="1" applyFill="1"/>
    <xf numFmtId="167" fontId="55" fillId="0" borderId="0" xfId="19" applyNumberFormat="1" applyFont="1"/>
    <xf numFmtId="41" fontId="54" fillId="0" borderId="0" xfId="53892" applyFont="1"/>
    <xf numFmtId="167" fontId="53" fillId="0" borderId="0" xfId="19" applyNumberFormat="1" applyFont="1"/>
    <xf numFmtId="167" fontId="54" fillId="0" borderId="0" xfId="19" applyNumberFormat="1" applyFont="1" applyBorder="1"/>
    <xf numFmtId="167" fontId="26" fillId="0" borderId="0" xfId="19" applyNumberFormat="1" applyFont="1"/>
    <xf numFmtId="167" fontId="169" fillId="0" borderId="0" xfId="19" applyNumberFormat="1" applyFont="1"/>
    <xf numFmtId="167" fontId="22" fillId="0" borderId="0" xfId="19" applyNumberFormat="1" applyFont="1" applyAlignment="1">
      <alignment horizontal="left" indent="1"/>
    </xf>
    <xf numFmtId="167" fontId="54" fillId="0" borderId="0" xfId="19" applyNumberFormat="1" applyFont="1" applyAlignment="1">
      <alignment horizontal="left" indent="1"/>
    </xf>
    <xf numFmtId="167" fontId="54" fillId="0" borderId="0" xfId="19" applyNumberFormat="1" applyFont="1" applyAlignment="1">
      <alignment horizontal="right"/>
    </xf>
    <xf numFmtId="167" fontId="54" fillId="36" borderId="0" xfId="19" quotePrefix="1" applyNumberFormat="1" applyFont="1" applyFill="1" applyAlignment="1">
      <alignment horizontal="right"/>
    </xf>
    <xf numFmtId="181" fontId="54" fillId="36" borderId="0" xfId="19" applyNumberFormat="1" applyFont="1" applyFill="1" applyAlignment="1">
      <alignment horizontal="right"/>
    </xf>
    <xf numFmtId="167" fontId="55" fillId="0" borderId="0" xfId="19" quotePrefix="1" applyNumberFormat="1" applyFont="1" applyBorder="1" applyAlignment="1">
      <alignment horizontal="center"/>
    </xf>
    <xf numFmtId="167" fontId="55" fillId="36" borderId="0" xfId="19" quotePrefix="1" applyNumberFormat="1" applyFont="1" applyFill="1" applyAlignment="1">
      <alignment horizontal="center"/>
    </xf>
    <xf numFmtId="167" fontId="55" fillId="0" borderId="0" xfId="19" applyNumberFormat="1" applyFont="1" applyAlignment="1">
      <alignment horizontal="right"/>
    </xf>
    <xf numFmtId="10" fontId="54" fillId="36" borderId="0" xfId="19" applyNumberFormat="1" applyFont="1" applyFill="1" applyAlignment="1">
      <alignment horizontal="center"/>
    </xf>
    <xf numFmtId="167" fontId="55" fillId="0" borderId="66" xfId="19" applyNumberFormat="1" applyFont="1" applyBorder="1" applyAlignment="1">
      <alignment horizontal="center"/>
    </xf>
    <xf numFmtId="167" fontId="55" fillId="0" borderId="40" xfId="19" applyNumberFormat="1" applyFont="1" applyBorder="1" applyAlignment="1">
      <alignment horizontal="center"/>
    </xf>
    <xf numFmtId="167" fontId="55" fillId="0" borderId="61" xfId="19" quotePrefix="1" applyNumberFormat="1" applyFont="1" applyBorder="1" applyAlignment="1">
      <alignment horizontal="center"/>
    </xf>
    <xf numFmtId="167" fontId="55" fillId="0" borderId="40" xfId="19" quotePrefix="1" applyNumberFormat="1" applyFont="1" applyBorder="1" applyAlignment="1">
      <alignment horizontal="center"/>
    </xf>
    <xf numFmtId="167" fontId="55" fillId="0" borderId="61" xfId="19" applyNumberFormat="1" applyFont="1" applyFill="1" applyBorder="1" applyAlignment="1">
      <alignment horizontal="center" wrapText="1"/>
    </xf>
    <xf numFmtId="41" fontId="54" fillId="36" borderId="0" xfId="53892" applyFont="1" applyFill="1"/>
    <xf numFmtId="167" fontId="56" fillId="0" borderId="0" xfId="19" applyNumberFormat="1" applyFont="1" applyFill="1"/>
    <xf numFmtId="167" fontId="54" fillId="0" borderId="0" xfId="19" applyNumberFormat="1" applyFont="1" applyFill="1" applyAlignment="1">
      <alignment horizontal="left" indent="1"/>
    </xf>
    <xf numFmtId="167" fontId="23" fillId="0" borderId="0" xfId="19" quotePrefix="1" applyNumberFormat="1" applyFont="1"/>
    <xf numFmtId="0" fontId="55" fillId="0" borderId="0" xfId="0" applyFont="1" applyAlignment="1">
      <alignment horizontal="right"/>
    </xf>
    <xf numFmtId="5" fontId="54" fillId="0" borderId="0" xfId="19" applyNumberFormat="1" applyFont="1" applyFill="1"/>
    <xf numFmtId="5" fontId="54" fillId="0" borderId="62" xfId="19" applyNumberFormat="1" applyFont="1" applyFill="1" applyBorder="1"/>
    <xf numFmtId="5" fontId="54" fillId="0" borderId="9" xfId="53892" applyNumberFormat="1" applyFont="1" applyFill="1" applyBorder="1"/>
    <xf numFmtId="5" fontId="54" fillId="0" borderId="9" xfId="19" applyNumberFormat="1" applyFont="1" applyFill="1" applyBorder="1"/>
    <xf numFmtId="5" fontId="54" fillId="0" borderId="15" xfId="0" applyNumberFormat="1" applyFont="1" applyBorder="1"/>
    <xf numFmtId="5" fontId="54" fillId="0" borderId="0" xfId="19" applyNumberFormat="1" applyFont="1"/>
    <xf numFmtId="5" fontId="54" fillId="0" borderId="15" xfId="53892" applyNumberFormat="1" applyFont="1" applyBorder="1"/>
    <xf numFmtId="5" fontId="54" fillId="0" borderId="15" xfId="53892" applyNumberFormat="1" applyFont="1" applyFill="1" applyBorder="1"/>
    <xf numFmtId="5" fontId="54" fillId="0" borderId="15" xfId="19" applyNumberFormat="1" applyFont="1" applyBorder="1"/>
    <xf numFmtId="5" fontId="54" fillId="0" borderId="62" xfId="19" applyNumberFormat="1" applyFont="1" applyBorder="1"/>
    <xf numFmtId="164" fontId="54" fillId="0" borderId="9" xfId="19" applyNumberFormat="1" applyFont="1" applyFill="1" applyBorder="1"/>
    <xf numFmtId="164" fontId="54" fillId="0" borderId="9" xfId="0" applyNumberFormat="1" applyFont="1" applyBorder="1"/>
    <xf numFmtId="0" fontId="22" fillId="0" borderId="3" xfId="126" applyBorder="1" applyAlignment="1">
      <alignment horizontal="center" wrapText="1"/>
    </xf>
    <xf numFmtId="0" fontId="22" fillId="0" borderId="3" xfId="126" applyBorder="1" applyAlignment="1">
      <alignment wrapText="1"/>
    </xf>
    <xf numFmtId="0" fontId="22" fillId="0" borderId="3" xfId="0" applyFont="1" applyBorder="1" applyAlignment="1">
      <alignment horizontal="left" vertical="center" wrapText="1"/>
    </xf>
    <xf numFmtId="0" fontId="22" fillId="0" borderId="3" xfId="0" applyFont="1" applyBorder="1" applyAlignment="1">
      <alignment vertical="center" wrapText="1"/>
    </xf>
    <xf numFmtId="0" fontId="22" fillId="0" borderId="0" xfId="0" applyFont="1" applyAlignment="1">
      <alignment vertical="center" wrapText="1"/>
    </xf>
    <xf numFmtId="0" fontId="22" fillId="36" borderId="3" xfId="0" applyFont="1" applyFill="1" applyBorder="1" applyAlignment="1">
      <alignment horizontal="center" vertical="center" wrapText="1"/>
    </xf>
    <xf numFmtId="0" fontId="22" fillId="0" borderId="4" xfId="0" applyFont="1" applyBorder="1" applyAlignment="1">
      <alignment vertical="center" wrapText="1"/>
    </xf>
    <xf numFmtId="0" fontId="26" fillId="0" borderId="0" xfId="0" applyFont="1" applyAlignment="1">
      <alignment horizontal="center" vertical="center" wrapText="1"/>
    </xf>
    <xf numFmtId="0" fontId="23" fillId="0" borderId="0" xfId="0" applyFont="1" applyAlignment="1">
      <alignment horizontal="center" vertical="center" wrapText="1"/>
    </xf>
    <xf numFmtId="0" fontId="170" fillId="36" borderId="0" xfId="0" applyFont="1" applyFill="1" applyAlignment="1">
      <alignment horizontal="center"/>
    </xf>
    <xf numFmtId="0" fontId="65" fillId="36" borderId="0" xfId="0" applyFont="1" applyFill="1" applyAlignment="1">
      <alignment vertical="center"/>
    </xf>
    <xf numFmtId="10" fontId="22" fillId="36" borderId="0" xfId="131" quotePrefix="1" applyNumberFormat="1" applyFont="1" applyFill="1"/>
    <xf numFmtId="10" fontId="22" fillId="36" borderId="0" xfId="131" quotePrefix="1" applyNumberFormat="1" applyFont="1" applyFill="1" applyAlignment="1">
      <alignment horizontal="left"/>
    </xf>
    <xf numFmtId="168" fontId="22" fillId="36" borderId="0" xfId="131" quotePrefix="1" applyNumberFormat="1" applyFont="1" applyFill="1" applyAlignment="1">
      <alignment horizontal="left"/>
    </xf>
    <xf numFmtId="0" fontId="22" fillId="36" borderId="0" xfId="131" applyFont="1" applyFill="1"/>
    <xf numFmtId="0" fontId="22" fillId="36" borderId="3" xfId="22" applyNumberFormat="1" applyFont="1" applyFill="1" applyBorder="1" applyAlignment="1">
      <alignment horizontal="left"/>
    </xf>
    <xf numFmtId="39" fontId="23" fillId="0" borderId="8" xfId="22" quotePrefix="1" applyNumberFormat="1" applyFont="1" applyBorder="1" applyAlignment="1">
      <alignment horizontal="center"/>
    </xf>
    <xf numFmtId="37" fontId="53" fillId="36" borderId="3" xfId="22" quotePrefix="1" applyNumberFormat="1" applyFont="1" applyFill="1" applyBorder="1" applyAlignment="1">
      <alignment horizontal="center"/>
    </xf>
    <xf numFmtId="0" fontId="53" fillId="36" borderId="3" xfId="0" applyFont="1" applyFill="1" applyBorder="1" applyAlignment="1">
      <alignment horizontal="center"/>
    </xf>
    <xf numFmtId="0" fontId="22" fillId="36" borderId="3" xfId="0" applyFont="1" applyFill="1" applyBorder="1" applyAlignment="1">
      <alignment horizontal="left"/>
    </xf>
    <xf numFmtId="177" fontId="22" fillId="36" borderId="3" xfId="22" applyNumberFormat="1" applyFont="1" applyFill="1" applyBorder="1"/>
    <xf numFmtId="177" fontId="53" fillId="36" borderId="3" xfId="22" applyNumberFormat="1" applyFont="1" applyFill="1" applyBorder="1"/>
    <xf numFmtId="10" fontId="22" fillId="34" borderId="0" xfId="0" applyNumberFormat="1" applyFont="1" applyFill="1"/>
    <xf numFmtId="3" fontId="22" fillId="36" borderId="3" xfId="97" quotePrefix="1" applyNumberFormat="1" applyFont="1" applyFill="1" applyBorder="1" applyAlignment="1">
      <alignment horizontal="center"/>
    </xf>
    <xf numFmtId="3" fontId="22" fillId="36" borderId="3" xfId="0" applyNumberFormat="1" applyFont="1" applyFill="1" applyBorder="1" applyAlignment="1">
      <alignment horizontal="center"/>
    </xf>
    <xf numFmtId="3" fontId="23" fillId="0" borderId="3" xfId="22" quotePrefix="1" applyNumberFormat="1" applyFont="1" applyFill="1" applyBorder="1" applyAlignment="1">
      <alignment horizontal="center"/>
    </xf>
    <xf numFmtId="3" fontId="23" fillId="0" borderId="3" xfId="0" applyNumberFormat="1" applyFont="1" applyBorder="1" applyAlignment="1">
      <alignment horizontal="center"/>
    </xf>
    <xf numFmtId="3" fontId="23" fillId="37" borderId="3" xfId="22" quotePrefix="1" applyNumberFormat="1" applyFont="1" applyFill="1" applyBorder="1" applyAlignment="1">
      <alignment horizontal="center"/>
    </xf>
    <xf numFmtId="3" fontId="22" fillId="36" borderId="3" xfId="22" quotePrefix="1" applyNumberFormat="1" applyFont="1" applyFill="1" applyBorder="1" applyAlignment="1">
      <alignment horizontal="center"/>
    </xf>
    <xf numFmtId="3" fontId="22" fillId="0" borderId="3" xfId="22" quotePrefix="1" applyNumberFormat="1" applyFont="1" applyFill="1" applyBorder="1" applyAlignment="1">
      <alignment horizontal="center"/>
    </xf>
    <xf numFmtId="3" fontId="22" fillId="0" borderId="3" xfId="0" applyNumberFormat="1" applyFont="1" applyBorder="1" applyAlignment="1">
      <alignment horizontal="center"/>
    </xf>
    <xf numFmtId="3" fontId="22" fillId="36" borderId="3" xfId="97" applyNumberFormat="1" applyFont="1" applyFill="1" applyBorder="1" applyAlignment="1">
      <alignment horizontal="center"/>
    </xf>
    <xf numFmtId="3" fontId="22" fillId="0" borderId="3" xfId="97" applyNumberFormat="1" applyFont="1" applyFill="1" applyBorder="1" applyAlignment="1">
      <alignment horizontal="center"/>
    </xf>
    <xf numFmtId="3" fontId="22" fillId="0" borderId="3" xfId="97" quotePrefix="1" applyNumberFormat="1" applyFont="1" applyFill="1" applyBorder="1" applyAlignment="1">
      <alignment horizontal="center"/>
    </xf>
    <xf numFmtId="3" fontId="23" fillId="0" borderId="3" xfId="22" applyNumberFormat="1" applyFont="1" applyFill="1" applyBorder="1" applyAlignment="1">
      <alignment horizontal="center"/>
    </xf>
    <xf numFmtId="3" fontId="23" fillId="37" borderId="7" xfId="22" applyNumberFormat="1" applyFont="1" applyFill="1" applyBorder="1" applyAlignment="1">
      <alignment horizontal="center"/>
    </xf>
    <xf numFmtId="3" fontId="23" fillId="0" borderId="0" xfId="22" applyNumberFormat="1" applyFont="1" applyFill="1" applyBorder="1" applyAlignment="1">
      <alignment horizontal="center"/>
    </xf>
    <xf numFmtId="3" fontId="23" fillId="0" borderId="0" xfId="22" applyNumberFormat="1" applyFont="1" applyBorder="1" applyAlignment="1">
      <alignment horizontal="center"/>
    </xf>
    <xf numFmtId="0" fontId="162" fillId="0" borderId="0" xfId="0" applyFont="1"/>
    <xf numFmtId="0" fontId="22" fillId="36" borderId="0" xfId="100" applyFill="1" applyAlignment="1" applyProtection="1">
      <alignment horizontal="left" indent="1"/>
      <protection locked="0"/>
    </xf>
    <xf numFmtId="0" fontId="22" fillId="36" borderId="0" xfId="28" applyFont="1" applyFill="1" applyAlignment="1">
      <alignment horizontal="center"/>
    </xf>
    <xf numFmtId="167" fontId="22" fillId="36" borderId="0" xfId="22" applyNumberFormat="1" applyFont="1" applyFill="1"/>
    <xf numFmtId="10" fontId="54" fillId="36" borderId="0" xfId="0" applyNumberFormat="1" applyFont="1" applyFill="1" applyAlignment="1">
      <alignment horizontal="center"/>
    </xf>
    <xf numFmtId="165" fontId="0" fillId="0" borderId="0" xfId="0" applyNumberFormat="1" applyAlignment="1">
      <alignment horizontal="center"/>
    </xf>
    <xf numFmtId="165" fontId="29" fillId="0" borderId="0" xfId="0" applyNumberFormat="1" applyFont="1" applyAlignment="1">
      <alignment horizontal="center"/>
    </xf>
    <xf numFmtId="164" fontId="23" fillId="36" borderId="0" xfId="0" applyNumberFormat="1" applyFont="1" applyFill="1" applyAlignment="1">
      <alignment horizontal="center"/>
    </xf>
    <xf numFmtId="164" fontId="29" fillId="36" borderId="0" xfId="0" quotePrefix="1" applyNumberFormat="1" applyFont="1" applyFill="1" applyAlignment="1">
      <alignment horizontal="right"/>
    </xf>
    <xf numFmtId="164" fontId="22" fillId="0" borderId="0" xfId="0" quotePrefix="1" applyNumberFormat="1" applyFont="1" applyAlignment="1">
      <alignment horizontal="right"/>
    </xf>
    <xf numFmtId="164" fontId="29" fillId="0" borderId="0" xfId="0" quotePrefix="1" applyNumberFormat="1" applyFont="1" applyAlignment="1">
      <alignment horizontal="right"/>
    </xf>
    <xf numFmtId="164" fontId="22" fillId="36" borderId="0" xfId="53893" applyNumberFormat="1" applyFont="1" applyFill="1"/>
    <xf numFmtId="0" fontId="26" fillId="36" borderId="0" xfId="0" quotePrefix="1" applyFont="1" applyFill="1" applyAlignment="1">
      <alignment horizontal="center"/>
    </xf>
    <xf numFmtId="0" fontId="22" fillId="36" borderId="0" xfId="0" applyFont="1" applyFill="1" applyAlignment="1">
      <alignment horizontal="right"/>
    </xf>
    <xf numFmtId="0" fontId="22" fillId="36" borderId="3" xfId="0" quotePrefix="1" applyFont="1" applyFill="1" applyBorder="1" applyAlignment="1">
      <alignment horizontal="left"/>
    </xf>
    <xf numFmtId="0" fontId="22" fillId="36" borderId="4" xfId="0" applyFont="1" applyFill="1" applyBorder="1"/>
    <xf numFmtId="0" fontId="22" fillId="36" borderId="3" xfId="0" quotePrefix="1" applyFont="1" applyFill="1" applyBorder="1"/>
    <xf numFmtId="0" fontId="22" fillId="36" borderId="3" xfId="97" applyNumberFormat="1" applyFont="1" applyFill="1" applyBorder="1" applyAlignment="1">
      <alignment horizontal="left"/>
    </xf>
    <xf numFmtId="0" fontId="54" fillId="36" borderId="0" xfId="0" applyFont="1" applyFill="1" applyAlignment="1">
      <alignment horizontal="left"/>
    </xf>
    <xf numFmtId="164" fontId="22" fillId="36" borderId="0" xfId="96" applyNumberFormat="1" applyFont="1" applyFill="1" applyBorder="1" applyAlignment="1">
      <alignment horizontal="right"/>
    </xf>
    <xf numFmtId="10" fontId="54" fillId="36" borderId="0" xfId="100" applyNumberFormat="1" applyFont="1" applyFill="1"/>
    <xf numFmtId="164" fontId="54" fillId="36" borderId="0" xfId="0" applyNumberFormat="1" applyFont="1" applyFill="1" applyAlignment="1">
      <alignment wrapText="1"/>
    </xf>
    <xf numFmtId="164" fontId="54" fillId="36" borderId="0" xfId="19" applyNumberFormat="1" applyFont="1" applyFill="1" applyBorder="1"/>
    <xf numFmtId="37" fontId="53" fillId="36" borderId="3" xfId="97" quotePrefix="1" applyNumberFormat="1" applyFont="1" applyFill="1" applyBorder="1" applyAlignment="1">
      <alignment horizontal="center"/>
    </xf>
    <xf numFmtId="37" fontId="53" fillId="36" borderId="3" xfId="0" applyNumberFormat="1" applyFont="1" applyFill="1" applyBorder="1" applyAlignment="1">
      <alignment horizontal="center"/>
    </xf>
    <xf numFmtId="39" fontId="22" fillId="0" borderId="0" xfId="97" applyNumberFormat="1" applyFont="1" applyFill="1" applyBorder="1" applyAlignment="1">
      <alignment horizontal="right"/>
    </xf>
    <xf numFmtId="37" fontId="54" fillId="36" borderId="3" xfId="97" quotePrefix="1" applyNumberFormat="1" applyFont="1" applyFill="1" applyBorder="1" applyAlignment="1">
      <alignment horizontal="center"/>
    </xf>
    <xf numFmtId="0" fontId="55" fillId="36" borderId="0" xfId="0" applyFont="1" applyFill="1" applyAlignment="1">
      <alignment horizontal="center"/>
    </xf>
    <xf numFmtId="0" fontId="23" fillId="36" borderId="0" xfId="34" applyFont="1" applyFill="1" applyAlignment="1">
      <alignment horizontal="center"/>
    </xf>
    <xf numFmtId="10" fontId="22" fillId="0" borderId="0" xfId="0" applyNumberFormat="1" applyFont="1" applyAlignment="1">
      <alignment horizontal="left" indent="1"/>
    </xf>
    <xf numFmtId="0" fontId="22" fillId="36" borderId="0" xfId="28" applyFont="1" applyFill="1" applyAlignment="1">
      <alignment horizontal="left"/>
    </xf>
    <xf numFmtId="5" fontId="22" fillId="0" borderId="0" xfId="0" quotePrefix="1" applyNumberFormat="1" applyFont="1" applyAlignment="1">
      <alignment horizontal="right"/>
    </xf>
    <xf numFmtId="5" fontId="29" fillId="0" borderId="0" xfId="0" quotePrefix="1" applyNumberFormat="1" applyFont="1" applyAlignment="1">
      <alignment horizontal="right"/>
    </xf>
    <xf numFmtId="167" fontId="22" fillId="0" borderId="0" xfId="97" applyNumberFormat="1" applyFont="1" applyFill="1"/>
    <xf numFmtId="167" fontId="22" fillId="0" borderId="0" xfId="97" applyNumberFormat="1" applyFont="1"/>
    <xf numFmtId="0" fontId="163" fillId="0" borderId="0" xfId="100" applyFont="1" applyAlignment="1">
      <alignment horizontal="center"/>
    </xf>
    <xf numFmtId="0" fontId="53" fillId="0" borderId="0" xfId="0" quotePrefix="1" applyFont="1"/>
    <xf numFmtId="164" fontId="53" fillId="0" borderId="0" xfId="0" applyNumberFormat="1" applyFont="1"/>
    <xf numFmtId="39" fontId="22" fillId="0" borderId="0" xfId="97" applyNumberFormat="1" applyFont="1" applyBorder="1" applyAlignment="1">
      <alignment horizontal="center"/>
    </xf>
    <xf numFmtId="0" fontId="58" fillId="0" borderId="0" xfId="28" applyFont="1"/>
    <xf numFmtId="167" fontId="53" fillId="0" borderId="0" xfId="28" applyNumberFormat="1" applyFont="1"/>
    <xf numFmtId="0" fontId="58" fillId="0" borderId="0" xfId="39" applyNumberFormat="1" applyFont="1" applyFill="1" applyBorder="1" applyAlignment="1">
      <alignment horizontal="center" wrapText="1"/>
    </xf>
    <xf numFmtId="167" fontId="53" fillId="0" borderId="0" xfId="22" applyNumberFormat="1" applyFont="1" applyBorder="1"/>
    <xf numFmtId="167" fontId="53" fillId="0" borderId="0" xfId="22" applyNumberFormat="1" applyFont="1" applyFill="1" applyBorder="1"/>
    <xf numFmtId="0" fontId="53" fillId="0" borderId="0" xfId="28" applyFont="1"/>
    <xf numFmtId="0" fontId="53" fillId="0" borderId="0" xfId="0" applyFont="1" applyAlignment="1">
      <alignment horizontal="left" indent="3"/>
    </xf>
    <xf numFmtId="0" fontId="23" fillId="0" borderId="6" xfId="28" applyFont="1" applyBorder="1"/>
    <xf numFmtId="0" fontId="23" fillId="0" borderId="9" xfId="0" applyFont="1" applyBorder="1" applyAlignment="1">
      <alignment horizontal="center"/>
    </xf>
    <xf numFmtId="0" fontId="23" fillId="0" borderId="4" xfId="0" applyFont="1" applyBorder="1"/>
    <xf numFmtId="167" fontId="22" fillId="0" borderId="4" xfId="28" applyNumberFormat="1" applyFont="1" applyBorder="1"/>
    <xf numFmtId="0" fontId="53" fillId="0" borderId="0" xfId="0" applyFont="1" applyAlignment="1">
      <alignment horizontal="left"/>
    </xf>
    <xf numFmtId="164" fontId="22" fillId="0" borderId="8" xfId="28" applyNumberFormat="1" applyFont="1" applyBorder="1"/>
    <xf numFmtId="0" fontId="53" fillId="0" borderId="0" xfId="0" applyFont="1" applyAlignment="1">
      <alignment horizontal="center"/>
    </xf>
    <xf numFmtId="164" fontId="70" fillId="0" borderId="0" xfId="0" applyNumberFormat="1" applyFont="1"/>
    <xf numFmtId="0" fontId="53" fillId="0" borderId="0" xfId="0" quotePrefix="1" applyFont="1" applyAlignment="1">
      <alignment horizontal="center"/>
    </xf>
    <xf numFmtId="167" fontId="23" fillId="0" borderId="0" xfId="97" applyNumberFormat="1" applyFont="1" applyFill="1"/>
    <xf numFmtId="3" fontId="53" fillId="0" borderId="0" xfId="0" applyNumberFormat="1" applyFont="1"/>
    <xf numFmtId="167" fontId="171" fillId="0" borderId="0" xfId="28" applyNumberFormat="1" applyFont="1"/>
    <xf numFmtId="0" fontId="171" fillId="0" borderId="0" xfId="0" applyFont="1"/>
    <xf numFmtId="0" fontId="158" fillId="0" borderId="0" xfId="0" applyFont="1"/>
    <xf numFmtId="39" fontId="171" fillId="0" borderId="0" xfId="97" applyNumberFormat="1" applyFont="1" applyBorder="1" applyAlignment="1">
      <alignment horizontal="center"/>
    </xf>
    <xf numFmtId="0" fontId="171" fillId="0" borderId="0" xfId="0" applyFont="1" applyAlignment="1">
      <alignment horizontal="center"/>
    </xf>
    <xf numFmtId="164" fontId="171" fillId="0" borderId="0" xfId="0" applyNumberFormat="1" applyFont="1"/>
    <xf numFmtId="39" fontId="58" fillId="36" borderId="3" xfId="22" quotePrefix="1" applyNumberFormat="1" applyFont="1" applyFill="1" applyBorder="1" applyAlignment="1">
      <alignment horizontal="center"/>
    </xf>
    <xf numFmtId="37" fontId="58" fillId="36" borderId="3" xfId="22" quotePrefix="1" applyNumberFormat="1" applyFont="1" applyFill="1" applyBorder="1" applyAlignment="1">
      <alignment horizontal="center"/>
    </xf>
    <xf numFmtId="37" fontId="58" fillId="0" borderId="0" xfId="22" quotePrefix="1" applyNumberFormat="1" applyFont="1" applyFill="1" applyBorder="1" applyAlignment="1">
      <alignment horizontal="center"/>
    </xf>
    <xf numFmtId="39" fontId="58" fillId="0" borderId="0" xfId="22" quotePrefix="1" applyNumberFormat="1" applyFont="1" applyFill="1" applyBorder="1" applyAlignment="1">
      <alignment horizontal="center"/>
    </xf>
    <xf numFmtId="0" fontId="0" fillId="0" borderId="0" xfId="0" applyAlignment="1">
      <alignment wrapText="1"/>
    </xf>
    <xf numFmtId="3" fontId="23" fillId="0" borderId="0" xfId="97" applyNumberFormat="1" applyFont="1" applyFill="1" applyBorder="1" applyAlignment="1">
      <alignment horizontal="center"/>
    </xf>
    <xf numFmtId="39" fontId="53" fillId="0" borderId="0" xfId="22" applyNumberFormat="1" applyFont="1" applyBorder="1" applyAlignment="1">
      <alignment horizontal="center"/>
    </xf>
    <xf numFmtId="39" fontId="53" fillId="0" borderId="0" xfId="22" applyNumberFormat="1" applyFont="1" applyFill="1" applyBorder="1" applyAlignment="1">
      <alignment horizontal="center"/>
    </xf>
    <xf numFmtId="176" fontId="53" fillId="0" borderId="0" xfId="22" applyFont="1" applyBorder="1" applyAlignment="1">
      <alignment horizontal="center"/>
    </xf>
    <xf numFmtId="39" fontId="58" fillId="37" borderId="3" xfId="22" applyNumberFormat="1" applyFont="1" applyFill="1" applyBorder="1" applyAlignment="1">
      <alignment horizontal="center"/>
    </xf>
    <xf numFmtId="3" fontId="58" fillId="0" borderId="0" xfId="22" applyNumberFormat="1" applyFont="1" applyFill="1" applyBorder="1" applyAlignment="1">
      <alignment horizontal="center"/>
    </xf>
    <xf numFmtId="3" fontId="58" fillId="0" borderId="0" xfId="22" applyNumberFormat="1" applyFont="1" applyBorder="1" applyAlignment="1">
      <alignment horizontal="center"/>
    </xf>
    <xf numFmtId="39" fontId="58" fillId="0" borderId="0" xfId="22" applyNumberFormat="1" applyFont="1" applyFill="1" applyBorder="1" applyAlignment="1">
      <alignment horizontal="center"/>
    </xf>
    <xf numFmtId="39" fontId="58" fillId="0" borderId="0" xfId="22" applyNumberFormat="1" applyFont="1" applyBorder="1" applyAlignment="1">
      <alignment horizontal="center"/>
    </xf>
    <xf numFmtId="3" fontId="58" fillId="37" borderId="3" xfId="22" applyNumberFormat="1" applyFont="1" applyFill="1" applyBorder="1" applyAlignment="1">
      <alignment horizontal="center"/>
    </xf>
    <xf numFmtId="0" fontId="53" fillId="36" borderId="3" xfId="0" quotePrefix="1" applyFont="1" applyFill="1" applyBorder="1" applyAlignment="1">
      <alignment horizontal="center"/>
    </xf>
    <xf numFmtId="0" fontId="53" fillId="36" borderId="3" xfId="0" quotePrefix="1" applyFont="1" applyFill="1" applyBorder="1"/>
    <xf numFmtId="0" fontId="163" fillId="0" borderId="0" xfId="100" applyFont="1"/>
    <xf numFmtId="167" fontId="163" fillId="0" borderId="0" xfId="97" applyNumberFormat="1" applyFont="1" applyFill="1" applyAlignment="1">
      <alignment horizontal="center"/>
    </xf>
    <xf numFmtId="168" fontId="22" fillId="0" borderId="0" xfId="0" applyNumberFormat="1" applyFont="1" applyAlignment="1">
      <alignment horizontal="right"/>
    </xf>
    <xf numFmtId="172" fontId="22" fillId="0" borderId="0" xfId="0" applyNumberFormat="1" applyFont="1" applyAlignment="1">
      <alignment horizontal="right"/>
    </xf>
    <xf numFmtId="168" fontId="22" fillId="0" borderId="0" xfId="0" applyNumberFormat="1" applyFont="1"/>
    <xf numFmtId="165" fontId="22" fillId="0" borderId="0" xfId="0" applyNumberFormat="1" applyFont="1" applyAlignment="1">
      <alignment horizontal="left" indent="1"/>
    </xf>
    <xf numFmtId="164" fontId="22" fillId="0" borderId="62" xfId="0" applyNumberFormat="1" applyFont="1" applyBorder="1"/>
    <xf numFmtId="167" fontId="22" fillId="0" borderId="0" xfId="19" applyNumberFormat="1" applyFont="1" applyBorder="1"/>
    <xf numFmtId="171" fontId="22" fillId="0" borderId="0" xfId="37" applyNumberFormat="1" applyFont="1" applyBorder="1" applyAlignment="1">
      <alignment horizontal="left" indent="3"/>
    </xf>
    <xf numFmtId="10" fontId="22" fillId="0" borderId="0" xfId="37" applyNumberFormat="1" applyFont="1" applyBorder="1" applyAlignment="1">
      <alignment horizontal="center"/>
    </xf>
    <xf numFmtId="164" fontId="22" fillId="0" borderId="0" xfId="19" applyNumberFormat="1" applyFont="1" applyBorder="1"/>
    <xf numFmtId="41" fontId="22" fillId="0" borderId="0" xfId="19" applyNumberFormat="1" applyFont="1" applyBorder="1"/>
    <xf numFmtId="10" fontId="22" fillId="0" borderId="0" xfId="37" applyNumberFormat="1" applyFont="1" applyFill="1" applyBorder="1" applyAlignment="1">
      <alignment horizontal="center"/>
    </xf>
    <xf numFmtId="164" fontId="22" fillId="0" borderId="0" xfId="19" applyNumberFormat="1" applyFont="1" applyBorder="1" applyAlignment="1">
      <alignment horizontal="left" indent="1"/>
    </xf>
    <xf numFmtId="164" fontId="22" fillId="0" borderId="62" xfId="96" applyNumberFormat="1" applyFont="1" applyBorder="1"/>
    <xf numFmtId="164" fontId="22" fillId="0" borderId="62" xfId="96" applyNumberFormat="1" applyFont="1" applyFill="1" applyBorder="1"/>
    <xf numFmtId="164" fontId="22" fillId="36" borderId="8" xfId="0" applyNumberFormat="1" applyFont="1" applyFill="1" applyBorder="1"/>
    <xf numFmtId="164" fontId="22" fillId="0" borderId="0" xfId="20" applyNumberFormat="1" applyFont="1" applyFill="1" applyBorder="1" applyAlignment="1">
      <alignment horizontal="right"/>
    </xf>
    <xf numFmtId="167" fontId="22" fillId="0" borderId="0" xfId="20" applyNumberFormat="1" applyFont="1" applyFill="1" applyBorder="1" applyAlignment="1">
      <alignment horizontal="right"/>
    </xf>
    <xf numFmtId="0" fontId="22" fillId="37" borderId="3" xfId="0" applyFont="1" applyFill="1" applyBorder="1" applyAlignment="1">
      <alignment horizontal="center"/>
    </xf>
    <xf numFmtId="0" fontId="22" fillId="37" borderId="3" xfId="0" applyFont="1" applyFill="1" applyBorder="1"/>
    <xf numFmtId="39" fontId="22" fillId="37" borderId="3" xfId="22" applyNumberFormat="1" applyFont="1" applyFill="1" applyBorder="1" applyAlignment="1">
      <alignment horizontal="center"/>
    </xf>
    <xf numFmtId="39" fontId="22" fillId="0" borderId="3" xfId="22" applyNumberFormat="1" applyFont="1" applyBorder="1" applyAlignment="1">
      <alignment horizontal="center" wrapText="1"/>
    </xf>
    <xf numFmtId="37" fontId="22" fillId="0" borderId="3" xfId="22" quotePrefix="1" applyNumberFormat="1" applyFont="1" applyFill="1" applyBorder="1" applyAlignment="1">
      <alignment horizontal="center"/>
    </xf>
    <xf numFmtId="39" fontId="22" fillId="0" borderId="3" xfId="22" quotePrefix="1" applyNumberFormat="1" applyFont="1" applyFill="1" applyBorder="1" applyAlignment="1">
      <alignment horizontal="center"/>
    </xf>
    <xf numFmtId="39" fontId="22" fillId="36" borderId="4" xfId="22" quotePrefix="1" applyNumberFormat="1" applyFont="1" applyFill="1" applyBorder="1" applyAlignment="1">
      <alignment horizontal="center"/>
    </xf>
    <xf numFmtId="39" fontId="22" fillId="36" borderId="3" xfId="22" quotePrefix="1" applyNumberFormat="1" applyFont="1" applyFill="1" applyBorder="1" applyAlignment="1">
      <alignment horizontal="center"/>
    </xf>
    <xf numFmtId="3" fontId="22" fillId="0" borderId="3" xfId="22" applyNumberFormat="1" applyFont="1" applyFill="1" applyBorder="1" applyAlignment="1">
      <alignment horizontal="center"/>
    </xf>
    <xf numFmtId="37" fontId="22" fillId="0" borderId="0" xfId="0" applyNumberFormat="1" applyFont="1" applyAlignment="1">
      <alignment horizontal="center"/>
    </xf>
    <xf numFmtId="37" fontId="22" fillId="0" borderId="3" xfId="22" applyNumberFormat="1" applyFont="1" applyFill="1" applyBorder="1" applyAlignment="1">
      <alignment horizontal="center"/>
    </xf>
    <xf numFmtId="37" fontId="22" fillId="36" borderId="3" xfId="22" applyNumberFormat="1" applyFont="1" applyFill="1" applyBorder="1" applyAlignment="1">
      <alignment horizontal="center"/>
    </xf>
    <xf numFmtId="39" fontId="22" fillId="0" borderId="0" xfId="22" applyNumberFormat="1" applyFont="1" applyBorder="1" applyAlignment="1">
      <alignment horizontal="center"/>
    </xf>
    <xf numFmtId="39" fontId="22" fillId="0" borderId="0" xfId="22" applyNumberFormat="1" applyFont="1" applyFill="1" applyBorder="1" applyAlignment="1">
      <alignment horizontal="center"/>
    </xf>
    <xf numFmtId="176" fontId="22" fillId="0" borderId="0" xfId="22" applyFont="1" applyBorder="1" applyAlignment="1">
      <alignment horizontal="center"/>
    </xf>
    <xf numFmtId="0" fontId="22" fillId="36" borderId="6" xfId="0" applyFont="1" applyFill="1" applyBorder="1"/>
    <xf numFmtId="39" fontId="22" fillId="36" borderId="3" xfId="22" applyNumberFormat="1" applyFont="1" applyFill="1" applyBorder="1" applyAlignment="1">
      <alignment horizontal="center"/>
    </xf>
    <xf numFmtId="39" fontId="22" fillId="36" borderId="3" xfId="0" applyNumberFormat="1" applyFont="1" applyFill="1" applyBorder="1" applyAlignment="1">
      <alignment horizontal="center"/>
    </xf>
    <xf numFmtId="39" fontId="22" fillId="0" borderId="0" xfId="22" quotePrefix="1" applyNumberFormat="1" applyFont="1" applyBorder="1" applyAlignment="1">
      <alignment horizontal="center"/>
    </xf>
    <xf numFmtId="39" fontId="22" fillId="0" borderId="0" xfId="22" quotePrefix="1" applyNumberFormat="1" applyFont="1" applyFill="1" applyBorder="1" applyAlignment="1">
      <alignment horizontal="center"/>
    </xf>
    <xf numFmtId="0" fontId="22" fillId="37" borderId="3" xfId="0" quotePrefix="1" applyFont="1" applyFill="1" applyBorder="1"/>
    <xf numFmtId="39" fontId="22" fillId="0" borderId="3" xfId="22" applyNumberFormat="1" applyFont="1" applyBorder="1" applyAlignment="1">
      <alignment horizontal="right"/>
    </xf>
    <xf numFmtId="49" fontId="22" fillId="0" borderId="0" xfId="22" applyNumberFormat="1" applyFont="1" applyBorder="1" applyAlignment="1">
      <alignment horizontal="left"/>
    </xf>
    <xf numFmtId="39" fontId="22" fillId="0" borderId="3" xfId="22" quotePrefix="1" applyNumberFormat="1" applyFont="1" applyBorder="1" applyAlignment="1">
      <alignment horizontal="center"/>
    </xf>
    <xf numFmtId="49" fontId="22" fillId="0" borderId="0" xfId="22" quotePrefix="1" applyNumberFormat="1" applyFont="1" applyFill="1" applyBorder="1" applyAlignment="1">
      <alignment horizontal="left"/>
    </xf>
    <xf numFmtId="49" fontId="22" fillId="0" borderId="0" xfId="0" applyNumberFormat="1" applyFont="1" applyAlignment="1">
      <alignment horizontal="left"/>
    </xf>
    <xf numFmtId="10" fontId="22" fillId="0" borderId="3" xfId="38" applyNumberFormat="1" applyFont="1" applyFill="1" applyBorder="1" applyAlignment="1">
      <alignment horizontal="center"/>
    </xf>
    <xf numFmtId="176" fontId="22" fillId="0" borderId="0" xfId="22" applyFont="1" applyFill="1" applyBorder="1" applyAlignment="1">
      <alignment horizontal="center"/>
    </xf>
    <xf numFmtId="39" fontId="22" fillId="0" borderId="0" xfId="19" applyNumberFormat="1" applyFont="1" applyFill="1" applyBorder="1" applyAlignment="1">
      <alignment horizontal="center"/>
    </xf>
    <xf numFmtId="39" fontId="22" fillId="0" borderId="0" xfId="19" applyNumberFormat="1" applyFont="1" applyBorder="1" applyAlignment="1">
      <alignment horizontal="center"/>
    </xf>
    <xf numFmtId="164" fontId="22" fillId="0" borderId="0" xfId="19" applyNumberFormat="1" applyFont="1" applyBorder="1" applyAlignment="1">
      <alignment horizontal="center"/>
    </xf>
    <xf numFmtId="164" fontId="22" fillId="0" borderId="0" xfId="19" applyNumberFormat="1" applyFont="1" applyBorder="1" applyAlignment="1">
      <alignment horizontal="right"/>
    </xf>
    <xf numFmtId="39" fontId="22" fillId="36" borderId="0" xfId="22" applyNumberFormat="1" applyFont="1" applyFill="1" applyBorder="1" applyAlignment="1">
      <alignment horizontal="center"/>
    </xf>
    <xf numFmtId="164" fontId="22" fillId="0" borderId="0" xfId="0" applyNumberFormat="1" applyFont="1" applyAlignment="1">
      <alignment horizontal="right" indent="1"/>
    </xf>
    <xf numFmtId="164" fontId="22" fillId="0" borderId="0" xfId="20" applyNumberFormat="1" applyFont="1" applyFill="1"/>
    <xf numFmtId="41" fontId="22" fillId="0" borderId="0" xfId="20" applyNumberFormat="1" applyFont="1" applyFill="1"/>
    <xf numFmtId="41" fontId="22" fillId="0" borderId="0" xfId="20" applyNumberFormat="1" applyFont="1"/>
    <xf numFmtId="41" fontId="22" fillId="0" borderId="0" xfId="20" applyNumberFormat="1" applyFont="1" applyAlignment="1" applyProtection="1">
      <alignment horizontal="right" indent="2"/>
    </xf>
    <xf numFmtId="42" fontId="22" fillId="0" borderId="0" xfId="20" applyNumberFormat="1" applyFont="1" applyFill="1" applyBorder="1"/>
    <xf numFmtId="42" fontId="22" fillId="0" borderId="0" xfId="20" applyNumberFormat="1" applyFont="1" applyBorder="1"/>
    <xf numFmtId="164" fontId="22" fillId="0" borderId="0" xfId="20" applyNumberFormat="1" applyFont="1" applyFill="1" applyBorder="1"/>
    <xf numFmtId="164" fontId="22" fillId="0" borderId="0" xfId="20" applyNumberFormat="1" applyFont="1" applyBorder="1"/>
    <xf numFmtId="10" fontId="22" fillId="0" borderId="0" xfId="39" applyNumberFormat="1" applyFont="1" applyFill="1" applyBorder="1" applyAlignment="1">
      <alignment vertical="center"/>
    </xf>
    <xf numFmtId="10" fontId="22" fillId="0" borderId="0" xfId="39" applyNumberFormat="1" applyFont="1" applyFill="1" applyBorder="1"/>
    <xf numFmtId="164" fontId="22" fillId="0" borderId="0" xfId="39" applyNumberFormat="1" applyFont="1" applyFill="1"/>
    <xf numFmtId="42" fontId="22" fillId="0" borderId="0" xfId="20" applyNumberFormat="1" applyFont="1" applyFill="1"/>
    <xf numFmtId="42" fontId="22" fillId="0" borderId="0" xfId="39" applyNumberFormat="1" applyFont="1" applyFill="1"/>
    <xf numFmtId="0" fontId="172" fillId="0" borderId="0" xfId="0" applyFont="1"/>
    <xf numFmtId="164" fontId="29" fillId="0" borderId="0" xfId="0" quotePrefix="1" applyNumberFormat="1" applyFont="1"/>
    <xf numFmtId="0" fontId="23" fillId="0" borderId="61" xfId="19" applyNumberFormat="1" applyFont="1" applyBorder="1" applyAlignment="1">
      <alignment horizontal="center" vertical="center" wrapText="1"/>
    </xf>
    <xf numFmtId="0" fontId="23" fillId="0" borderId="17" xfId="19" applyNumberFormat="1" applyFont="1" applyBorder="1" applyAlignment="1">
      <alignment horizontal="center" vertical="center" wrapText="1"/>
    </xf>
    <xf numFmtId="0" fontId="0" fillId="0" borderId="0" xfId="19" applyNumberFormat="1" applyFont="1"/>
    <xf numFmtId="0" fontId="29" fillId="0" borderId="0" xfId="19" applyNumberFormat="1" applyFont="1"/>
    <xf numFmtId="0" fontId="22" fillId="0" borderId="0" xfId="19" applyNumberFormat="1" applyFont="1" applyBorder="1" applyAlignment="1">
      <alignment horizontal="left" indent="1"/>
    </xf>
    <xf numFmtId="0" fontId="22" fillId="0" borderId="0" xfId="19" applyNumberFormat="1" applyFont="1"/>
    <xf numFmtId="0" fontId="22" fillId="36" borderId="0" xfId="19" applyNumberFormat="1" applyFont="1" applyFill="1"/>
    <xf numFmtId="0" fontId="22" fillId="0" borderId="0" xfId="19" applyNumberFormat="1" applyFont="1" applyBorder="1"/>
    <xf numFmtId="0" fontId="36" fillId="0" borderId="0" xfId="0" applyFont="1"/>
    <xf numFmtId="0" fontId="174" fillId="0" borderId="0" xfId="0" applyFont="1"/>
    <xf numFmtId="5" fontId="54" fillId="0" borderId="0" xfId="19" applyNumberFormat="1" applyFont="1" applyBorder="1"/>
    <xf numFmtId="0" fontId="23" fillId="0" borderId="0" xfId="19" applyNumberFormat="1" applyFont="1" applyAlignment="1">
      <alignment horizontal="center"/>
    </xf>
    <xf numFmtId="167" fontId="22" fillId="0" borderId="0" xfId="19" applyNumberFormat="1" applyFont="1" applyAlignment="1">
      <alignment horizontal="center"/>
    </xf>
    <xf numFmtId="168" fontId="22" fillId="0" borderId="0" xfId="0" quotePrefix="1" applyNumberFormat="1" applyFont="1" applyAlignment="1">
      <alignment horizontal="right"/>
    </xf>
    <xf numFmtId="0" fontId="23" fillId="0" borderId="61" xfId="19" applyNumberFormat="1" applyFont="1" applyFill="1" applyBorder="1" applyAlignment="1">
      <alignment horizontal="center" vertical="center" wrapText="1"/>
    </xf>
    <xf numFmtId="0" fontId="26" fillId="0" borderId="0" xfId="19" applyNumberFormat="1" applyFont="1"/>
    <xf numFmtId="0" fontId="22" fillId="0" borderId="0" xfId="19" applyNumberFormat="1" applyFont="1" applyAlignment="1"/>
    <xf numFmtId="0" fontId="22" fillId="0" borderId="0" xfId="19" applyNumberFormat="1" applyFont="1" applyAlignment="1">
      <alignment horizontal="left" indent="1"/>
    </xf>
    <xf numFmtId="0" fontId="23" fillId="0" borderId="3" xfId="28" applyFont="1" applyBorder="1" applyAlignment="1">
      <alignment horizontal="center" wrapText="1"/>
    </xf>
    <xf numFmtId="164" fontId="22" fillId="0" borderId="0" xfId="28" quotePrefix="1" applyNumberFormat="1" applyFont="1" applyAlignment="1">
      <alignment horizontal="right"/>
    </xf>
    <xf numFmtId="39" fontId="23" fillId="0" borderId="3" xfId="22" quotePrefix="1" applyNumberFormat="1" applyFont="1" applyBorder="1" applyAlignment="1">
      <alignment horizontal="center"/>
    </xf>
    <xf numFmtId="39" fontId="23" fillId="0" borderId="3" xfId="22" quotePrefix="1" applyNumberFormat="1" applyFont="1" applyFill="1" applyBorder="1" applyAlignment="1">
      <alignment horizontal="center"/>
    </xf>
    <xf numFmtId="0" fontId="22" fillId="0" borderId="5" xfId="0" quotePrefix="1" applyFont="1" applyBorder="1" applyAlignment="1">
      <alignment horizontal="center"/>
    </xf>
    <xf numFmtId="3" fontId="23" fillId="36" borderId="5" xfId="97" quotePrefix="1" applyNumberFormat="1" applyFont="1" applyFill="1" applyBorder="1" applyAlignment="1">
      <alignment horizontal="center"/>
    </xf>
    <xf numFmtId="0" fontId="23" fillId="36" borderId="3" xfId="0" applyFont="1" applyFill="1" applyBorder="1" applyAlignment="1">
      <alignment horizontal="center"/>
    </xf>
    <xf numFmtId="0" fontId="22" fillId="36" borderId="0" xfId="100" applyFill="1" applyAlignment="1">
      <alignment horizontal="left" indent="1"/>
    </xf>
    <xf numFmtId="164" fontId="29" fillId="36" borderId="8" xfId="0" applyNumberFormat="1" applyFont="1" applyFill="1" applyBorder="1"/>
    <xf numFmtId="0" fontId="22" fillId="36" borderId="8" xfId="0" applyFont="1" applyFill="1" applyBorder="1"/>
    <xf numFmtId="164" fontId="29" fillId="0" borderId="0" xfId="100" applyNumberFormat="1" applyFont="1" applyAlignment="1">
      <alignment horizontal="right"/>
    </xf>
    <xf numFmtId="0" fontId="29" fillId="0" borderId="0" xfId="100" applyFont="1"/>
    <xf numFmtId="0" fontId="29" fillId="0" borderId="0" xfId="100" applyFont="1" applyAlignment="1">
      <alignment horizontal="left" indent="1"/>
    </xf>
    <xf numFmtId="164" fontId="29" fillId="0" borderId="8" xfId="100" applyNumberFormat="1" applyFont="1" applyBorder="1" applyAlignment="1">
      <alignment horizontal="right"/>
    </xf>
    <xf numFmtId="0" fontId="175" fillId="0" borderId="0" xfId="0" applyFont="1" applyAlignment="1">
      <alignment horizontal="left" indent="1"/>
    </xf>
    <xf numFmtId="0" fontId="175" fillId="0" borderId="0" xfId="0" applyFont="1"/>
    <xf numFmtId="167" fontId="23" fillId="0" borderId="0" xfId="19" applyNumberFormat="1" applyFont="1"/>
    <xf numFmtId="167" fontId="55" fillId="0" borderId="0" xfId="19" applyNumberFormat="1" applyFont="1" applyAlignment="1">
      <alignment horizontal="center"/>
    </xf>
    <xf numFmtId="10" fontId="22" fillId="0" borderId="0" xfId="0" applyNumberFormat="1" applyFont="1" applyAlignment="1">
      <alignment horizontal="right"/>
    </xf>
    <xf numFmtId="0" fontId="51" fillId="0" borderId="0" xfId="0" applyFont="1"/>
    <xf numFmtId="164" fontId="22" fillId="0" borderId="8" xfId="100" applyNumberFormat="1" applyBorder="1" applyAlignment="1">
      <alignment horizontal="right"/>
    </xf>
    <xf numFmtId="167" fontId="54" fillId="0" borderId="67" xfId="19" applyNumberFormat="1" applyFont="1" applyBorder="1" applyAlignment="1">
      <alignment horizontal="center"/>
    </xf>
    <xf numFmtId="0" fontId="22" fillId="0" borderId="6" xfId="0" quotePrefix="1" applyFont="1" applyBorder="1" applyAlignment="1">
      <alignment horizontal="left"/>
    </xf>
    <xf numFmtId="0" fontId="54" fillId="0" borderId="3" xfId="0" quotePrefix="1" applyFont="1" applyBorder="1" applyAlignment="1">
      <alignment horizontal="center"/>
    </xf>
    <xf numFmtId="37" fontId="22" fillId="0" borderId="3" xfId="97" applyNumberFormat="1" applyFont="1" applyFill="1" applyBorder="1" applyAlignment="1">
      <alignment horizontal="center"/>
    </xf>
    <xf numFmtId="164" fontId="22" fillId="0" borderId="8" xfId="108" applyNumberFormat="1" applyBorder="1" applyAlignment="1">
      <alignment horizontal="center"/>
    </xf>
    <xf numFmtId="164" fontId="22" fillId="0" borderId="0" xfId="108" applyNumberFormat="1" applyAlignment="1">
      <alignment horizontal="center"/>
    </xf>
    <xf numFmtId="167" fontId="22" fillId="36" borderId="0" xfId="19" applyNumberFormat="1" applyFont="1" applyFill="1"/>
    <xf numFmtId="0" fontId="176" fillId="36" borderId="0" xfId="0" applyFont="1" applyFill="1" applyAlignment="1">
      <alignment horizontal="center"/>
    </xf>
    <xf numFmtId="2" fontId="25" fillId="34" borderId="0" xfId="35" applyNumberFormat="1" applyFill="1" applyAlignment="1">
      <alignment horizontal="left"/>
    </xf>
    <xf numFmtId="179" fontId="25" fillId="34" borderId="0" xfId="35" quotePrefix="1" applyNumberFormat="1" applyFill="1" applyAlignment="1">
      <alignment horizontal="left"/>
    </xf>
    <xf numFmtId="179" fontId="25" fillId="34" borderId="0" xfId="35" applyNumberFormat="1" applyFill="1" applyAlignment="1">
      <alignment horizontal="left"/>
    </xf>
    <xf numFmtId="179" fontId="25" fillId="36" borderId="0" xfId="35" applyNumberFormat="1" applyFill="1" applyAlignment="1">
      <alignment horizontal="left"/>
    </xf>
    <xf numFmtId="0" fontId="25" fillId="36" borderId="0" xfId="35" applyFill="1" applyAlignment="1">
      <alignment horizontal="left" vertical="top" indent="1"/>
    </xf>
    <xf numFmtId="0" fontId="25" fillId="36" borderId="0" xfId="35" applyFill="1" applyAlignment="1">
      <alignment horizontal="left" vertical="top" indent="2"/>
    </xf>
    <xf numFmtId="179" fontId="25" fillId="36" borderId="0" xfId="35" quotePrefix="1" applyNumberFormat="1" applyFill="1" applyAlignment="1">
      <alignment horizontal="left"/>
    </xf>
    <xf numFmtId="5" fontId="22" fillId="36" borderId="0" xfId="97" applyNumberFormat="1" applyFont="1" applyFill="1" applyBorder="1"/>
    <xf numFmtId="5" fontId="22" fillId="36" borderId="0" xfId="97" applyNumberFormat="1" applyFont="1" applyFill="1" applyBorder="1" applyAlignment="1">
      <alignment horizontal="center"/>
    </xf>
    <xf numFmtId="0" fontId="177" fillId="0" borderId="0" xfId="0" applyFont="1" applyAlignment="1">
      <alignment horizontal="left"/>
    </xf>
    <xf numFmtId="0" fontId="177" fillId="0" borderId="0" xfId="0" applyFont="1"/>
    <xf numFmtId="0" fontId="177" fillId="0" borderId="0" xfId="0" applyFont="1" applyAlignment="1">
      <alignment horizontal="center"/>
    </xf>
    <xf numFmtId="37" fontId="23" fillId="36" borderId="3" xfId="97" applyNumberFormat="1" applyFont="1" applyFill="1" applyBorder="1" applyAlignment="1">
      <alignment horizontal="center"/>
    </xf>
    <xf numFmtId="3" fontId="23" fillId="36" borderId="3" xfId="97" applyNumberFormat="1" applyFont="1" applyFill="1" applyBorder="1" applyAlignment="1">
      <alignment horizontal="center"/>
    </xf>
    <xf numFmtId="167" fontId="22" fillId="36" borderId="0" xfId="19" applyNumberFormat="1" applyFill="1"/>
    <xf numFmtId="167" fontId="54" fillId="0" borderId="0" xfId="19" applyNumberFormat="1" applyFont="1" applyAlignment="1">
      <alignment horizontal="left"/>
    </xf>
    <xf numFmtId="164" fontId="22" fillId="34" borderId="0" xfId="19" applyNumberFormat="1" applyFont="1" applyFill="1"/>
    <xf numFmtId="164" fontId="25" fillId="0" borderId="0" xfId="34" applyNumberFormat="1"/>
    <xf numFmtId="164" fontId="59" fillId="36" borderId="0" xfId="19" applyNumberFormat="1" applyFont="1" applyFill="1" applyBorder="1"/>
    <xf numFmtId="3" fontId="22" fillId="36" borderId="4" xfId="97" quotePrefix="1" applyNumberFormat="1" applyFont="1" applyFill="1" applyBorder="1" applyAlignment="1">
      <alignment horizontal="center"/>
    </xf>
    <xf numFmtId="164" fontId="54" fillId="0" borderId="0" xfId="125" applyNumberFormat="1" applyFont="1"/>
    <xf numFmtId="165" fontId="54" fillId="34" borderId="0" xfId="0" applyNumberFormat="1" applyFont="1" applyFill="1" applyAlignment="1">
      <alignment wrapText="1"/>
    </xf>
    <xf numFmtId="206" fontId="22" fillId="0" borderId="0" xfId="0" applyNumberFormat="1" applyFont="1"/>
    <xf numFmtId="168" fontId="0" fillId="0" borderId="0" xfId="0" applyNumberFormat="1"/>
    <xf numFmtId="164" fontId="54" fillId="36" borderId="0" xfId="0" applyNumberFormat="1" applyFont="1" applyFill="1" applyAlignment="1">
      <alignment horizontal="right"/>
    </xf>
    <xf numFmtId="164" fontId="36" fillId="0" borderId="0" xfId="0" quotePrefix="1" applyNumberFormat="1" applyFont="1" applyAlignment="1">
      <alignment horizontal="right"/>
    </xf>
    <xf numFmtId="165" fontId="22" fillId="0" borderId="0" xfId="0" applyNumberFormat="1" applyFont="1" applyAlignment="1">
      <alignment horizontal="center"/>
    </xf>
    <xf numFmtId="164" fontId="0" fillId="0" borderId="0" xfId="0" quotePrefix="1" applyNumberFormat="1" applyAlignment="1">
      <alignment horizontal="center"/>
    </xf>
    <xf numFmtId="173" fontId="0" fillId="0" borderId="0" xfId="0" applyNumberFormat="1"/>
    <xf numFmtId="169" fontId="0" fillId="0" borderId="0" xfId="0" applyNumberFormat="1"/>
    <xf numFmtId="168" fontId="22" fillId="0" borderId="0" xfId="39" applyNumberFormat="1" applyFont="1" applyFill="1" applyBorder="1" applyAlignment="1">
      <alignment vertical="center"/>
    </xf>
    <xf numFmtId="168" fontId="25" fillId="0" borderId="0" xfId="28" applyNumberFormat="1"/>
    <xf numFmtId="167" fontId="22" fillId="0" borderId="0" xfId="19" applyNumberFormat="1" applyFont="1" applyFill="1"/>
    <xf numFmtId="164" fontId="22" fillId="0" borderId="0" xfId="19" applyNumberFormat="1" applyFont="1" applyFill="1"/>
    <xf numFmtId="164" fontId="22" fillId="0" borderId="3" xfId="126" applyNumberFormat="1" applyBorder="1"/>
    <xf numFmtId="173" fontId="22" fillId="0" borderId="0" xfId="126" applyNumberFormat="1" applyAlignment="1">
      <alignment horizontal="center"/>
    </xf>
    <xf numFmtId="166" fontId="22" fillId="0" borderId="16" xfId="126" applyNumberFormat="1" applyBorder="1" applyAlignment="1">
      <alignment horizontal="center"/>
    </xf>
    <xf numFmtId="166" fontId="22" fillId="0" borderId="0" xfId="126" applyNumberFormat="1" applyAlignment="1">
      <alignment horizontal="center"/>
    </xf>
    <xf numFmtId="164" fontId="22" fillId="0" borderId="17" xfId="126" applyNumberFormat="1" applyBorder="1"/>
    <xf numFmtId="166" fontId="22" fillId="0" borderId="17" xfId="126" applyNumberFormat="1" applyBorder="1" applyAlignment="1">
      <alignment horizontal="center"/>
    </xf>
    <xf numFmtId="3" fontId="22" fillId="36" borderId="0" xfId="129" applyNumberFormat="1" applyFont="1" applyFill="1" applyAlignment="1">
      <alignment horizontal="right"/>
    </xf>
    <xf numFmtId="3" fontId="22" fillId="0" borderId="0" xfId="0" applyNumberFormat="1" applyFont="1" applyAlignment="1">
      <alignment horizontal="right"/>
    </xf>
    <xf numFmtId="166" fontId="22" fillId="0" borderId="0" xfId="0" applyNumberFormat="1" applyFont="1" applyAlignment="1">
      <alignment horizontal="right"/>
    </xf>
    <xf numFmtId="173" fontId="22" fillId="0" borderId="0" xfId="126" quotePrefix="1" applyNumberFormat="1" applyAlignment="1">
      <alignment horizontal="center"/>
    </xf>
    <xf numFmtId="164" fontId="22" fillId="0" borderId="0" xfId="126" quotePrefix="1" applyNumberFormat="1" applyAlignment="1">
      <alignment horizontal="center"/>
    </xf>
    <xf numFmtId="164" fontId="22" fillId="0" borderId="0" xfId="126" applyNumberFormat="1" applyAlignment="1">
      <alignment horizontal="right"/>
    </xf>
    <xf numFmtId="166" fontId="22" fillId="0" borderId="16" xfId="126" quotePrefix="1" applyNumberFormat="1" applyBorder="1" applyAlignment="1">
      <alignment horizontal="center"/>
    </xf>
    <xf numFmtId="173" fontId="53" fillId="0" borderId="0" xfId="126" applyNumberFormat="1" applyFont="1" applyAlignment="1">
      <alignment horizontal="center"/>
    </xf>
    <xf numFmtId="166" fontId="22" fillId="0" borderId="0" xfId="126" quotePrefix="1" applyNumberFormat="1" applyAlignment="1">
      <alignment horizontal="center"/>
    </xf>
    <xf numFmtId="173" fontId="22" fillId="0" borderId="58" xfId="126" applyNumberFormat="1" applyBorder="1" applyAlignment="1">
      <alignment horizontal="center"/>
    </xf>
    <xf numFmtId="173" fontId="22" fillId="0" borderId="60" xfId="126" applyNumberFormat="1" applyBorder="1" applyAlignment="1">
      <alignment horizontal="center"/>
    </xf>
    <xf numFmtId="174" fontId="22" fillId="36" borderId="0" xfId="53787" applyNumberFormat="1" applyFill="1" applyAlignment="1">
      <alignment horizontal="center"/>
    </xf>
    <xf numFmtId="164" fontId="178" fillId="0" borderId="0" xfId="0" applyNumberFormat="1" applyFont="1"/>
    <xf numFmtId="0" fontId="70" fillId="0" borderId="0" xfId="0" quotePrefix="1" applyFont="1" applyAlignment="1">
      <alignment horizontal="left" indent="1"/>
    </xf>
    <xf numFmtId="0" fontId="53" fillId="0" borderId="0" xfId="0" applyFont="1" applyAlignment="1">
      <alignment horizontal="left" indent="1"/>
    </xf>
    <xf numFmtId="0" fontId="25" fillId="0" borderId="0" xfId="34" applyAlignment="1">
      <alignment horizontal="left" indent="2"/>
    </xf>
    <xf numFmtId="0" fontId="25" fillId="0" borderId="0" xfId="34" applyAlignment="1">
      <alignment horizontal="left"/>
    </xf>
    <xf numFmtId="0" fontId="23" fillId="0" borderId="0" xfId="34" applyFont="1" applyAlignment="1">
      <alignment horizontal="left"/>
    </xf>
    <xf numFmtId="0" fontId="22" fillId="0" borderId="9" xfId="0" applyFont="1" applyBorder="1"/>
    <xf numFmtId="170" fontId="22" fillId="36" borderId="0" xfId="100" quotePrefix="1" applyNumberFormat="1" applyFill="1" applyAlignment="1">
      <alignment horizontal="center"/>
    </xf>
    <xf numFmtId="0" fontId="0" fillId="0" borderId="3" xfId="0" applyBorder="1" applyAlignment="1">
      <alignment horizontal="left"/>
    </xf>
    <xf numFmtId="0" fontId="22" fillId="0" borderId="4" xfId="0" quotePrefix="1" applyFont="1" applyBorder="1"/>
    <xf numFmtId="0" fontId="22" fillId="0" borderId="9" xfId="0" quotePrefix="1" applyFont="1" applyBorder="1"/>
    <xf numFmtId="39" fontId="23" fillId="0" borderId="7" xfId="22" quotePrefix="1" applyNumberFormat="1" applyFont="1" applyBorder="1" applyAlignment="1">
      <alignment horizontal="center" wrapText="1"/>
    </xf>
    <xf numFmtId="39" fontId="22" fillId="36" borderId="11" xfId="22" quotePrefix="1" applyNumberFormat="1" applyFont="1" applyFill="1" applyBorder="1" applyAlignment="1">
      <alignment horizontal="center"/>
    </xf>
    <xf numFmtId="37" fontId="22" fillId="36" borderId="4" xfId="22" quotePrefix="1" applyNumberFormat="1" applyFont="1" applyFill="1" applyBorder="1" applyAlignment="1">
      <alignment horizontal="center"/>
    </xf>
    <xf numFmtId="164" fontId="54" fillId="36" borderId="0" xfId="23" quotePrefix="1" applyNumberFormat="1" applyFont="1" applyFill="1" applyAlignment="1">
      <alignment horizontal="right"/>
    </xf>
    <xf numFmtId="0" fontId="23" fillId="36" borderId="0" xfId="28" applyFont="1" applyFill="1"/>
    <xf numFmtId="0" fontId="54" fillId="36" borderId="0" xfId="28" applyFont="1" applyFill="1"/>
    <xf numFmtId="0" fontId="26" fillId="36" borderId="0" xfId="28" applyFont="1" applyFill="1" applyAlignment="1">
      <alignment horizontal="center"/>
    </xf>
    <xf numFmtId="0" fontId="22" fillId="36" borderId="0" xfId="28" applyFont="1" applyFill="1" applyAlignment="1">
      <alignment horizontal="left" indent="1"/>
    </xf>
    <xf numFmtId="0" fontId="54" fillId="36" borderId="0" xfId="28" applyFont="1" applyFill="1" applyAlignment="1">
      <alignment horizontal="right"/>
    </xf>
    <xf numFmtId="0" fontId="54" fillId="36" borderId="0" xfId="28" applyFont="1" applyFill="1" applyAlignment="1">
      <alignment horizontal="left"/>
    </xf>
    <xf numFmtId="0" fontId="54" fillId="36" borderId="0" xfId="28" applyFont="1" applyFill="1" applyAlignment="1">
      <alignment horizontal="left" indent="1"/>
    </xf>
    <xf numFmtId="10" fontId="54" fillId="36" borderId="0" xfId="28" applyNumberFormat="1" applyFont="1" applyFill="1" applyAlignment="1">
      <alignment horizontal="right"/>
    </xf>
    <xf numFmtId="10" fontId="54" fillId="36" borderId="0" xfId="28" applyNumberFormat="1" applyFont="1" applyFill="1" applyAlignment="1">
      <alignment horizontal="left"/>
    </xf>
    <xf numFmtId="0" fontId="54" fillId="36" borderId="0" xfId="28" quotePrefix="1" applyFont="1" applyFill="1" applyAlignment="1">
      <alignment horizontal="center"/>
    </xf>
    <xf numFmtId="0" fontId="179" fillId="36" borderId="0" xfId="28" applyFont="1" applyFill="1"/>
    <xf numFmtId="0" fontId="179" fillId="36" borderId="0" xfId="28" applyFont="1" applyFill="1" applyAlignment="1">
      <alignment horizontal="right"/>
    </xf>
    <xf numFmtId="0" fontId="179" fillId="36" borderId="0" xfId="28" applyFont="1" applyFill="1" applyAlignment="1">
      <alignment horizontal="left"/>
    </xf>
    <xf numFmtId="0" fontId="179" fillId="36" borderId="0" xfId="28" applyFont="1" applyFill="1" applyAlignment="1">
      <alignment horizontal="left" indent="1"/>
    </xf>
    <xf numFmtId="10" fontId="179" fillId="36" borderId="0" xfId="28" applyNumberFormat="1" applyFont="1" applyFill="1" applyAlignment="1">
      <alignment horizontal="right"/>
    </xf>
    <xf numFmtId="10" fontId="179" fillId="36" borderId="0" xfId="28" applyNumberFormat="1" applyFont="1" applyFill="1" applyAlignment="1">
      <alignment horizontal="left"/>
    </xf>
    <xf numFmtId="0" fontId="22" fillId="36" borderId="0" xfId="28" applyFont="1" applyFill="1" applyAlignment="1">
      <alignment horizontal="left" vertical="center"/>
    </xf>
    <xf numFmtId="0" fontId="22" fillId="36" borderId="0" xfId="28" quotePrefix="1" applyFont="1" applyFill="1"/>
    <xf numFmtId="0" fontId="23" fillId="36" borderId="0" xfId="28" applyFont="1" applyFill="1" applyAlignment="1">
      <alignment horizontal="left"/>
    </xf>
    <xf numFmtId="0" fontId="22" fillId="113" borderId="0" xfId="0" applyFont="1" applyFill="1"/>
    <xf numFmtId="5" fontId="22" fillId="0" borderId="9" xfId="0" quotePrefix="1" applyNumberFormat="1" applyFont="1" applyBorder="1" applyAlignment="1">
      <alignment horizontal="center"/>
    </xf>
    <xf numFmtId="0" fontId="0" fillId="36" borderId="0" xfId="0" applyFill="1" applyAlignment="1">
      <alignment horizontal="left"/>
    </xf>
    <xf numFmtId="0" fontId="53" fillId="36" borderId="0" xfId="0" applyFont="1" applyFill="1" applyAlignment="1">
      <alignment horizontal="left" indent="1"/>
    </xf>
    <xf numFmtId="0" fontId="53" fillId="113" borderId="0" xfId="0" applyFont="1" applyFill="1"/>
    <xf numFmtId="0" fontId="163" fillId="0" borderId="0" xfId="0" applyFont="1" applyAlignment="1">
      <alignment horizontal="center"/>
    </xf>
    <xf numFmtId="164" fontId="58" fillId="0" borderId="0" xfId="0" applyNumberFormat="1" applyFont="1" applyAlignment="1">
      <alignment horizontal="right" indent="1"/>
    </xf>
    <xf numFmtId="164" fontId="53" fillId="36" borderId="0" xfId="0" applyNumberFormat="1" applyFont="1" applyFill="1" applyAlignment="1">
      <alignment horizontal="center"/>
    </xf>
    <xf numFmtId="164" fontId="58" fillId="36" borderId="0" xfId="0" applyNumberFormat="1" applyFont="1" applyFill="1" applyAlignment="1">
      <alignment horizontal="center"/>
    </xf>
    <xf numFmtId="164" fontId="22" fillId="36" borderId="0" xfId="0" quotePrefix="1" applyNumberFormat="1" applyFont="1" applyFill="1" applyAlignment="1">
      <alignment horizontal="center"/>
    </xf>
    <xf numFmtId="0" fontId="53" fillId="0" borderId="0" xfId="28" applyFont="1" applyAlignment="1">
      <alignment horizontal="left"/>
    </xf>
    <xf numFmtId="1" fontId="53" fillId="0" borderId="0" xfId="100" applyNumberFormat="1" applyFont="1" applyAlignment="1">
      <alignment horizontal="center"/>
    </xf>
    <xf numFmtId="0" fontId="0" fillId="36" borderId="0" xfId="0" quotePrefix="1" applyFill="1" applyAlignment="1">
      <alignment horizontal="left" indent="1"/>
    </xf>
    <xf numFmtId="0" fontId="23" fillId="0" borderId="0" xfId="125" applyFont="1" applyAlignment="1">
      <alignment horizontal="center"/>
    </xf>
    <xf numFmtId="164" fontId="22" fillId="0" borderId="0" xfId="125" applyNumberFormat="1"/>
    <xf numFmtId="209" fontId="29" fillId="0" borderId="0" xfId="125" applyNumberFormat="1" applyFont="1"/>
    <xf numFmtId="164" fontId="26" fillId="36" borderId="0" xfId="0" applyNumberFormat="1" applyFont="1" applyFill="1" applyAlignment="1">
      <alignment horizontal="center" wrapText="1"/>
    </xf>
    <xf numFmtId="164" fontId="26" fillId="36" borderId="0" xfId="0" applyNumberFormat="1" applyFont="1" applyFill="1" applyAlignment="1">
      <alignment horizontal="center"/>
    </xf>
    <xf numFmtId="0" fontId="29" fillId="36" borderId="0" xfId="0" applyFont="1" applyFill="1"/>
    <xf numFmtId="0" fontId="26" fillId="0" borderId="0" xfId="0" applyFont="1" applyAlignment="1">
      <alignment horizontal="left" indent="2"/>
    </xf>
    <xf numFmtId="0" fontId="22" fillId="36" borderId="0" xfId="0" quotePrefix="1" applyFont="1" applyFill="1" applyAlignment="1">
      <alignment horizontal="left"/>
    </xf>
    <xf numFmtId="0" fontId="26" fillId="36" borderId="0" xfId="100" applyFont="1" applyFill="1" applyAlignment="1">
      <alignment horizontal="left"/>
    </xf>
    <xf numFmtId="0" fontId="23" fillId="36" borderId="0" xfId="0" applyFont="1" applyFill="1"/>
    <xf numFmtId="10" fontId="72" fillId="36" borderId="0" xfId="28" applyNumberFormat="1" applyFont="1" applyFill="1" applyAlignment="1">
      <alignment horizontal="left"/>
    </xf>
    <xf numFmtId="164" fontId="29" fillId="36" borderId="0" xfId="100" applyNumberFormat="1" applyFont="1" applyFill="1"/>
    <xf numFmtId="165" fontId="54" fillId="34" borderId="0" xfId="0" applyNumberFormat="1" applyFont="1" applyFill="1"/>
    <xf numFmtId="3" fontId="54" fillId="36" borderId="0" xfId="247" applyNumberFormat="1" applyFont="1" applyFill="1"/>
    <xf numFmtId="0" fontId="22" fillId="0" borderId="3" xfId="126" applyBorder="1" applyAlignment="1">
      <alignment horizontal="center" vertical="center" wrapText="1"/>
    </xf>
    <xf numFmtId="164" fontId="65" fillId="113" borderId="0" xfId="0" applyNumberFormat="1" applyFont="1" applyFill="1"/>
    <xf numFmtId="0" fontId="163" fillId="0" borderId="0" xfId="34" applyFont="1" applyAlignment="1">
      <alignment horizontal="left" wrapText="1"/>
    </xf>
    <xf numFmtId="0" fontId="70" fillId="0" borderId="0" xfId="34" applyFont="1" applyAlignment="1">
      <alignment horizontal="left" indent="1"/>
    </xf>
    <xf numFmtId="0" fontId="163" fillId="0" borderId="0" xfId="0" quotePrefix="1" applyFont="1" applyAlignment="1">
      <alignment horizontal="center"/>
    </xf>
    <xf numFmtId="164" fontId="70" fillId="0" borderId="0" xfId="0" quotePrefix="1" applyNumberFormat="1" applyFont="1" applyAlignment="1">
      <alignment horizontal="right"/>
    </xf>
    <xf numFmtId="164" fontId="53" fillId="0" borderId="0" xfId="0" quotePrefix="1" applyNumberFormat="1" applyFont="1" applyAlignment="1">
      <alignment horizontal="right"/>
    </xf>
    <xf numFmtId="17" fontId="22" fillId="0" borderId="0" xfId="100" quotePrefix="1" applyNumberFormat="1" applyAlignment="1">
      <alignment horizontal="left"/>
    </xf>
    <xf numFmtId="10" fontId="54" fillId="0" borderId="0" xfId="100" applyNumberFormat="1" applyFont="1"/>
    <xf numFmtId="17" fontId="70" fillId="36" borderId="0" xfId="100" quotePrefix="1" applyNumberFormat="1" applyFont="1" applyFill="1" applyAlignment="1">
      <alignment horizontal="left"/>
    </xf>
    <xf numFmtId="0" fontId="70" fillId="36" borderId="0" xfId="100" quotePrefix="1" applyFont="1" applyFill="1" applyAlignment="1">
      <alignment horizontal="left"/>
    </xf>
    <xf numFmtId="0" fontId="70" fillId="0" borderId="0" xfId="100" quotePrefix="1" applyFont="1" applyAlignment="1">
      <alignment horizontal="left"/>
    </xf>
    <xf numFmtId="0" fontId="70" fillId="0" borderId="0" xfId="0" applyFont="1" applyAlignment="1">
      <alignment horizontal="center"/>
    </xf>
    <xf numFmtId="0" fontId="70" fillId="0" borderId="0" xfId="0" quotePrefix="1" applyFont="1"/>
    <xf numFmtId="0" fontId="70" fillId="0" borderId="0" xfId="0" applyFont="1" applyAlignment="1">
      <alignment horizontal="right"/>
    </xf>
    <xf numFmtId="0" fontId="70" fillId="0" borderId="0" xfId="0" quotePrefix="1" applyFont="1" applyAlignment="1">
      <alignment horizontal="right"/>
    </xf>
    <xf numFmtId="0" fontId="180" fillId="0" borderId="0" xfId="0" applyFont="1"/>
    <xf numFmtId="0" fontId="54" fillId="0" borderId="0" xfId="0" quotePrefix="1" applyFont="1" applyAlignment="1">
      <alignment wrapText="1"/>
    </xf>
    <xf numFmtId="0" fontId="22" fillId="0" borderId="0" xfId="0" quotePrefix="1" applyFont="1" applyAlignment="1">
      <alignment horizontal="left" wrapText="1" indent="1"/>
    </xf>
    <xf numFmtId="10" fontId="70" fillId="0" borderId="0" xfId="0" applyNumberFormat="1" applyFont="1"/>
    <xf numFmtId="10" fontId="22" fillId="36" borderId="0" xfId="100" applyNumberFormat="1" applyFill="1"/>
    <xf numFmtId="0" fontId="22" fillId="0" borderId="0" xfId="0" applyFont="1" applyAlignment="1">
      <alignment horizontal="center" wrapText="1"/>
    </xf>
    <xf numFmtId="10" fontId="70" fillId="0" borderId="0" xfId="37" applyNumberFormat="1" applyFont="1" applyAlignment="1">
      <alignment horizontal="center"/>
    </xf>
    <xf numFmtId="0" fontId="70" fillId="0" borderId="0" xfId="34" quotePrefix="1" applyFont="1" applyAlignment="1">
      <alignment horizontal="left"/>
    </xf>
    <xf numFmtId="164" fontId="181" fillId="0" borderId="0" xfId="0" applyNumberFormat="1" applyFont="1"/>
    <xf numFmtId="0" fontId="182" fillId="0" borderId="0" xfId="0" applyFont="1" applyAlignment="1">
      <alignment horizontal="left" indent="1"/>
    </xf>
    <xf numFmtId="0" fontId="70" fillId="0" borderId="0" xfId="34" applyFont="1" applyAlignment="1">
      <alignment horizontal="right"/>
    </xf>
    <xf numFmtId="0" fontId="183" fillId="0" borderId="0" xfId="34" applyFont="1"/>
    <xf numFmtId="167" fontId="184" fillId="0" borderId="0" xfId="97" applyNumberFormat="1" applyFont="1" applyAlignment="1">
      <alignment horizontal="center"/>
    </xf>
    <xf numFmtId="0" fontId="70" fillId="0" borderId="0" xfId="0" applyFont="1" applyAlignment="1">
      <alignment horizontal="left"/>
    </xf>
    <xf numFmtId="167" fontId="174" fillId="0" borderId="0" xfId="100" applyNumberFormat="1" applyFont="1" applyAlignment="1">
      <alignment horizontal="left" indent="1"/>
    </xf>
    <xf numFmtId="0" fontId="163" fillId="0" borderId="0" xfId="34" applyFont="1" applyAlignment="1">
      <alignment horizontal="left" vertical="center" wrapText="1"/>
    </xf>
    <xf numFmtId="164" fontId="70" fillId="0" borderId="0" xfId="34" applyNumberFormat="1" applyFont="1" applyAlignment="1">
      <alignment horizontal="right"/>
    </xf>
    <xf numFmtId="0" fontId="182" fillId="0" borderId="0" xfId="0" applyFont="1"/>
    <xf numFmtId="10" fontId="0" fillId="0" borderId="0" xfId="0" applyNumberFormat="1" applyAlignment="1">
      <alignment horizontal="right"/>
    </xf>
    <xf numFmtId="0" fontId="58" fillId="0" borderId="0" xfId="0" quotePrefix="1" applyFont="1" applyAlignment="1">
      <alignment horizontal="center"/>
    </xf>
    <xf numFmtId="0" fontId="22" fillId="36" borderId="6" xfId="0" quotePrefix="1" applyFont="1" applyFill="1" applyBorder="1" applyAlignment="1">
      <alignment horizontal="left"/>
    </xf>
    <xf numFmtId="0" fontId="22" fillId="36" borderId="9" xfId="0" quotePrefix="1" applyFont="1" applyFill="1" applyBorder="1" applyAlignment="1">
      <alignment horizontal="left"/>
    </xf>
    <xf numFmtId="0" fontId="186" fillId="0" borderId="0" xfId="0" applyFont="1"/>
    <xf numFmtId="2" fontId="0" fillId="113" borderId="0" xfId="0" applyNumberFormat="1" applyFill="1"/>
    <xf numFmtId="2" fontId="29" fillId="113" borderId="0" xfId="0" applyNumberFormat="1" applyFont="1" applyFill="1"/>
    <xf numFmtId="37" fontId="23" fillId="36" borderId="5" xfId="97" quotePrefix="1" applyNumberFormat="1" applyFont="1" applyFill="1" applyBorder="1" applyAlignment="1">
      <alignment horizontal="center"/>
    </xf>
    <xf numFmtId="39" fontId="22" fillId="36" borderId="3" xfId="97" applyNumberFormat="1" applyFont="1" applyFill="1" applyBorder="1" applyAlignment="1">
      <alignment horizontal="center"/>
    </xf>
    <xf numFmtId="6" fontId="65" fillId="113" borderId="0" xfId="0" applyNumberFormat="1" applyFont="1" applyFill="1"/>
    <xf numFmtId="164" fontId="54" fillId="36" borderId="0" xfId="34" applyNumberFormat="1" applyFont="1" applyFill="1" applyAlignment="1">
      <alignment horizontal="right"/>
    </xf>
    <xf numFmtId="6" fontId="22" fillId="113" borderId="0" xfId="0" applyNumberFormat="1" applyFont="1" applyFill="1"/>
    <xf numFmtId="10" fontId="0" fillId="36" borderId="0" xfId="0" applyNumberFormat="1" applyFill="1"/>
    <xf numFmtId="6" fontId="187" fillId="113" borderId="0" xfId="0" applyNumberFormat="1" applyFont="1" applyFill="1"/>
    <xf numFmtId="210" fontId="0" fillId="0" borderId="0" xfId="0" applyNumberFormat="1"/>
    <xf numFmtId="164" fontId="188" fillId="0" borderId="0" xfId="0" applyNumberFormat="1" applyFont="1" applyAlignment="1">
      <alignment horizontal="left" indent="1"/>
    </xf>
    <xf numFmtId="164" fontId="53" fillId="34" borderId="0" xfId="0" applyNumberFormat="1" applyFont="1" applyFill="1"/>
    <xf numFmtId="164" fontId="70" fillId="34" borderId="0" xfId="0" applyNumberFormat="1" applyFont="1" applyFill="1"/>
    <xf numFmtId="164" fontId="53" fillId="0" borderId="0" xfId="0" applyNumberFormat="1" applyFont="1" applyAlignment="1">
      <alignment horizontal="right" indent="1"/>
    </xf>
    <xf numFmtId="164" fontId="53" fillId="36" borderId="0" xfId="0" applyNumberFormat="1" applyFont="1" applyFill="1"/>
    <xf numFmtId="164" fontId="53" fillId="36" borderId="0" xfId="100" applyNumberFormat="1" applyFont="1" applyFill="1"/>
    <xf numFmtId="0" fontId="163" fillId="0" borderId="0" xfId="34" applyFont="1" applyAlignment="1">
      <alignment horizontal="left"/>
    </xf>
    <xf numFmtId="164" fontId="163" fillId="0" borderId="0" xfId="0" applyNumberFormat="1" applyFont="1" applyAlignment="1">
      <alignment horizontal="center"/>
    </xf>
    <xf numFmtId="164" fontId="53" fillId="0" borderId="0" xfId="0" applyNumberFormat="1" applyFont="1" applyAlignment="1">
      <alignment horizontal="left" indent="1"/>
    </xf>
    <xf numFmtId="0" fontId="163" fillId="0" borderId="0" xfId="0" applyFont="1" applyAlignment="1">
      <alignment horizontal="center" wrapText="1"/>
    </xf>
    <xf numFmtId="0" fontId="163" fillId="0" borderId="0" xfId="0" applyFont="1" applyAlignment="1">
      <alignment horizontal="left" indent="2"/>
    </xf>
    <xf numFmtId="0" fontId="54" fillId="0" borderId="0" xfId="0" quotePrefix="1" applyFont="1" applyAlignment="1">
      <alignment horizontal="left"/>
    </xf>
    <xf numFmtId="0" fontId="53" fillId="0" borderId="0" xfId="0" applyFont="1" applyAlignment="1">
      <alignment wrapText="1"/>
    </xf>
    <xf numFmtId="164" fontId="180" fillId="0" borderId="0" xfId="0" applyNumberFormat="1" applyFont="1"/>
    <xf numFmtId="0" fontId="180" fillId="0" borderId="0" xfId="0" applyFont="1" applyAlignment="1">
      <alignment horizontal="left" indent="1"/>
    </xf>
    <xf numFmtId="164" fontId="53" fillId="0" borderId="0" xfId="100" applyNumberFormat="1" applyFont="1" applyAlignment="1">
      <alignment horizontal="right"/>
    </xf>
    <xf numFmtId="164" fontId="54" fillId="0" borderId="0" xfId="0" applyNumberFormat="1" applyFont="1" applyAlignment="1">
      <alignment horizontal="left" indent="1"/>
    </xf>
    <xf numFmtId="164" fontId="54" fillId="0" borderId="0" xfId="0" quotePrefix="1" applyNumberFormat="1" applyFont="1" applyAlignment="1">
      <alignment horizontal="left" indent="1"/>
    </xf>
    <xf numFmtId="6" fontId="53" fillId="0" borderId="0" xfId="0" applyNumberFormat="1" applyFont="1" applyAlignment="1">
      <alignment horizontal="center"/>
    </xf>
    <xf numFmtId="0" fontId="70" fillId="0" borderId="0" xfId="0" quotePrefix="1" applyFont="1" applyAlignment="1">
      <alignment horizontal="left"/>
    </xf>
    <xf numFmtId="164" fontId="70" fillId="0" borderId="0" xfId="0" quotePrefix="1" applyNumberFormat="1" applyFont="1" applyAlignment="1">
      <alignment horizontal="left" indent="1"/>
    </xf>
    <xf numFmtId="164" fontId="70" fillId="0" borderId="0" xfId="0" applyNumberFormat="1" applyFont="1" applyAlignment="1">
      <alignment horizontal="left" indent="1"/>
    </xf>
    <xf numFmtId="0" fontId="163" fillId="0" borderId="0" xfId="0" applyFont="1" applyAlignment="1">
      <alignment horizontal="left" indent="1"/>
    </xf>
    <xf numFmtId="0" fontId="58" fillId="0" borderId="0" xfId="34" applyFont="1" applyAlignment="1">
      <alignment horizontal="center"/>
    </xf>
    <xf numFmtId="0" fontId="163" fillId="0" borderId="0" xfId="34" applyFont="1" applyAlignment="1">
      <alignment horizontal="center"/>
    </xf>
    <xf numFmtId="0" fontId="58" fillId="0" borderId="0" xfId="0" applyFont="1"/>
    <xf numFmtId="0" fontId="163" fillId="0" borderId="0" xfId="34" applyFont="1"/>
    <xf numFmtId="5" fontId="53" fillId="36" borderId="0" xfId="97" applyNumberFormat="1" applyFont="1" applyFill="1" applyBorder="1"/>
    <xf numFmtId="0" fontId="70" fillId="0" borderId="0" xfId="0" applyFont="1" applyAlignment="1">
      <alignment horizontal="center" wrapText="1"/>
    </xf>
    <xf numFmtId="0" fontId="70" fillId="0" borderId="0" xfId="0" applyFont="1" applyAlignment="1">
      <alignment wrapText="1"/>
    </xf>
    <xf numFmtId="0" fontId="163" fillId="0" borderId="0" xfId="100" quotePrefix="1" applyFont="1" applyAlignment="1">
      <alignment horizontal="left"/>
    </xf>
    <xf numFmtId="0" fontId="189" fillId="0" borderId="0" xfId="34" applyFont="1"/>
    <xf numFmtId="10" fontId="70" fillId="0" borderId="0" xfId="37" quotePrefix="1" applyNumberFormat="1" applyFont="1" applyBorder="1" applyAlignment="1">
      <alignment horizontal="center" vertical="center"/>
    </xf>
    <xf numFmtId="0" fontId="70" fillId="0" borderId="0" xfId="34" quotePrefix="1" applyFont="1" applyAlignment="1">
      <alignment horizontal="left" indent="1"/>
    </xf>
    <xf numFmtId="0" fontId="160" fillId="0" borderId="0" xfId="0" quotePrefix="1" applyFont="1" applyAlignment="1">
      <alignment horizontal="center"/>
    </xf>
    <xf numFmtId="0" fontId="158" fillId="0" borderId="0" xfId="0" quotePrefix="1" applyFont="1"/>
    <xf numFmtId="0" fontId="160" fillId="0" borderId="0" xfId="0" applyFont="1" applyAlignment="1">
      <alignment horizontal="center"/>
    </xf>
    <xf numFmtId="42" fontId="158" fillId="0" borderId="0" xfId="0" quotePrefix="1" applyNumberFormat="1" applyFont="1" applyAlignment="1">
      <alignment horizontal="center"/>
    </xf>
    <xf numFmtId="42" fontId="190" fillId="0" borderId="0" xfId="0" quotePrefix="1" applyNumberFormat="1" applyFont="1" applyAlignment="1">
      <alignment horizontal="center"/>
    </xf>
    <xf numFmtId="0" fontId="70" fillId="0" borderId="0" xfId="0" quotePrefix="1" applyFont="1" applyAlignment="1">
      <alignment horizontal="left" indent="4"/>
    </xf>
    <xf numFmtId="6" fontId="70" fillId="0" borderId="0" xfId="0" applyNumberFormat="1" applyFont="1"/>
    <xf numFmtId="6" fontId="70" fillId="113" borderId="0" xfId="0" applyNumberFormat="1" applyFont="1" applyFill="1" applyAlignment="1">
      <alignment horizontal="right"/>
    </xf>
    <xf numFmtId="164" fontId="70" fillId="36" borderId="0" xfId="0" applyNumberFormat="1" applyFont="1" applyFill="1"/>
    <xf numFmtId="6" fontId="70" fillId="113" borderId="0" xfId="0" applyNumberFormat="1" applyFont="1" applyFill="1"/>
    <xf numFmtId="0" fontId="70" fillId="0" borderId="0" xfId="19" applyNumberFormat="1" applyFont="1" applyBorder="1"/>
    <xf numFmtId="164" fontId="70" fillId="0" borderId="0" xfId="19" quotePrefix="1" applyNumberFormat="1" applyFont="1" applyBorder="1" applyAlignment="1">
      <alignment horizontal="left" vertical="center"/>
    </xf>
    <xf numFmtId="0" fontId="191" fillId="0" borderId="0" xfId="0" applyFont="1"/>
    <xf numFmtId="0" fontId="70" fillId="0" borderId="0" xfId="34" applyFont="1" applyAlignment="1">
      <alignment horizontal="left" indent="3"/>
    </xf>
    <xf numFmtId="0" fontId="70" fillId="0" borderId="0" xfId="0" applyFont="1" applyAlignment="1">
      <alignment horizontal="left" indent="3"/>
    </xf>
    <xf numFmtId="0" fontId="161" fillId="0" borderId="0" xfId="34" applyFont="1" applyAlignment="1">
      <alignment horizontal="left" vertical="center" wrapText="1"/>
    </xf>
    <xf numFmtId="0" fontId="26" fillId="0" borderId="0" xfId="34" applyFont="1" applyAlignment="1">
      <alignment horizontal="left"/>
    </xf>
    <xf numFmtId="0" fontId="70" fillId="0" borderId="0" xfId="34" applyFont="1"/>
    <xf numFmtId="5" fontId="70" fillId="0" borderId="0" xfId="19" applyNumberFormat="1" applyFont="1"/>
    <xf numFmtId="10" fontId="70" fillId="0" borderId="0" xfId="37" applyNumberFormat="1" applyFont="1" applyFill="1" applyAlignment="1">
      <alignment horizontal="center"/>
    </xf>
    <xf numFmtId="5" fontId="70" fillId="0" borderId="0" xfId="100" applyNumberFormat="1" applyFont="1"/>
    <xf numFmtId="0" fontId="70" fillId="0" borderId="0" xfId="100" quotePrefix="1" applyFont="1"/>
    <xf numFmtId="0" fontId="67" fillId="0" borderId="0" xfId="0" applyFont="1"/>
    <xf numFmtId="0" fontId="162" fillId="0" borderId="0" xfId="0" applyFont="1" applyAlignment="1">
      <alignment horizontal="center"/>
    </xf>
    <xf numFmtId="0" fontId="192" fillId="0" borderId="0" xfId="0" applyFont="1" applyAlignment="1">
      <alignment horizontal="center"/>
    </xf>
    <xf numFmtId="0" fontId="51" fillId="0" borderId="0" xfId="0" applyFont="1" applyAlignment="1">
      <alignment horizontal="center"/>
    </xf>
    <xf numFmtId="0" fontId="163" fillId="0" borderId="0" xfId="100" applyFont="1" applyAlignment="1">
      <alignment horizontal="center" wrapText="1"/>
    </xf>
    <xf numFmtId="167" fontId="55" fillId="0" borderId="63" xfId="19" applyNumberFormat="1" applyFont="1" applyBorder="1" applyAlignment="1">
      <alignment horizontal="center"/>
    </xf>
    <xf numFmtId="167" fontId="55" fillId="0" borderId="64" xfId="19" applyNumberFormat="1" applyFont="1" applyBorder="1" applyAlignment="1">
      <alignment horizontal="center"/>
    </xf>
    <xf numFmtId="167" fontId="55" fillId="0" borderId="65" xfId="19" applyNumberFormat="1" applyFont="1" applyBorder="1" applyAlignment="1">
      <alignment horizontal="center"/>
    </xf>
    <xf numFmtId="0" fontId="22" fillId="36" borderId="0" xfId="0" applyFont="1" applyFill="1" applyAlignment="1">
      <alignment horizontal="center"/>
    </xf>
    <xf numFmtId="0" fontId="22" fillId="0" borderId="0" xfId="0" applyFont="1" applyAlignment="1">
      <alignment horizontal="left"/>
    </xf>
    <xf numFmtId="0" fontId="23" fillId="0" borderId="6" xfId="28" applyFont="1" applyBorder="1" applyAlignment="1">
      <alignment horizontal="center"/>
    </xf>
    <xf numFmtId="0" fontId="23" fillId="0" borderId="9" xfId="28" applyFont="1" applyBorder="1" applyAlignment="1">
      <alignment horizontal="center"/>
    </xf>
    <xf numFmtId="0" fontId="23" fillId="0" borderId="4" xfId="28" applyFont="1" applyBorder="1" applyAlignment="1">
      <alignment horizontal="center"/>
    </xf>
    <xf numFmtId="0" fontId="23" fillId="0" borderId="3" xfId="28" applyFont="1" applyBorder="1"/>
    <xf numFmtId="0" fontId="23" fillId="0" borderId="7" xfId="28" applyFont="1" applyBorder="1" applyAlignment="1">
      <alignment horizontal="center"/>
    </xf>
    <xf numFmtId="0" fontId="23" fillId="0" borderId="5" xfId="28" applyFont="1" applyBorder="1" applyAlignment="1">
      <alignment horizontal="center"/>
    </xf>
    <xf numFmtId="0" fontId="23" fillId="0" borderId="3" xfId="28" applyFont="1" applyBorder="1" applyAlignment="1">
      <alignment horizontal="center"/>
    </xf>
    <xf numFmtId="0" fontId="23" fillId="0" borderId="6" xfId="0" applyFont="1" applyBorder="1"/>
    <xf numFmtId="0" fontId="0" fillId="0" borderId="9" xfId="0" applyBorder="1"/>
    <xf numFmtId="0" fontId="0" fillId="0" borderId="4" xfId="0" applyBorder="1"/>
    <xf numFmtId="0" fontId="22"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xf numFmtId="0" fontId="53" fillId="36" borderId="3" xfId="0" applyFont="1" applyFill="1" applyBorder="1" applyAlignment="1">
      <alignment horizontal="center"/>
    </xf>
    <xf numFmtId="0" fontId="23" fillId="0" borderId="9" xfId="0" applyFont="1" applyBorder="1"/>
    <xf numFmtId="0" fontId="23" fillId="0" borderId="4" xfId="0" applyFont="1" applyBorder="1"/>
    <xf numFmtId="0" fontId="23" fillId="0" borderId="10" xfId="0" applyFont="1" applyBorder="1" applyAlignment="1">
      <alignment wrapText="1"/>
    </xf>
    <xf numFmtId="0" fontId="0" fillId="0" borderId="8" xfId="0" applyBorder="1" applyAlignment="1">
      <alignment wrapText="1"/>
    </xf>
    <xf numFmtId="0" fontId="0" fillId="0" borderId="11" xfId="0" applyBorder="1" applyAlignment="1">
      <alignment wrapText="1"/>
    </xf>
    <xf numFmtId="0" fontId="22" fillId="0" borderId="0" xfId="0" applyFont="1" applyAlignment="1">
      <alignment wrapText="1"/>
    </xf>
    <xf numFmtId="0" fontId="22" fillId="0" borderId="6" xfId="0" applyFont="1" applyBorder="1" applyAlignment="1">
      <alignment horizontal="left"/>
    </xf>
    <xf numFmtId="0" fontId="22" fillId="0" borderId="4" xfId="0" applyFont="1" applyBorder="1" applyAlignment="1">
      <alignment horizontal="left"/>
    </xf>
    <xf numFmtId="0" fontId="23" fillId="0" borderId="3" xfId="0" applyFont="1" applyBorder="1" applyAlignment="1">
      <alignment wrapText="1"/>
    </xf>
    <xf numFmtId="0" fontId="0" fillId="0" borderId="3" xfId="0" applyBorder="1" applyAlignment="1">
      <alignment wrapText="1"/>
    </xf>
    <xf numFmtId="0" fontId="23" fillId="0" borderId="10" xfId="0" applyFont="1" applyBorder="1"/>
    <xf numFmtId="0" fontId="23" fillId="0" borderId="8" xfId="0" applyFont="1" applyBorder="1"/>
    <xf numFmtId="0" fontId="23" fillId="0" borderId="11" xfId="0" applyFont="1" applyBorder="1"/>
    <xf numFmtId="0" fontId="22" fillId="0" borderId="3" xfId="0" applyFont="1" applyBorder="1" applyAlignment="1">
      <alignment horizontal="left"/>
    </xf>
    <xf numFmtId="39" fontId="22" fillId="0" borderId="6" xfId="22" applyNumberFormat="1" applyFont="1" applyBorder="1" applyAlignment="1">
      <alignment horizontal="center"/>
    </xf>
    <xf numFmtId="0" fontId="23" fillId="0" borderId="6" xfId="0" applyFont="1" applyBorder="1" applyAlignment="1">
      <alignment wrapText="1"/>
    </xf>
    <xf numFmtId="0" fontId="0" fillId="0" borderId="9" xfId="0" applyBorder="1" applyAlignment="1">
      <alignment wrapText="1"/>
    </xf>
    <xf numFmtId="0" fontId="0" fillId="0" borderId="4" xfId="0" applyBorder="1" applyAlignment="1">
      <alignment wrapText="1"/>
    </xf>
    <xf numFmtId="0" fontId="22" fillId="113" borderId="0" xfId="0" applyFont="1" applyFill="1"/>
    <xf numFmtId="0" fontId="22" fillId="0" borderId="3" xfId="126" applyBorder="1" applyAlignment="1">
      <alignment horizontal="center"/>
    </xf>
    <xf numFmtId="0" fontId="0" fillId="0" borderId="3" xfId="0" applyBorder="1"/>
    <xf numFmtId="0" fontId="22" fillId="0" borderId="12" xfId="126" applyBorder="1" applyAlignment="1">
      <alignment horizontal="center"/>
    </xf>
    <xf numFmtId="0" fontId="22" fillId="0" borderId="62" xfId="126" applyBorder="1" applyAlignment="1">
      <alignment horizontal="center"/>
    </xf>
    <xf numFmtId="0" fontId="22" fillId="0" borderId="13" xfId="126" applyBorder="1" applyAlignment="1">
      <alignment horizontal="center"/>
    </xf>
    <xf numFmtId="173" fontId="22" fillId="0" borderId="57" xfId="126" quotePrefix="1" applyNumberFormat="1" applyBorder="1" applyAlignment="1">
      <alignment horizontal="center" vertical="center"/>
    </xf>
    <xf numFmtId="173" fontId="22" fillId="0" borderId="59" xfId="126" quotePrefix="1" applyNumberFormat="1" applyBorder="1" applyAlignment="1">
      <alignment horizontal="center" vertical="center"/>
    </xf>
  </cellXfs>
  <cellStyles count="53898">
    <cellStyle name="_x000a__x000a_JournalTemplate=C:\COMFO\CTALK\JOURSTD.TPL_x000a__x000a_LbStateAddress=3 3 0 251 1 89 2 311_x000a__x000a_LbStateJou" xfId="672" xr:uid="{00000000-0005-0000-0000-000000000000}"/>
    <cellStyle name="_x000a__x000a_JournalTemplate=C:\COMFO\CTALK\JOURSTD.TPL_x000a__x000a_LbStateAddress=3 3 0 251 1 89 2 311_x000a__x000a_LbStateJou 2" xfId="673" xr:uid="{00000000-0005-0000-0000-000001000000}"/>
    <cellStyle name="_x000a__x000a_JournalTemplate=C:\COMFO\CTALK\JOURSTD.TPL_x000a__x000a_LbStateAddress=3 3 0 251 1 89 2 311_x000a__x000a_LbStateJou 2 2" xfId="674" xr:uid="{00000000-0005-0000-0000-000002000000}"/>
    <cellStyle name="_x000a__x000a_JournalTemplate=C:\COMFO\CTALK\JOURSTD.TPL_x000a__x000a_LbStateAddress=3 3 0 251 1 89 2 311_x000a__x000a_LbStateJou 3" xfId="675" xr:uid="{00000000-0005-0000-0000-000003000000}"/>
    <cellStyle name="_x000a__x000a_JournalTemplate=C:\COMFO\CTALK\JOURSTD.TPL_x000a__x000a_LbStateAddress=3 3 0 251 1 89 2 311_x000a__x000a_LbStateJou 3 2" xfId="676" xr:uid="{00000000-0005-0000-0000-000004000000}"/>
    <cellStyle name="_x000a__x000a_JournalTemplate=C:\COMFO\CTALK\JOURSTD.TPL_x000a__x000a_LbStateAddress=3 3 0 251 1 89 2 311_x000a__x000a_LbStateJou 3 2 2" xfId="677" xr:uid="{00000000-0005-0000-0000-000005000000}"/>
    <cellStyle name="_x000a__x000a_JournalTemplate=C:\COMFO\CTALK\JOURSTD.TPL_x000a__x000a_LbStateAddress=3 3 0 251 1 89 2 311_x000a__x000a_LbStateJou 3 3" xfId="678" xr:uid="{00000000-0005-0000-0000-000006000000}"/>
    <cellStyle name="_x000a__x000a_JournalTemplate=C:\COMFO\CTALK\JOURSTD.TPL_x000a__x000a_LbStateAddress=3 3 0 251 1 89 2 311_x000a__x000a_LbStateJou 4" xfId="679" xr:uid="{00000000-0005-0000-0000-000007000000}"/>
    <cellStyle name="_x000d__x000a_JournalTemplate=C:\COMFO\CTALK\JOURSTD.TPL_x000d__x000a_LbStateAddress=3 3 0 251 1 89 2 311_x000d__x000a_LbStateJou" xfId="680" xr:uid="{00000000-0005-0000-0000-000008000000}"/>
    <cellStyle name="_x000d__x000a_JournalTemplate=C:\COMFO\CTALK\JOURSTD.TPL_x000d__x000a_LbStateAddress=3 3 0 251 1 89 2 311_x000d__x000a_LbStateJou 2" xfId="681" xr:uid="{00000000-0005-0000-0000-000009000000}"/>
    <cellStyle name="_x000d__x000a_JournalTemplate=C:\COMFO\CTALK\JOURSTD.TPL_x000d__x000a_LbStateAddress=3 3 0 251 1 89 2 311_x000d__x000a_LbStateJou 2 2" xfId="682" xr:uid="{00000000-0005-0000-0000-00000A000000}"/>
    <cellStyle name="_x000d__x000a_JournalTemplate=C:\COMFO\CTALK\JOURSTD.TPL_x000d__x000a_LbStateAddress=3 3 0 251 1 89 2 311_x000d__x000a_LbStateJou 3" xfId="683" xr:uid="{00000000-0005-0000-0000-00000B000000}"/>
    <cellStyle name="_x000d__x000a_JournalTemplate=C:\COMFO\CTALK\JOURSTD.TPL_x000d__x000a_LbStateAddress=3 3 0 251 1 89 2 311_x000d__x000a_LbStateJou 3 2" xfId="684" xr:uid="{00000000-0005-0000-0000-00000C000000}"/>
    <cellStyle name="_x000d__x000a_JournalTemplate=C:\COMFO\CTALK\JOURSTD.TPL_x000d__x000a_LbStateAddress=3 3 0 251 1 89 2 311_x000d__x000a_LbStateJou 3 2 2" xfId="685" xr:uid="{00000000-0005-0000-0000-00000D000000}"/>
    <cellStyle name="_x000d__x000a_JournalTemplate=C:\COMFO\CTALK\JOURSTD.TPL_x000d__x000a_LbStateAddress=3 3 0 251 1 89 2 311_x000d__x000a_LbStateJou 3 3" xfId="686" xr:uid="{00000000-0005-0000-0000-00000E000000}"/>
    <cellStyle name="_x000d__x000a_JournalTemplate=C:\COMFO\CTALK\JOURSTD.TPL_x000d__x000a_LbStateAddress=3 3 0 251 1 89 2 311_x000d__x000a_LbStateJou 4" xfId="687" xr:uid="{00000000-0005-0000-0000-00000F000000}"/>
    <cellStyle name="*MB Hardwired" xfId="688" xr:uid="{00000000-0005-0000-0000-000010000000}"/>
    <cellStyle name="*MB Hardwired 2" xfId="689" xr:uid="{00000000-0005-0000-0000-000011000000}"/>
    <cellStyle name="*MB Input Table Calc" xfId="690" xr:uid="{00000000-0005-0000-0000-000012000000}"/>
    <cellStyle name="*MB Input Table Calc 2" xfId="691" xr:uid="{00000000-0005-0000-0000-000013000000}"/>
    <cellStyle name="*MB Normal" xfId="692" xr:uid="{00000000-0005-0000-0000-000014000000}"/>
    <cellStyle name="*MB Normal 2" xfId="693" xr:uid="{00000000-0005-0000-0000-000015000000}"/>
    <cellStyle name="*MB Normal 2 2" xfId="694" xr:uid="{00000000-0005-0000-0000-000016000000}"/>
    <cellStyle name="*MB Normal 3" xfId="695" xr:uid="{00000000-0005-0000-0000-000017000000}"/>
    <cellStyle name="*MB Placeholder" xfId="696" xr:uid="{00000000-0005-0000-0000-000018000000}"/>
    <cellStyle name="*MB Placeholder 2" xfId="697" xr:uid="{00000000-0005-0000-0000-000019000000}"/>
    <cellStyle name="???" xfId="698" xr:uid="{00000000-0005-0000-0000-00001A000000}"/>
    <cellStyle name="??? 2" xfId="699" xr:uid="{00000000-0005-0000-0000-00001B000000}"/>
    <cellStyle name="_Base Case (Rev 3)" xfId="700" xr:uid="{00000000-0005-0000-0000-00001C000000}"/>
    <cellStyle name="_Base Case (Rev 3) 2" xfId="701" xr:uid="{00000000-0005-0000-0000-00001D000000}"/>
    <cellStyle name="_Base Case (Rev 3) 2 2" xfId="702" xr:uid="{00000000-0005-0000-0000-00001E000000}"/>
    <cellStyle name="_Base Case (Rev 3) 2 2 2" xfId="703" xr:uid="{00000000-0005-0000-0000-00001F000000}"/>
    <cellStyle name="_Base Case (Rev 3) 2 3" xfId="704" xr:uid="{00000000-0005-0000-0000-000020000000}"/>
    <cellStyle name="_Base Case (Rev 3) 3" xfId="705" xr:uid="{00000000-0005-0000-0000-000021000000}"/>
    <cellStyle name="_Base Case (Rev 3) 3 2" xfId="706" xr:uid="{00000000-0005-0000-0000-000022000000}"/>
    <cellStyle name="_Base Case (Rev 3) 4" xfId="707" xr:uid="{00000000-0005-0000-0000-000023000000}"/>
    <cellStyle name="20% - Accent1 2" xfId="708" xr:uid="{00000000-0005-0000-0000-000024000000}"/>
    <cellStyle name="20% - Accent1 2 10" xfId="709" xr:uid="{00000000-0005-0000-0000-000025000000}"/>
    <cellStyle name="20% - Accent1 2 10 2" xfId="710" xr:uid="{00000000-0005-0000-0000-000026000000}"/>
    <cellStyle name="20% - Accent1 2 11" xfId="711" xr:uid="{00000000-0005-0000-0000-000027000000}"/>
    <cellStyle name="20% - Accent1 2 2" xfId="712" xr:uid="{00000000-0005-0000-0000-000028000000}"/>
    <cellStyle name="20% - Accent1 2 2 2" xfId="713" xr:uid="{00000000-0005-0000-0000-000029000000}"/>
    <cellStyle name="20% - Accent1 2 2 2 2" xfId="714" xr:uid="{00000000-0005-0000-0000-00002A000000}"/>
    <cellStyle name="20% - Accent1 2 2 2 2 2" xfId="715" xr:uid="{00000000-0005-0000-0000-00002B000000}"/>
    <cellStyle name="20% - Accent1 2 2 2 3" xfId="716" xr:uid="{00000000-0005-0000-0000-00002C000000}"/>
    <cellStyle name="20% - Accent1 2 2 2 3 2" xfId="717" xr:uid="{00000000-0005-0000-0000-00002D000000}"/>
    <cellStyle name="20% - Accent1 2 2 2 3 2 2" xfId="718" xr:uid="{00000000-0005-0000-0000-00002E000000}"/>
    <cellStyle name="20% - Accent1 2 2 2 3 3" xfId="719" xr:uid="{00000000-0005-0000-0000-00002F000000}"/>
    <cellStyle name="20% - Accent1 2 2 2 4" xfId="720" xr:uid="{00000000-0005-0000-0000-000030000000}"/>
    <cellStyle name="20% - Accent1 2 2 3" xfId="721" xr:uid="{00000000-0005-0000-0000-000031000000}"/>
    <cellStyle name="20% - Accent1 2 2 3 2" xfId="722" xr:uid="{00000000-0005-0000-0000-000032000000}"/>
    <cellStyle name="20% - Accent1 2 2 3 2 2" xfId="723" xr:uid="{00000000-0005-0000-0000-000033000000}"/>
    <cellStyle name="20% - Accent1 2 2 3 3" xfId="724" xr:uid="{00000000-0005-0000-0000-000034000000}"/>
    <cellStyle name="20% - Accent1 2 2 4" xfId="725" xr:uid="{00000000-0005-0000-0000-000035000000}"/>
    <cellStyle name="20% - Accent1 2 2 4 2" xfId="726" xr:uid="{00000000-0005-0000-0000-000036000000}"/>
    <cellStyle name="20% - Accent1 2 2 4 2 2" xfId="727" xr:uid="{00000000-0005-0000-0000-000037000000}"/>
    <cellStyle name="20% - Accent1 2 2 4 2 2 2" xfId="728" xr:uid="{00000000-0005-0000-0000-000038000000}"/>
    <cellStyle name="20% - Accent1 2 2 4 2 3" xfId="729" xr:uid="{00000000-0005-0000-0000-000039000000}"/>
    <cellStyle name="20% - Accent1 2 2 4 3" xfId="730" xr:uid="{00000000-0005-0000-0000-00003A000000}"/>
    <cellStyle name="20% - Accent1 2 2 4 3 2" xfId="731" xr:uid="{00000000-0005-0000-0000-00003B000000}"/>
    <cellStyle name="20% - Accent1 2 2 4 4" xfId="732" xr:uid="{00000000-0005-0000-0000-00003C000000}"/>
    <cellStyle name="20% - Accent1 2 2 5" xfId="733" xr:uid="{00000000-0005-0000-0000-00003D000000}"/>
    <cellStyle name="20% - Accent1 2 2 5 2" xfId="734" xr:uid="{00000000-0005-0000-0000-00003E000000}"/>
    <cellStyle name="20% - Accent1 2 2 6" xfId="735" xr:uid="{00000000-0005-0000-0000-00003F000000}"/>
    <cellStyle name="20% - Accent1 2 3" xfId="736" xr:uid="{00000000-0005-0000-0000-000040000000}"/>
    <cellStyle name="20% - Accent1 2 3 2" xfId="737" xr:uid="{00000000-0005-0000-0000-000041000000}"/>
    <cellStyle name="20% - Accent1 2 3 2 2" xfId="738" xr:uid="{00000000-0005-0000-0000-000042000000}"/>
    <cellStyle name="20% - Accent1 2 3 2 2 2" xfId="739" xr:uid="{00000000-0005-0000-0000-000043000000}"/>
    <cellStyle name="20% - Accent1 2 3 2 3" xfId="740" xr:uid="{00000000-0005-0000-0000-000044000000}"/>
    <cellStyle name="20% - Accent1 2 3 3" xfId="741" xr:uid="{00000000-0005-0000-0000-000045000000}"/>
    <cellStyle name="20% - Accent1 2 3 3 2" xfId="742" xr:uid="{00000000-0005-0000-0000-000046000000}"/>
    <cellStyle name="20% - Accent1 2 3 3 2 2" xfId="743" xr:uid="{00000000-0005-0000-0000-000047000000}"/>
    <cellStyle name="20% - Accent1 2 3 3 2 2 2" xfId="744" xr:uid="{00000000-0005-0000-0000-000048000000}"/>
    <cellStyle name="20% - Accent1 2 3 3 2 3" xfId="745" xr:uid="{00000000-0005-0000-0000-000049000000}"/>
    <cellStyle name="20% - Accent1 2 3 3 3" xfId="746" xr:uid="{00000000-0005-0000-0000-00004A000000}"/>
    <cellStyle name="20% - Accent1 2 3 3 3 2" xfId="747" xr:uid="{00000000-0005-0000-0000-00004B000000}"/>
    <cellStyle name="20% - Accent1 2 3 3 4" xfId="748" xr:uid="{00000000-0005-0000-0000-00004C000000}"/>
    <cellStyle name="20% - Accent1 2 3 4" xfId="749" xr:uid="{00000000-0005-0000-0000-00004D000000}"/>
    <cellStyle name="20% - Accent1 2 3 4 2" xfId="750" xr:uid="{00000000-0005-0000-0000-00004E000000}"/>
    <cellStyle name="20% - Accent1 2 3 5" xfId="751" xr:uid="{00000000-0005-0000-0000-00004F000000}"/>
    <cellStyle name="20% - Accent1 2 4" xfId="752" xr:uid="{00000000-0005-0000-0000-000050000000}"/>
    <cellStyle name="20% - Accent1 2 4 2" xfId="753" xr:uid="{00000000-0005-0000-0000-000051000000}"/>
    <cellStyle name="20% - Accent1 2 4 2 2" xfId="754" xr:uid="{00000000-0005-0000-0000-000052000000}"/>
    <cellStyle name="20% - Accent1 2 4 2 2 2" xfId="755" xr:uid="{00000000-0005-0000-0000-000053000000}"/>
    <cellStyle name="20% - Accent1 2 4 2 3" xfId="756" xr:uid="{00000000-0005-0000-0000-000054000000}"/>
    <cellStyle name="20% - Accent1 2 4 3" xfId="757" xr:uid="{00000000-0005-0000-0000-000055000000}"/>
    <cellStyle name="20% - Accent1 2 4 3 2" xfId="758" xr:uid="{00000000-0005-0000-0000-000056000000}"/>
    <cellStyle name="20% - Accent1 2 4 4" xfId="759" xr:uid="{00000000-0005-0000-0000-000057000000}"/>
    <cellStyle name="20% - Accent1 2 5" xfId="760" xr:uid="{00000000-0005-0000-0000-000058000000}"/>
    <cellStyle name="20% - Accent1 2 5 2" xfId="761" xr:uid="{00000000-0005-0000-0000-000059000000}"/>
    <cellStyle name="20% - Accent1 2 5 2 2" xfId="762" xr:uid="{00000000-0005-0000-0000-00005A000000}"/>
    <cellStyle name="20% - Accent1 2 5 2 2 2" xfId="763" xr:uid="{00000000-0005-0000-0000-00005B000000}"/>
    <cellStyle name="20% - Accent1 2 5 2 3" xfId="764" xr:uid="{00000000-0005-0000-0000-00005C000000}"/>
    <cellStyle name="20% - Accent1 2 5 3" xfId="765" xr:uid="{00000000-0005-0000-0000-00005D000000}"/>
    <cellStyle name="20% - Accent1 2 5 3 2" xfId="766" xr:uid="{00000000-0005-0000-0000-00005E000000}"/>
    <cellStyle name="20% - Accent1 2 5 3 2 2" xfId="767" xr:uid="{00000000-0005-0000-0000-00005F000000}"/>
    <cellStyle name="20% - Accent1 2 5 3 2 2 2" xfId="768" xr:uid="{00000000-0005-0000-0000-000060000000}"/>
    <cellStyle name="20% - Accent1 2 5 3 2 3" xfId="769" xr:uid="{00000000-0005-0000-0000-000061000000}"/>
    <cellStyle name="20% - Accent1 2 5 3 3" xfId="770" xr:uid="{00000000-0005-0000-0000-000062000000}"/>
    <cellStyle name="20% - Accent1 2 5 3 3 2" xfId="771" xr:uid="{00000000-0005-0000-0000-000063000000}"/>
    <cellStyle name="20% - Accent1 2 5 3 4" xfId="772" xr:uid="{00000000-0005-0000-0000-000064000000}"/>
    <cellStyle name="20% - Accent1 2 5 4" xfId="773" xr:uid="{00000000-0005-0000-0000-000065000000}"/>
    <cellStyle name="20% - Accent1 2 5 4 2" xfId="774" xr:uid="{00000000-0005-0000-0000-000066000000}"/>
    <cellStyle name="20% - Accent1 2 5 5" xfId="775" xr:uid="{00000000-0005-0000-0000-000067000000}"/>
    <cellStyle name="20% - Accent1 2 6" xfId="776" xr:uid="{00000000-0005-0000-0000-000068000000}"/>
    <cellStyle name="20% - Accent1 2 6 2" xfId="777" xr:uid="{00000000-0005-0000-0000-000069000000}"/>
    <cellStyle name="20% - Accent1 2 6 2 2" xfId="778" xr:uid="{00000000-0005-0000-0000-00006A000000}"/>
    <cellStyle name="20% - Accent1 2 6 3" xfId="779" xr:uid="{00000000-0005-0000-0000-00006B000000}"/>
    <cellStyle name="20% - Accent1 2 7" xfId="780" xr:uid="{00000000-0005-0000-0000-00006C000000}"/>
    <cellStyle name="20% - Accent1 2 7 2" xfId="781" xr:uid="{00000000-0005-0000-0000-00006D000000}"/>
    <cellStyle name="20% - Accent1 2 7 2 2" xfId="782" xr:uid="{00000000-0005-0000-0000-00006E000000}"/>
    <cellStyle name="20% - Accent1 2 7 3" xfId="783" xr:uid="{00000000-0005-0000-0000-00006F000000}"/>
    <cellStyle name="20% - Accent1 2 8" xfId="784" xr:uid="{00000000-0005-0000-0000-000070000000}"/>
    <cellStyle name="20% - Accent1 2 8 2" xfId="785" xr:uid="{00000000-0005-0000-0000-000071000000}"/>
    <cellStyle name="20% - Accent1 2 8 2 2" xfId="786" xr:uid="{00000000-0005-0000-0000-000072000000}"/>
    <cellStyle name="20% - Accent1 2 8 2 2 2" xfId="787" xr:uid="{00000000-0005-0000-0000-000073000000}"/>
    <cellStyle name="20% - Accent1 2 8 2 3" xfId="788" xr:uid="{00000000-0005-0000-0000-000074000000}"/>
    <cellStyle name="20% - Accent1 2 8 3" xfId="789" xr:uid="{00000000-0005-0000-0000-000075000000}"/>
    <cellStyle name="20% - Accent1 2 8 3 2" xfId="790" xr:uid="{00000000-0005-0000-0000-000076000000}"/>
    <cellStyle name="20% - Accent1 2 8 4" xfId="791" xr:uid="{00000000-0005-0000-0000-000077000000}"/>
    <cellStyle name="20% - Accent1 2 9" xfId="792" xr:uid="{00000000-0005-0000-0000-000078000000}"/>
    <cellStyle name="20% - Accent1 2 9 2" xfId="793" xr:uid="{00000000-0005-0000-0000-000079000000}"/>
    <cellStyle name="20% - Accent1 3" xfId="794" xr:uid="{00000000-0005-0000-0000-00007A000000}"/>
    <cellStyle name="20% - Accent1 3 2" xfId="795" xr:uid="{00000000-0005-0000-0000-00007B000000}"/>
    <cellStyle name="20% - Accent1 3 2 2" xfId="796" xr:uid="{00000000-0005-0000-0000-00007C000000}"/>
    <cellStyle name="20% - Accent1 3 2 2 2" xfId="797" xr:uid="{00000000-0005-0000-0000-00007D000000}"/>
    <cellStyle name="20% - Accent1 3 2 3" xfId="798" xr:uid="{00000000-0005-0000-0000-00007E000000}"/>
    <cellStyle name="20% - Accent1 3 3" xfId="799" xr:uid="{00000000-0005-0000-0000-00007F000000}"/>
    <cellStyle name="20% - Accent1 3 3 2" xfId="800" xr:uid="{00000000-0005-0000-0000-000080000000}"/>
    <cellStyle name="20% - Accent1 3 4" xfId="801" xr:uid="{00000000-0005-0000-0000-000081000000}"/>
    <cellStyle name="20% - Accent1 3 4 2" xfId="802" xr:uid="{00000000-0005-0000-0000-000082000000}"/>
    <cellStyle name="20% - Accent1 3 4 2 2" xfId="803" xr:uid="{00000000-0005-0000-0000-000083000000}"/>
    <cellStyle name="20% - Accent1 3 4 3" xfId="804" xr:uid="{00000000-0005-0000-0000-000084000000}"/>
    <cellStyle name="20% - Accent1 3 5" xfId="805" xr:uid="{00000000-0005-0000-0000-000085000000}"/>
    <cellStyle name="20% - Accent1 4" xfId="806" xr:uid="{00000000-0005-0000-0000-000086000000}"/>
    <cellStyle name="20% - Accent1 4 2" xfId="807" xr:uid="{00000000-0005-0000-0000-000087000000}"/>
    <cellStyle name="20% - Accent1 4 2 2" xfId="808" xr:uid="{00000000-0005-0000-0000-000088000000}"/>
    <cellStyle name="20% - Accent1 4 3" xfId="809" xr:uid="{00000000-0005-0000-0000-000089000000}"/>
    <cellStyle name="20% - Accent1 4 3 2" xfId="810" xr:uid="{00000000-0005-0000-0000-00008A000000}"/>
    <cellStyle name="20% - Accent1 4 3 2 2" xfId="811" xr:uid="{00000000-0005-0000-0000-00008B000000}"/>
    <cellStyle name="20% - Accent1 4 3 3" xfId="812" xr:uid="{00000000-0005-0000-0000-00008C000000}"/>
    <cellStyle name="20% - Accent1 4 4" xfId="813" xr:uid="{00000000-0005-0000-0000-00008D000000}"/>
    <cellStyle name="20% - Accent1 5" xfId="814" xr:uid="{00000000-0005-0000-0000-00008E000000}"/>
    <cellStyle name="20% - Accent1 5 2" xfId="815" xr:uid="{00000000-0005-0000-0000-00008F000000}"/>
    <cellStyle name="20% - Accent1 5 2 2" xfId="816" xr:uid="{00000000-0005-0000-0000-000090000000}"/>
    <cellStyle name="20% - Accent1 5 2 2 2" xfId="817" xr:uid="{00000000-0005-0000-0000-000091000000}"/>
    <cellStyle name="20% - Accent1 5 2 3" xfId="818" xr:uid="{00000000-0005-0000-0000-000092000000}"/>
    <cellStyle name="20% - Accent1 5 3" xfId="819" xr:uid="{00000000-0005-0000-0000-000093000000}"/>
    <cellStyle name="20% - Accent1 5 3 2" xfId="820" xr:uid="{00000000-0005-0000-0000-000094000000}"/>
    <cellStyle name="20% - Accent1 5 3 2 2" xfId="821" xr:uid="{00000000-0005-0000-0000-000095000000}"/>
    <cellStyle name="20% - Accent1 5 3 2 2 2" xfId="822" xr:uid="{00000000-0005-0000-0000-000096000000}"/>
    <cellStyle name="20% - Accent1 5 3 2 3" xfId="823" xr:uid="{00000000-0005-0000-0000-000097000000}"/>
    <cellStyle name="20% - Accent1 5 3 3" xfId="824" xr:uid="{00000000-0005-0000-0000-000098000000}"/>
    <cellStyle name="20% - Accent1 5 3 3 2" xfId="825" xr:uid="{00000000-0005-0000-0000-000099000000}"/>
    <cellStyle name="20% - Accent1 5 3 4" xfId="826" xr:uid="{00000000-0005-0000-0000-00009A000000}"/>
    <cellStyle name="20% - Accent1 5 4" xfId="827" xr:uid="{00000000-0005-0000-0000-00009B000000}"/>
    <cellStyle name="20% - Accent1 5 4 2" xfId="828" xr:uid="{00000000-0005-0000-0000-00009C000000}"/>
    <cellStyle name="20% - Accent1 5 5" xfId="829" xr:uid="{00000000-0005-0000-0000-00009D000000}"/>
    <cellStyle name="20% - Accent1 6" xfId="830" xr:uid="{00000000-0005-0000-0000-00009E000000}"/>
    <cellStyle name="20% - Accent1 6 2" xfId="831" xr:uid="{00000000-0005-0000-0000-00009F000000}"/>
    <cellStyle name="20% - Accent1 6 2 2" xfId="832" xr:uid="{00000000-0005-0000-0000-0000A0000000}"/>
    <cellStyle name="20% - Accent1 6 2 2 2" xfId="833" xr:uid="{00000000-0005-0000-0000-0000A1000000}"/>
    <cellStyle name="20% - Accent1 6 2 3" xfId="834" xr:uid="{00000000-0005-0000-0000-0000A2000000}"/>
    <cellStyle name="20% - Accent1 6 3" xfId="835" xr:uid="{00000000-0005-0000-0000-0000A3000000}"/>
    <cellStyle name="20% - Accent1 6 3 2" xfId="836" xr:uid="{00000000-0005-0000-0000-0000A4000000}"/>
    <cellStyle name="20% - Accent1 6 4" xfId="837" xr:uid="{00000000-0005-0000-0000-0000A5000000}"/>
    <cellStyle name="20% - Accent1 7" xfId="838" xr:uid="{00000000-0005-0000-0000-0000A6000000}"/>
    <cellStyle name="20% - Accent1 8" xfId="839" xr:uid="{00000000-0005-0000-0000-0000A7000000}"/>
    <cellStyle name="20% - Accent2 2" xfId="840" xr:uid="{00000000-0005-0000-0000-0000A8000000}"/>
    <cellStyle name="20% - Accent2 2 10" xfId="841" xr:uid="{00000000-0005-0000-0000-0000A9000000}"/>
    <cellStyle name="20% - Accent2 2 10 2" xfId="842" xr:uid="{00000000-0005-0000-0000-0000AA000000}"/>
    <cellStyle name="20% - Accent2 2 11" xfId="843" xr:uid="{00000000-0005-0000-0000-0000AB000000}"/>
    <cellStyle name="20% - Accent2 2 2" xfId="844" xr:uid="{00000000-0005-0000-0000-0000AC000000}"/>
    <cellStyle name="20% - Accent2 2 2 2" xfId="845" xr:uid="{00000000-0005-0000-0000-0000AD000000}"/>
    <cellStyle name="20% - Accent2 2 2 2 2" xfId="846" xr:uid="{00000000-0005-0000-0000-0000AE000000}"/>
    <cellStyle name="20% - Accent2 2 2 2 2 2" xfId="847" xr:uid="{00000000-0005-0000-0000-0000AF000000}"/>
    <cellStyle name="20% - Accent2 2 2 2 3" xfId="848" xr:uid="{00000000-0005-0000-0000-0000B0000000}"/>
    <cellStyle name="20% - Accent2 2 2 2 3 2" xfId="849" xr:uid="{00000000-0005-0000-0000-0000B1000000}"/>
    <cellStyle name="20% - Accent2 2 2 2 3 2 2" xfId="850" xr:uid="{00000000-0005-0000-0000-0000B2000000}"/>
    <cellStyle name="20% - Accent2 2 2 2 3 3" xfId="851" xr:uid="{00000000-0005-0000-0000-0000B3000000}"/>
    <cellStyle name="20% - Accent2 2 2 2 4" xfId="852" xr:uid="{00000000-0005-0000-0000-0000B4000000}"/>
    <cellStyle name="20% - Accent2 2 2 3" xfId="853" xr:uid="{00000000-0005-0000-0000-0000B5000000}"/>
    <cellStyle name="20% - Accent2 2 2 3 2" xfId="854" xr:uid="{00000000-0005-0000-0000-0000B6000000}"/>
    <cellStyle name="20% - Accent2 2 2 3 2 2" xfId="855" xr:uid="{00000000-0005-0000-0000-0000B7000000}"/>
    <cellStyle name="20% - Accent2 2 2 3 3" xfId="856" xr:uid="{00000000-0005-0000-0000-0000B8000000}"/>
    <cellStyle name="20% - Accent2 2 2 4" xfId="857" xr:uid="{00000000-0005-0000-0000-0000B9000000}"/>
    <cellStyle name="20% - Accent2 2 2 4 2" xfId="858" xr:uid="{00000000-0005-0000-0000-0000BA000000}"/>
    <cellStyle name="20% - Accent2 2 2 4 2 2" xfId="859" xr:uid="{00000000-0005-0000-0000-0000BB000000}"/>
    <cellStyle name="20% - Accent2 2 2 4 2 2 2" xfId="860" xr:uid="{00000000-0005-0000-0000-0000BC000000}"/>
    <cellStyle name="20% - Accent2 2 2 4 2 3" xfId="861" xr:uid="{00000000-0005-0000-0000-0000BD000000}"/>
    <cellStyle name="20% - Accent2 2 2 4 3" xfId="862" xr:uid="{00000000-0005-0000-0000-0000BE000000}"/>
    <cellStyle name="20% - Accent2 2 2 4 3 2" xfId="863" xr:uid="{00000000-0005-0000-0000-0000BF000000}"/>
    <cellStyle name="20% - Accent2 2 2 4 4" xfId="864" xr:uid="{00000000-0005-0000-0000-0000C0000000}"/>
    <cellStyle name="20% - Accent2 2 2 5" xfId="865" xr:uid="{00000000-0005-0000-0000-0000C1000000}"/>
    <cellStyle name="20% - Accent2 2 2 5 2" xfId="866" xr:uid="{00000000-0005-0000-0000-0000C2000000}"/>
    <cellStyle name="20% - Accent2 2 2 6" xfId="867" xr:uid="{00000000-0005-0000-0000-0000C3000000}"/>
    <cellStyle name="20% - Accent2 2 3" xfId="868" xr:uid="{00000000-0005-0000-0000-0000C4000000}"/>
    <cellStyle name="20% - Accent2 2 3 2" xfId="869" xr:uid="{00000000-0005-0000-0000-0000C5000000}"/>
    <cellStyle name="20% - Accent2 2 3 2 2" xfId="870" xr:uid="{00000000-0005-0000-0000-0000C6000000}"/>
    <cellStyle name="20% - Accent2 2 3 2 2 2" xfId="871" xr:uid="{00000000-0005-0000-0000-0000C7000000}"/>
    <cellStyle name="20% - Accent2 2 3 2 3" xfId="872" xr:uid="{00000000-0005-0000-0000-0000C8000000}"/>
    <cellStyle name="20% - Accent2 2 3 3" xfId="873" xr:uid="{00000000-0005-0000-0000-0000C9000000}"/>
    <cellStyle name="20% - Accent2 2 3 3 2" xfId="874" xr:uid="{00000000-0005-0000-0000-0000CA000000}"/>
    <cellStyle name="20% - Accent2 2 3 3 2 2" xfId="875" xr:uid="{00000000-0005-0000-0000-0000CB000000}"/>
    <cellStyle name="20% - Accent2 2 3 3 2 2 2" xfId="876" xr:uid="{00000000-0005-0000-0000-0000CC000000}"/>
    <cellStyle name="20% - Accent2 2 3 3 2 3" xfId="877" xr:uid="{00000000-0005-0000-0000-0000CD000000}"/>
    <cellStyle name="20% - Accent2 2 3 3 3" xfId="878" xr:uid="{00000000-0005-0000-0000-0000CE000000}"/>
    <cellStyle name="20% - Accent2 2 3 3 3 2" xfId="879" xr:uid="{00000000-0005-0000-0000-0000CF000000}"/>
    <cellStyle name="20% - Accent2 2 3 3 4" xfId="880" xr:uid="{00000000-0005-0000-0000-0000D0000000}"/>
    <cellStyle name="20% - Accent2 2 3 4" xfId="881" xr:uid="{00000000-0005-0000-0000-0000D1000000}"/>
    <cellStyle name="20% - Accent2 2 3 4 2" xfId="882" xr:uid="{00000000-0005-0000-0000-0000D2000000}"/>
    <cellStyle name="20% - Accent2 2 3 5" xfId="883" xr:uid="{00000000-0005-0000-0000-0000D3000000}"/>
    <cellStyle name="20% - Accent2 2 4" xfId="884" xr:uid="{00000000-0005-0000-0000-0000D4000000}"/>
    <cellStyle name="20% - Accent2 2 4 2" xfId="885" xr:uid="{00000000-0005-0000-0000-0000D5000000}"/>
    <cellStyle name="20% - Accent2 2 4 2 2" xfId="886" xr:uid="{00000000-0005-0000-0000-0000D6000000}"/>
    <cellStyle name="20% - Accent2 2 4 2 2 2" xfId="887" xr:uid="{00000000-0005-0000-0000-0000D7000000}"/>
    <cellStyle name="20% - Accent2 2 4 2 3" xfId="888" xr:uid="{00000000-0005-0000-0000-0000D8000000}"/>
    <cellStyle name="20% - Accent2 2 4 3" xfId="889" xr:uid="{00000000-0005-0000-0000-0000D9000000}"/>
    <cellStyle name="20% - Accent2 2 4 3 2" xfId="890" xr:uid="{00000000-0005-0000-0000-0000DA000000}"/>
    <cellStyle name="20% - Accent2 2 4 4" xfId="891" xr:uid="{00000000-0005-0000-0000-0000DB000000}"/>
    <cellStyle name="20% - Accent2 2 5" xfId="892" xr:uid="{00000000-0005-0000-0000-0000DC000000}"/>
    <cellStyle name="20% - Accent2 2 5 2" xfId="893" xr:uid="{00000000-0005-0000-0000-0000DD000000}"/>
    <cellStyle name="20% - Accent2 2 5 2 2" xfId="894" xr:uid="{00000000-0005-0000-0000-0000DE000000}"/>
    <cellStyle name="20% - Accent2 2 5 2 2 2" xfId="895" xr:uid="{00000000-0005-0000-0000-0000DF000000}"/>
    <cellStyle name="20% - Accent2 2 5 2 3" xfId="896" xr:uid="{00000000-0005-0000-0000-0000E0000000}"/>
    <cellStyle name="20% - Accent2 2 5 3" xfId="897" xr:uid="{00000000-0005-0000-0000-0000E1000000}"/>
    <cellStyle name="20% - Accent2 2 5 3 2" xfId="898" xr:uid="{00000000-0005-0000-0000-0000E2000000}"/>
    <cellStyle name="20% - Accent2 2 5 3 2 2" xfId="899" xr:uid="{00000000-0005-0000-0000-0000E3000000}"/>
    <cellStyle name="20% - Accent2 2 5 3 2 2 2" xfId="900" xr:uid="{00000000-0005-0000-0000-0000E4000000}"/>
    <cellStyle name="20% - Accent2 2 5 3 2 3" xfId="901" xr:uid="{00000000-0005-0000-0000-0000E5000000}"/>
    <cellStyle name="20% - Accent2 2 5 3 3" xfId="902" xr:uid="{00000000-0005-0000-0000-0000E6000000}"/>
    <cellStyle name="20% - Accent2 2 5 3 3 2" xfId="903" xr:uid="{00000000-0005-0000-0000-0000E7000000}"/>
    <cellStyle name="20% - Accent2 2 5 3 4" xfId="904" xr:uid="{00000000-0005-0000-0000-0000E8000000}"/>
    <cellStyle name="20% - Accent2 2 5 4" xfId="905" xr:uid="{00000000-0005-0000-0000-0000E9000000}"/>
    <cellStyle name="20% - Accent2 2 5 4 2" xfId="906" xr:uid="{00000000-0005-0000-0000-0000EA000000}"/>
    <cellStyle name="20% - Accent2 2 5 5" xfId="907" xr:uid="{00000000-0005-0000-0000-0000EB000000}"/>
    <cellStyle name="20% - Accent2 2 6" xfId="908" xr:uid="{00000000-0005-0000-0000-0000EC000000}"/>
    <cellStyle name="20% - Accent2 2 6 2" xfId="909" xr:uid="{00000000-0005-0000-0000-0000ED000000}"/>
    <cellStyle name="20% - Accent2 2 6 2 2" xfId="910" xr:uid="{00000000-0005-0000-0000-0000EE000000}"/>
    <cellStyle name="20% - Accent2 2 6 3" xfId="911" xr:uid="{00000000-0005-0000-0000-0000EF000000}"/>
    <cellStyle name="20% - Accent2 2 7" xfId="912" xr:uid="{00000000-0005-0000-0000-0000F0000000}"/>
    <cellStyle name="20% - Accent2 2 7 2" xfId="913" xr:uid="{00000000-0005-0000-0000-0000F1000000}"/>
    <cellStyle name="20% - Accent2 2 7 2 2" xfId="914" xr:uid="{00000000-0005-0000-0000-0000F2000000}"/>
    <cellStyle name="20% - Accent2 2 7 3" xfId="915" xr:uid="{00000000-0005-0000-0000-0000F3000000}"/>
    <cellStyle name="20% - Accent2 2 8" xfId="916" xr:uid="{00000000-0005-0000-0000-0000F4000000}"/>
    <cellStyle name="20% - Accent2 2 8 2" xfId="917" xr:uid="{00000000-0005-0000-0000-0000F5000000}"/>
    <cellStyle name="20% - Accent2 2 8 2 2" xfId="918" xr:uid="{00000000-0005-0000-0000-0000F6000000}"/>
    <cellStyle name="20% - Accent2 2 8 2 2 2" xfId="919" xr:uid="{00000000-0005-0000-0000-0000F7000000}"/>
    <cellStyle name="20% - Accent2 2 8 2 3" xfId="920" xr:uid="{00000000-0005-0000-0000-0000F8000000}"/>
    <cellStyle name="20% - Accent2 2 8 3" xfId="921" xr:uid="{00000000-0005-0000-0000-0000F9000000}"/>
    <cellStyle name="20% - Accent2 2 8 3 2" xfId="922" xr:uid="{00000000-0005-0000-0000-0000FA000000}"/>
    <cellStyle name="20% - Accent2 2 8 4" xfId="923" xr:uid="{00000000-0005-0000-0000-0000FB000000}"/>
    <cellStyle name="20% - Accent2 2 9" xfId="924" xr:uid="{00000000-0005-0000-0000-0000FC000000}"/>
    <cellStyle name="20% - Accent2 2 9 2" xfId="925" xr:uid="{00000000-0005-0000-0000-0000FD000000}"/>
    <cellStyle name="20% - Accent2 3" xfId="926" xr:uid="{00000000-0005-0000-0000-0000FE000000}"/>
    <cellStyle name="20% - Accent2 3 2" xfId="927" xr:uid="{00000000-0005-0000-0000-0000FF000000}"/>
    <cellStyle name="20% - Accent2 3 2 2" xfId="928" xr:uid="{00000000-0005-0000-0000-000000010000}"/>
    <cellStyle name="20% - Accent2 3 2 2 2" xfId="929" xr:uid="{00000000-0005-0000-0000-000001010000}"/>
    <cellStyle name="20% - Accent2 3 2 3" xfId="930" xr:uid="{00000000-0005-0000-0000-000002010000}"/>
    <cellStyle name="20% - Accent2 3 3" xfId="931" xr:uid="{00000000-0005-0000-0000-000003010000}"/>
    <cellStyle name="20% - Accent2 3 3 2" xfId="932" xr:uid="{00000000-0005-0000-0000-000004010000}"/>
    <cellStyle name="20% - Accent2 3 4" xfId="933" xr:uid="{00000000-0005-0000-0000-000005010000}"/>
    <cellStyle name="20% - Accent2 3 4 2" xfId="934" xr:uid="{00000000-0005-0000-0000-000006010000}"/>
    <cellStyle name="20% - Accent2 3 4 2 2" xfId="935" xr:uid="{00000000-0005-0000-0000-000007010000}"/>
    <cellStyle name="20% - Accent2 3 4 3" xfId="936" xr:uid="{00000000-0005-0000-0000-000008010000}"/>
    <cellStyle name="20% - Accent2 3 5" xfId="937" xr:uid="{00000000-0005-0000-0000-000009010000}"/>
    <cellStyle name="20% - Accent2 4" xfId="938" xr:uid="{00000000-0005-0000-0000-00000A010000}"/>
    <cellStyle name="20% - Accent2 4 2" xfId="939" xr:uid="{00000000-0005-0000-0000-00000B010000}"/>
    <cellStyle name="20% - Accent2 4 2 2" xfId="940" xr:uid="{00000000-0005-0000-0000-00000C010000}"/>
    <cellStyle name="20% - Accent2 4 3" xfId="941" xr:uid="{00000000-0005-0000-0000-00000D010000}"/>
    <cellStyle name="20% - Accent2 4 3 2" xfId="942" xr:uid="{00000000-0005-0000-0000-00000E010000}"/>
    <cellStyle name="20% - Accent2 4 3 2 2" xfId="943" xr:uid="{00000000-0005-0000-0000-00000F010000}"/>
    <cellStyle name="20% - Accent2 4 3 3" xfId="944" xr:uid="{00000000-0005-0000-0000-000010010000}"/>
    <cellStyle name="20% - Accent2 4 4" xfId="945" xr:uid="{00000000-0005-0000-0000-000011010000}"/>
    <cellStyle name="20% - Accent2 5" xfId="946" xr:uid="{00000000-0005-0000-0000-000012010000}"/>
    <cellStyle name="20% - Accent2 5 2" xfId="947" xr:uid="{00000000-0005-0000-0000-000013010000}"/>
    <cellStyle name="20% - Accent2 5 2 2" xfId="948" xr:uid="{00000000-0005-0000-0000-000014010000}"/>
    <cellStyle name="20% - Accent2 5 2 2 2" xfId="949" xr:uid="{00000000-0005-0000-0000-000015010000}"/>
    <cellStyle name="20% - Accent2 5 2 3" xfId="950" xr:uid="{00000000-0005-0000-0000-000016010000}"/>
    <cellStyle name="20% - Accent2 5 3" xfId="951" xr:uid="{00000000-0005-0000-0000-000017010000}"/>
    <cellStyle name="20% - Accent2 5 3 2" xfId="952" xr:uid="{00000000-0005-0000-0000-000018010000}"/>
    <cellStyle name="20% - Accent2 5 3 2 2" xfId="953" xr:uid="{00000000-0005-0000-0000-000019010000}"/>
    <cellStyle name="20% - Accent2 5 3 2 2 2" xfId="954" xr:uid="{00000000-0005-0000-0000-00001A010000}"/>
    <cellStyle name="20% - Accent2 5 3 2 3" xfId="955" xr:uid="{00000000-0005-0000-0000-00001B010000}"/>
    <cellStyle name="20% - Accent2 5 3 3" xfId="956" xr:uid="{00000000-0005-0000-0000-00001C010000}"/>
    <cellStyle name="20% - Accent2 5 3 3 2" xfId="957" xr:uid="{00000000-0005-0000-0000-00001D010000}"/>
    <cellStyle name="20% - Accent2 5 3 4" xfId="958" xr:uid="{00000000-0005-0000-0000-00001E010000}"/>
    <cellStyle name="20% - Accent2 5 4" xfId="959" xr:uid="{00000000-0005-0000-0000-00001F010000}"/>
    <cellStyle name="20% - Accent2 5 4 2" xfId="960" xr:uid="{00000000-0005-0000-0000-000020010000}"/>
    <cellStyle name="20% - Accent2 5 5" xfId="961" xr:uid="{00000000-0005-0000-0000-000021010000}"/>
    <cellStyle name="20% - Accent2 6" xfId="962" xr:uid="{00000000-0005-0000-0000-000022010000}"/>
    <cellStyle name="20% - Accent2 6 2" xfId="963" xr:uid="{00000000-0005-0000-0000-000023010000}"/>
    <cellStyle name="20% - Accent2 6 2 2" xfId="964" xr:uid="{00000000-0005-0000-0000-000024010000}"/>
    <cellStyle name="20% - Accent2 6 2 2 2" xfId="965" xr:uid="{00000000-0005-0000-0000-000025010000}"/>
    <cellStyle name="20% - Accent2 6 2 3" xfId="966" xr:uid="{00000000-0005-0000-0000-000026010000}"/>
    <cellStyle name="20% - Accent2 6 3" xfId="967" xr:uid="{00000000-0005-0000-0000-000027010000}"/>
    <cellStyle name="20% - Accent2 6 3 2" xfId="968" xr:uid="{00000000-0005-0000-0000-000028010000}"/>
    <cellStyle name="20% - Accent2 6 4" xfId="969" xr:uid="{00000000-0005-0000-0000-000029010000}"/>
    <cellStyle name="20% - Accent2 7" xfId="970" xr:uid="{00000000-0005-0000-0000-00002A010000}"/>
    <cellStyle name="20% - Accent2 8" xfId="971" xr:uid="{00000000-0005-0000-0000-00002B010000}"/>
    <cellStyle name="20% - Accent3 2" xfId="972" xr:uid="{00000000-0005-0000-0000-00002C010000}"/>
    <cellStyle name="20% - Accent3 2 10" xfId="973" xr:uid="{00000000-0005-0000-0000-00002D010000}"/>
    <cellStyle name="20% - Accent3 2 10 2" xfId="974" xr:uid="{00000000-0005-0000-0000-00002E010000}"/>
    <cellStyle name="20% - Accent3 2 11" xfId="975" xr:uid="{00000000-0005-0000-0000-00002F010000}"/>
    <cellStyle name="20% - Accent3 2 2" xfId="976" xr:uid="{00000000-0005-0000-0000-000030010000}"/>
    <cellStyle name="20% - Accent3 2 2 2" xfId="977" xr:uid="{00000000-0005-0000-0000-000031010000}"/>
    <cellStyle name="20% - Accent3 2 2 2 2" xfId="978" xr:uid="{00000000-0005-0000-0000-000032010000}"/>
    <cellStyle name="20% - Accent3 2 2 2 2 2" xfId="979" xr:uid="{00000000-0005-0000-0000-000033010000}"/>
    <cellStyle name="20% - Accent3 2 2 2 3" xfId="980" xr:uid="{00000000-0005-0000-0000-000034010000}"/>
    <cellStyle name="20% - Accent3 2 2 2 3 2" xfId="981" xr:uid="{00000000-0005-0000-0000-000035010000}"/>
    <cellStyle name="20% - Accent3 2 2 2 3 2 2" xfId="982" xr:uid="{00000000-0005-0000-0000-000036010000}"/>
    <cellStyle name="20% - Accent3 2 2 2 3 3" xfId="983" xr:uid="{00000000-0005-0000-0000-000037010000}"/>
    <cellStyle name="20% - Accent3 2 2 2 4" xfId="984" xr:uid="{00000000-0005-0000-0000-000038010000}"/>
    <cellStyle name="20% - Accent3 2 2 3" xfId="985" xr:uid="{00000000-0005-0000-0000-000039010000}"/>
    <cellStyle name="20% - Accent3 2 2 3 2" xfId="986" xr:uid="{00000000-0005-0000-0000-00003A010000}"/>
    <cellStyle name="20% - Accent3 2 2 3 2 2" xfId="987" xr:uid="{00000000-0005-0000-0000-00003B010000}"/>
    <cellStyle name="20% - Accent3 2 2 3 3" xfId="988" xr:uid="{00000000-0005-0000-0000-00003C010000}"/>
    <cellStyle name="20% - Accent3 2 2 4" xfId="989" xr:uid="{00000000-0005-0000-0000-00003D010000}"/>
    <cellStyle name="20% - Accent3 2 2 4 2" xfId="990" xr:uid="{00000000-0005-0000-0000-00003E010000}"/>
    <cellStyle name="20% - Accent3 2 2 4 2 2" xfId="991" xr:uid="{00000000-0005-0000-0000-00003F010000}"/>
    <cellStyle name="20% - Accent3 2 2 4 2 2 2" xfId="992" xr:uid="{00000000-0005-0000-0000-000040010000}"/>
    <cellStyle name="20% - Accent3 2 2 4 2 3" xfId="993" xr:uid="{00000000-0005-0000-0000-000041010000}"/>
    <cellStyle name="20% - Accent3 2 2 4 3" xfId="994" xr:uid="{00000000-0005-0000-0000-000042010000}"/>
    <cellStyle name="20% - Accent3 2 2 4 3 2" xfId="995" xr:uid="{00000000-0005-0000-0000-000043010000}"/>
    <cellStyle name="20% - Accent3 2 2 4 4" xfId="996" xr:uid="{00000000-0005-0000-0000-000044010000}"/>
    <cellStyle name="20% - Accent3 2 2 5" xfId="997" xr:uid="{00000000-0005-0000-0000-000045010000}"/>
    <cellStyle name="20% - Accent3 2 2 5 2" xfId="998" xr:uid="{00000000-0005-0000-0000-000046010000}"/>
    <cellStyle name="20% - Accent3 2 2 6" xfId="999" xr:uid="{00000000-0005-0000-0000-000047010000}"/>
    <cellStyle name="20% - Accent3 2 3" xfId="1000" xr:uid="{00000000-0005-0000-0000-000048010000}"/>
    <cellStyle name="20% - Accent3 2 3 2" xfId="1001" xr:uid="{00000000-0005-0000-0000-000049010000}"/>
    <cellStyle name="20% - Accent3 2 3 2 2" xfId="1002" xr:uid="{00000000-0005-0000-0000-00004A010000}"/>
    <cellStyle name="20% - Accent3 2 3 2 2 2" xfId="1003" xr:uid="{00000000-0005-0000-0000-00004B010000}"/>
    <cellStyle name="20% - Accent3 2 3 2 3" xfId="1004" xr:uid="{00000000-0005-0000-0000-00004C010000}"/>
    <cellStyle name="20% - Accent3 2 3 3" xfId="1005" xr:uid="{00000000-0005-0000-0000-00004D010000}"/>
    <cellStyle name="20% - Accent3 2 3 3 2" xfId="1006" xr:uid="{00000000-0005-0000-0000-00004E010000}"/>
    <cellStyle name="20% - Accent3 2 3 3 2 2" xfId="1007" xr:uid="{00000000-0005-0000-0000-00004F010000}"/>
    <cellStyle name="20% - Accent3 2 3 3 2 2 2" xfId="1008" xr:uid="{00000000-0005-0000-0000-000050010000}"/>
    <cellStyle name="20% - Accent3 2 3 3 2 3" xfId="1009" xr:uid="{00000000-0005-0000-0000-000051010000}"/>
    <cellStyle name="20% - Accent3 2 3 3 3" xfId="1010" xr:uid="{00000000-0005-0000-0000-000052010000}"/>
    <cellStyle name="20% - Accent3 2 3 3 3 2" xfId="1011" xr:uid="{00000000-0005-0000-0000-000053010000}"/>
    <cellStyle name="20% - Accent3 2 3 3 4" xfId="1012" xr:uid="{00000000-0005-0000-0000-000054010000}"/>
    <cellStyle name="20% - Accent3 2 3 4" xfId="1013" xr:uid="{00000000-0005-0000-0000-000055010000}"/>
    <cellStyle name="20% - Accent3 2 3 4 2" xfId="1014" xr:uid="{00000000-0005-0000-0000-000056010000}"/>
    <cellStyle name="20% - Accent3 2 3 5" xfId="1015" xr:uid="{00000000-0005-0000-0000-000057010000}"/>
    <cellStyle name="20% - Accent3 2 4" xfId="1016" xr:uid="{00000000-0005-0000-0000-000058010000}"/>
    <cellStyle name="20% - Accent3 2 4 2" xfId="1017" xr:uid="{00000000-0005-0000-0000-000059010000}"/>
    <cellStyle name="20% - Accent3 2 4 2 2" xfId="1018" xr:uid="{00000000-0005-0000-0000-00005A010000}"/>
    <cellStyle name="20% - Accent3 2 4 2 2 2" xfId="1019" xr:uid="{00000000-0005-0000-0000-00005B010000}"/>
    <cellStyle name="20% - Accent3 2 4 2 3" xfId="1020" xr:uid="{00000000-0005-0000-0000-00005C010000}"/>
    <cellStyle name="20% - Accent3 2 4 3" xfId="1021" xr:uid="{00000000-0005-0000-0000-00005D010000}"/>
    <cellStyle name="20% - Accent3 2 4 3 2" xfId="1022" xr:uid="{00000000-0005-0000-0000-00005E010000}"/>
    <cellStyle name="20% - Accent3 2 4 4" xfId="1023" xr:uid="{00000000-0005-0000-0000-00005F010000}"/>
    <cellStyle name="20% - Accent3 2 5" xfId="1024" xr:uid="{00000000-0005-0000-0000-000060010000}"/>
    <cellStyle name="20% - Accent3 2 5 2" xfId="1025" xr:uid="{00000000-0005-0000-0000-000061010000}"/>
    <cellStyle name="20% - Accent3 2 5 2 2" xfId="1026" xr:uid="{00000000-0005-0000-0000-000062010000}"/>
    <cellStyle name="20% - Accent3 2 5 2 2 2" xfId="1027" xr:uid="{00000000-0005-0000-0000-000063010000}"/>
    <cellStyle name="20% - Accent3 2 5 2 3" xfId="1028" xr:uid="{00000000-0005-0000-0000-000064010000}"/>
    <cellStyle name="20% - Accent3 2 5 3" xfId="1029" xr:uid="{00000000-0005-0000-0000-000065010000}"/>
    <cellStyle name="20% - Accent3 2 5 3 2" xfId="1030" xr:uid="{00000000-0005-0000-0000-000066010000}"/>
    <cellStyle name="20% - Accent3 2 5 3 2 2" xfId="1031" xr:uid="{00000000-0005-0000-0000-000067010000}"/>
    <cellStyle name="20% - Accent3 2 5 3 2 2 2" xfId="1032" xr:uid="{00000000-0005-0000-0000-000068010000}"/>
    <cellStyle name="20% - Accent3 2 5 3 2 3" xfId="1033" xr:uid="{00000000-0005-0000-0000-000069010000}"/>
    <cellStyle name="20% - Accent3 2 5 3 3" xfId="1034" xr:uid="{00000000-0005-0000-0000-00006A010000}"/>
    <cellStyle name="20% - Accent3 2 5 3 3 2" xfId="1035" xr:uid="{00000000-0005-0000-0000-00006B010000}"/>
    <cellStyle name="20% - Accent3 2 5 3 4" xfId="1036" xr:uid="{00000000-0005-0000-0000-00006C010000}"/>
    <cellStyle name="20% - Accent3 2 5 4" xfId="1037" xr:uid="{00000000-0005-0000-0000-00006D010000}"/>
    <cellStyle name="20% - Accent3 2 5 4 2" xfId="1038" xr:uid="{00000000-0005-0000-0000-00006E010000}"/>
    <cellStyle name="20% - Accent3 2 5 5" xfId="1039" xr:uid="{00000000-0005-0000-0000-00006F010000}"/>
    <cellStyle name="20% - Accent3 2 6" xfId="1040" xr:uid="{00000000-0005-0000-0000-000070010000}"/>
    <cellStyle name="20% - Accent3 2 6 2" xfId="1041" xr:uid="{00000000-0005-0000-0000-000071010000}"/>
    <cellStyle name="20% - Accent3 2 6 2 2" xfId="1042" xr:uid="{00000000-0005-0000-0000-000072010000}"/>
    <cellStyle name="20% - Accent3 2 6 3" xfId="1043" xr:uid="{00000000-0005-0000-0000-000073010000}"/>
    <cellStyle name="20% - Accent3 2 7" xfId="1044" xr:uid="{00000000-0005-0000-0000-000074010000}"/>
    <cellStyle name="20% - Accent3 2 7 2" xfId="1045" xr:uid="{00000000-0005-0000-0000-000075010000}"/>
    <cellStyle name="20% - Accent3 2 7 2 2" xfId="1046" xr:uid="{00000000-0005-0000-0000-000076010000}"/>
    <cellStyle name="20% - Accent3 2 7 3" xfId="1047" xr:uid="{00000000-0005-0000-0000-000077010000}"/>
    <cellStyle name="20% - Accent3 2 8" xfId="1048" xr:uid="{00000000-0005-0000-0000-000078010000}"/>
    <cellStyle name="20% - Accent3 2 8 2" xfId="1049" xr:uid="{00000000-0005-0000-0000-000079010000}"/>
    <cellStyle name="20% - Accent3 2 8 2 2" xfId="1050" xr:uid="{00000000-0005-0000-0000-00007A010000}"/>
    <cellStyle name="20% - Accent3 2 8 2 2 2" xfId="1051" xr:uid="{00000000-0005-0000-0000-00007B010000}"/>
    <cellStyle name="20% - Accent3 2 8 2 3" xfId="1052" xr:uid="{00000000-0005-0000-0000-00007C010000}"/>
    <cellStyle name="20% - Accent3 2 8 3" xfId="1053" xr:uid="{00000000-0005-0000-0000-00007D010000}"/>
    <cellStyle name="20% - Accent3 2 8 3 2" xfId="1054" xr:uid="{00000000-0005-0000-0000-00007E010000}"/>
    <cellStyle name="20% - Accent3 2 8 4" xfId="1055" xr:uid="{00000000-0005-0000-0000-00007F010000}"/>
    <cellStyle name="20% - Accent3 2 9" xfId="1056" xr:uid="{00000000-0005-0000-0000-000080010000}"/>
    <cellStyle name="20% - Accent3 2 9 2" xfId="1057" xr:uid="{00000000-0005-0000-0000-000081010000}"/>
    <cellStyle name="20% - Accent3 3" xfId="1058" xr:uid="{00000000-0005-0000-0000-000082010000}"/>
    <cellStyle name="20% - Accent3 3 2" xfId="1059" xr:uid="{00000000-0005-0000-0000-000083010000}"/>
    <cellStyle name="20% - Accent3 3 2 2" xfId="1060" xr:uid="{00000000-0005-0000-0000-000084010000}"/>
    <cellStyle name="20% - Accent3 3 2 2 2" xfId="1061" xr:uid="{00000000-0005-0000-0000-000085010000}"/>
    <cellStyle name="20% - Accent3 3 2 3" xfId="1062" xr:uid="{00000000-0005-0000-0000-000086010000}"/>
    <cellStyle name="20% - Accent3 3 3" xfId="1063" xr:uid="{00000000-0005-0000-0000-000087010000}"/>
    <cellStyle name="20% - Accent3 3 3 2" xfId="1064" xr:uid="{00000000-0005-0000-0000-000088010000}"/>
    <cellStyle name="20% - Accent3 3 4" xfId="1065" xr:uid="{00000000-0005-0000-0000-000089010000}"/>
    <cellStyle name="20% - Accent3 3 4 2" xfId="1066" xr:uid="{00000000-0005-0000-0000-00008A010000}"/>
    <cellStyle name="20% - Accent3 3 4 2 2" xfId="1067" xr:uid="{00000000-0005-0000-0000-00008B010000}"/>
    <cellStyle name="20% - Accent3 3 4 3" xfId="1068" xr:uid="{00000000-0005-0000-0000-00008C010000}"/>
    <cellStyle name="20% - Accent3 3 5" xfId="1069" xr:uid="{00000000-0005-0000-0000-00008D010000}"/>
    <cellStyle name="20% - Accent3 4" xfId="1070" xr:uid="{00000000-0005-0000-0000-00008E010000}"/>
    <cellStyle name="20% - Accent3 4 2" xfId="1071" xr:uid="{00000000-0005-0000-0000-00008F010000}"/>
    <cellStyle name="20% - Accent3 4 2 2" xfId="1072" xr:uid="{00000000-0005-0000-0000-000090010000}"/>
    <cellStyle name="20% - Accent3 4 3" xfId="1073" xr:uid="{00000000-0005-0000-0000-000091010000}"/>
    <cellStyle name="20% - Accent3 4 3 2" xfId="1074" xr:uid="{00000000-0005-0000-0000-000092010000}"/>
    <cellStyle name="20% - Accent3 4 3 2 2" xfId="1075" xr:uid="{00000000-0005-0000-0000-000093010000}"/>
    <cellStyle name="20% - Accent3 4 3 3" xfId="1076" xr:uid="{00000000-0005-0000-0000-000094010000}"/>
    <cellStyle name="20% - Accent3 4 4" xfId="1077" xr:uid="{00000000-0005-0000-0000-000095010000}"/>
    <cellStyle name="20% - Accent3 5" xfId="1078" xr:uid="{00000000-0005-0000-0000-000096010000}"/>
    <cellStyle name="20% - Accent3 5 2" xfId="1079" xr:uid="{00000000-0005-0000-0000-000097010000}"/>
    <cellStyle name="20% - Accent3 5 2 2" xfId="1080" xr:uid="{00000000-0005-0000-0000-000098010000}"/>
    <cellStyle name="20% - Accent3 5 2 2 2" xfId="1081" xr:uid="{00000000-0005-0000-0000-000099010000}"/>
    <cellStyle name="20% - Accent3 5 2 3" xfId="1082" xr:uid="{00000000-0005-0000-0000-00009A010000}"/>
    <cellStyle name="20% - Accent3 5 3" xfId="1083" xr:uid="{00000000-0005-0000-0000-00009B010000}"/>
    <cellStyle name="20% - Accent3 5 3 2" xfId="1084" xr:uid="{00000000-0005-0000-0000-00009C010000}"/>
    <cellStyle name="20% - Accent3 5 3 2 2" xfId="1085" xr:uid="{00000000-0005-0000-0000-00009D010000}"/>
    <cellStyle name="20% - Accent3 5 3 2 2 2" xfId="1086" xr:uid="{00000000-0005-0000-0000-00009E010000}"/>
    <cellStyle name="20% - Accent3 5 3 2 3" xfId="1087" xr:uid="{00000000-0005-0000-0000-00009F010000}"/>
    <cellStyle name="20% - Accent3 5 3 3" xfId="1088" xr:uid="{00000000-0005-0000-0000-0000A0010000}"/>
    <cellStyle name="20% - Accent3 5 3 3 2" xfId="1089" xr:uid="{00000000-0005-0000-0000-0000A1010000}"/>
    <cellStyle name="20% - Accent3 5 3 4" xfId="1090" xr:uid="{00000000-0005-0000-0000-0000A2010000}"/>
    <cellStyle name="20% - Accent3 5 4" xfId="1091" xr:uid="{00000000-0005-0000-0000-0000A3010000}"/>
    <cellStyle name="20% - Accent3 5 4 2" xfId="1092" xr:uid="{00000000-0005-0000-0000-0000A4010000}"/>
    <cellStyle name="20% - Accent3 5 5" xfId="1093" xr:uid="{00000000-0005-0000-0000-0000A5010000}"/>
    <cellStyle name="20% - Accent3 6" xfId="1094" xr:uid="{00000000-0005-0000-0000-0000A6010000}"/>
    <cellStyle name="20% - Accent3 6 2" xfId="1095" xr:uid="{00000000-0005-0000-0000-0000A7010000}"/>
    <cellStyle name="20% - Accent3 6 2 2" xfId="1096" xr:uid="{00000000-0005-0000-0000-0000A8010000}"/>
    <cellStyle name="20% - Accent3 6 2 2 2" xfId="1097" xr:uid="{00000000-0005-0000-0000-0000A9010000}"/>
    <cellStyle name="20% - Accent3 6 2 3" xfId="1098" xr:uid="{00000000-0005-0000-0000-0000AA010000}"/>
    <cellStyle name="20% - Accent3 6 3" xfId="1099" xr:uid="{00000000-0005-0000-0000-0000AB010000}"/>
    <cellStyle name="20% - Accent3 6 3 2" xfId="1100" xr:uid="{00000000-0005-0000-0000-0000AC010000}"/>
    <cellStyle name="20% - Accent3 6 4" xfId="1101" xr:uid="{00000000-0005-0000-0000-0000AD010000}"/>
    <cellStyle name="20% - Accent3 7" xfId="1102" xr:uid="{00000000-0005-0000-0000-0000AE010000}"/>
    <cellStyle name="20% - Accent3 8" xfId="1103" xr:uid="{00000000-0005-0000-0000-0000AF010000}"/>
    <cellStyle name="20% - Accent4 2" xfId="1104" xr:uid="{00000000-0005-0000-0000-0000B0010000}"/>
    <cellStyle name="20% - Accent4 2 10" xfId="1105" xr:uid="{00000000-0005-0000-0000-0000B1010000}"/>
    <cellStyle name="20% - Accent4 2 10 2" xfId="1106" xr:uid="{00000000-0005-0000-0000-0000B2010000}"/>
    <cellStyle name="20% - Accent4 2 11" xfId="1107" xr:uid="{00000000-0005-0000-0000-0000B3010000}"/>
    <cellStyle name="20% - Accent4 2 2" xfId="1108" xr:uid="{00000000-0005-0000-0000-0000B4010000}"/>
    <cellStyle name="20% - Accent4 2 2 2" xfId="1109" xr:uid="{00000000-0005-0000-0000-0000B5010000}"/>
    <cellStyle name="20% - Accent4 2 2 2 2" xfId="1110" xr:uid="{00000000-0005-0000-0000-0000B6010000}"/>
    <cellStyle name="20% - Accent4 2 2 2 2 2" xfId="1111" xr:uid="{00000000-0005-0000-0000-0000B7010000}"/>
    <cellStyle name="20% - Accent4 2 2 2 3" xfId="1112" xr:uid="{00000000-0005-0000-0000-0000B8010000}"/>
    <cellStyle name="20% - Accent4 2 2 2 3 2" xfId="1113" xr:uid="{00000000-0005-0000-0000-0000B9010000}"/>
    <cellStyle name="20% - Accent4 2 2 2 3 2 2" xfId="1114" xr:uid="{00000000-0005-0000-0000-0000BA010000}"/>
    <cellStyle name="20% - Accent4 2 2 2 3 3" xfId="1115" xr:uid="{00000000-0005-0000-0000-0000BB010000}"/>
    <cellStyle name="20% - Accent4 2 2 2 4" xfId="1116" xr:uid="{00000000-0005-0000-0000-0000BC010000}"/>
    <cellStyle name="20% - Accent4 2 2 3" xfId="1117" xr:uid="{00000000-0005-0000-0000-0000BD010000}"/>
    <cellStyle name="20% - Accent4 2 2 3 2" xfId="1118" xr:uid="{00000000-0005-0000-0000-0000BE010000}"/>
    <cellStyle name="20% - Accent4 2 2 3 2 2" xfId="1119" xr:uid="{00000000-0005-0000-0000-0000BF010000}"/>
    <cellStyle name="20% - Accent4 2 2 3 3" xfId="1120" xr:uid="{00000000-0005-0000-0000-0000C0010000}"/>
    <cellStyle name="20% - Accent4 2 2 4" xfId="1121" xr:uid="{00000000-0005-0000-0000-0000C1010000}"/>
    <cellStyle name="20% - Accent4 2 2 4 2" xfId="1122" xr:uid="{00000000-0005-0000-0000-0000C2010000}"/>
    <cellStyle name="20% - Accent4 2 2 4 2 2" xfId="1123" xr:uid="{00000000-0005-0000-0000-0000C3010000}"/>
    <cellStyle name="20% - Accent4 2 2 4 2 2 2" xfId="1124" xr:uid="{00000000-0005-0000-0000-0000C4010000}"/>
    <cellStyle name="20% - Accent4 2 2 4 2 3" xfId="1125" xr:uid="{00000000-0005-0000-0000-0000C5010000}"/>
    <cellStyle name="20% - Accent4 2 2 4 3" xfId="1126" xr:uid="{00000000-0005-0000-0000-0000C6010000}"/>
    <cellStyle name="20% - Accent4 2 2 4 3 2" xfId="1127" xr:uid="{00000000-0005-0000-0000-0000C7010000}"/>
    <cellStyle name="20% - Accent4 2 2 4 4" xfId="1128" xr:uid="{00000000-0005-0000-0000-0000C8010000}"/>
    <cellStyle name="20% - Accent4 2 2 5" xfId="1129" xr:uid="{00000000-0005-0000-0000-0000C9010000}"/>
    <cellStyle name="20% - Accent4 2 2 5 2" xfId="1130" xr:uid="{00000000-0005-0000-0000-0000CA010000}"/>
    <cellStyle name="20% - Accent4 2 2 6" xfId="1131" xr:uid="{00000000-0005-0000-0000-0000CB010000}"/>
    <cellStyle name="20% - Accent4 2 3" xfId="1132" xr:uid="{00000000-0005-0000-0000-0000CC010000}"/>
    <cellStyle name="20% - Accent4 2 3 2" xfId="1133" xr:uid="{00000000-0005-0000-0000-0000CD010000}"/>
    <cellStyle name="20% - Accent4 2 3 2 2" xfId="1134" xr:uid="{00000000-0005-0000-0000-0000CE010000}"/>
    <cellStyle name="20% - Accent4 2 3 2 2 2" xfId="1135" xr:uid="{00000000-0005-0000-0000-0000CF010000}"/>
    <cellStyle name="20% - Accent4 2 3 2 3" xfId="1136" xr:uid="{00000000-0005-0000-0000-0000D0010000}"/>
    <cellStyle name="20% - Accent4 2 3 3" xfId="1137" xr:uid="{00000000-0005-0000-0000-0000D1010000}"/>
    <cellStyle name="20% - Accent4 2 3 3 2" xfId="1138" xr:uid="{00000000-0005-0000-0000-0000D2010000}"/>
    <cellStyle name="20% - Accent4 2 3 3 2 2" xfId="1139" xr:uid="{00000000-0005-0000-0000-0000D3010000}"/>
    <cellStyle name="20% - Accent4 2 3 3 2 2 2" xfId="1140" xr:uid="{00000000-0005-0000-0000-0000D4010000}"/>
    <cellStyle name="20% - Accent4 2 3 3 2 3" xfId="1141" xr:uid="{00000000-0005-0000-0000-0000D5010000}"/>
    <cellStyle name="20% - Accent4 2 3 3 3" xfId="1142" xr:uid="{00000000-0005-0000-0000-0000D6010000}"/>
    <cellStyle name="20% - Accent4 2 3 3 3 2" xfId="1143" xr:uid="{00000000-0005-0000-0000-0000D7010000}"/>
    <cellStyle name="20% - Accent4 2 3 3 4" xfId="1144" xr:uid="{00000000-0005-0000-0000-0000D8010000}"/>
    <cellStyle name="20% - Accent4 2 3 4" xfId="1145" xr:uid="{00000000-0005-0000-0000-0000D9010000}"/>
    <cellStyle name="20% - Accent4 2 3 4 2" xfId="1146" xr:uid="{00000000-0005-0000-0000-0000DA010000}"/>
    <cellStyle name="20% - Accent4 2 3 5" xfId="1147" xr:uid="{00000000-0005-0000-0000-0000DB010000}"/>
    <cellStyle name="20% - Accent4 2 4" xfId="1148" xr:uid="{00000000-0005-0000-0000-0000DC010000}"/>
    <cellStyle name="20% - Accent4 2 4 2" xfId="1149" xr:uid="{00000000-0005-0000-0000-0000DD010000}"/>
    <cellStyle name="20% - Accent4 2 4 2 2" xfId="1150" xr:uid="{00000000-0005-0000-0000-0000DE010000}"/>
    <cellStyle name="20% - Accent4 2 4 2 2 2" xfId="1151" xr:uid="{00000000-0005-0000-0000-0000DF010000}"/>
    <cellStyle name="20% - Accent4 2 4 2 3" xfId="1152" xr:uid="{00000000-0005-0000-0000-0000E0010000}"/>
    <cellStyle name="20% - Accent4 2 4 3" xfId="1153" xr:uid="{00000000-0005-0000-0000-0000E1010000}"/>
    <cellStyle name="20% - Accent4 2 4 3 2" xfId="1154" xr:uid="{00000000-0005-0000-0000-0000E2010000}"/>
    <cellStyle name="20% - Accent4 2 4 4" xfId="1155" xr:uid="{00000000-0005-0000-0000-0000E3010000}"/>
    <cellStyle name="20% - Accent4 2 5" xfId="1156" xr:uid="{00000000-0005-0000-0000-0000E4010000}"/>
    <cellStyle name="20% - Accent4 2 5 2" xfId="1157" xr:uid="{00000000-0005-0000-0000-0000E5010000}"/>
    <cellStyle name="20% - Accent4 2 5 2 2" xfId="1158" xr:uid="{00000000-0005-0000-0000-0000E6010000}"/>
    <cellStyle name="20% - Accent4 2 5 2 2 2" xfId="1159" xr:uid="{00000000-0005-0000-0000-0000E7010000}"/>
    <cellStyle name="20% - Accent4 2 5 2 3" xfId="1160" xr:uid="{00000000-0005-0000-0000-0000E8010000}"/>
    <cellStyle name="20% - Accent4 2 5 3" xfId="1161" xr:uid="{00000000-0005-0000-0000-0000E9010000}"/>
    <cellStyle name="20% - Accent4 2 5 3 2" xfId="1162" xr:uid="{00000000-0005-0000-0000-0000EA010000}"/>
    <cellStyle name="20% - Accent4 2 5 3 2 2" xfId="1163" xr:uid="{00000000-0005-0000-0000-0000EB010000}"/>
    <cellStyle name="20% - Accent4 2 5 3 2 2 2" xfId="1164" xr:uid="{00000000-0005-0000-0000-0000EC010000}"/>
    <cellStyle name="20% - Accent4 2 5 3 2 3" xfId="1165" xr:uid="{00000000-0005-0000-0000-0000ED010000}"/>
    <cellStyle name="20% - Accent4 2 5 3 3" xfId="1166" xr:uid="{00000000-0005-0000-0000-0000EE010000}"/>
    <cellStyle name="20% - Accent4 2 5 3 3 2" xfId="1167" xr:uid="{00000000-0005-0000-0000-0000EF010000}"/>
    <cellStyle name="20% - Accent4 2 5 3 4" xfId="1168" xr:uid="{00000000-0005-0000-0000-0000F0010000}"/>
    <cellStyle name="20% - Accent4 2 5 4" xfId="1169" xr:uid="{00000000-0005-0000-0000-0000F1010000}"/>
    <cellStyle name="20% - Accent4 2 5 4 2" xfId="1170" xr:uid="{00000000-0005-0000-0000-0000F2010000}"/>
    <cellStyle name="20% - Accent4 2 5 5" xfId="1171" xr:uid="{00000000-0005-0000-0000-0000F3010000}"/>
    <cellStyle name="20% - Accent4 2 6" xfId="1172" xr:uid="{00000000-0005-0000-0000-0000F4010000}"/>
    <cellStyle name="20% - Accent4 2 6 2" xfId="1173" xr:uid="{00000000-0005-0000-0000-0000F5010000}"/>
    <cellStyle name="20% - Accent4 2 6 2 2" xfId="1174" xr:uid="{00000000-0005-0000-0000-0000F6010000}"/>
    <cellStyle name="20% - Accent4 2 6 3" xfId="1175" xr:uid="{00000000-0005-0000-0000-0000F7010000}"/>
    <cellStyle name="20% - Accent4 2 7" xfId="1176" xr:uid="{00000000-0005-0000-0000-0000F8010000}"/>
    <cellStyle name="20% - Accent4 2 7 2" xfId="1177" xr:uid="{00000000-0005-0000-0000-0000F9010000}"/>
    <cellStyle name="20% - Accent4 2 7 2 2" xfId="1178" xr:uid="{00000000-0005-0000-0000-0000FA010000}"/>
    <cellStyle name="20% - Accent4 2 7 3" xfId="1179" xr:uid="{00000000-0005-0000-0000-0000FB010000}"/>
    <cellStyle name="20% - Accent4 2 8" xfId="1180" xr:uid="{00000000-0005-0000-0000-0000FC010000}"/>
    <cellStyle name="20% - Accent4 2 8 2" xfId="1181" xr:uid="{00000000-0005-0000-0000-0000FD010000}"/>
    <cellStyle name="20% - Accent4 2 8 2 2" xfId="1182" xr:uid="{00000000-0005-0000-0000-0000FE010000}"/>
    <cellStyle name="20% - Accent4 2 8 2 2 2" xfId="1183" xr:uid="{00000000-0005-0000-0000-0000FF010000}"/>
    <cellStyle name="20% - Accent4 2 8 2 3" xfId="1184" xr:uid="{00000000-0005-0000-0000-000000020000}"/>
    <cellStyle name="20% - Accent4 2 8 3" xfId="1185" xr:uid="{00000000-0005-0000-0000-000001020000}"/>
    <cellStyle name="20% - Accent4 2 8 3 2" xfId="1186" xr:uid="{00000000-0005-0000-0000-000002020000}"/>
    <cellStyle name="20% - Accent4 2 8 4" xfId="1187" xr:uid="{00000000-0005-0000-0000-000003020000}"/>
    <cellStyle name="20% - Accent4 2 9" xfId="1188" xr:uid="{00000000-0005-0000-0000-000004020000}"/>
    <cellStyle name="20% - Accent4 2 9 2" xfId="1189" xr:uid="{00000000-0005-0000-0000-000005020000}"/>
    <cellStyle name="20% - Accent4 3" xfId="1190" xr:uid="{00000000-0005-0000-0000-000006020000}"/>
    <cellStyle name="20% - Accent4 3 2" xfId="1191" xr:uid="{00000000-0005-0000-0000-000007020000}"/>
    <cellStyle name="20% - Accent4 3 2 2" xfId="1192" xr:uid="{00000000-0005-0000-0000-000008020000}"/>
    <cellStyle name="20% - Accent4 3 2 2 2" xfId="1193" xr:uid="{00000000-0005-0000-0000-000009020000}"/>
    <cellStyle name="20% - Accent4 3 2 3" xfId="1194" xr:uid="{00000000-0005-0000-0000-00000A020000}"/>
    <cellStyle name="20% - Accent4 3 3" xfId="1195" xr:uid="{00000000-0005-0000-0000-00000B020000}"/>
    <cellStyle name="20% - Accent4 3 3 2" xfId="1196" xr:uid="{00000000-0005-0000-0000-00000C020000}"/>
    <cellStyle name="20% - Accent4 3 4" xfId="1197" xr:uid="{00000000-0005-0000-0000-00000D020000}"/>
    <cellStyle name="20% - Accent4 3 4 2" xfId="1198" xr:uid="{00000000-0005-0000-0000-00000E020000}"/>
    <cellStyle name="20% - Accent4 3 4 2 2" xfId="1199" xr:uid="{00000000-0005-0000-0000-00000F020000}"/>
    <cellStyle name="20% - Accent4 3 4 3" xfId="1200" xr:uid="{00000000-0005-0000-0000-000010020000}"/>
    <cellStyle name="20% - Accent4 3 5" xfId="1201" xr:uid="{00000000-0005-0000-0000-000011020000}"/>
    <cellStyle name="20% - Accent4 4" xfId="1202" xr:uid="{00000000-0005-0000-0000-000012020000}"/>
    <cellStyle name="20% - Accent4 4 2" xfId="1203" xr:uid="{00000000-0005-0000-0000-000013020000}"/>
    <cellStyle name="20% - Accent4 4 2 2" xfId="1204" xr:uid="{00000000-0005-0000-0000-000014020000}"/>
    <cellStyle name="20% - Accent4 4 3" xfId="1205" xr:uid="{00000000-0005-0000-0000-000015020000}"/>
    <cellStyle name="20% - Accent4 4 3 2" xfId="1206" xr:uid="{00000000-0005-0000-0000-000016020000}"/>
    <cellStyle name="20% - Accent4 4 3 2 2" xfId="1207" xr:uid="{00000000-0005-0000-0000-000017020000}"/>
    <cellStyle name="20% - Accent4 4 3 3" xfId="1208" xr:uid="{00000000-0005-0000-0000-000018020000}"/>
    <cellStyle name="20% - Accent4 4 4" xfId="1209" xr:uid="{00000000-0005-0000-0000-000019020000}"/>
    <cellStyle name="20% - Accent4 5" xfId="1210" xr:uid="{00000000-0005-0000-0000-00001A020000}"/>
    <cellStyle name="20% - Accent4 5 2" xfId="1211" xr:uid="{00000000-0005-0000-0000-00001B020000}"/>
    <cellStyle name="20% - Accent4 5 2 2" xfId="1212" xr:uid="{00000000-0005-0000-0000-00001C020000}"/>
    <cellStyle name="20% - Accent4 5 2 2 2" xfId="1213" xr:uid="{00000000-0005-0000-0000-00001D020000}"/>
    <cellStyle name="20% - Accent4 5 2 3" xfId="1214" xr:uid="{00000000-0005-0000-0000-00001E020000}"/>
    <cellStyle name="20% - Accent4 5 3" xfId="1215" xr:uid="{00000000-0005-0000-0000-00001F020000}"/>
    <cellStyle name="20% - Accent4 5 3 2" xfId="1216" xr:uid="{00000000-0005-0000-0000-000020020000}"/>
    <cellStyle name="20% - Accent4 5 3 2 2" xfId="1217" xr:uid="{00000000-0005-0000-0000-000021020000}"/>
    <cellStyle name="20% - Accent4 5 3 2 2 2" xfId="1218" xr:uid="{00000000-0005-0000-0000-000022020000}"/>
    <cellStyle name="20% - Accent4 5 3 2 3" xfId="1219" xr:uid="{00000000-0005-0000-0000-000023020000}"/>
    <cellStyle name="20% - Accent4 5 3 3" xfId="1220" xr:uid="{00000000-0005-0000-0000-000024020000}"/>
    <cellStyle name="20% - Accent4 5 3 3 2" xfId="1221" xr:uid="{00000000-0005-0000-0000-000025020000}"/>
    <cellStyle name="20% - Accent4 5 3 4" xfId="1222" xr:uid="{00000000-0005-0000-0000-000026020000}"/>
    <cellStyle name="20% - Accent4 5 4" xfId="1223" xr:uid="{00000000-0005-0000-0000-000027020000}"/>
    <cellStyle name="20% - Accent4 5 4 2" xfId="1224" xr:uid="{00000000-0005-0000-0000-000028020000}"/>
    <cellStyle name="20% - Accent4 5 5" xfId="1225" xr:uid="{00000000-0005-0000-0000-000029020000}"/>
    <cellStyle name="20% - Accent4 6" xfId="1226" xr:uid="{00000000-0005-0000-0000-00002A020000}"/>
    <cellStyle name="20% - Accent4 6 2" xfId="1227" xr:uid="{00000000-0005-0000-0000-00002B020000}"/>
    <cellStyle name="20% - Accent4 6 2 2" xfId="1228" xr:uid="{00000000-0005-0000-0000-00002C020000}"/>
    <cellStyle name="20% - Accent4 6 2 2 2" xfId="1229" xr:uid="{00000000-0005-0000-0000-00002D020000}"/>
    <cellStyle name="20% - Accent4 6 2 3" xfId="1230" xr:uid="{00000000-0005-0000-0000-00002E020000}"/>
    <cellStyle name="20% - Accent4 6 3" xfId="1231" xr:uid="{00000000-0005-0000-0000-00002F020000}"/>
    <cellStyle name="20% - Accent4 6 3 2" xfId="1232" xr:uid="{00000000-0005-0000-0000-000030020000}"/>
    <cellStyle name="20% - Accent4 6 4" xfId="1233" xr:uid="{00000000-0005-0000-0000-000031020000}"/>
    <cellStyle name="20% - Accent4 7" xfId="1234" xr:uid="{00000000-0005-0000-0000-000032020000}"/>
    <cellStyle name="20% - Accent4 8" xfId="1235" xr:uid="{00000000-0005-0000-0000-000033020000}"/>
    <cellStyle name="20% - Accent5 2" xfId="1236" xr:uid="{00000000-0005-0000-0000-000034020000}"/>
    <cellStyle name="20% - Accent5 2 10" xfId="1237" xr:uid="{00000000-0005-0000-0000-000035020000}"/>
    <cellStyle name="20% - Accent5 2 10 2" xfId="1238" xr:uid="{00000000-0005-0000-0000-000036020000}"/>
    <cellStyle name="20% - Accent5 2 11" xfId="1239" xr:uid="{00000000-0005-0000-0000-000037020000}"/>
    <cellStyle name="20% - Accent5 2 2" xfId="1240" xr:uid="{00000000-0005-0000-0000-000038020000}"/>
    <cellStyle name="20% - Accent5 2 2 2" xfId="1241" xr:uid="{00000000-0005-0000-0000-000039020000}"/>
    <cellStyle name="20% - Accent5 2 2 2 2" xfId="1242" xr:uid="{00000000-0005-0000-0000-00003A020000}"/>
    <cellStyle name="20% - Accent5 2 2 2 2 2" xfId="1243" xr:uid="{00000000-0005-0000-0000-00003B020000}"/>
    <cellStyle name="20% - Accent5 2 2 2 3" xfId="1244" xr:uid="{00000000-0005-0000-0000-00003C020000}"/>
    <cellStyle name="20% - Accent5 2 2 2 3 2" xfId="1245" xr:uid="{00000000-0005-0000-0000-00003D020000}"/>
    <cellStyle name="20% - Accent5 2 2 2 3 2 2" xfId="1246" xr:uid="{00000000-0005-0000-0000-00003E020000}"/>
    <cellStyle name="20% - Accent5 2 2 2 3 3" xfId="1247" xr:uid="{00000000-0005-0000-0000-00003F020000}"/>
    <cellStyle name="20% - Accent5 2 2 2 4" xfId="1248" xr:uid="{00000000-0005-0000-0000-000040020000}"/>
    <cellStyle name="20% - Accent5 2 2 3" xfId="1249" xr:uid="{00000000-0005-0000-0000-000041020000}"/>
    <cellStyle name="20% - Accent5 2 2 3 2" xfId="1250" xr:uid="{00000000-0005-0000-0000-000042020000}"/>
    <cellStyle name="20% - Accent5 2 2 3 2 2" xfId="1251" xr:uid="{00000000-0005-0000-0000-000043020000}"/>
    <cellStyle name="20% - Accent5 2 2 3 3" xfId="1252" xr:uid="{00000000-0005-0000-0000-000044020000}"/>
    <cellStyle name="20% - Accent5 2 2 4" xfId="1253" xr:uid="{00000000-0005-0000-0000-000045020000}"/>
    <cellStyle name="20% - Accent5 2 2 4 2" xfId="1254" xr:uid="{00000000-0005-0000-0000-000046020000}"/>
    <cellStyle name="20% - Accent5 2 2 4 2 2" xfId="1255" xr:uid="{00000000-0005-0000-0000-000047020000}"/>
    <cellStyle name="20% - Accent5 2 2 4 2 2 2" xfId="1256" xr:uid="{00000000-0005-0000-0000-000048020000}"/>
    <cellStyle name="20% - Accent5 2 2 4 2 3" xfId="1257" xr:uid="{00000000-0005-0000-0000-000049020000}"/>
    <cellStyle name="20% - Accent5 2 2 4 3" xfId="1258" xr:uid="{00000000-0005-0000-0000-00004A020000}"/>
    <cellStyle name="20% - Accent5 2 2 4 3 2" xfId="1259" xr:uid="{00000000-0005-0000-0000-00004B020000}"/>
    <cellStyle name="20% - Accent5 2 2 4 4" xfId="1260" xr:uid="{00000000-0005-0000-0000-00004C020000}"/>
    <cellStyle name="20% - Accent5 2 2 5" xfId="1261" xr:uid="{00000000-0005-0000-0000-00004D020000}"/>
    <cellStyle name="20% - Accent5 2 2 5 2" xfId="1262" xr:uid="{00000000-0005-0000-0000-00004E020000}"/>
    <cellStyle name="20% - Accent5 2 2 6" xfId="1263" xr:uid="{00000000-0005-0000-0000-00004F020000}"/>
    <cellStyle name="20% - Accent5 2 3" xfId="1264" xr:uid="{00000000-0005-0000-0000-000050020000}"/>
    <cellStyle name="20% - Accent5 2 3 2" xfId="1265" xr:uid="{00000000-0005-0000-0000-000051020000}"/>
    <cellStyle name="20% - Accent5 2 3 2 2" xfId="1266" xr:uid="{00000000-0005-0000-0000-000052020000}"/>
    <cellStyle name="20% - Accent5 2 3 2 2 2" xfId="1267" xr:uid="{00000000-0005-0000-0000-000053020000}"/>
    <cellStyle name="20% - Accent5 2 3 2 3" xfId="1268" xr:uid="{00000000-0005-0000-0000-000054020000}"/>
    <cellStyle name="20% - Accent5 2 3 3" xfId="1269" xr:uid="{00000000-0005-0000-0000-000055020000}"/>
    <cellStyle name="20% - Accent5 2 3 3 2" xfId="1270" xr:uid="{00000000-0005-0000-0000-000056020000}"/>
    <cellStyle name="20% - Accent5 2 3 3 2 2" xfId="1271" xr:uid="{00000000-0005-0000-0000-000057020000}"/>
    <cellStyle name="20% - Accent5 2 3 3 2 2 2" xfId="1272" xr:uid="{00000000-0005-0000-0000-000058020000}"/>
    <cellStyle name="20% - Accent5 2 3 3 2 3" xfId="1273" xr:uid="{00000000-0005-0000-0000-000059020000}"/>
    <cellStyle name="20% - Accent5 2 3 3 3" xfId="1274" xr:uid="{00000000-0005-0000-0000-00005A020000}"/>
    <cellStyle name="20% - Accent5 2 3 3 3 2" xfId="1275" xr:uid="{00000000-0005-0000-0000-00005B020000}"/>
    <cellStyle name="20% - Accent5 2 3 3 4" xfId="1276" xr:uid="{00000000-0005-0000-0000-00005C020000}"/>
    <cellStyle name="20% - Accent5 2 3 4" xfId="1277" xr:uid="{00000000-0005-0000-0000-00005D020000}"/>
    <cellStyle name="20% - Accent5 2 3 4 2" xfId="1278" xr:uid="{00000000-0005-0000-0000-00005E020000}"/>
    <cellStyle name="20% - Accent5 2 3 5" xfId="1279" xr:uid="{00000000-0005-0000-0000-00005F020000}"/>
    <cellStyle name="20% - Accent5 2 4" xfId="1280" xr:uid="{00000000-0005-0000-0000-000060020000}"/>
    <cellStyle name="20% - Accent5 2 4 2" xfId="1281" xr:uid="{00000000-0005-0000-0000-000061020000}"/>
    <cellStyle name="20% - Accent5 2 4 2 2" xfId="1282" xr:uid="{00000000-0005-0000-0000-000062020000}"/>
    <cellStyle name="20% - Accent5 2 4 2 2 2" xfId="1283" xr:uid="{00000000-0005-0000-0000-000063020000}"/>
    <cellStyle name="20% - Accent5 2 4 2 3" xfId="1284" xr:uid="{00000000-0005-0000-0000-000064020000}"/>
    <cellStyle name="20% - Accent5 2 4 3" xfId="1285" xr:uid="{00000000-0005-0000-0000-000065020000}"/>
    <cellStyle name="20% - Accent5 2 4 3 2" xfId="1286" xr:uid="{00000000-0005-0000-0000-000066020000}"/>
    <cellStyle name="20% - Accent5 2 4 4" xfId="1287" xr:uid="{00000000-0005-0000-0000-000067020000}"/>
    <cellStyle name="20% - Accent5 2 5" xfId="1288" xr:uid="{00000000-0005-0000-0000-000068020000}"/>
    <cellStyle name="20% - Accent5 2 5 2" xfId="1289" xr:uid="{00000000-0005-0000-0000-000069020000}"/>
    <cellStyle name="20% - Accent5 2 5 2 2" xfId="1290" xr:uid="{00000000-0005-0000-0000-00006A020000}"/>
    <cellStyle name="20% - Accent5 2 5 2 2 2" xfId="1291" xr:uid="{00000000-0005-0000-0000-00006B020000}"/>
    <cellStyle name="20% - Accent5 2 5 2 3" xfId="1292" xr:uid="{00000000-0005-0000-0000-00006C020000}"/>
    <cellStyle name="20% - Accent5 2 5 3" xfId="1293" xr:uid="{00000000-0005-0000-0000-00006D020000}"/>
    <cellStyle name="20% - Accent5 2 5 3 2" xfId="1294" xr:uid="{00000000-0005-0000-0000-00006E020000}"/>
    <cellStyle name="20% - Accent5 2 5 3 2 2" xfId="1295" xr:uid="{00000000-0005-0000-0000-00006F020000}"/>
    <cellStyle name="20% - Accent5 2 5 3 2 2 2" xfId="1296" xr:uid="{00000000-0005-0000-0000-000070020000}"/>
    <cellStyle name="20% - Accent5 2 5 3 2 3" xfId="1297" xr:uid="{00000000-0005-0000-0000-000071020000}"/>
    <cellStyle name="20% - Accent5 2 5 3 3" xfId="1298" xr:uid="{00000000-0005-0000-0000-000072020000}"/>
    <cellStyle name="20% - Accent5 2 5 3 3 2" xfId="1299" xr:uid="{00000000-0005-0000-0000-000073020000}"/>
    <cellStyle name="20% - Accent5 2 5 3 4" xfId="1300" xr:uid="{00000000-0005-0000-0000-000074020000}"/>
    <cellStyle name="20% - Accent5 2 5 4" xfId="1301" xr:uid="{00000000-0005-0000-0000-000075020000}"/>
    <cellStyle name="20% - Accent5 2 5 4 2" xfId="1302" xr:uid="{00000000-0005-0000-0000-000076020000}"/>
    <cellStyle name="20% - Accent5 2 5 5" xfId="1303" xr:uid="{00000000-0005-0000-0000-000077020000}"/>
    <cellStyle name="20% - Accent5 2 6" xfId="1304" xr:uid="{00000000-0005-0000-0000-000078020000}"/>
    <cellStyle name="20% - Accent5 2 6 2" xfId="1305" xr:uid="{00000000-0005-0000-0000-000079020000}"/>
    <cellStyle name="20% - Accent5 2 6 2 2" xfId="1306" xr:uid="{00000000-0005-0000-0000-00007A020000}"/>
    <cellStyle name="20% - Accent5 2 6 3" xfId="1307" xr:uid="{00000000-0005-0000-0000-00007B020000}"/>
    <cellStyle name="20% - Accent5 2 7" xfId="1308" xr:uid="{00000000-0005-0000-0000-00007C020000}"/>
    <cellStyle name="20% - Accent5 2 7 2" xfId="1309" xr:uid="{00000000-0005-0000-0000-00007D020000}"/>
    <cellStyle name="20% - Accent5 2 7 2 2" xfId="1310" xr:uid="{00000000-0005-0000-0000-00007E020000}"/>
    <cellStyle name="20% - Accent5 2 7 3" xfId="1311" xr:uid="{00000000-0005-0000-0000-00007F020000}"/>
    <cellStyle name="20% - Accent5 2 8" xfId="1312" xr:uid="{00000000-0005-0000-0000-000080020000}"/>
    <cellStyle name="20% - Accent5 2 8 2" xfId="1313" xr:uid="{00000000-0005-0000-0000-000081020000}"/>
    <cellStyle name="20% - Accent5 2 8 2 2" xfId="1314" xr:uid="{00000000-0005-0000-0000-000082020000}"/>
    <cellStyle name="20% - Accent5 2 8 2 2 2" xfId="1315" xr:uid="{00000000-0005-0000-0000-000083020000}"/>
    <cellStyle name="20% - Accent5 2 8 2 3" xfId="1316" xr:uid="{00000000-0005-0000-0000-000084020000}"/>
    <cellStyle name="20% - Accent5 2 8 3" xfId="1317" xr:uid="{00000000-0005-0000-0000-000085020000}"/>
    <cellStyle name="20% - Accent5 2 8 3 2" xfId="1318" xr:uid="{00000000-0005-0000-0000-000086020000}"/>
    <cellStyle name="20% - Accent5 2 8 4" xfId="1319" xr:uid="{00000000-0005-0000-0000-000087020000}"/>
    <cellStyle name="20% - Accent5 2 9" xfId="1320" xr:uid="{00000000-0005-0000-0000-000088020000}"/>
    <cellStyle name="20% - Accent5 2 9 2" xfId="1321" xr:uid="{00000000-0005-0000-0000-000089020000}"/>
    <cellStyle name="20% - Accent5 3" xfId="1322" xr:uid="{00000000-0005-0000-0000-00008A020000}"/>
    <cellStyle name="20% - Accent5 3 2" xfId="1323" xr:uid="{00000000-0005-0000-0000-00008B020000}"/>
    <cellStyle name="20% - Accent5 3 2 2" xfId="1324" xr:uid="{00000000-0005-0000-0000-00008C020000}"/>
    <cellStyle name="20% - Accent5 3 2 2 2" xfId="1325" xr:uid="{00000000-0005-0000-0000-00008D020000}"/>
    <cellStyle name="20% - Accent5 3 2 3" xfId="1326" xr:uid="{00000000-0005-0000-0000-00008E020000}"/>
    <cellStyle name="20% - Accent5 3 3" xfId="1327" xr:uid="{00000000-0005-0000-0000-00008F020000}"/>
    <cellStyle name="20% - Accent5 3 3 2" xfId="1328" xr:uid="{00000000-0005-0000-0000-000090020000}"/>
    <cellStyle name="20% - Accent5 3 4" xfId="1329" xr:uid="{00000000-0005-0000-0000-000091020000}"/>
    <cellStyle name="20% - Accent5 3 4 2" xfId="1330" xr:uid="{00000000-0005-0000-0000-000092020000}"/>
    <cellStyle name="20% - Accent5 3 4 2 2" xfId="1331" xr:uid="{00000000-0005-0000-0000-000093020000}"/>
    <cellStyle name="20% - Accent5 3 4 3" xfId="1332" xr:uid="{00000000-0005-0000-0000-000094020000}"/>
    <cellStyle name="20% - Accent5 3 5" xfId="1333" xr:uid="{00000000-0005-0000-0000-000095020000}"/>
    <cellStyle name="20% - Accent5 4" xfId="1334" xr:uid="{00000000-0005-0000-0000-000096020000}"/>
    <cellStyle name="20% - Accent5 4 2" xfId="1335" xr:uid="{00000000-0005-0000-0000-000097020000}"/>
    <cellStyle name="20% - Accent5 4 2 2" xfId="1336" xr:uid="{00000000-0005-0000-0000-000098020000}"/>
    <cellStyle name="20% - Accent5 4 3" xfId="1337" xr:uid="{00000000-0005-0000-0000-000099020000}"/>
    <cellStyle name="20% - Accent5 4 3 2" xfId="1338" xr:uid="{00000000-0005-0000-0000-00009A020000}"/>
    <cellStyle name="20% - Accent5 4 3 2 2" xfId="1339" xr:uid="{00000000-0005-0000-0000-00009B020000}"/>
    <cellStyle name="20% - Accent5 4 3 3" xfId="1340" xr:uid="{00000000-0005-0000-0000-00009C020000}"/>
    <cellStyle name="20% - Accent5 4 4" xfId="1341" xr:uid="{00000000-0005-0000-0000-00009D020000}"/>
    <cellStyle name="20% - Accent5 5" xfId="1342" xr:uid="{00000000-0005-0000-0000-00009E020000}"/>
    <cellStyle name="20% - Accent5 5 2" xfId="1343" xr:uid="{00000000-0005-0000-0000-00009F020000}"/>
    <cellStyle name="20% - Accent5 5 2 2" xfId="1344" xr:uid="{00000000-0005-0000-0000-0000A0020000}"/>
    <cellStyle name="20% - Accent5 5 2 2 2" xfId="1345" xr:uid="{00000000-0005-0000-0000-0000A1020000}"/>
    <cellStyle name="20% - Accent5 5 2 3" xfId="1346" xr:uid="{00000000-0005-0000-0000-0000A2020000}"/>
    <cellStyle name="20% - Accent5 5 3" xfId="1347" xr:uid="{00000000-0005-0000-0000-0000A3020000}"/>
    <cellStyle name="20% - Accent5 5 3 2" xfId="1348" xr:uid="{00000000-0005-0000-0000-0000A4020000}"/>
    <cellStyle name="20% - Accent5 5 3 2 2" xfId="1349" xr:uid="{00000000-0005-0000-0000-0000A5020000}"/>
    <cellStyle name="20% - Accent5 5 3 2 2 2" xfId="1350" xr:uid="{00000000-0005-0000-0000-0000A6020000}"/>
    <cellStyle name="20% - Accent5 5 3 2 3" xfId="1351" xr:uid="{00000000-0005-0000-0000-0000A7020000}"/>
    <cellStyle name="20% - Accent5 5 3 3" xfId="1352" xr:uid="{00000000-0005-0000-0000-0000A8020000}"/>
    <cellStyle name="20% - Accent5 5 3 3 2" xfId="1353" xr:uid="{00000000-0005-0000-0000-0000A9020000}"/>
    <cellStyle name="20% - Accent5 5 3 4" xfId="1354" xr:uid="{00000000-0005-0000-0000-0000AA020000}"/>
    <cellStyle name="20% - Accent5 5 4" xfId="1355" xr:uid="{00000000-0005-0000-0000-0000AB020000}"/>
    <cellStyle name="20% - Accent5 5 4 2" xfId="1356" xr:uid="{00000000-0005-0000-0000-0000AC020000}"/>
    <cellStyle name="20% - Accent5 5 5" xfId="1357" xr:uid="{00000000-0005-0000-0000-0000AD020000}"/>
    <cellStyle name="20% - Accent5 6" xfId="1358" xr:uid="{00000000-0005-0000-0000-0000AE020000}"/>
    <cellStyle name="20% - Accent5 6 2" xfId="1359" xr:uid="{00000000-0005-0000-0000-0000AF020000}"/>
    <cellStyle name="20% - Accent5 6 2 2" xfId="1360" xr:uid="{00000000-0005-0000-0000-0000B0020000}"/>
    <cellStyle name="20% - Accent5 6 2 2 2" xfId="1361" xr:uid="{00000000-0005-0000-0000-0000B1020000}"/>
    <cellStyle name="20% - Accent5 6 2 3" xfId="1362" xr:uid="{00000000-0005-0000-0000-0000B2020000}"/>
    <cellStyle name="20% - Accent5 6 3" xfId="1363" xr:uid="{00000000-0005-0000-0000-0000B3020000}"/>
    <cellStyle name="20% - Accent5 6 3 2" xfId="1364" xr:uid="{00000000-0005-0000-0000-0000B4020000}"/>
    <cellStyle name="20% - Accent5 6 4" xfId="1365" xr:uid="{00000000-0005-0000-0000-0000B5020000}"/>
    <cellStyle name="20% - Accent5 7" xfId="1366" xr:uid="{00000000-0005-0000-0000-0000B6020000}"/>
    <cellStyle name="20% - Accent5 8" xfId="1367" xr:uid="{00000000-0005-0000-0000-0000B7020000}"/>
    <cellStyle name="20% - Accent6 2" xfId="1368" xr:uid="{00000000-0005-0000-0000-0000B8020000}"/>
    <cellStyle name="20% - Accent6 2 10" xfId="1369" xr:uid="{00000000-0005-0000-0000-0000B9020000}"/>
    <cellStyle name="20% - Accent6 2 10 2" xfId="1370" xr:uid="{00000000-0005-0000-0000-0000BA020000}"/>
    <cellStyle name="20% - Accent6 2 11" xfId="1371" xr:uid="{00000000-0005-0000-0000-0000BB020000}"/>
    <cellStyle name="20% - Accent6 2 2" xfId="1372" xr:uid="{00000000-0005-0000-0000-0000BC020000}"/>
    <cellStyle name="20% - Accent6 2 2 2" xfId="1373" xr:uid="{00000000-0005-0000-0000-0000BD020000}"/>
    <cellStyle name="20% - Accent6 2 2 2 2" xfId="1374" xr:uid="{00000000-0005-0000-0000-0000BE020000}"/>
    <cellStyle name="20% - Accent6 2 2 2 2 2" xfId="1375" xr:uid="{00000000-0005-0000-0000-0000BF020000}"/>
    <cellStyle name="20% - Accent6 2 2 2 3" xfId="1376" xr:uid="{00000000-0005-0000-0000-0000C0020000}"/>
    <cellStyle name="20% - Accent6 2 2 2 3 2" xfId="1377" xr:uid="{00000000-0005-0000-0000-0000C1020000}"/>
    <cellStyle name="20% - Accent6 2 2 2 3 2 2" xfId="1378" xr:uid="{00000000-0005-0000-0000-0000C2020000}"/>
    <cellStyle name="20% - Accent6 2 2 2 3 3" xfId="1379" xr:uid="{00000000-0005-0000-0000-0000C3020000}"/>
    <cellStyle name="20% - Accent6 2 2 2 4" xfId="1380" xr:uid="{00000000-0005-0000-0000-0000C4020000}"/>
    <cellStyle name="20% - Accent6 2 2 3" xfId="1381" xr:uid="{00000000-0005-0000-0000-0000C5020000}"/>
    <cellStyle name="20% - Accent6 2 2 3 2" xfId="1382" xr:uid="{00000000-0005-0000-0000-0000C6020000}"/>
    <cellStyle name="20% - Accent6 2 2 3 2 2" xfId="1383" xr:uid="{00000000-0005-0000-0000-0000C7020000}"/>
    <cellStyle name="20% - Accent6 2 2 3 3" xfId="1384" xr:uid="{00000000-0005-0000-0000-0000C8020000}"/>
    <cellStyle name="20% - Accent6 2 2 4" xfId="1385" xr:uid="{00000000-0005-0000-0000-0000C9020000}"/>
    <cellStyle name="20% - Accent6 2 2 4 2" xfId="1386" xr:uid="{00000000-0005-0000-0000-0000CA020000}"/>
    <cellStyle name="20% - Accent6 2 2 4 2 2" xfId="1387" xr:uid="{00000000-0005-0000-0000-0000CB020000}"/>
    <cellStyle name="20% - Accent6 2 2 4 2 2 2" xfId="1388" xr:uid="{00000000-0005-0000-0000-0000CC020000}"/>
    <cellStyle name="20% - Accent6 2 2 4 2 3" xfId="1389" xr:uid="{00000000-0005-0000-0000-0000CD020000}"/>
    <cellStyle name="20% - Accent6 2 2 4 3" xfId="1390" xr:uid="{00000000-0005-0000-0000-0000CE020000}"/>
    <cellStyle name="20% - Accent6 2 2 4 3 2" xfId="1391" xr:uid="{00000000-0005-0000-0000-0000CF020000}"/>
    <cellStyle name="20% - Accent6 2 2 4 4" xfId="1392" xr:uid="{00000000-0005-0000-0000-0000D0020000}"/>
    <cellStyle name="20% - Accent6 2 2 5" xfId="1393" xr:uid="{00000000-0005-0000-0000-0000D1020000}"/>
    <cellStyle name="20% - Accent6 2 2 5 2" xfId="1394" xr:uid="{00000000-0005-0000-0000-0000D2020000}"/>
    <cellStyle name="20% - Accent6 2 2 6" xfId="1395" xr:uid="{00000000-0005-0000-0000-0000D3020000}"/>
    <cellStyle name="20% - Accent6 2 3" xfId="1396" xr:uid="{00000000-0005-0000-0000-0000D4020000}"/>
    <cellStyle name="20% - Accent6 2 3 2" xfId="1397" xr:uid="{00000000-0005-0000-0000-0000D5020000}"/>
    <cellStyle name="20% - Accent6 2 3 2 2" xfId="1398" xr:uid="{00000000-0005-0000-0000-0000D6020000}"/>
    <cellStyle name="20% - Accent6 2 3 2 2 2" xfId="1399" xr:uid="{00000000-0005-0000-0000-0000D7020000}"/>
    <cellStyle name="20% - Accent6 2 3 2 3" xfId="1400" xr:uid="{00000000-0005-0000-0000-0000D8020000}"/>
    <cellStyle name="20% - Accent6 2 3 3" xfId="1401" xr:uid="{00000000-0005-0000-0000-0000D9020000}"/>
    <cellStyle name="20% - Accent6 2 3 3 2" xfId="1402" xr:uid="{00000000-0005-0000-0000-0000DA020000}"/>
    <cellStyle name="20% - Accent6 2 3 3 2 2" xfId="1403" xr:uid="{00000000-0005-0000-0000-0000DB020000}"/>
    <cellStyle name="20% - Accent6 2 3 3 2 2 2" xfId="1404" xr:uid="{00000000-0005-0000-0000-0000DC020000}"/>
    <cellStyle name="20% - Accent6 2 3 3 2 3" xfId="1405" xr:uid="{00000000-0005-0000-0000-0000DD020000}"/>
    <cellStyle name="20% - Accent6 2 3 3 3" xfId="1406" xr:uid="{00000000-0005-0000-0000-0000DE020000}"/>
    <cellStyle name="20% - Accent6 2 3 3 3 2" xfId="1407" xr:uid="{00000000-0005-0000-0000-0000DF020000}"/>
    <cellStyle name="20% - Accent6 2 3 3 4" xfId="1408" xr:uid="{00000000-0005-0000-0000-0000E0020000}"/>
    <cellStyle name="20% - Accent6 2 3 4" xfId="1409" xr:uid="{00000000-0005-0000-0000-0000E1020000}"/>
    <cellStyle name="20% - Accent6 2 3 4 2" xfId="1410" xr:uid="{00000000-0005-0000-0000-0000E2020000}"/>
    <cellStyle name="20% - Accent6 2 3 5" xfId="1411" xr:uid="{00000000-0005-0000-0000-0000E3020000}"/>
    <cellStyle name="20% - Accent6 2 4" xfId="1412" xr:uid="{00000000-0005-0000-0000-0000E4020000}"/>
    <cellStyle name="20% - Accent6 2 4 2" xfId="1413" xr:uid="{00000000-0005-0000-0000-0000E5020000}"/>
    <cellStyle name="20% - Accent6 2 4 2 2" xfId="1414" xr:uid="{00000000-0005-0000-0000-0000E6020000}"/>
    <cellStyle name="20% - Accent6 2 4 2 2 2" xfId="1415" xr:uid="{00000000-0005-0000-0000-0000E7020000}"/>
    <cellStyle name="20% - Accent6 2 4 2 3" xfId="1416" xr:uid="{00000000-0005-0000-0000-0000E8020000}"/>
    <cellStyle name="20% - Accent6 2 4 3" xfId="1417" xr:uid="{00000000-0005-0000-0000-0000E9020000}"/>
    <cellStyle name="20% - Accent6 2 4 3 2" xfId="1418" xr:uid="{00000000-0005-0000-0000-0000EA020000}"/>
    <cellStyle name="20% - Accent6 2 4 4" xfId="1419" xr:uid="{00000000-0005-0000-0000-0000EB020000}"/>
    <cellStyle name="20% - Accent6 2 5" xfId="1420" xr:uid="{00000000-0005-0000-0000-0000EC020000}"/>
    <cellStyle name="20% - Accent6 2 5 2" xfId="1421" xr:uid="{00000000-0005-0000-0000-0000ED020000}"/>
    <cellStyle name="20% - Accent6 2 5 2 2" xfId="1422" xr:uid="{00000000-0005-0000-0000-0000EE020000}"/>
    <cellStyle name="20% - Accent6 2 5 2 2 2" xfId="1423" xr:uid="{00000000-0005-0000-0000-0000EF020000}"/>
    <cellStyle name="20% - Accent6 2 5 2 3" xfId="1424" xr:uid="{00000000-0005-0000-0000-0000F0020000}"/>
    <cellStyle name="20% - Accent6 2 5 3" xfId="1425" xr:uid="{00000000-0005-0000-0000-0000F1020000}"/>
    <cellStyle name="20% - Accent6 2 5 3 2" xfId="1426" xr:uid="{00000000-0005-0000-0000-0000F2020000}"/>
    <cellStyle name="20% - Accent6 2 5 3 2 2" xfId="1427" xr:uid="{00000000-0005-0000-0000-0000F3020000}"/>
    <cellStyle name="20% - Accent6 2 5 3 2 2 2" xfId="1428" xr:uid="{00000000-0005-0000-0000-0000F4020000}"/>
    <cellStyle name="20% - Accent6 2 5 3 2 3" xfId="1429" xr:uid="{00000000-0005-0000-0000-0000F5020000}"/>
    <cellStyle name="20% - Accent6 2 5 3 3" xfId="1430" xr:uid="{00000000-0005-0000-0000-0000F6020000}"/>
    <cellStyle name="20% - Accent6 2 5 3 3 2" xfId="1431" xr:uid="{00000000-0005-0000-0000-0000F7020000}"/>
    <cellStyle name="20% - Accent6 2 5 3 4" xfId="1432" xr:uid="{00000000-0005-0000-0000-0000F8020000}"/>
    <cellStyle name="20% - Accent6 2 5 4" xfId="1433" xr:uid="{00000000-0005-0000-0000-0000F9020000}"/>
    <cellStyle name="20% - Accent6 2 5 4 2" xfId="1434" xr:uid="{00000000-0005-0000-0000-0000FA020000}"/>
    <cellStyle name="20% - Accent6 2 5 5" xfId="1435" xr:uid="{00000000-0005-0000-0000-0000FB020000}"/>
    <cellStyle name="20% - Accent6 2 6" xfId="1436" xr:uid="{00000000-0005-0000-0000-0000FC020000}"/>
    <cellStyle name="20% - Accent6 2 6 2" xfId="1437" xr:uid="{00000000-0005-0000-0000-0000FD020000}"/>
    <cellStyle name="20% - Accent6 2 6 2 2" xfId="1438" xr:uid="{00000000-0005-0000-0000-0000FE020000}"/>
    <cellStyle name="20% - Accent6 2 6 3" xfId="1439" xr:uid="{00000000-0005-0000-0000-0000FF020000}"/>
    <cellStyle name="20% - Accent6 2 7" xfId="1440" xr:uid="{00000000-0005-0000-0000-000000030000}"/>
    <cellStyle name="20% - Accent6 2 7 2" xfId="1441" xr:uid="{00000000-0005-0000-0000-000001030000}"/>
    <cellStyle name="20% - Accent6 2 7 2 2" xfId="1442" xr:uid="{00000000-0005-0000-0000-000002030000}"/>
    <cellStyle name="20% - Accent6 2 7 3" xfId="1443" xr:uid="{00000000-0005-0000-0000-000003030000}"/>
    <cellStyle name="20% - Accent6 2 8" xfId="1444" xr:uid="{00000000-0005-0000-0000-000004030000}"/>
    <cellStyle name="20% - Accent6 2 8 2" xfId="1445" xr:uid="{00000000-0005-0000-0000-000005030000}"/>
    <cellStyle name="20% - Accent6 2 8 2 2" xfId="1446" xr:uid="{00000000-0005-0000-0000-000006030000}"/>
    <cellStyle name="20% - Accent6 2 8 2 2 2" xfId="1447" xr:uid="{00000000-0005-0000-0000-000007030000}"/>
    <cellStyle name="20% - Accent6 2 8 2 3" xfId="1448" xr:uid="{00000000-0005-0000-0000-000008030000}"/>
    <cellStyle name="20% - Accent6 2 8 3" xfId="1449" xr:uid="{00000000-0005-0000-0000-000009030000}"/>
    <cellStyle name="20% - Accent6 2 8 3 2" xfId="1450" xr:uid="{00000000-0005-0000-0000-00000A030000}"/>
    <cellStyle name="20% - Accent6 2 8 4" xfId="1451" xr:uid="{00000000-0005-0000-0000-00000B030000}"/>
    <cellStyle name="20% - Accent6 2 9" xfId="1452" xr:uid="{00000000-0005-0000-0000-00000C030000}"/>
    <cellStyle name="20% - Accent6 2 9 2" xfId="1453" xr:uid="{00000000-0005-0000-0000-00000D030000}"/>
    <cellStyle name="20% - Accent6 3" xfId="1454" xr:uid="{00000000-0005-0000-0000-00000E030000}"/>
    <cellStyle name="20% - Accent6 3 2" xfId="1455" xr:uid="{00000000-0005-0000-0000-00000F030000}"/>
    <cellStyle name="20% - Accent6 3 2 2" xfId="1456" xr:uid="{00000000-0005-0000-0000-000010030000}"/>
    <cellStyle name="20% - Accent6 3 2 2 2" xfId="1457" xr:uid="{00000000-0005-0000-0000-000011030000}"/>
    <cellStyle name="20% - Accent6 3 2 3" xfId="1458" xr:uid="{00000000-0005-0000-0000-000012030000}"/>
    <cellStyle name="20% - Accent6 3 3" xfId="1459" xr:uid="{00000000-0005-0000-0000-000013030000}"/>
    <cellStyle name="20% - Accent6 3 3 2" xfId="1460" xr:uid="{00000000-0005-0000-0000-000014030000}"/>
    <cellStyle name="20% - Accent6 3 4" xfId="1461" xr:uid="{00000000-0005-0000-0000-000015030000}"/>
    <cellStyle name="20% - Accent6 3 4 2" xfId="1462" xr:uid="{00000000-0005-0000-0000-000016030000}"/>
    <cellStyle name="20% - Accent6 3 4 2 2" xfId="1463" xr:uid="{00000000-0005-0000-0000-000017030000}"/>
    <cellStyle name="20% - Accent6 3 4 3" xfId="1464" xr:uid="{00000000-0005-0000-0000-000018030000}"/>
    <cellStyle name="20% - Accent6 3 5" xfId="1465" xr:uid="{00000000-0005-0000-0000-000019030000}"/>
    <cellStyle name="20% - Accent6 4" xfId="1466" xr:uid="{00000000-0005-0000-0000-00001A030000}"/>
    <cellStyle name="20% - Accent6 4 2" xfId="1467" xr:uid="{00000000-0005-0000-0000-00001B030000}"/>
    <cellStyle name="20% - Accent6 4 2 2" xfId="1468" xr:uid="{00000000-0005-0000-0000-00001C030000}"/>
    <cellStyle name="20% - Accent6 4 3" xfId="1469" xr:uid="{00000000-0005-0000-0000-00001D030000}"/>
    <cellStyle name="20% - Accent6 4 3 2" xfId="1470" xr:uid="{00000000-0005-0000-0000-00001E030000}"/>
    <cellStyle name="20% - Accent6 4 3 2 2" xfId="1471" xr:uid="{00000000-0005-0000-0000-00001F030000}"/>
    <cellStyle name="20% - Accent6 4 3 3" xfId="1472" xr:uid="{00000000-0005-0000-0000-000020030000}"/>
    <cellStyle name="20% - Accent6 4 4" xfId="1473" xr:uid="{00000000-0005-0000-0000-000021030000}"/>
    <cellStyle name="20% - Accent6 5" xfId="1474" xr:uid="{00000000-0005-0000-0000-000022030000}"/>
    <cellStyle name="20% - Accent6 5 2" xfId="1475" xr:uid="{00000000-0005-0000-0000-000023030000}"/>
    <cellStyle name="20% - Accent6 5 2 2" xfId="1476" xr:uid="{00000000-0005-0000-0000-000024030000}"/>
    <cellStyle name="20% - Accent6 5 2 2 2" xfId="1477" xr:uid="{00000000-0005-0000-0000-000025030000}"/>
    <cellStyle name="20% - Accent6 5 2 3" xfId="1478" xr:uid="{00000000-0005-0000-0000-000026030000}"/>
    <cellStyle name="20% - Accent6 5 3" xfId="1479" xr:uid="{00000000-0005-0000-0000-000027030000}"/>
    <cellStyle name="20% - Accent6 5 3 2" xfId="1480" xr:uid="{00000000-0005-0000-0000-000028030000}"/>
    <cellStyle name="20% - Accent6 5 3 2 2" xfId="1481" xr:uid="{00000000-0005-0000-0000-000029030000}"/>
    <cellStyle name="20% - Accent6 5 3 2 2 2" xfId="1482" xr:uid="{00000000-0005-0000-0000-00002A030000}"/>
    <cellStyle name="20% - Accent6 5 3 2 3" xfId="1483" xr:uid="{00000000-0005-0000-0000-00002B030000}"/>
    <cellStyle name="20% - Accent6 5 3 3" xfId="1484" xr:uid="{00000000-0005-0000-0000-00002C030000}"/>
    <cellStyle name="20% - Accent6 5 3 3 2" xfId="1485" xr:uid="{00000000-0005-0000-0000-00002D030000}"/>
    <cellStyle name="20% - Accent6 5 3 4" xfId="1486" xr:uid="{00000000-0005-0000-0000-00002E030000}"/>
    <cellStyle name="20% - Accent6 5 4" xfId="1487" xr:uid="{00000000-0005-0000-0000-00002F030000}"/>
    <cellStyle name="20% - Accent6 5 4 2" xfId="1488" xr:uid="{00000000-0005-0000-0000-000030030000}"/>
    <cellStyle name="20% - Accent6 5 5" xfId="1489" xr:uid="{00000000-0005-0000-0000-000031030000}"/>
    <cellStyle name="20% - Accent6 6" xfId="1490" xr:uid="{00000000-0005-0000-0000-000032030000}"/>
    <cellStyle name="20% - Accent6 6 2" xfId="1491" xr:uid="{00000000-0005-0000-0000-000033030000}"/>
    <cellStyle name="20% - Accent6 6 2 2" xfId="1492" xr:uid="{00000000-0005-0000-0000-000034030000}"/>
    <cellStyle name="20% - Accent6 6 2 2 2" xfId="1493" xr:uid="{00000000-0005-0000-0000-000035030000}"/>
    <cellStyle name="20% - Accent6 6 2 3" xfId="1494" xr:uid="{00000000-0005-0000-0000-000036030000}"/>
    <cellStyle name="20% - Accent6 6 3" xfId="1495" xr:uid="{00000000-0005-0000-0000-000037030000}"/>
    <cellStyle name="20% - Accent6 6 3 2" xfId="1496" xr:uid="{00000000-0005-0000-0000-000038030000}"/>
    <cellStyle name="20% - Accent6 6 4" xfId="1497" xr:uid="{00000000-0005-0000-0000-000039030000}"/>
    <cellStyle name="20% - Accent6 7" xfId="1498" xr:uid="{00000000-0005-0000-0000-00003A030000}"/>
    <cellStyle name="20% - Accent6 8" xfId="1499" xr:uid="{00000000-0005-0000-0000-00003B030000}"/>
    <cellStyle name="40% - Accent1 2" xfId="1500" xr:uid="{00000000-0005-0000-0000-00003C030000}"/>
    <cellStyle name="40% - Accent1 2 10" xfId="1501" xr:uid="{00000000-0005-0000-0000-00003D030000}"/>
    <cellStyle name="40% - Accent1 2 10 2" xfId="1502" xr:uid="{00000000-0005-0000-0000-00003E030000}"/>
    <cellStyle name="40% - Accent1 2 11" xfId="1503" xr:uid="{00000000-0005-0000-0000-00003F030000}"/>
    <cellStyle name="40% - Accent1 2 2" xfId="1504" xr:uid="{00000000-0005-0000-0000-000040030000}"/>
    <cellStyle name="40% - Accent1 2 2 2" xfId="1505" xr:uid="{00000000-0005-0000-0000-000041030000}"/>
    <cellStyle name="40% - Accent1 2 2 2 2" xfId="1506" xr:uid="{00000000-0005-0000-0000-000042030000}"/>
    <cellStyle name="40% - Accent1 2 2 2 2 2" xfId="1507" xr:uid="{00000000-0005-0000-0000-000043030000}"/>
    <cellStyle name="40% - Accent1 2 2 2 3" xfId="1508" xr:uid="{00000000-0005-0000-0000-000044030000}"/>
    <cellStyle name="40% - Accent1 2 2 2 3 2" xfId="1509" xr:uid="{00000000-0005-0000-0000-000045030000}"/>
    <cellStyle name="40% - Accent1 2 2 2 3 2 2" xfId="1510" xr:uid="{00000000-0005-0000-0000-000046030000}"/>
    <cellStyle name="40% - Accent1 2 2 2 3 3" xfId="1511" xr:uid="{00000000-0005-0000-0000-000047030000}"/>
    <cellStyle name="40% - Accent1 2 2 2 4" xfId="1512" xr:uid="{00000000-0005-0000-0000-000048030000}"/>
    <cellStyle name="40% - Accent1 2 2 3" xfId="1513" xr:uid="{00000000-0005-0000-0000-000049030000}"/>
    <cellStyle name="40% - Accent1 2 2 3 2" xfId="1514" xr:uid="{00000000-0005-0000-0000-00004A030000}"/>
    <cellStyle name="40% - Accent1 2 2 3 2 2" xfId="1515" xr:uid="{00000000-0005-0000-0000-00004B030000}"/>
    <cellStyle name="40% - Accent1 2 2 3 3" xfId="1516" xr:uid="{00000000-0005-0000-0000-00004C030000}"/>
    <cellStyle name="40% - Accent1 2 2 4" xfId="1517" xr:uid="{00000000-0005-0000-0000-00004D030000}"/>
    <cellStyle name="40% - Accent1 2 2 4 2" xfId="1518" xr:uid="{00000000-0005-0000-0000-00004E030000}"/>
    <cellStyle name="40% - Accent1 2 2 4 2 2" xfId="1519" xr:uid="{00000000-0005-0000-0000-00004F030000}"/>
    <cellStyle name="40% - Accent1 2 2 4 2 2 2" xfId="1520" xr:uid="{00000000-0005-0000-0000-000050030000}"/>
    <cellStyle name="40% - Accent1 2 2 4 2 3" xfId="1521" xr:uid="{00000000-0005-0000-0000-000051030000}"/>
    <cellStyle name="40% - Accent1 2 2 4 3" xfId="1522" xr:uid="{00000000-0005-0000-0000-000052030000}"/>
    <cellStyle name="40% - Accent1 2 2 4 3 2" xfId="1523" xr:uid="{00000000-0005-0000-0000-000053030000}"/>
    <cellStyle name="40% - Accent1 2 2 4 4" xfId="1524" xr:uid="{00000000-0005-0000-0000-000054030000}"/>
    <cellStyle name="40% - Accent1 2 2 5" xfId="1525" xr:uid="{00000000-0005-0000-0000-000055030000}"/>
    <cellStyle name="40% - Accent1 2 2 5 2" xfId="1526" xr:uid="{00000000-0005-0000-0000-000056030000}"/>
    <cellStyle name="40% - Accent1 2 2 6" xfId="1527" xr:uid="{00000000-0005-0000-0000-000057030000}"/>
    <cellStyle name="40% - Accent1 2 3" xfId="1528" xr:uid="{00000000-0005-0000-0000-000058030000}"/>
    <cellStyle name="40% - Accent1 2 3 2" xfId="1529" xr:uid="{00000000-0005-0000-0000-000059030000}"/>
    <cellStyle name="40% - Accent1 2 3 2 2" xfId="1530" xr:uid="{00000000-0005-0000-0000-00005A030000}"/>
    <cellStyle name="40% - Accent1 2 3 2 2 2" xfId="1531" xr:uid="{00000000-0005-0000-0000-00005B030000}"/>
    <cellStyle name="40% - Accent1 2 3 2 3" xfId="1532" xr:uid="{00000000-0005-0000-0000-00005C030000}"/>
    <cellStyle name="40% - Accent1 2 3 3" xfId="1533" xr:uid="{00000000-0005-0000-0000-00005D030000}"/>
    <cellStyle name="40% - Accent1 2 3 3 2" xfId="1534" xr:uid="{00000000-0005-0000-0000-00005E030000}"/>
    <cellStyle name="40% - Accent1 2 3 3 2 2" xfId="1535" xr:uid="{00000000-0005-0000-0000-00005F030000}"/>
    <cellStyle name="40% - Accent1 2 3 3 2 2 2" xfId="1536" xr:uid="{00000000-0005-0000-0000-000060030000}"/>
    <cellStyle name="40% - Accent1 2 3 3 2 3" xfId="1537" xr:uid="{00000000-0005-0000-0000-000061030000}"/>
    <cellStyle name="40% - Accent1 2 3 3 3" xfId="1538" xr:uid="{00000000-0005-0000-0000-000062030000}"/>
    <cellStyle name="40% - Accent1 2 3 3 3 2" xfId="1539" xr:uid="{00000000-0005-0000-0000-000063030000}"/>
    <cellStyle name="40% - Accent1 2 3 3 4" xfId="1540" xr:uid="{00000000-0005-0000-0000-000064030000}"/>
    <cellStyle name="40% - Accent1 2 3 4" xfId="1541" xr:uid="{00000000-0005-0000-0000-000065030000}"/>
    <cellStyle name="40% - Accent1 2 3 4 2" xfId="1542" xr:uid="{00000000-0005-0000-0000-000066030000}"/>
    <cellStyle name="40% - Accent1 2 3 5" xfId="1543" xr:uid="{00000000-0005-0000-0000-000067030000}"/>
    <cellStyle name="40% - Accent1 2 4" xfId="1544" xr:uid="{00000000-0005-0000-0000-000068030000}"/>
    <cellStyle name="40% - Accent1 2 4 2" xfId="1545" xr:uid="{00000000-0005-0000-0000-000069030000}"/>
    <cellStyle name="40% - Accent1 2 4 2 2" xfId="1546" xr:uid="{00000000-0005-0000-0000-00006A030000}"/>
    <cellStyle name="40% - Accent1 2 4 2 2 2" xfId="1547" xr:uid="{00000000-0005-0000-0000-00006B030000}"/>
    <cellStyle name="40% - Accent1 2 4 2 3" xfId="1548" xr:uid="{00000000-0005-0000-0000-00006C030000}"/>
    <cellStyle name="40% - Accent1 2 4 3" xfId="1549" xr:uid="{00000000-0005-0000-0000-00006D030000}"/>
    <cellStyle name="40% - Accent1 2 4 3 2" xfId="1550" xr:uid="{00000000-0005-0000-0000-00006E030000}"/>
    <cellStyle name="40% - Accent1 2 4 4" xfId="1551" xr:uid="{00000000-0005-0000-0000-00006F030000}"/>
    <cellStyle name="40% - Accent1 2 5" xfId="1552" xr:uid="{00000000-0005-0000-0000-000070030000}"/>
    <cellStyle name="40% - Accent1 2 5 2" xfId="1553" xr:uid="{00000000-0005-0000-0000-000071030000}"/>
    <cellStyle name="40% - Accent1 2 5 2 2" xfId="1554" xr:uid="{00000000-0005-0000-0000-000072030000}"/>
    <cellStyle name="40% - Accent1 2 5 2 2 2" xfId="1555" xr:uid="{00000000-0005-0000-0000-000073030000}"/>
    <cellStyle name="40% - Accent1 2 5 2 3" xfId="1556" xr:uid="{00000000-0005-0000-0000-000074030000}"/>
    <cellStyle name="40% - Accent1 2 5 3" xfId="1557" xr:uid="{00000000-0005-0000-0000-000075030000}"/>
    <cellStyle name="40% - Accent1 2 5 3 2" xfId="1558" xr:uid="{00000000-0005-0000-0000-000076030000}"/>
    <cellStyle name="40% - Accent1 2 5 3 2 2" xfId="1559" xr:uid="{00000000-0005-0000-0000-000077030000}"/>
    <cellStyle name="40% - Accent1 2 5 3 2 2 2" xfId="1560" xr:uid="{00000000-0005-0000-0000-000078030000}"/>
    <cellStyle name="40% - Accent1 2 5 3 2 3" xfId="1561" xr:uid="{00000000-0005-0000-0000-000079030000}"/>
    <cellStyle name="40% - Accent1 2 5 3 3" xfId="1562" xr:uid="{00000000-0005-0000-0000-00007A030000}"/>
    <cellStyle name="40% - Accent1 2 5 3 3 2" xfId="1563" xr:uid="{00000000-0005-0000-0000-00007B030000}"/>
    <cellStyle name="40% - Accent1 2 5 3 4" xfId="1564" xr:uid="{00000000-0005-0000-0000-00007C030000}"/>
    <cellStyle name="40% - Accent1 2 5 4" xfId="1565" xr:uid="{00000000-0005-0000-0000-00007D030000}"/>
    <cellStyle name="40% - Accent1 2 5 4 2" xfId="1566" xr:uid="{00000000-0005-0000-0000-00007E030000}"/>
    <cellStyle name="40% - Accent1 2 5 5" xfId="1567" xr:uid="{00000000-0005-0000-0000-00007F030000}"/>
    <cellStyle name="40% - Accent1 2 6" xfId="1568" xr:uid="{00000000-0005-0000-0000-000080030000}"/>
    <cellStyle name="40% - Accent1 2 6 2" xfId="1569" xr:uid="{00000000-0005-0000-0000-000081030000}"/>
    <cellStyle name="40% - Accent1 2 6 2 2" xfId="1570" xr:uid="{00000000-0005-0000-0000-000082030000}"/>
    <cellStyle name="40% - Accent1 2 6 3" xfId="1571" xr:uid="{00000000-0005-0000-0000-000083030000}"/>
    <cellStyle name="40% - Accent1 2 7" xfId="1572" xr:uid="{00000000-0005-0000-0000-000084030000}"/>
    <cellStyle name="40% - Accent1 2 7 2" xfId="1573" xr:uid="{00000000-0005-0000-0000-000085030000}"/>
    <cellStyle name="40% - Accent1 2 7 2 2" xfId="1574" xr:uid="{00000000-0005-0000-0000-000086030000}"/>
    <cellStyle name="40% - Accent1 2 7 3" xfId="1575" xr:uid="{00000000-0005-0000-0000-000087030000}"/>
    <cellStyle name="40% - Accent1 2 8" xfId="1576" xr:uid="{00000000-0005-0000-0000-000088030000}"/>
    <cellStyle name="40% - Accent1 2 8 2" xfId="1577" xr:uid="{00000000-0005-0000-0000-000089030000}"/>
    <cellStyle name="40% - Accent1 2 8 2 2" xfId="1578" xr:uid="{00000000-0005-0000-0000-00008A030000}"/>
    <cellStyle name="40% - Accent1 2 8 2 2 2" xfId="1579" xr:uid="{00000000-0005-0000-0000-00008B030000}"/>
    <cellStyle name="40% - Accent1 2 8 2 3" xfId="1580" xr:uid="{00000000-0005-0000-0000-00008C030000}"/>
    <cellStyle name="40% - Accent1 2 8 3" xfId="1581" xr:uid="{00000000-0005-0000-0000-00008D030000}"/>
    <cellStyle name="40% - Accent1 2 8 3 2" xfId="1582" xr:uid="{00000000-0005-0000-0000-00008E030000}"/>
    <cellStyle name="40% - Accent1 2 8 4" xfId="1583" xr:uid="{00000000-0005-0000-0000-00008F030000}"/>
    <cellStyle name="40% - Accent1 2 9" xfId="1584" xr:uid="{00000000-0005-0000-0000-000090030000}"/>
    <cellStyle name="40% - Accent1 2 9 2" xfId="1585" xr:uid="{00000000-0005-0000-0000-000091030000}"/>
    <cellStyle name="40% - Accent1 3" xfId="1586" xr:uid="{00000000-0005-0000-0000-000092030000}"/>
    <cellStyle name="40% - Accent1 3 2" xfId="1587" xr:uid="{00000000-0005-0000-0000-000093030000}"/>
    <cellStyle name="40% - Accent1 3 2 2" xfId="1588" xr:uid="{00000000-0005-0000-0000-000094030000}"/>
    <cellStyle name="40% - Accent1 3 2 2 2" xfId="1589" xr:uid="{00000000-0005-0000-0000-000095030000}"/>
    <cellStyle name="40% - Accent1 3 2 3" xfId="1590" xr:uid="{00000000-0005-0000-0000-000096030000}"/>
    <cellStyle name="40% - Accent1 3 3" xfId="1591" xr:uid="{00000000-0005-0000-0000-000097030000}"/>
    <cellStyle name="40% - Accent1 3 3 2" xfId="1592" xr:uid="{00000000-0005-0000-0000-000098030000}"/>
    <cellStyle name="40% - Accent1 3 4" xfId="1593" xr:uid="{00000000-0005-0000-0000-000099030000}"/>
    <cellStyle name="40% - Accent1 3 4 2" xfId="1594" xr:uid="{00000000-0005-0000-0000-00009A030000}"/>
    <cellStyle name="40% - Accent1 3 4 2 2" xfId="1595" xr:uid="{00000000-0005-0000-0000-00009B030000}"/>
    <cellStyle name="40% - Accent1 3 4 3" xfId="1596" xr:uid="{00000000-0005-0000-0000-00009C030000}"/>
    <cellStyle name="40% - Accent1 3 5" xfId="1597" xr:uid="{00000000-0005-0000-0000-00009D030000}"/>
    <cellStyle name="40% - Accent1 4" xfId="1598" xr:uid="{00000000-0005-0000-0000-00009E030000}"/>
    <cellStyle name="40% - Accent1 4 2" xfId="1599" xr:uid="{00000000-0005-0000-0000-00009F030000}"/>
    <cellStyle name="40% - Accent1 4 2 2" xfId="1600" xr:uid="{00000000-0005-0000-0000-0000A0030000}"/>
    <cellStyle name="40% - Accent1 4 3" xfId="1601" xr:uid="{00000000-0005-0000-0000-0000A1030000}"/>
    <cellStyle name="40% - Accent1 4 3 2" xfId="1602" xr:uid="{00000000-0005-0000-0000-0000A2030000}"/>
    <cellStyle name="40% - Accent1 4 3 2 2" xfId="1603" xr:uid="{00000000-0005-0000-0000-0000A3030000}"/>
    <cellStyle name="40% - Accent1 4 3 3" xfId="1604" xr:uid="{00000000-0005-0000-0000-0000A4030000}"/>
    <cellStyle name="40% - Accent1 4 4" xfId="1605" xr:uid="{00000000-0005-0000-0000-0000A5030000}"/>
    <cellStyle name="40% - Accent1 5" xfId="1606" xr:uid="{00000000-0005-0000-0000-0000A6030000}"/>
    <cellStyle name="40% - Accent1 5 2" xfId="1607" xr:uid="{00000000-0005-0000-0000-0000A7030000}"/>
    <cellStyle name="40% - Accent1 5 2 2" xfId="1608" xr:uid="{00000000-0005-0000-0000-0000A8030000}"/>
    <cellStyle name="40% - Accent1 5 2 2 2" xfId="1609" xr:uid="{00000000-0005-0000-0000-0000A9030000}"/>
    <cellStyle name="40% - Accent1 5 2 3" xfId="1610" xr:uid="{00000000-0005-0000-0000-0000AA030000}"/>
    <cellStyle name="40% - Accent1 5 3" xfId="1611" xr:uid="{00000000-0005-0000-0000-0000AB030000}"/>
    <cellStyle name="40% - Accent1 5 3 2" xfId="1612" xr:uid="{00000000-0005-0000-0000-0000AC030000}"/>
    <cellStyle name="40% - Accent1 5 3 2 2" xfId="1613" xr:uid="{00000000-0005-0000-0000-0000AD030000}"/>
    <cellStyle name="40% - Accent1 5 3 2 2 2" xfId="1614" xr:uid="{00000000-0005-0000-0000-0000AE030000}"/>
    <cellStyle name="40% - Accent1 5 3 2 3" xfId="1615" xr:uid="{00000000-0005-0000-0000-0000AF030000}"/>
    <cellStyle name="40% - Accent1 5 3 3" xfId="1616" xr:uid="{00000000-0005-0000-0000-0000B0030000}"/>
    <cellStyle name="40% - Accent1 5 3 3 2" xfId="1617" xr:uid="{00000000-0005-0000-0000-0000B1030000}"/>
    <cellStyle name="40% - Accent1 5 3 4" xfId="1618" xr:uid="{00000000-0005-0000-0000-0000B2030000}"/>
    <cellStyle name="40% - Accent1 5 4" xfId="1619" xr:uid="{00000000-0005-0000-0000-0000B3030000}"/>
    <cellStyle name="40% - Accent1 5 4 2" xfId="1620" xr:uid="{00000000-0005-0000-0000-0000B4030000}"/>
    <cellStyle name="40% - Accent1 5 5" xfId="1621" xr:uid="{00000000-0005-0000-0000-0000B5030000}"/>
    <cellStyle name="40% - Accent1 6" xfId="1622" xr:uid="{00000000-0005-0000-0000-0000B6030000}"/>
    <cellStyle name="40% - Accent1 6 2" xfId="1623" xr:uid="{00000000-0005-0000-0000-0000B7030000}"/>
    <cellStyle name="40% - Accent1 6 2 2" xfId="1624" xr:uid="{00000000-0005-0000-0000-0000B8030000}"/>
    <cellStyle name="40% - Accent1 6 2 2 2" xfId="1625" xr:uid="{00000000-0005-0000-0000-0000B9030000}"/>
    <cellStyle name="40% - Accent1 6 2 3" xfId="1626" xr:uid="{00000000-0005-0000-0000-0000BA030000}"/>
    <cellStyle name="40% - Accent1 6 3" xfId="1627" xr:uid="{00000000-0005-0000-0000-0000BB030000}"/>
    <cellStyle name="40% - Accent1 6 3 2" xfId="1628" xr:uid="{00000000-0005-0000-0000-0000BC030000}"/>
    <cellStyle name="40% - Accent1 6 4" xfId="1629" xr:uid="{00000000-0005-0000-0000-0000BD030000}"/>
    <cellStyle name="40% - Accent1 7" xfId="1630" xr:uid="{00000000-0005-0000-0000-0000BE030000}"/>
    <cellStyle name="40% - Accent1 8" xfId="1631" xr:uid="{00000000-0005-0000-0000-0000BF030000}"/>
    <cellStyle name="40% - Accent2 2" xfId="1632" xr:uid="{00000000-0005-0000-0000-0000C0030000}"/>
    <cellStyle name="40% - Accent2 2 10" xfId="1633" xr:uid="{00000000-0005-0000-0000-0000C1030000}"/>
    <cellStyle name="40% - Accent2 2 10 2" xfId="1634" xr:uid="{00000000-0005-0000-0000-0000C2030000}"/>
    <cellStyle name="40% - Accent2 2 11" xfId="1635" xr:uid="{00000000-0005-0000-0000-0000C3030000}"/>
    <cellStyle name="40% - Accent2 2 2" xfId="1636" xr:uid="{00000000-0005-0000-0000-0000C4030000}"/>
    <cellStyle name="40% - Accent2 2 2 2" xfId="1637" xr:uid="{00000000-0005-0000-0000-0000C5030000}"/>
    <cellStyle name="40% - Accent2 2 2 2 2" xfId="1638" xr:uid="{00000000-0005-0000-0000-0000C6030000}"/>
    <cellStyle name="40% - Accent2 2 2 2 2 2" xfId="1639" xr:uid="{00000000-0005-0000-0000-0000C7030000}"/>
    <cellStyle name="40% - Accent2 2 2 2 3" xfId="1640" xr:uid="{00000000-0005-0000-0000-0000C8030000}"/>
    <cellStyle name="40% - Accent2 2 2 2 3 2" xfId="1641" xr:uid="{00000000-0005-0000-0000-0000C9030000}"/>
    <cellStyle name="40% - Accent2 2 2 2 3 2 2" xfId="1642" xr:uid="{00000000-0005-0000-0000-0000CA030000}"/>
    <cellStyle name="40% - Accent2 2 2 2 3 3" xfId="1643" xr:uid="{00000000-0005-0000-0000-0000CB030000}"/>
    <cellStyle name="40% - Accent2 2 2 2 4" xfId="1644" xr:uid="{00000000-0005-0000-0000-0000CC030000}"/>
    <cellStyle name="40% - Accent2 2 2 3" xfId="1645" xr:uid="{00000000-0005-0000-0000-0000CD030000}"/>
    <cellStyle name="40% - Accent2 2 2 3 2" xfId="1646" xr:uid="{00000000-0005-0000-0000-0000CE030000}"/>
    <cellStyle name="40% - Accent2 2 2 3 2 2" xfId="1647" xr:uid="{00000000-0005-0000-0000-0000CF030000}"/>
    <cellStyle name="40% - Accent2 2 2 3 3" xfId="1648" xr:uid="{00000000-0005-0000-0000-0000D0030000}"/>
    <cellStyle name="40% - Accent2 2 2 4" xfId="1649" xr:uid="{00000000-0005-0000-0000-0000D1030000}"/>
    <cellStyle name="40% - Accent2 2 2 4 2" xfId="1650" xr:uid="{00000000-0005-0000-0000-0000D2030000}"/>
    <cellStyle name="40% - Accent2 2 2 4 2 2" xfId="1651" xr:uid="{00000000-0005-0000-0000-0000D3030000}"/>
    <cellStyle name="40% - Accent2 2 2 4 2 2 2" xfId="1652" xr:uid="{00000000-0005-0000-0000-0000D4030000}"/>
    <cellStyle name="40% - Accent2 2 2 4 2 3" xfId="1653" xr:uid="{00000000-0005-0000-0000-0000D5030000}"/>
    <cellStyle name="40% - Accent2 2 2 4 3" xfId="1654" xr:uid="{00000000-0005-0000-0000-0000D6030000}"/>
    <cellStyle name="40% - Accent2 2 2 4 3 2" xfId="1655" xr:uid="{00000000-0005-0000-0000-0000D7030000}"/>
    <cellStyle name="40% - Accent2 2 2 4 4" xfId="1656" xr:uid="{00000000-0005-0000-0000-0000D8030000}"/>
    <cellStyle name="40% - Accent2 2 2 5" xfId="1657" xr:uid="{00000000-0005-0000-0000-0000D9030000}"/>
    <cellStyle name="40% - Accent2 2 2 5 2" xfId="1658" xr:uid="{00000000-0005-0000-0000-0000DA030000}"/>
    <cellStyle name="40% - Accent2 2 2 6" xfId="1659" xr:uid="{00000000-0005-0000-0000-0000DB030000}"/>
    <cellStyle name="40% - Accent2 2 3" xfId="1660" xr:uid="{00000000-0005-0000-0000-0000DC030000}"/>
    <cellStyle name="40% - Accent2 2 3 2" xfId="1661" xr:uid="{00000000-0005-0000-0000-0000DD030000}"/>
    <cellStyle name="40% - Accent2 2 3 2 2" xfId="1662" xr:uid="{00000000-0005-0000-0000-0000DE030000}"/>
    <cellStyle name="40% - Accent2 2 3 2 2 2" xfId="1663" xr:uid="{00000000-0005-0000-0000-0000DF030000}"/>
    <cellStyle name="40% - Accent2 2 3 2 3" xfId="1664" xr:uid="{00000000-0005-0000-0000-0000E0030000}"/>
    <cellStyle name="40% - Accent2 2 3 3" xfId="1665" xr:uid="{00000000-0005-0000-0000-0000E1030000}"/>
    <cellStyle name="40% - Accent2 2 3 3 2" xfId="1666" xr:uid="{00000000-0005-0000-0000-0000E2030000}"/>
    <cellStyle name="40% - Accent2 2 3 3 2 2" xfId="1667" xr:uid="{00000000-0005-0000-0000-0000E3030000}"/>
    <cellStyle name="40% - Accent2 2 3 3 2 2 2" xfId="1668" xr:uid="{00000000-0005-0000-0000-0000E4030000}"/>
    <cellStyle name="40% - Accent2 2 3 3 2 3" xfId="1669" xr:uid="{00000000-0005-0000-0000-0000E5030000}"/>
    <cellStyle name="40% - Accent2 2 3 3 3" xfId="1670" xr:uid="{00000000-0005-0000-0000-0000E6030000}"/>
    <cellStyle name="40% - Accent2 2 3 3 3 2" xfId="1671" xr:uid="{00000000-0005-0000-0000-0000E7030000}"/>
    <cellStyle name="40% - Accent2 2 3 3 4" xfId="1672" xr:uid="{00000000-0005-0000-0000-0000E8030000}"/>
    <cellStyle name="40% - Accent2 2 3 4" xfId="1673" xr:uid="{00000000-0005-0000-0000-0000E9030000}"/>
    <cellStyle name="40% - Accent2 2 3 4 2" xfId="1674" xr:uid="{00000000-0005-0000-0000-0000EA030000}"/>
    <cellStyle name="40% - Accent2 2 3 5" xfId="1675" xr:uid="{00000000-0005-0000-0000-0000EB030000}"/>
    <cellStyle name="40% - Accent2 2 4" xfId="1676" xr:uid="{00000000-0005-0000-0000-0000EC030000}"/>
    <cellStyle name="40% - Accent2 2 4 2" xfId="1677" xr:uid="{00000000-0005-0000-0000-0000ED030000}"/>
    <cellStyle name="40% - Accent2 2 4 2 2" xfId="1678" xr:uid="{00000000-0005-0000-0000-0000EE030000}"/>
    <cellStyle name="40% - Accent2 2 4 2 2 2" xfId="1679" xr:uid="{00000000-0005-0000-0000-0000EF030000}"/>
    <cellStyle name="40% - Accent2 2 4 2 3" xfId="1680" xr:uid="{00000000-0005-0000-0000-0000F0030000}"/>
    <cellStyle name="40% - Accent2 2 4 3" xfId="1681" xr:uid="{00000000-0005-0000-0000-0000F1030000}"/>
    <cellStyle name="40% - Accent2 2 4 3 2" xfId="1682" xr:uid="{00000000-0005-0000-0000-0000F2030000}"/>
    <cellStyle name="40% - Accent2 2 4 4" xfId="1683" xr:uid="{00000000-0005-0000-0000-0000F3030000}"/>
    <cellStyle name="40% - Accent2 2 5" xfId="1684" xr:uid="{00000000-0005-0000-0000-0000F4030000}"/>
    <cellStyle name="40% - Accent2 2 5 2" xfId="1685" xr:uid="{00000000-0005-0000-0000-0000F5030000}"/>
    <cellStyle name="40% - Accent2 2 5 2 2" xfId="1686" xr:uid="{00000000-0005-0000-0000-0000F6030000}"/>
    <cellStyle name="40% - Accent2 2 5 2 2 2" xfId="1687" xr:uid="{00000000-0005-0000-0000-0000F7030000}"/>
    <cellStyle name="40% - Accent2 2 5 2 3" xfId="1688" xr:uid="{00000000-0005-0000-0000-0000F8030000}"/>
    <cellStyle name="40% - Accent2 2 5 3" xfId="1689" xr:uid="{00000000-0005-0000-0000-0000F9030000}"/>
    <cellStyle name="40% - Accent2 2 5 3 2" xfId="1690" xr:uid="{00000000-0005-0000-0000-0000FA030000}"/>
    <cellStyle name="40% - Accent2 2 5 3 2 2" xfId="1691" xr:uid="{00000000-0005-0000-0000-0000FB030000}"/>
    <cellStyle name="40% - Accent2 2 5 3 2 2 2" xfId="1692" xr:uid="{00000000-0005-0000-0000-0000FC030000}"/>
    <cellStyle name="40% - Accent2 2 5 3 2 3" xfId="1693" xr:uid="{00000000-0005-0000-0000-0000FD030000}"/>
    <cellStyle name="40% - Accent2 2 5 3 3" xfId="1694" xr:uid="{00000000-0005-0000-0000-0000FE030000}"/>
    <cellStyle name="40% - Accent2 2 5 3 3 2" xfId="1695" xr:uid="{00000000-0005-0000-0000-0000FF030000}"/>
    <cellStyle name="40% - Accent2 2 5 3 4" xfId="1696" xr:uid="{00000000-0005-0000-0000-000000040000}"/>
    <cellStyle name="40% - Accent2 2 5 4" xfId="1697" xr:uid="{00000000-0005-0000-0000-000001040000}"/>
    <cellStyle name="40% - Accent2 2 5 4 2" xfId="1698" xr:uid="{00000000-0005-0000-0000-000002040000}"/>
    <cellStyle name="40% - Accent2 2 5 5" xfId="1699" xr:uid="{00000000-0005-0000-0000-000003040000}"/>
    <cellStyle name="40% - Accent2 2 6" xfId="1700" xr:uid="{00000000-0005-0000-0000-000004040000}"/>
    <cellStyle name="40% - Accent2 2 6 2" xfId="1701" xr:uid="{00000000-0005-0000-0000-000005040000}"/>
    <cellStyle name="40% - Accent2 2 6 2 2" xfId="1702" xr:uid="{00000000-0005-0000-0000-000006040000}"/>
    <cellStyle name="40% - Accent2 2 6 3" xfId="1703" xr:uid="{00000000-0005-0000-0000-000007040000}"/>
    <cellStyle name="40% - Accent2 2 7" xfId="1704" xr:uid="{00000000-0005-0000-0000-000008040000}"/>
    <cellStyle name="40% - Accent2 2 7 2" xfId="1705" xr:uid="{00000000-0005-0000-0000-000009040000}"/>
    <cellStyle name="40% - Accent2 2 7 2 2" xfId="1706" xr:uid="{00000000-0005-0000-0000-00000A040000}"/>
    <cellStyle name="40% - Accent2 2 7 3" xfId="1707" xr:uid="{00000000-0005-0000-0000-00000B040000}"/>
    <cellStyle name="40% - Accent2 2 8" xfId="1708" xr:uid="{00000000-0005-0000-0000-00000C040000}"/>
    <cellStyle name="40% - Accent2 2 8 2" xfId="1709" xr:uid="{00000000-0005-0000-0000-00000D040000}"/>
    <cellStyle name="40% - Accent2 2 8 2 2" xfId="1710" xr:uid="{00000000-0005-0000-0000-00000E040000}"/>
    <cellStyle name="40% - Accent2 2 8 2 2 2" xfId="1711" xr:uid="{00000000-0005-0000-0000-00000F040000}"/>
    <cellStyle name="40% - Accent2 2 8 2 3" xfId="1712" xr:uid="{00000000-0005-0000-0000-000010040000}"/>
    <cellStyle name="40% - Accent2 2 8 3" xfId="1713" xr:uid="{00000000-0005-0000-0000-000011040000}"/>
    <cellStyle name="40% - Accent2 2 8 3 2" xfId="1714" xr:uid="{00000000-0005-0000-0000-000012040000}"/>
    <cellStyle name="40% - Accent2 2 8 4" xfId="1715" xr:uid="{00000000-0005-0000-0000-000013040000}"/>
    <cellStyle name="40% - Accent2 2 9" xfId="1716" xr:uid="{00000000-0005-0000-0000-000014040000}"/>
    <cellStyle name="40% - Accent2 2 9 2" xfId="1717" xr:uid="{00000000-0005-0000-0000-000015040000}"/>
    <cellStyle name="40% - Accent2 3" xfId="1718" xr:uid="{00000000-0005-0000-0000-000016040000}"/>
    <cellStyle name="40% - Accent2 3 2" xfId="1719" xr:uid="{00000000-0005-0000-0000-000017040000}"/>
    <cellStyle name="40% - Accent2 3 2 2" xfId="1720" xr:uid="{00000000-0005-0000-0000-000018040000}"/>
    <cellStyle name="40% - Accent2 3 2 2 2" xfId="1721" xr:uid="{00000000-0005-0000-0000-000019040000}"/>
    <cellStyle name="40% - Accent2 3 2 3" xfId="1722" xr:uid="{00000000-0005-0000-0000-00001A040000}"/>
    <cellStyle name="40% - Accent2 3 3" xfId="1723" xr:uid="{00000000-0005-0000-0000-00001B040000}"/>
    <cellStyle name="40% - Accent2 3 3 2" xfId="1724" xr:uid="{00000000-0005-0000-0000-00001C040000}"/>
    <cellStyle name="40% - Accent2 3 4" xfId="1725" xr:uid="{00000000-0005-0000-0000-00001D040000}"/>
    <cellStyle name="40% - Accent2 3 4 2" xfId="1726" xr:uid="{00000000-0005-0000-0000-00001E040000}"/>
    <cellStyle name="40% - Accent2 3 4 2 2" xfId="1727" xr:uid="{00000000-0005-0000-0000-00001F040000}"/>
    <cellStyle name="40% - Accent2 3 4 3" xfId="1728" xr:uid="{00000000-0005-0000-0000-000020040000}"/>
    <cellStyle name="40% - Accent2 3 5" xfId="1729" xr:uid="{00000000-0005-0000-0000-000021040000}"/>
    <cellStyle name="40% - Accent2 4" xfId="1730" xr:uid="{00000000-0005-0000-0000-000022040000}"/>
    <cellStyle name="40% - Accent2 4 2" xfId="1731" xr:uid="{00000000-0005-0000-0000-000023040000}"/>
    <cellStyle name="40% - Accent2 4 2 2" xfId="1732" xr:uid="{00000000-0005-0000-0000-000024040000}"/>
    <cellStyle name="40% - Accent2 4 3" xfId="1733" xr:uid="{00000000-0005-0000-0000-000025040000}"/>
    <cellStyle name="40% - Accent2 4 3 2" xfId="1734" xr:uid="{00000000-0005-0000-0000-000026040000}"/>
    <cellStyle name="40% - Accent2 4 3 2 2" xfId="1735" xr:uid="{00000000-0005-0000-0000-000027040000}"/>
    <cellStyle name="40% - Accent2 4 3 3" xfId="1736" xr:uid="{00000000-0005-0000-0000-000028040000}"/>
    <cellStyle name="40% - Accent2 4 4" xfId="1737" xr:uid="{00000000-0005-0000-0000-000029040000}"/>
    <cellStyle name="40% - Accent2 5" xfId="1738" xr:uid="{00000000-0005-0000-0000-00002A040000}"/>
    <cellStyle name="40% - Accent2 5 2" xfId="1739" xr:uid="{00000000-0005-0000-0000-00002B040000}"/>
    <cellStyle name="40% - Accent2 5 2 2" xfId="1740" xr:uid="{00000000-0005-0000-0000-00002C040000}"/>
    <cellStyle name="40% - Accent2 5 2 2 2" xfId="1741" xr:uid="{00000000-0005-0000-0000-00002D040000}"/>
    <cellStyle name="40% - Accent2 5 2 3" xfId="1742" xr:uid="{00000000-0005-0000-0000-00002E040000}"/>
    <cellStyle name="40% - Accent2 5 3" xfId="1743" xr:uid="{00000000-0005-0000-0000-00002F040000}"/>
    <cellStyle name="40% - Accent2 5 3 2" xfId="1744" xr:uid="{00000000-0005-0000-0000-000030040000}"/>
    <cellStyle name="40% - Accent2 5 3 2 2" xfId="1745" xr:uid="{00000000-0005-0000-0000-000031040000}"/>
    <cellStyle name="40% - Accent2 5 3 2 2 2" xfId="1746" xr:uid="{00000000-0005-0000-0000-000032040000}"/>
    <cellStyle name="40% - Accent2 5 3 2 3" xfId="1747" xr:uid="{00000000-0005-0000-0000-000033040000}"/>
    <cellStyle name="40% - Accent2 5 3 3" xfId="1748" xr:uid="{00000000-0005-0000-0000-000034040000}"/>
    <cellStyle name="40% - Accent2 5 3 3 2" xfId="1749" xr:uid="{00000000-0005-0000-0000-000035040000}"/>
    <cellStyle name="40% - Accent2 5 3 4" xfId="1750" xr:uid="{00000000-0005-0000-0000-000036040000}"/>
    <cellStyle name="40% - Accent2 5 4" xfId="1751" xr:uid="{00000000-0005-0000-0000-000037040000}"/>
    <cellStyle name="40% - Accent2 5 4 2" xfId="1752" xr:uid="{00000000-0005-0000-0000-000038040000}"/>
    <cellStyle name="40% - Accent2 5 5" xfId="1753" xr:uid="{00000000-0005-0000-0000-000039040000}"/>
    <cellStyle name="40% - Accent2 6" xfId="1754" xr:uid="{00000000-0005-0000-0000-00003A040000}"/>
    <cellStyle name="40% - Accent2 6 2" xfId="1755" xr:uid="{00000000-0005-0000-0000-00003B040000}"/>
    <cellStyle name="40% - Accent2 6 2 2" xfId="1756" xr:uid="{00000000-0005-0000-0000-00003C040000}"/>
    <cellStyle name="40% - Accent2 6 2 2 2" xfId="1757" xr:uid="{00000000-0005-0000-0000-00003D040000}"/>
    <cellStyle name="40% - Accent2 6 2 3" xfId="1758" xr:uid="{00000000-0005-0000-0000-00003E040000}"/>
    <cellStyle name="40% - Accent2 6 3" xfId="1759" xr:uid="{00000000-0005-0000-0000-00003F040000}"/>
    <cellStyle name="40% - Accent2 6 3 2" xfId="1760" xr:uid="{00000000-0005-0000-0000-000040040000}"/>
    <cellStyle name="40% - Accent2 6 4" xfId="1761" xr:uid="{00000000-0005-0000-0000-000041040000}"/>
    <cellStyle name="40% - Accent2 7" xfId="1762" xr:uid="{00000000-0005-0000-0000-000042040000}"/>
    <cellStyle name="40% - Accent2 8" xfId="1763" xr:uid="{00000000-0005-0000-0000-000043040000}"/>
    <cellStyle name="40% - Accent3 2" xfId="1764" xr:uid="{00000000-0005-0000-0000-000044040000}"/>
    <cellStyle name="40% - Accent3 2 10" xfId="1765" xr:uid="{00000000-0005-0000-0000-000045040000}"/>
    <cellStyle name="40% - Accent3 2 10 2" xfId="1766" xr:uid="{00000000-0005-0000-0000-000046040000}"/>
    <cellStyle name="40% - Accent3 2 11" xfId="1767" xr:uid="{00000000-0005-0000-0000-000047040000}"/>
    <cellStyle name="40% - Accent3 2 2" xfId="1768" xr:uid="{00000000-0005-0000-0000-000048040000}"/>
    <cellStyle name="40% - Accent3 2 2 2" xfId="1769" xr:uid="{00000000-0005-0000-0000-000049040000}"/>
    <cellStyle name="40% - Accent3 2 2 2 2" xfId="1770" xr:uid="{00000000-0005-0000-0000-00004A040000}"/>
    <cellStyle name="40% - Accent3 2 2 2 2 2" xfId="1771" xr:uid="{00000000-0005-0000-0000-00004B040000}"/>
    <cellStyle name="40% - Accent3 2 2 2 3" xfId="1772" xr:uid="{00000000-0005-0000-0000-00004C040000}"/>
    <cellStyle name="40% - Accent3 2 2 2 3 2" xfId="1773" xr:uid="{00000000-0005-0000-0000-00004D040000}"/>
    <cellStyle name="40% - Accent3 2 2 2 3 2 2" xfId="1774" xr:uid="{00000000-0005-0000-0000-00004E040000}"/>
    <cellStyle name="40% - Accent3 2 2 2 3 3" xfId="1775" xr:uid="{00000000-0005-0000-0000-00004F040000}"/>
    <cellStyle name="40% - Accent3 2 2 2 4" xfId="1776" xr:uid="{00000000-0005-0000-0000-000050040000}"/>
    <cellStyle name="40% - Accent3 2 2 3" xfId="1777" xr:uid="{00000000-0005-0000-0000-000051040000}"/>
    <cellStyle name="40% - Accent3 2 2 3 2" xfId="1778" xr:uid="{00000000-0005-0000-0000-000052040000}"/>
    <cellStyle name="40% - Accent3 2 2 3 2 2" xfId="1779" xr:uid="{00000000-0005-0000-0000-000053040000}"/>
    <cellStyle name="40% - Accent3 2 2 3 3" xfId="1780" xr:uid="{00000000-0005-0000-0000-000054040000}"/>
    <cellStyle name="40% - Accent3 2 2 4" xfId="1781" xr:uid="{00000000-0005-0000-0000-000055040000}"/>
    <cellStyle name="40% - Accent3 2 2 4 2" xfId="1782" xr:uid="{00000000-0005-0000-0000-000056040000}"/>
    <cellStyle name="40% - Accent3 2 2 4 2 2" xfId="1783" xr:uid="{00000000-0005-0000-0000-000057040000}"/>
    <cellStyle name="40% - Accent3 2 2 4 2 2 2" xfId="1784" xr:uid="{00000000-0005-0000-0000-000058040000}"/>
    <cellStyle name="40% - Accent3 2 2 4 2 3" xfId="1785" xr:uid="{00000000-0005-0000-0000-000059040000}"/>
    <cellStyle name="40% - Accent3 2 2 4 3" xfId="1786" xr:uid="{00000000-0005-0000-0000-00005A040000}"/>
    <cellStyle name="40% - Accent3 2 2 4 3 2" xfId="1787" xr:uid="{00000000-0005-0000-0000-00005B040000}"/>
    <cellStyle name="40% - Accent3 2 2 4 4" xfId="1788" xr:uid="{00000000-0005-0000-0000-00005C040000}"/>
    <cellStyle name="40% - Accent3 2 2 5" xfId="1789" xr:uid="{00000000-0005-0000-0000-00005D040000}"/>
    <cellStyle name="40% - Accent3 2 2 5 2" xfId="1790" xr:uid="{00000000-0005-0000-0000-00005E040000}"/>
    <cellStyle name="40% - Accent3 2 2 6" xfId="1791" xr:uid="{00000000-0005-0000-0000-00005F040000}"/>
    <cellStyle name="40% - Accent3 2 3" xfId="1792" xr:uid="{00000000-0005-0000-0000-000060040000}"/>
    <cellStyle name="40% - Accent3 2 3 2" xfId="1793" xr:uid="{00000000-0005-0000-0000-000061040000}"/>
    <cellStyle name="40% - Accent3 2 3 2 2" xfId="1794" xr:uid="{00000000-0005-0000-0000-000062040000}"/>
    <cellStyle name="40% - Accent3 2 3 2 2 2" xfId="1795" xr:uid="{00000000-0005-0000-0000-000063040000}"/>
    <cellStyle name="40% - Accent3 2 3 2 3" xfId="1796" xr:uid="{00000000-0005-0000-0000-000064040000}"/>
    <cellStyle name="40% - Accent3 2 3 3" xfId="1797" xr:uid="{00000000-0005-0000-0000-000065040000}"/>
    <cellStyle name="40% - Accent3 2 3 3 2" xfId="1798" xr:uid="{00000000-0005-0000-0000-000066040000}"/>
    <cellStyle name="40% - Accent3 2 3 3 2 2" xfId="1799" xr:uid="{00000000-0005-0000-0000-000067040000}"/>
    <cellStyle name="40% - Accent3 2 3 3 2 2 2" xfId="1800" xr:uid="{00000000-0005-0000-0000-000068040000}"/>
    <cellStyle name="40% - Accent3 2 3 3 2 3" xfId="1801" xr:uid="{00000000-0005-0000-0000-000069040000}"/>
    <cellStyle name="40% - Accent3 2 3 3 3" xfId="1802" xr:uid="{00000000-0005-0000-0000-00006A040000}"/>
    <cellStyle name="40% - Accent3 2 3 3 3 2" xfId="1803" xr:uid="{00000000-0005-0000-0000-00006B040000}"/>
    <cellStyle name="40% - Accent3 2 3 3 4" xfId="1804" xr:uid="{00000000-0005-0000-0000-00006C040000}"/>
    <cellStyle name="40% - Accent3 2 3 4" xfId="1805" xr:uid="{00000000-0005-0000-0000-00006D040000}"/>
    <cellStyle name="40% - Accent3 2 3 4 2" xfId="1806" xr:uid="{00000000-0005-0000-0000-00006E040000}"/>
    <cellStyle name="40% - Accent3 2 3 5" xfId="1807" xr:uid="{00000000-0005-0000-0000-00006F040000}"/>
    <cellStyle name="40% - Accent3 2 4" xfId="1808" xr:uid="{00000000-0005-0000-0000-000070040000}"/>
    <cellStyle name="40% - Accent3 2 4 2" xfId="1809" xr:uid="{00000000-0005-0000-0000-000071040000}"/>
    <cellStyle name="40% - Accent3 2 4 2 2" xfId="1810" xr:uid="{00000000-0005-0000-0000-000072040000}"/>
    <cellStyle name="40% - Accent3 2 4 2 2 2" xfId="1811" xr:uid="{00000000-0005-0000-0000-000073040000}"/>
    <cellStyle name="40% - Accent3 2 4 2 3" xfId="1812" xr:uid="{00000000-0005-0000-0000-000074040000}"/>
    <cellStyle name="40% - Accent3 2 4 3" xfId="1813" xr:uid="{00000000-0005-0000-0000-000075040000}"/>
    <cellStyle name="40% - Accent3 2 4 3 2" xfId="1814" xr:uid="{00000000-0005-0000-0000-000076040000}"/>
    <cellStyle name="40% - Accent3 2 4 4" xfId="1815" xr:uid="{00000000-0005-0000-0000-000077040000}"/>
    <cellStyle name="40% - Accent3 2 5" xfId="1816" xr:uid="{00000000-0005-0000-0000-000078040000}"/>
    <cellStyle name="40% - Accent3 2 5 2" xfId="1817" xr:uid="{00000000-0005-0000-0000-000079040000}"/>
    <cellStyle name="40% - Accent3 2 5 2 2" xfId="1818" xr:uid="{00000000-0005-0000-0000-00007A040000}"/>
    <cellStyle name="40% - Accent3 2 5 2 2 2" xfId="1819" xr:uid="{00000000-0005-0000-0000-00007B040000}"/>
    <cellStyle name="40% - Accent3 2 5 2 3" xfId="1820" xr:uid="{00000000-0005-0000-0000-00007C040000}"/>
    <cellStyle name="40% - Accent3 2 5 3" xfId="1821" xr:uid="{00000000-0005-0000-0000-00007D040000}"/>
    <cellStyle name="40% - Accent3 2 5 3 2" xfId="1822" xr:uid="{00000000-0005-0000-0000-00007E040000}"/>
    <cellStyle name="40% - Accent3 2 5 3 2 2" xfId="1823" xr:uid="{00000000-0005-0000-0000-00007F040000}"/>
    <cellStyle name="40% - Accent3 2 5 3 2 2 2" xfId="1824" xr:uid="{00000000-0005-0000-0000-000080040000}"/>
    <cellStyle name="40% - Accent3 2 5 3 2 3" xfId="1825" xr:uid="{00000000-0005-0000-0000-000081040000}"/>
    <cellStyle name="40% - Accent3 2 5 3 3" xfId="1826" xr:uid="{00000000-0005-0000-0000-000082040000}"/>
    <cellStyle name="40% - Accent3 2 5 3 3 2" xfId="1827" xr:uid="{00000000-0005-0000-0000-000083040000}"/>
    <cellStyle name="40% - Accent3 2 5 3 4" xfId="1828" xr:uid="{00000000-0005-0000-0000-000084040000}"/>
    <cellStyle name="40% - Accent3 2 5 4" xfId="1829" xr:uid="{00000000-0005-0000-0000-000085040000}"/>
    <cellStyle name="40% - Accent3 2 5 4 2" xfId="1830" xr:uid="{00000000-0005-0000-0000-000086040000}"/>
    <cellStyle name="40% - Accent3 2 5 5" xfId="1831" xr:uid="{00000000-0005-0000-0000-000087040000}"/>
    <cellStyle name="40% - Accent3 2 6" xfId="1832" xr:uid="{00000000-0005-0000-0000-000088040000}"/>
    <cellStyle name="40% - Accent3 2 6 2" xfId="1833" xr:uid="{00000000-0005-0000-0000-000089040000}"/>
    <cellStyle name="40% - Accent3 2 6 2 2" xfId="1834" xr:uid="{00000000-0005-0000-0000-00008A040000}"/>
    <cellStyle name="40% - Accent3 2 6 3" xfId="1835" xr:uid="{00000000-0005-0000-0000-00008B040000}"/>
    <cellStyle name="40% - Accent3 2 7" xfId="1836" xr:uid="{00000000-0005-0000-0000-00008C040000}"/>
    <cellStyle name="40% - Accent3 2 7 2" xfId="1837" xr:uid="{00000000-0005-0000-0000-00008D040000}"/>
    <cellStyle name="40% - Accent3 2 7 2 2" xfId="1838" xr:uid="{00000000-0005-0000-0000-00008E040000}"/>
    <cellStyle name="40% - Accent3 2 7 3" xfId="1839" xr:uid="{00000000-0005-0000-0000-00008F040000}"/>
    <cellStyle name="40% - Accent3 2 8" xfId="1840" xr:uid="{00000000-0005-0000-0000-000090040000}"/>
    <cellStyle name="40% - Accent3 2 8 2" xfId="1841" xr:uid="{00000000-0005-0000-0000-000091040000}"/>
    <cellStyle name="40% - Accent3 2 8 2 2" xfId="1842" xr:uid="{00000000-0005-0000-0000-000092040000}"/>
    <cellStyle name="40% - Accent3 2 8 2 2 2" xfId="1843" xr:uid="{00000000-0005-0000-0000-000093040000}"/>
    <cellStyle name="40% - Accent3 2 8 2 3" xfId="1844" xr:uid="{00000000-0005-0000-0000-000094040000}"/>
    <cellStyle name="40% - Accent3 2 8 3" xfId="1845" xr:uid="{00000000-0005-0000-0000-000095040000}"/>
    <cellStyle name="40% - Accent3 2 8 3 2" xfId="1846" xr:uid="{00000000-0005-0000-0000-000096040000}"/>
    <cellStyle name="40% - Accent3 2 8 4" xfId="1847" xr:uid="{00000000-0005-0000-0000-000097040000}"/>
    <cellStyle name="40% - Accent3 2 9" xfId="1848" xr:uid="{00000000-0005-0000-0000-000098040000}"/>
    <cellStyle name="40% - Accent3 2 9 2" xfId="1849" xr:uid="{00000000-0005-0000-0000-000099040000}"/>
    <cellStyle name="40% - Accent3 3" xfId="1850" xr:uid="{00000000-0005-0000-0000-00009A040000}"/>
    <cellStyle name="40% - Accent3 3 2" xfId="1851" xr:uid="{00000000-0005-0000-0000-00009B040000}"/>
    <cellStyle name="40% - Accent3 3 2 2" xfId="1852" xr:uid="{00000000-0005-0000-0000-00009C040000}"/>
    <cellStyle name="40% - Accent3 3 2 2 2" xfId="1853" xr:uid="{00000000-0005-0000-0000-00009D040000}"/>
    <cellStyle name="40% - Accent3 3 2 3" xfId="1854" xr:uid="{00000000-0005-0000-0000-00009E040000}"/>
    <cellStyle name="40% - Accent3 3 3" xfId="1855" xr:uid="{00000000-0005-0000-0000-00009F040000}"/>
    <cellStyle name="40% - Accent3 3 3 2" xfId="1856" xr:uid="{00000000-0005-0000-0000-0000A0040000}"/>
    <cellStyle name="40% - Accent3 3 4" xfId="1857" xr:uid="{00000000-0005-0000-0000-0000A1040000}"/>
    <cellStyle name="40% - Accent3 3 4 2" xfId="1858" xr:uid="{00000000-0005-0000-0000-0000A2040000}"/>
    <cellStyle name="40% - Accent3 3 4 2 2" xfId="1859" xr:uid="{00000000-0005-0000-0000-0000A3040000}"/>
    <cellStyle name="40% - Accent3 3 4 3" xfId="1860" xr:uid="{00000000-0005-0000-0000-0000A4040000}"/>
    <cellStyle name="40% - Accent3 3 5" xfId="1861" xr:uid="{00000000-0005-0000-0000-0000A5040000}"/>
    <cellStyle name="40% - Accent3 4" xfId="1862" xr:uid="{00000000-0005-0000-0000-0000A6040000}"/>
    <cellStyle name="40% - Accent3 4 2" xfId="1863" xr:uid="{00000000-0005-0000-0000-0000A7040000}"/>
    <cellStyle name="40% - Accent3 4 2 2" xfId="1864" xr:uid="{00000000-0005-0000-0000-0000A8040000}"/>
    <cellStyle name="40% - Accent3 4 3" xfId="1865" xr:uid="{00000000-0005-0000-0000-0000A9040000}"/>
    <cellStyle name="40% - Accent3 4 3 2" xfId="1866" xr:uid="{00000000-0005-0000-0000-0000AA040000}"/>
    <cellStyle name="40% - Accent3 4 3 2 2" xfId="1867" xr:uid="{00000000-0005-0000-0000-0000AB040000}"/>
    <cellStyle name="40% - Accent3 4 3 3" xfId="1868" xr:uid="{00000000-0005-0000-0000-0000AC040000}"/>
    <cellStyle name="40% - Accent3 4 4" xfId="1869" xr:uid="{00000000-0005-0000-0000-0000AD040000}"/>
    <cellStyle name="40% - Accent3 5" xfId="1870" xr:uid="{00000000-0005-0000-0000-0000AE040000}"/>
    <cellStyle name="40% - Accent3 5 2" xfId="1871" xr:uid="{00000000-0005-0000-0000-0000AF040000}"/>
    <cellStyle name="40% - Accent3 5 2 2" xfId="1872" xr:uid="{00000000-0005-0000-0000-0000B0040000}"/>
    <cellStyle name="40% - Accent3 5 2 2 2" xfId="1873" xr:uid="{00000000-0005-0000-0000-0000B1040000}"/>
    <cellStyle name="40% - Accent3 5 2 3" xfId="1874" xr:uid="{00000000-0005-0000-0000-0000B2040000}"/>
    <cellStyle name="40% - Accent3 5 3" xfId="1875" xr:uid="{00000000-0005-0000-0000-0000B3040000}"/>
    <cellStyle name="40% - Accent3 5 3 2" xfId="1876" xr:uid="{00000000-0005-0000-0000-0000B4040000}"/>
    <cellStyle name="40% - Accent3 5 3 2 2" xfId="1877" xr:uid="{00000000-0005-0000-0000-0000B5040000}"/>
    <cellStyle name="40% - Accent3 5 3 2 2 2" xfId="1878" xr:uid="{00000000-0005-0000-0000-0000B6040000}"/>
    <cellStyle name="40% - Accent3 5 3 2 3" xfId="1879" xr:uid="{00000000-0005-0000-0000-0000B7040000}"/>
    <cellStyle name="40% - Accent3 5 3 3" xfId="1880" xr:uid="{00000000-0005-0000-0000-0000B8040000}"/>
    <cellStyle name="40% - Accent3 5 3 3 2" xfId="1881" xr:uid="{00000000-0005-0000-0000-0000B9040000}"/>
    <cellStyle name="40% - Accent3 5 3 4" xfId="1882" xr:uid="{00000000-0005-0000-0000-0000BA040000}"/>
    <cellStyle name="40% - Accent3 5 4" xfId="1883" xr:uid="{00000000-0005-0000-0000-0000BB040000}"/>
    <cellStyle name="40% - Accent3 5 4 2" xfId="1884" xr:uid="{00000000-0005-0000-0000-0000BC040000}"/>
    <cellStyle name="40% - Accent3 5 5" xfId="1885" xr:uid="{00000000-0005-0000-0000-0000BD040000}"/>
    <cellStyle name="40% - Accent3 6" xfId="1886" xr:uid="{00000000-0005-0000-0000-0000BE040000}"/>
    <cellStyle name="40% - Accent3 6 2" xfId="1887" xr:uid="{00000000-0005-0000-0000-0000BF040000}"/>
    <cellStyle name="40% - Accent3 6 2 2" xfId="1888" xr:uid="{00000000-0005-0000-0000-0000C0040000}"/>
    <cellStyle name="40% - Accent3 6 2 2 2" xfId="1889" xr:uid="{00000000-0005-0000-0000-0000C1040000}"/>
    <cellStyle name="40% - Accent3 6 2 3" xfId="1890" xr:uid="{00000000-0005-0000-0000-0000C2040000}"/>
    <cellStyle name="40% - Accent3 6 3" xfId="1891" xr:uid="{00000000-0005-0000-0000-0000C3040000}"/>
    <cellStyle name="40% - Accent3 6 3 2" xfId="1892" xr:uid="{00000000-0005-0000-0000-0000C4040000}"/>
    <cellStyle name="40% - Accent3 6 4" xfId="1893" xr:uid="{00000000-0005-0000-0000-0000C5040000}"/>
    <cellStyle name="40% - Accent3 7" xfId="1894" xr:uid="{00000000-0005-0000-0000-0000C6040000}"/>
    <cellStyle name="40% - Accent3 8" xfId="1895" xr:uid="{00000000-0005-0000-0000-0000C7040000}"/>
    <cellStyle name="40% - Accent4 2" xfId="1896" xr:uid="{00000000-0005-0000-0000-0000C8040000}"/>
    <cellStyle name="40% - Accent4 2 10" xfId="1897" xr:uid="{00000000-0005-0000-0000-0000C9040000}"/>
    <cellStyle name="40% - Accent4 2 10 2" xfId="1898" xr:uid="{00000000-0005-0000-0000-0000CA040000}"/>
    <cellStyle name="40% - Accent4 2 11" xfId="1899" xr:uid="{00000000-0005-0000-0000-0000CB040000}"/>
    <cellStyle name="40% - Accent4 2 2" xfId="1900" xr:uid="{00000000-0005-0000-0000-0000CC040000}"/>
    <cellStyle name="40% - Accent4 2 2 2" xfId="1901" xr:uid="{00000000-0005-0000-0000-0000CD040000}"/>
    <cellStyle name="40% - Accent4 2 2 2 2" xfId="1902" xr:uid="{00000000-0005-0000-0000-0000CE040000}"/>
    <cellStyle name="40% - Accent4 2 2 2 2 2" xfId="1903" xr:uid="{00000000-0005-0000-0000-0000CF040000}"/>
    <cellStyle name="40% - Accent4 2 2 2 3" xfId="1904" xr:uid="{00000000-0005-0000-0000-0000D0040000}"/>
    <cellStyle name="40% - Accent4 2 2 2 3 2" xfId="1905" xr:uid="{00000000-0005-0000-0000-0000D1040000}"/>
    <cellStyle name="40% - Accent4 2 2 2 3 2 2" xfId="1906" xr:uid="{00000000-0005-0000-0000-0000D2040000}"/>
    <cellStyle name="40% - Accent4 2 2 2 3 3" xfId="1907" xr:uid="{00000000-0005-0000-0000-0000D3040000}"/>
    <cellStyle name="40% - Accent4 2 2 2 4" xfId="1908" xr:uid="{00000000-0005-0000-0000-0000D4040000}"/>
    <cellStyle name="40% - Accent4 2 2 3" xfId="1909" xr:uid="{00000000-0005-0000-0000-0000D5040000}"/>
    <cellStyle name="40% - Accent4 2 2 3 2" xfId="1910" xr:uid="{00000000-0005-0000-0000-0000D6040000}"/>
    <cellStyle name="40% - Accent4 2 2 3 2 2" xfId="1911" xr:uid="{00000000-0005-0000-0000-0000D7040000}"/>
    <cellStyle name="40% - Accent4 2 2 3 3" xfId="1912" xr:uid="{00000000-0005-0000-0000-0000D8040000}"/>
    <cellStyle name="40% - Accent4 2 2 4" xfId="1913" xr:uid="{00000000-0005-0000-0000-0000D9040000}"/>
    <cellStyle name="40% - Accent4 2 2 4 2" xfId="1914" xr:uid="{00000000-0005-0000-0000-0000DA040000}"/>
    <cellStyle name="40% - Accent4 2 2 4 2 2" xfId="1915" xr:uid="{00000000-0005-0000-0000-0000DB040000}"/>
    <cellStyle name="40% - Accent4 2 2 4 2 2 2" xfId="1916" xr:uid="{00000000-0005-0000-0000-0000DC040000}"/>
    <cellStyle name="40% - Accent4 2 2 4 2 3" xfId="1917" xr:uid="{00000000-0005-0000-0000-0000DD040000}"/>
    <cellStyle name="40% - Accent4 2 2 4 3" xfId="1918" xr:uid="{00000000-0005-0000-0000-0000DE040000}"/>
    <cellStyle name="40% - Accent4 2 2 4 3 2" xfId="1919" xr:uid="{00000000-0005-0000-0000-0000DF040000}"/>
    <cellStyle name="40% - Accent4 2 2 4 4" xfId="1920" xr:uid="{00000000-0005-0000-0000-0000E0040000}"/>
    <cellStyle name="40% - Accent4 2 2 5" xfId="1921" xr:uid="{00000000-0005-0000-0000-0000E1040000}"/>
    <cellStyle name="40% - Accent4 2 2 5 2" xfId="1922" xr:uid="{00000000-0005-0000-0000-0000E2040000}"/>
    <cellStyle name="40% - Accent4 2 2 6" xfId="1923" xr:uid="{00000000-0005-0000-0000-0000E3040000}"/>
    <cellStyle name="40% - Accent4 2 3" xfId="1924" xr:uid="{00000000-0005-0000-0000-0000E4040000}"/>
    <cellStyle name="40% - Accent4 2 3 2" xfId="1925" xr:uid="{00000000-0005-0000-0000-0000E5040000}"/>
    <cellStyle name="40% - Accent4 2 3 2 2" xfId="1926" xr:uid="{00000000-0005-0000-0000-0000E6040000}"/>
    <cellStyle name="40% - Accent4 2 3 2 2 2" xfId="1927" xr:uid="{00000000-0005-0000-0000-0000E7040000}"/>
    <cellStyle name="40% - Accent4 2 3 2 3" xfId="1928" xr:uid="{00000000-0005-0000-0000-0000E8040000}"/>
    <cellStyle name="40% - Accent4 2 3 3" xfId="1929" xr:uid="{00000000-0005-0000-0000-0000E9040000}"/>
    <cellStyle name="40% - Accent4 2 3 3 2" xfId="1930" xr:uid="{00000000-0005-0000-0000-0000EA040000}"/>
    <cellStyle name="40% - Accent4 2 3 3 2 2" xfId="1931" xr:uid="{00000000-0005-0000-0000-0000EB040000}"/>
    <cellStyle name="40% - Accent4 2 3 3 2 2 2" xfId="1932" xr:uid="{00000000-0005-0000-0000-0000EC040000}"/>
    <cellStyle name="40% - Accent4 2 3 3 2 3" xfId="1933" xr:uid="{00000000-0005-0000-0000-0000ED040000}"/>
    <cellStyle name="40% - Accent4 2 3 3 3" xfId="1934" xr:uid="{00000000-0005-0000-0000-0000EE040000}"/>
    <cellStyle name="40% - Accent4 2 3 3 3 2" xfId="1935" xr:uid="{00000000-0005-0000-0000-0000EF040000}"/>
    <cellStyle name="40% - Accent4 2 3 3 4" xfId="1936" xr:uid="{00000000-0005-0000-0000-0000F0040000}"/>
    <cellStyle name="40% - Accent4 2 3 4" xfId="1937" xr:uid="{00000000-0005-0000-0000-0000F1040000}"/>
    <cellStyle name="40% - Accent4 2 3 4 2" xfId="1938" xr:uid="{00000000-0005-0000-0000-0000F2040000}"/>
    <cellStyle name="40% - Accent4 2 3 5" xfId="1939" xr:uid="{00000000-0005-0000-0000-0000F3040000}"/>
    <cellStyle name="40% - Accent4 2 4" xfId="1940" xr:uid="{00000000-0005-0000-0000-0000F4040000}"/>
    <cellStyle name="40% - Accent4 2 4 2" xfId="1941" xr:uid="{00000000-0005-0000-0000-0000F5040000}"/>
    <cellStyle name="40% - Accent4 2 4 2 2" xfId="1942" xr:uid="{00000000-0005-0000-0000-0000F6040000}"/>
    <cellStyle name="40% - Accent4 2 4 2 2 2" xfId="1943" xr:uid="{00000000-0005-0000-0000-0000F7040000}"/>
    <cellStyle name="40% - Accent4 2 4 2 3" xfId="1944" xr:uid="{00000000-0005-0000-0000-0000F8040000}"/>
    <cellStyle name="40% - Accent4 2 4 3" xfId="1945" xr:uid="{00000000-0005-0000-0000-0000F9040000}"/>
    <cellStyle name="40% - Accent4 2 4 3 2" xfId="1946" xr:uid="{00000000-0005-0000-0000-0000FA040000}"/>
    <cellStyle name="40% - Accent4 2 4 4" xfId="1947" xr:uid="{00000000-0005-0000-0000-0000FB040000}"/>
    <cellStyle name="40% - Accent4 2 5" xfId="1948" xr:uid="{00000000-0005-0000-0000-0000FC040000}"/>
    <cellStyle name="40% - Accent4 2 5 2" xfId="1949" xr:uid="{00000000-0005-0000-0000-0000FD040000}"/>
    <cellStyle name="40% - Accent4 2 5 2 2" xfId="1950" xr:uid="{00000000-0005-0000-0000-0000FE040000}"/>
    <cellStyle name="40% - Accent4 2 5 2 2 2" xfId="1951" xr:uid="{00000000-0005-0000-0000-0000FF040000}"/>
    <cellStyle name="40% - Accent4 2 5 2 3" xfId="1952" xr:uid="{00000000-0005-0000-0000-000000050000}"/>
    <cellStyle name="40% - Accent4 2 5 3" xfId="1953" xr:uid="{00000000-0005-0000-0000-000001050000}"/>
    <cellStyle name="40% - Accent4 2 5 3 2" xfId="1954" xr:uid="{00000000-0005-0000-0000-000002050000}"/>
    <cellStyle name="40% - Accent4 2 5 3 2 2" xfId="1955" xr:uid="{00000000-0005-0000-0000-000003050000}"/>
    <cellStyle name="40% - Accent4 2 5 3 2 2 2" xfId="1956" xr:uid="{00000000-0005-0000-0000-000004050000}"/>
    <cellStyle name="40% - Accent4 2 5 3 2 3" xfId="1957" xr:uid="{00000000-0005-0000-0000-000005050000}"/>
    <cellStyle name="40% - Accent4 2 5 3 3" xfId="1958" xr:uid="{00000000-0005-0000-0000-000006050000}"/>
    <cellStyle name="40% - Accent4 2 5 3 3 2" xfId="1959" xr:uid="{00000000-0005-0000-0000-000007050000}"/>
    <cellStyle name="40% - Accent4 2 5 3 4" xfId="1960" xr:uid="{00000000-0005-0000-0000-000008050000}"/>
    <cellStyle name="40% - Accent4 2 5 4" xfId="1961" xr:uid="{00000000-0005-0000-0000-000009050000}"/>
    <cellStyle name="40% - Accent4 2 5 4 2" xfId="1962" xr:uid="{00000000-0005-0000-0000-00000A050000}"/>
    <cellStyle name="40% - Accent4 2 5 5" xfId="1963" xr:uid="{00000000-0005-0000-0000-00000B050000}"/>
    <cellStyle name="40% - Accent4 2 6" xfId="1964" xr:uid="{00000000-0005-0000-0000-00000C050000}"/>
    <cellStyle name="40% - Accent4 2 6 2" xfId="1965" xr:uid="{00000000-0005-0000-0000-00000D050000}"/>
    <cellStyle name="40% - Accent4 2 6 2 2" xfId="1966" xr:uid="{00000000-0005-0000-0000-00000E050000}"/>
    <cellStyle name="40% - Accent4 2 6 3" xfId="1967" xr:uid="{00000000-0005-0000-0000-00000F050000}"/>
    <cellStyle name="40% - Accent4 2 7" xfId="1968" xr:uid="{00000000-0005-0000-0000-000010050000}"/>
    <cellStyle name="40% - Accent4 2 7 2" xfId="1969" xr:uid="{00000000-0005-0000-0000-000011050000}"/>
    <cellStyle name="40% - Accent4 2 7 2 2" xfId="1970" xr:uid="{00000000-0005-0000-0000-000012050000}"/>
    <cellStyle name="40% - Accent4 2 7 3" xfId="1971" xr:uid="{00000000-0005-0000-0000-000013050000}"/>
    <cellStyle name="40% - Accent4 2 8" xfId="1972" xr:uid="{00000000-0005-0000-0000-000014050000}"/>
    <cellStyle name="40% - Accent4 2 8 2" xfId="1973" xr:uid="{00000000-0005-0000-0000-000015050000}"/>
    <cellStyle name="40% - Accent4 2 8 2 2" xfId="1974" xr:uid="{00000000-0005-0000-0000-000016050000}"/>
    <cellStyle name="40% - Accent4 2 8 2 2 2" xfId="1975" xr:uid="{00000000-0005-0000-0000-000017050000}"/>
    <cellStyle name="40% - Accent4 2 8 2 3" xfId="1976" xr:uid="{00000000-0005-0000-0000-000018050000}"/>
    <cellStyle name="40% - Accent4 2 8 3" xfId="1977" xr:uid="{00000000-0005-0000-0000-000019050000}"/>
    <cellStyle name="40% - Accent4 2 8 3 2" xfId="1978" xr:uid="{00000000-0005-0000-0000-00001A050000}"/>
    <cellStyle name="40% - Accent4 2 8 4" xfId="1979" xr:uid="{00000000-0005-0000-0000-00001B050000}"/>
    <cellStyle name="40% - Accent4 2 9" xfId="1980" xr:uid="{00000000-0005-0000-0000-00001C050000}"/>
    <cellStyle name="40% - Accent4 2 9 2" xfId="1981" xr:uid="{00000000-0005-0000-0000-00001D050000}"/>
    <cellStyle name="40% - Accent4 3" xfId="1982" xr:uid="{00000000-0005-0000-0000-00001E050000}"/>
    <cellStyle name="40% - Accent4 3 2" xfId="1983" xr:uid="{00000000-0005-0000-0000-00001F050000}"/>
    <cellStyle name="40% - Accent4 3 2 2" xfId="1984" xr:uid="{00000000-0005-0000-0000-000020050000}"/>
    <cellStyle name="40% - Accent4 3 2 2 2" xfId="1985" xr:uid="{00000000-0005-0000-0000-000021050000}"/>
    <cellStyle name="40% - Accent4 3 2 3" xfId="1986" xr:uid="{00000000-0005-0000-0000-000022050000}"/>
    <cellStyle name="40% - Accent4 3 3" xfId="1987" xr:uid="{00000000-0005-0000-0000-000023050000}"/>
    <cellStyle name="40% - Accent4 3 3 2" xfId="1988" xr:uid="{00000000-0005-0000-0000-000024050000}"/>
    <cellStyle name="40% - Accent4 3 4" xfId="1989" xr:uid="{00000000-0005-0000-0000-000025050000}"/>
    <cellStyle name="40% - Accent4 3 4 2" xfId="1990" xr:uid="{00000000-0005-0000-0000-000026050000}"/>
    <cellStyle name="40% - Accent4 3 4 2 2" xfId="1991" xr:uid="{00000000-0005-0000-0000-000027050000}"/>
    <cellStyle name="40% - Accent4 3 4 3" xfId="1992" xr:uid="{00000000-0005-0000-0000-000028050000}"/>
    <cellStyle name="40% - Accent4 3 5" xfId="1993" xr:uid="{00000000-0005-0000-0000-000029050000}"/>
    <cellStyle name="40% - Accent4 4" xfId="1994" xr:uid="{00000000-0005-0000-0000-00002A050000}"/>
    <cellStyle name="40% - Accent4 4 2" xfId="1995" xr:uid="{00000000-0005-0000-0000-00002B050000}"/>
    <cellStyle name="40% - Accent4 4 2 2" xfId="1996" xr:uid="{00000000-0005-0000-0000-00002C050000}"/>
    <cellStyle name="40% - Accent4 4 3" xfId="1997" xr:uid="{00000000-0005-0000-0000-00002D050000}"/>
    <cellStyle name="40% - Accent4 4 3 2" xfId="1998" xr:uid="{00000000-0005-0000-0000-00002E050000}"/>
    <cellStyle name="40% - Accent4 4 3 2 2" xfId="1999" xr:uid="{00000000-0005-0000-0000-00002F050000}"/>
    <cellStyle name="40% - Accent4 4 3 3" xfId="2000" xr:uid="{00000000-0005-0000-0000-000030050000}"/>
    <cellStyle name="40% - Accent4 4 4" xfId="2001" xr:uid="{00000000-0005-0000-0000-000031050000}"/>
    <cellStyle name="40% - Accent4 5" xfId="2002" xr:uid="{00000000-0005-0000-0000-000032050000}"/>
    <cellStyle name="40% - Accent4 5 2" xfId="2003" xr:uid="{00000000-0005-0000-0000-000033050000}"/>
    <cellStyle name="40% - Accent4 5 2 2" xfId="2004" xr:uid="{00000000-0005-0000-0000-000034050000}"/>
    <cellStyle name="40% - Accent4 5 2 2 2" xfId="2005" xr:uid="{00000000-0005-0000-0000-000035050000}"/>
    <cellStyle name="40% - Accent4 5 2 3" xfId="2006" xr:uid="{00000000-0005-0000-0000-000036050000}"/>
    <cellStyle name="40% - Accent4 5 3" xfId="2007" xr:uid="{00000000-0005-0000-0000-000037050000}"/>
    <cellStyle name="40% - Accent4 5 3 2" xfId="2008" xr:uid="{00000000-0005-0000-0000-000038050000}"/>
    <cellStyle name="40% - Accent4 5 3 2 2" xfId="2009" xr:uid="{00000000-0005-0000-0000-000039050000}"/>
    <cellStyle name="40% - Accent4 5 3 2 2 2" xfId="2010" xr:uid="{00000000-0005-0000-0000-00003A050000}"/>
    <cellStyle name="40% - Accent4 5 3 2 3" xfId="2011" xr:uid="{00000000-0005-0000-0000-00003B050000}"/>
    <cellStyle name="40% - Accent4 5 3 3" xfId="2012" xr:uid="{00000000-0005-0000-0000-00003C050000}"/>
    <cellStyle name="40% - Accent4 5 3 3 2" xfId="2013" xr:uid="{00000000-0005-0000-0000-00003D050000}"/>
    <cellStyle name="40% - Accent4 5 3 4" xfId="2014" xr:uid="{00000000-0005-0000-0000-00003E050000}"/>
    <cellStyle name="40% - Accent4 5 4" xfId="2015" xr:uid="{00000000-0005-0000-0000-00003F050000}"/>
    <cellStyle name="40% - Accent4 5 4 2" xfId="2016" xr:uid="{00000000-0005-0000-0000-000040050000}"/>
    <cellStyle name="40% - Accent4 5 5" xfId="2017" xr:uid="{00000000-0005-0000-0000-000041050000}"/>
    <cellStyle name="40% - Accent4 6" xfId="2018" xr:uid="{00000000-0005-0000-0000-000042050000}"/>
    <cellStyle name="40% - Accent4 6 2" xfId="2019" xr:uid="{00000000-0005-0000-0000-000043050000}"/>
    <cellStyle name="40% - Accent4 6 2 2" xfId="2020" xr:uid="{00000000-0005-0000-0000-000044050000}"/>
    <cellStyle name="40% - Accent4 6 2 2 2" xfId="2021" xr:uid="{00000000-0005-0000-0000-000045050000}"/>
    <cellStyle name="40% - Accent4 6 2 3" xfId="2022" xr:uid="{00000000-0005-0000-0000-000046050000}"/>
    <cellStyle name="40% - Accent4 6 3" xfId="2023" xr:uid="{00000000-0005-0000-0000-000047050000}"/>
    <cellStyle name="40% - Accent4 6 3 2" xfId="2024" xr:uid="{00000000-0005-0000-0000-000048050000}"/>
    <cellStyle name="40% - Accent4 6 4" xfId="2025" xr:uid="{00000000-0005-0000-0000-000049050000}"/>
    <cellStyle name="40% - Accent4 7" xfId="2026" xr:uid="{00000000-0005-0000-0000-00004A050000}"/>
    <cellStyle name="40% - Accent4 8" xfId="2027" xr:uid="{00000000-0005-0000-0000-00004B050000}"/>
    <cellStyle name="40% - Accent5 2" xfId="2028" xr:uid="{00000000-0005-0000-0000-00004C050000}"/>
    <cellStyle name="40% - Accent5 2 10" xfId="2029" xr:uid="{00000000-0005-0000-0000-00004D050000}"/>
    <cellStyle name="40% - Accent5 2 10 2" xfId="2030" xr:uid="{00000000-0005-0000-0000-00004E050000}"/>
    <cellStyle name="40% - Accent5 2 11" xfId="2031" xr:uid="{00000000-0005-0000-0000-00004F050000}"/>
    <cellStyle name="40% - Accent5 2 2" xfId="2032" xr:uid="{00000000-0005-0000-0000-000050050000}"/>
    <cellStyle name="40% - Accent5 2 2 2" xfId="2033" xr:uid="{00000000-0005-0000-0000-000051050000}"/>
    <cellStyle name="40% - Accent5 2 2 2 2" xfId="2034" xr:uid="{00000000-0005-0000-0000-000052050000}"/>
    <cellStyle name="40% - Accent5 2 2 2 2 2" xfId="2035" xr:uid="{00000000-0005-0000-0000-000053050000}"/>
    <cellStyle name="40% - Accent5 2 2 2 3" xfId="2036" xr:uid="{00000000-0005-0000-0000-000054050000}"/>
    <cellStyle name="40% - Accent5 2 2 2 3 2" xfId="2037" xr:uid="{00000000-0005-0000-0000-000055050000}"/>
    <cellStyle name="40% - Accent5 2 2 2 3 2 2" xfId="2038" xr:uid="{00000000-0005-0000-0000-000056050000}"/>
    <cellStyle name="40% - Accent5 2 2 2 3 3" xfId="2039" xr:uid="{00000000-0005-0000-0000-000057050000}"/>
    <cellStyle name="40% - Accent5 2 2 2 4" xfId="2040" xr:uid="{00000000-0005-0000-0000-000058050000}"/>
    <cellStyle name="40% - Accent5 2 2 3" xfId="2041" xr:uid="{00000000-0005-0000-0000-000059050000}"/>
    <cellStyle name="40% - Accent5 2 2 3 2" xfId="2042" xr:uid="{00000000-0005-0000-0000-00005A050000}"/>
    <cellStyle name="40% - Accent5 2 2 3 2 2" xfId="2043" xr:uid="{00000000-0005-0000-0000-00005B050000}"/>
    <cellStyle name="40% - Accent5 2 2 3 3" xfId="2044" xr:uid="{00000000-0005-0000-0000-00005C050000}"/>
    <cellStyle name="40% - Accent5 2 2 4" xfId="2045" xr:uid="{00000000-0005-0000-0000-00005D050000}"/>
    <cellStyle name="40% - Accent5 2 2 4 2" xfId="2046" xr:uid="{00000000-0005-0000-0000-00005E050000}"/>
    <cellStyle name="40% - Accent5 2 2 4 2 2" xfId="2047" xr:uid="{00000000-0005-0000-0000-00005F050000}"/>
    <cellStyle name="40% - Accent5 2 2 4 2 2 2" xfId="2048" xr:uid="{00000000-0005-0000-0000-000060050000}"/>
    <cellStyle name="40% - Accent5 2 2 4 2 3" xfId="2049" xr:uid="{00000000-0005-0000-0000-000061050000}"/>
    <cellStyle name="40% - Accent5 2 2 4 3" xfId="2050" xr:uid="{00000000-0005-0000-0000-000062050000}"/>
    <cellStyle name="40% - Accent5 2 2 4 3 2" xfId="2051" xr:uid="{00000000-0005-0000-0000-000063050000}"/>
    <cellStyle name="40% - Accent5 2 2 4 4" xfId="2052" xr:uid="{00000000-0005-0000-0000-000064050000}"/>
    <cellStyle name="40% - Accent5 2 2 5" xfId="2053" xr:uid="{00000000-0005-0000-0000-000065050000}"/>
    <cellStyle name="40% - Accent5 2 2 5 2" xfId="2054" xr:uid="{00000000-0005-0000-0000-000066050000}"/>
    <cellStyle name="40% - Accent5 2 2 6" xfId="2055" xr:uid="{00000000-0005-0000-0000-000067050000}"/>
    <cellStyle name="40% - Accent5 2 3" xfId="2056" xr:uid="{00000000-0005-0000-0000-000068050000}"/>
    <cellStyle name="40% - Accent5 2 3 2" xfId="2057" xr:uid="{00000000-0005-0000-0000-000069050000}"/>
    <cellStyle name="40% - Accent5 2 3 2 2" xfId="2058" xr:uid="{00000000-0005-0000-0000-00006A050000}"/>
    <cellStyle name="40% - Accent5 2 3 2 2 2" xfId="2059" xr:uid="{00000000-0005-0000-0000-00006B050000}"/>
    <cellStyle name="40% - Accent5 2 3 2 3" xfId="2060" xr:uid="{00000000-0005-0000-0000-00006C050000}"/>
    <cellStyle name="40% - Accent5 2 3 3" xfId="2061" xr:uid="{00000000-0005-0000-0000-00006D050000}"/>
    <cellStyle name="40% - Accent5 2 3 3 2" xfId="2062" xr:uid="{00000000-0005-0000-0000-00006E050000}"/>
    <cellStyle name="40% - Accent5 2 3 3 2 2" xfId="2063" xr:uid="{00000000-0005-0000-0000-00006F050000}"/>
    <cellStyle name="40% - Accent5 2 3 3 2 2 2" xfId="2064" xr:uid="{00000000-0005-0000-0000-000070050000}"/>
    <cellStyle name="40% - Accent5 2 3 3 2 3" xfId="2065" xr:uid="{00000000-0005-0000-0000-000071050000}"/>
    <cellStyle name="40% - Accent5 2 3 3 3" xfId="2066" xr:uid="{00000000-0005-0000-0000-000072050000}"/>
    <cellStyle name="40% - Accent5 2 3 3 3 2" xfId="2067" xr:uid="{00000000-0005-0000-0000-000073050000}"/>
    <cellStyle name="40% - Accent5 2 3 3 4" xfId="2068" xr:uid="{00000000-0005-0000-0000-000074050000}"/>
    <cellStyle name="40% - Accent5 2 3 4" xfId="2069" xr:uid="{00000000-0005-0000-0000-000075050000}"/>
    <cellStyle name="40% - Accent5 2 3 4 2" xfId="2070" xr:uid="{00000000-0005-0000-0000-000076050000}"/>
    <cellStyle name="40% - Accent5 2 3 5" xfId="2071" xr:uid="{00000000-0005-0000-0000-000077050000}"/>
    <cellStyle name="40% - Accent5 2 4" xfId="2072" xr:uid="{00000000-0005-0000-0000-000078050000}"/>
    <cellStyle name="40% - Accent5 2 4 2" xfId="2073" xr:uid="{00000000-0005-0000-0000-000079050000}"/>
    <cellStyle name="40% - Accent5 2 4 2 2" xfId="2074" xr:uid="{00000000-0005-0000-0000-00007A050000}"/>
    <cellStyle name="40% - Accent5 2 4 2 2 2" xfId="2075" xr:uid="{00000000-0005-0000-0000-00007B050000}"/>
    <cellStyle name="40% - Accent5 2 4 2 3" xfId="2076" xr:uid="{00000000-0005-0000-0000-00007C050000}"/>
    <cellStyle name="40% - Accent5 2 4 3" xfId="2077" xr:uid="{00000000-0005-0000-0000-00007D050000}"/>
    <cellStyle name="40% - Accent5 2 4 3 2" xfId="2078" xr:uid="{00000000-0005-0000-0000-00007E050000}"/>
    <cellStyle name="40% - Accent5 2 4 4" xfId="2079" xr:uid="{00000000-0005-0000-0000-00007F050000}"/>
    <cellStyle name="40% - Accent5 2 5" xfId="2080" xr:uid="{00000000-0005-0000-0000-000080050000}"/>
    <cellStyle name="40% - Accent5 2 5 2" xfId="2081" xr:uid="{00000000-0005-0000-0000-000081050000}"/>
    <cellStyle name="40% - Accent5 2 5 2 2" xfId="2082" xr:uid="{00000000-0005-0000-0000-000082050000}"/>
    <cellStyle name="40% - Accent5 2 5 2 2 2" xfId="2083" xr:uid="{00000000-0005-0000-0000-000083050000}"/>
    <cellStyle name="40% - Accent5 2 5 2 3" xfId="2084" xr:uid="{00000000-0005-0000-0000-000084050000}"/>
    <cellStyle name="40% - Accent5 2 5 3" xfId="2085" xr:uid="{00000000-0005-0000-0000-000085050000}"/>
    <cellStyle name="40% - Accent5 2 5 3 2" xfId="2086" xr:uid="{00000000-0005-0000-0000-000086050000}"/>
    <cellStyle name="40% - Accent5 2 5 3 2 2" xfId="2087" xr:uid="{00000000-0005-0000-0000-000087050000}"/>
    <cellStyle name="40% - Accent5 2 5 3 2 2 2" xfId="2088" xr:uid="{00000000-0005-0000-0000-000088050000}"/>
    <cellStyle name="40% - Accent5 2 5 3 2 3" xfId="2089" xr:uid="{00000000-0005-0000-0000-000089050000}"/>
    <cellStyle name="40% - Accent5 2 5 3 3" xfId="2090" xr:uid="{00000000-0005-0000-0000-00008A050000}"/>
    <cellStyle name="40% - Accent5 2 5 3 3 2" xfId="2091" xr:uid="{00000000-0005-0000-0000-00008B050000}"/>
    <cellStyle name="40% - Accent5 2 5 3 4" xfId="2092" xr:uid="{00000000-0005-0000-0000-00008C050000}"/>
    <cellStyle name="40% - Accent5 2 5 4" xfId="2093" xr:uid="{00000000-0005-0000-0000-00008D050000}"/>
    <cellStyle name="40% - Accent5 2 5 4 2" xfId="2094" xr:uid="{00000000-0005-0000-0000-00008E050000}"/>
    <cellStyle name="40% - Accent5 2 5 5" xfId="2095" xr:uid="{00000000-0005-0000-0000-00008F050000}"/>
    <cellStyle name="40% - Accent5 2 6" xfId="2096" xr:uid="{00000000-0005-0000-0000-000090050000}"/>
    <cellStyle name="40% - Accent5 2 6 2" xfId="2097" xr:uid="{00000000-0005-0000-0000-000091050000}"/>
    <cellStyle name="40% - Accent5 2 6 2 2" xfId="2098" xr:uid="{00000000-0005-0000-0000-000092050000}"/>
    <cellStyle name="40% - Accent5 2 6 3" xfId="2099" xr:uid="{00000000-0005-0000-0000-000093050000}"/>
    <cellStyle name="40% - Accent5 2 7" xfId="2100" xr:uid="{00000000-0005-0000-0000-000094050000}"/>
    <cellStyle name="40% - Accent5 2 7 2" xfId="2101" xr:uid="{00000000-0005-0000-0000-000095050000}"/>
    <cellStyle name="40% - Accent5 2 7 2 2" xfId="2102" xr:uid="{00000000-0005-0000-0000-000096050000}"/>
    <cellStyle name="40% - Accent5 2 7 3" xfId="2103" xr:uid="{00000000-0005-0000-0000-000097050000}"/>
    <cellStyle name="40% - Accent5 2 8" xfId="2104" xr:uid="{00000000-0005-0000-0000-000098050000}"/>
    <cellStyle name="40% - Accent5 2 8 2" xfId="2105" xr:uid="{00000000-0005-0000-0000-000099050000}"/>
    <cellStyle name="40% - Accent5 2 8 2 2" xfId="2106" xr:uid="{00000000-0005-0000-0000-00009A050000}"/>
    <cellStyle name="40% - Accent5 2 8 2 2 2" xfId="2107" xr:uid="{00000000-0005-0000-0000-00009B050000}"/>
    <cellStyle name="40% - Accent5 2 8 2 3" xfId="2108" xr:uid="{00000000-0005-0000-0000-00009C050000}"/>
    <cellStyle name="40% - Accent5 2 8 3" xfId="2109" xr:uid="{00000000-0005-0000-0000-00009D050000}"/>
    <cellStyle name="40% - Accent5 2 8 3 2" xfId="2110" xr:uid="{00000000-0005-0000-0000-00009E050000}"/>
    <cellStyle name="40% - Accent5 2 8 4" xfId="2111" xr:uid="{00000000-0005-0000-0000-00009F050000}"/>
    <cellStyle name="40% - Accent5 2 9" xfId="2112" xr:uid="{00000000-0005-0000-0000-0000A0050000}"/>
    <cellStyle name="40% - Accent5 2 9 2" xfId="2113" xr:uid="{00000000-0005-0000-0000-0000A1050000}"/>
    <cellStyle name="40% - Accent5 3" xfId="2114" xr:uid="{00000000-0005-0000-0000-0000A2050000}"/>
    <cellStyle name="40% - Accent5 3 2" xfId="2115" xr:uid="{00000000-0005-0000-0000-0000A3050000}"/>
    <cellStyle name="40% - Accent5 3 2 2" xfId="2116" xr:uid="{00000000-0005-0000-0000-0000A4050000}"/>
    <cellStyle name="40% - Accent5 3 2 2 2" xfId="2117" xr:uid="{00000000-0005-0000-0000-0000A5050000}"/>
    <cellStyle name="40% - Accent5 3 2 3" xfId="2118" xr:uid="{00000000-0005-0000-0000-0000A6050000}"/>
    <cellStyle name="40% - Accent5 3 3" xfId="2119" xr:uid="{00000000-0005-0000-0000-0000A7050000}"/>
    <cellStyle name="40% - Accent5 3 3 2" xfId="2120" xr:uid="{00000000-0005-0000-0000-0000A8050000}"/>
    <cellStyle name="40% - Accent5 3 4" xfId="2121" xr:uid="{00000000-0005-0000-0000-0000A9050000}"/>
    <cellStyle name="40% - Accent5 3 4 2" xfId="2122" xr:uid="{00000000-0005-0000-0000-0000AA050000}"/>
    <cellStyle name="40% - Accent5 3 4 2 2" xfId="2123" xr:uid="{00000000-0005-0000-0000-0000AB050000}"/>
    <cellStyle name="40% - Accent5 3 4 3" xfId="2124" xr:uid="{00000000-0005-0000-0000-0000AC050000}"/>
    <cellStyle name="40% - Accent5 3 5" xfId="2125" xr:uid="{00000000-0005-0000-0000-0000AD050000}"/>
    <cellStyle name="40% - Accent5 4" xfId="2126" xr:uid="{00000000-0005-0000-0000-0000AE050000}"/>
    <cellStyle name="40% - Accent5 4 2" xfId="2127" xr:uid="{00000000-0005-0000-0000-0000AF050000}"/>
    <cellStyle name="40% - Accent5 4 2 2" xfId="2128" xr:uid="{00000000-0005-0000-0000-0000B0050000}"/>
    <cellStyle name="40% - Accent5 4 3" xfId="2129" xr:uid="{00000000-0005-0000-0000-0000B1050000}"/>
    <cellStyle name="40% - Accent5 4 3 2" xfId="2130" xr:uid="{00000000-0005-0000-0000-0000B2050000}"/>
    <cellStyle name="40% - Accent5 4 3 2 2" xfId="2131" xr:uid="{00000000-0005-0000-0000-0000B3050000}"/>
    <cellStyle name="40% - Accent5 4 3 3" xfId="2132" xr:uid="{00000000-0005-0000-0000-0000B4050000}"/>
    <cellStyle name="40% - Accent5 4 4" xfId="2133" xr:uid="{00000000-0005-0000-0000-0000B5050000}"/>
    <cellStyle name="40% - Accent5 5" xfId="2134" xr:uid="{00000000-0005-0000-0000-0000B6050000}"/>
    <cellStyle name="40% - Accent5 5 2" xfId="2135" xr:uid="{00000000-0005-0000-0000-0000B7050000}"/>
    <cellStyle name="40% - Accent5 5 2 2" xfId="2136" xr:uid="{00000000-0005-0000-0000-0000B8050000}"/>
    <cellStyle name="40% - Accent5 5 2 2 2" xfId="2137" xr:uid="{00000000-0005-0000-0000-0000B9050000}"/>
    <cellStyle name="40% - Accent5 5 2 3" xfId="2138" xr:uid="{00000000-0005-0000-0000-0000BA050000}"/>
    <cellStyle name="40% - Accent5 5 3" xfId="2139" xr:uid="{00000000-0005-0000-0000-0000BB050000}"/>
    <cellStyle name="40% - Accent5 5 3 2" xfId="2140" xr:uid="{00000000-0005-0000-0000-0000BC050000}"/>
    <cellStyle name="40% - Accent5 5 3 2 2" xfId="2141" xr:uid="{00000000-0005-0000-0000-0000BD050000}"/>
    <cellStyle name="40% - Accent5 5 3 2 2 2" xfId="2142" xr:uid="{00000000-0005-0000-0000-0000BE050000}"/>
    <cellStyle name="40% - Accent5 5 3 2 3" xfId="2143" xr:uid="{00000000-0005-0000-0000-0000BF050000}"/>
    <cellStyle name="40% - Accent5 5 3 3" xfId="2144" xr:uid="{00000000-0005-0000-0000-0000C0050000}"/>
    <cellStyle name="40% - Accent5 5 3 3 2" xfId="2145" xr:uid="{00000000-0005-0000-0000-0000C1050000}"/>
    <cellStyle name="40% - Accent5 5 3 4" xfId="2146" xr:uid="{00000000-0005-0000-0000-0000C2050000}"/>
    <cellStyle name="40% - Accent5 5 4" xfId="2147" xr:uid="{00000000-0005-0000-0000-0000C3050000}"/>
    <cellStyle name="40% - Accent5 5 4 2" xfId="2148" xr:uid="{00000000-0005-0000-0000-0000C4050000}"/>
    <cellStyle name="40% - Accent5 5 5" xfId="2149" xr:uid="{00000000-0005-0000-0000-0000C5050000}"/>
    <cellStyle name="40% - Accent5 6" xfId="2150" xr:uid="{00000000-0005-0000-0000-0000C6050000}"/>
    <cellStyle name="40% - Accent5 6 2" xfId="2151" xr:uid="{00000000-0005-0000-0000-0000C7050000}"/>
    <cellStyle name="40% - Accent5 6 2 2" xfId="2152" xr:uid="{00000000-0005-0000-0000-0000C8050000}"/>
    <cellStyle name="40% - Accent5 6 2 2 2" xfId="2153" xr:uid="{00000000-0005-0000-0000-0000C9050000}"/>
    <cellStyle name="40% - Accent5 6 2 3" xfId="2154" xr:uid="{00000000-0005-0000-0000-0000CA050000}"/>
    <cellStyle name="40% - Accent5 6 3" xfId="2155" xr:uid="{00000000-0005-0000-0000-0000CB050000}"/>
    <cellStyle name="40% - Accent5 6 3 2" xfId="2156" xr:uid="{00000000-0005-0000-0000-0000CC050000}"/>
    <cellStyle name="40% - Accent5 6 4" xfId="2157" xr:uid="{00000000-0005-0000-0000-0000CD050000}"/>
    <cellStyle name="40% - Accent5 7" xfId="2158" xr:uid="{00000000-0005-0000-0000-0000CE050000}"/>
    <cellStyle name="40% - Accent5 8" xfId="2159" xr:uid="{00000000-0005-0000-0000-0000CF050000}"/>
    <cellStyle name="40% - Accent6 2" xfId="2160" xr:uid="{00000000-0005-0000-0000-0000D0050000}"/>
    <cellStyle name="40% - Accent6 2 10" xfId="2161" xr:uid="{00000000-0005-0000-0000-0000D1050000}"/>
    <cellStyle name="40% - Accent6 2 10 2" xfId="2162" xr:uid="{00000000-0005-0000-0000-0000D2050000}"/>
    <cellStyle name="40% - Accent6 2 11" xfId="2163" xr:uid="{00000000-0005-0000-0000-0000D3050000}"/>
    <cellStyle name="40% - Accent6 2 2" xfId="2164" xr:uid="{00000000-0005-0000-0000-0000D4050000}"/>
    <cellStyle name="40% - Accent6 2 2 2" xfId="2165" xr:uid="{00000000-0005-0000-0000-0000D5050000}"/>
    <cellStyle name="40% - Accent6 2 2 2 2" xfId="2166" xr:uid="{00000000-0005-0000-0000-0000D6050000}"/>
    <cellStyle name="40% - Accent6 2 2 2 2 2" xfId="2167" xr:uid="{00000000-0005-0000-0000-0000D7050000}"/>
    <cellStyle name="40% - Accent6 2 2 2 3" xfId="2168" xr:uid="{00000000-0005-0000-0000-0000D8050000}"/>
    <cellStyle name="40% - Accent6 2 2 2 3 2" xfId="2169" xr:uid="{00000000-0005-0000-0000-0000D9050000}"/>
    <cellStyle name="40% - Accent6 2 2 2 3 2 2" xfId="2170" xr:uid="{00000000-0005-0000-0000-0000DA050000}"/>
    <cellStyle name="40% - Accent6 2 2 2 3 3" xfId="2171" xr:uid="{00000000-0005-0000-0000-0000DB050000}"/>
    <cellStyle name="40% - Accent6 2 2 2 4" xfId="2172" xr:uid="{00000000-0005-0000-0000-0000DC050000}"/>
    <cellStyle name="40% - Accent6 2 2 3" xfId="2173" xr:uid="{00000000-0005-0000-0000-0000DD050000}"/>
    <cellStyle name="40% - Accent6 2 2 3 2" xfId="2174" xr:uid="{00000000-0005-0000-0000-0000DE050000}"/>
    <cellStyle name="40% - Accent6 2 2 3 2 2" xfId="2175" xr:uid="{00000000-0005-0000-0000-0000DF050000}"/>
    <cellStyle name="40% - Accent6 2 2 3 3" xfId="2176" xr:uid="{00000000-0005-0000-0000-0000E0050000}"/>
    <cellStyle name="40% - Accent6 2 2 4" xfId="2177" xr:uid="{00000000-0005-0000-0000-0000E1050000}"/>
    <cellStyle name="40% - Accent6 2 2 4 2" xfId="2178" xr:uid="{00000000-0005-0000-0000-0000E2050000}"/>
    <cellStyle name="40% - Accent6 2 2 4 2 2" xfId="2179" xr:uid="{00000000-0005-0000-0000-0000E3050000}"/>
    <cellStyle name="40% - Accent6 2 2 4 2 2 2" xfId="2180" xr:uid="{00000000-0005-0000-0000-0000E4050000}"/>
    <cellStyle name="40% - Accent6 2 2 4 2 3" xfId="2181" xr:uid="{00000000-0005-0000-0000-0000E5050000}"/>
    <cellStyle name="40% - Accent6 2 2 4 3" xfId="2182" xr:uid="{00000000-0005-0000-0000-0000E6050000}"/>
    <cellStyle name="40% - Accent6 2 2 4 3 2" xfId="2183" xr:uid="{00000000-0005-0000-0000-0000E7050000}"/>
    <cellStyle name="40% - Accent6 2 2 4 4" xfId="2184" xr:uid="{00000000-0005-0000-0000-0000E8050000}"/>
    <cellStyle name="40% - Accent6 2 2 5" xfId="2185" xr:uid="{00000000-0005-0000-0000-0000E9050000}"/>
    <cellStyle name="40% - Accent6 2 2 5 2" xfId="2186" xr:uid="{00000000-0005-0000-0000-0000EA050000}"/>
    <cellStyle name="40% - Accent6 2 2 6" xfId="2187" xr:uid="{00000000-0005-0000-0000-0000EB050000}"/>
    <cellStyle name="40% - Accent6 2 3" xfId="2188" xr:uid="{00000000-0005-0000-0000-0000EC050000}"/>
    <cellStyle name="40% - Accent6 2 3 2" xfId="2189" xr:uid="{00000000-0005-0000-0000-0000ED050000}"/>
    <cellStyle name="40% - Accent6 2 3 2 2" xfId="2190" xr:uid="{00000000-0005-0000-0000-0000EE050000}"/>
    <cellStyle name="40% - Accent6 2 3 2 2 2" xfId="2191" xr:uid="{00000000-0005-0000-0000-0000EF050000}"/>
    <cellStyle name="40% - Accent6 2 3 2 3" xfId="2192" xr:uid="{00000000-0005-0000-0000-0000F0050000}"/>
    <cellStyle name="40% - Accent6 2 3 3" xfId="2193" xr:uid="{00000000-0005-0000-0000-0000F1050000}"/>
    <cellStyle name="40% - Accent6 2 3 3 2" xfId="2194" xr:uid="{00000000-0005-0000-0000-0000F2050000}"/>
    <cellStyle name="40% - Accent6 2 3 3 2 2" xfId="2195" xr:uid="{00000000-0005-0000-0000-0000F3050000}"/>
    <cellStyle name="40% - Accent6 2 3 3 2 2 2" xfId="2196" xr:uid="{00000000-0005-0000-0000-0000F4050000}"/>
    <cellStyle name="40% - Accent6 2 3 3 2 3" xfId="2197" xr:uid="{00000000-0005-0000-0000-0000F5050000}"/>
    <cellStyle name="40% - Accent6 2 3 3 3" xfId="2198" xr:uid="{00000000-0005-0000-0000-0000F6050000}"/>
    <cellStyle name="40% - Accent6 2 3 3 3 2" xfId="2199" xr:uid="{00000000-0005-0000-0000-0000F7050000}"/>
    <cellStyle name="40% - Accent6 2 3 3 4" xfId="2200" xr:uid="{00000000-0005-0000-0000-0000F8050000}"/>
    <cellStyle name="40% - Accent6 2 3 4" xfId="2201" xr:uid="{00000000-0005-0000-0000-0000F9050000}"/>
    <cellStyle name="40% - Accent6 2 3 4 2" xfId="2202" xr:uid="{00000000-0005-0000-0000-0000FA050000}"/>
    <cellStyle name="40% - Accent6 2 3 5" xfId="2203" xr:uid="{00000000-0005-0000-0000-0000FB050000}"/>
    <cellStyle name="40% - Accent6 2 4" xfId="2204" xr:uid="{00000000-0005-0000-0000-0000FC050000}"/>
    <cellStyle name="40% - Accent6 2 4 2" xfId="2205" xr:uid="{00000000-0005-0000-0000-0000FD050000}"/>
    <cellStyle name="40% - Accent6 2 4 2 2" xfId="2206" xr:uid="{00000000-0005-0000-0000-0000FE050000}"/>
    <cellStyle name="40% - Accent6 2 4 2 2 2" xfId="2207" xr:uid="{00000000-0005-0000-0000-0000FF050000}"/>
    <cellStyle name="40% - Accent6 2 4 2 3" xfId="2208" xr:uid="{00000000-0005-0000-0000-000000060000}"/>
    <cellStyle name="40% - Accent6 2 4 3" xfId="2209" xr:uid="{00000000-0005-0000-0000-000001060000}"/>
    <cellStyle name="40% - Accent6 2 4 3 2" xfId="2210" xr:uid="{00000000-0005-0000-0000-000002060000}"/>
    <cellStyle name="40% - Accent6 2 4 4" xfId="2211" xr:uid="{00000000-0005-0000-0000-000003060000}"/>
    <cellStyle name="40% - Accent6 2 5" xfId="2212" xr:uid="{00000000-0005-0000-0000-000004060000}"/>
    <cellStyle name="40% - Accent6 2 5 2" xfId="2213" xr:uid="{00000000-0005-0000-0000-000005060000}"/>
    <cellStyle name="40% - Accent6 2 5 2 2" xfId="2214" xr:uid="{00000000-0005-0000-0000-000006060000}"/>
    <cellStyle name="40% - Accent6 2 5 2 2 2" xfId="2215" xr:uid="{00000000-0005-0000-0000-000007060000}"/>
    <cellStyle name="40% - Accent6 2 5 2 3" xfId="2216" xr:uid="{00000000-0005-0000-0000-000008060000}"/>
    <cellStyle name="40% - Accent6 2 5 3" xfId="2217" xr:uid="{00000000-0005-0000-0000-000009060000}"/>
    <cellStyle name="40% - Accent6 2 5 3 2" xfId="2218" xr:uid="{00000000-0005-0000-0000-00000A060000}"/>
    <cellStyle name="40% - Accent6 2 5 3 2 2" xfId="2219" xr:uid="{00000000-0005-0000-0000-00000B060000}"/>
    <cellStyle name="40% - Accent6 2 5 3 2 2 2" xfId="2220" xr:uid="{00000000-0005-0000-0000-00000C060000}"/>
    <cellStyle name="40% - Accent6 2 5 3 2 3" xfId="2221" xr:uid="{00000000-0005-0000-0000-00000D060000}"/>
    <cellStyle name="40% - Accent6 2 5 3 3" xfId="2222" xr:uid="{00000000-0005-0000-0000-00000E060000}"/>
    <cellStyle name="40% - Accent6 2 5 3 3 2" xfId="2223" xr:uid="{00000000-0005-0000-0000-00000F060000}"/>
    <cellStyle name="40% - Accent6 2 5 3 4" xfId="2224" xr:uid="{00000000-0005-0000-0000-000010060000}"/>
    <cellStyle name="40% - Accent6 2 5 4" xfId="2225" xr:uid="{00000000-0005-0000-0000-000011060000}"/>
    <cellStyle name="40% - Accent6 2 5 4 2" xfId="2226" xr:uid="{00000000-0005-0000-0000-000012060000}"/>
    <cellStyle name="40% - Accent6 2 5 5" xfId="2227" xr:uid="{00000000-0005-0000-0000-000013060000}"/>
    <cellStyle name="40% - Accent6 2 6" xfId="2228" xr:uid="{00000000-0005-0000-0000-000014060000}"/>
    <cellStyle name="40% - Accent6 2 6 2" xfId="2229" xr:uid="{00000000-0005-0000-0000-000015060000}"/>
    <cellStyle name="40% - Accent6 2 6 2 2" xfId="2230" xr:uid="{00000000-0005-0000-0000-000016060000}"/>
    <cellStyle name="40% - Accent6 2 6 3" xfId="2231" xr:uid="{00000000-0005-0000-0000-000017060000}"/>
    <cellStyle name="40% - Accent6 2 7" xfId="2232" xr:uid="{00000000-0005-0000-0000-000018060000}"/>
    <cellStyle name="40% - Accent6 2 7 2" xfId="2233" xr:uid="{00000000-0005-0000-0000-000019060000}"/>
    <cellStyle name="40% - Accent6 2 7 2 2" xfId="2234" xr:uid="{00000000-0005-0000-0000-00001A060000}"/>
    <cellStyle name="40% - Accent6 2 7 3" xfId="2235" xr:uid="{00000000-0005-0000-0000-00001B060000}"/>
    <cellStyle name="40% - Accent6 2 8" xfId="2236" xr:uid="{00000000-0005-0000-0000-00001C060000}"/>
    <cellStyle name="40% - Accent6 2 8 2" xfId="2237" xr:uid="{00000000-0005-0000-0000-00001D060000}"/>
    <cellStyle name="40% - Accent6 2 8 2 2" xfId="2238" xr:uid="{00000000-0005-0000-0000-00001E060000}"/>
    <cellStyle name="40% - Accent6 2 8 2 2 2" xfId="2239" xr:uid="{00000000-0005-0000-0000-00001F060000}"/>
    <cellStyle name="40% - Accent6 2 8 2 3" xfId="2240" xr:uid="{00000000-0005-0000-0000-000020060000}"/>
    <cellStyle name="40% - Accent6 2 8 3" xfId="2241" xr:uid="{00000000-0005-0000-0000-000021060000}"/>
    <cellStyle name="40% - Accent6 2 8 3 2" xfId="2242" xr:uid="{00000000-0005-0000-0000-000022060000}"/>
    <cellStyle name="40% - Accent6 2 8 4" xfId="2243" xr:uid="{00000000-0005-0000-0000-000023060000}"/>
    <cellStyle name="40% - Accent6 2 9" xfId="2244" xr:uid="{00000000-0005-0000-0000-000024060000}"/>
    <cellStyle name="40% - Accent6 2 9 2" xfId="2245" xr:uid="{00000000-0005-0000-0000-000025060000}"/>
    <cellStyle name="40% - Accent6 3" xfId="2246" xr:uid="{00000000-0005-0000-0000-000026060000}"/>
    <cellStyle name="40% - Accent6 3 2" xfId="2247" xr:uid="{00000000-0005-0000-0000-000027060000}"/>
    <cellStyle name="40% - Accent6 3 2 2" xfId="2248" xr:uid="{00000000-0005-0000-0000-000028060000}"/>
    <cellStyle name="40% - Accent6 3 2 2 2" xfId="2249" xr:uid="{00000000-0005-0000-0000-000029060000}"/>
    <cellStyle name="40% - Accent6 3 2 3" xfId="2250" xr:uid="{00000000-0005-0000-0000-00002A060000}"/>
    <cellStyle name="40% - Accent6 3 3" xfId="2251" xr:uid="{00000000-0005-0000-0000-00002B060000}"/>
    <cellStyle name="40% - Accent6 3 3 2" xfId="2252" xr:uid="{00000000-0005-0000-0000-00002C060000}"/>
    <cellStyle name="40% - Accent6 3 4" xfId="2253" xr:uid="{00000000-0005-0000-0000-00002D060000}"/>
    <cellStyle name="40% - Accent6 3 4 2" xfId="2254" xr:uid="{00000000-0005-0000-0000-00002E060000}"/>
    <cellStyle name="40% - Accent6 3 4 2 2" xfId="2255" xr:uid="{00000000-0005-0000-0000-00002F060000}"/>
    <cellStyle name="40% - Accent6 3 4 3" xfId="2256" xr:uid="{00000000-0005-0000-0000-000030060000}"/>
    <cellStyle name="40% - Accent6 3 5" xfId="2257" xr:uid="{00000000-0005-0000-0000-000031060000}"/>
    <cellStyle name="40% - Accent6 4" xfId="2258" xr:uid="{00000000-0005-0000-0000-000032060000}"/>
    <cellStyle name="40% - Accent6 4 2" xfId="2259" xr:uid="{00000000-0005-0000-0000-000033060000}"/>
    <cellStyle name="40% - Accent6 4 2 2" xfId="2260" xr:uid="{00000000-0005-0000-0000-000034060000}"/>
    <cellStyle name="40% - Accent6 4 3" xfId="2261" xr:uid="{00000000-0005-0000-0000-000035060000}"/>
    <cellStyle name="40% - Accent6 4 3 2" xfId="2262" xr:uid="{00000000-0005-0000-0000-000036060000}"/>
    <cellStyle name="40% - Accent6 4 3 2 2" xfId="2263" xr:uid="{00000000-0005-0000-0000-000037060000}"/>
    <cellStyle name="40% - Accent6 4 3 3" xfId="2264" xr:uid="{00000000-0005-0000-0000-000038060000}"/>
    <cellStyle name="40% - Accent6 4 4" xfId="2265" xr:uid="{00000000-0005-0000-0000-000039060000}"/>
    <cellStyle name="40% - Accent6 5" xfId="2266" xr:uid="{00000000-0005-0000-0000-00003A060000}"/>
    <cellStyle name="40% - Accent6 5 2" xfId="2267" xr:uid="{00000000-0005-0000-0000-00003B060000}"/>
    <cellStyle name="40% - Accent6 5 2 2" xfId="2268" xr:uid="{00000000-0005-0000-0000-00003C060000}"/>
    <cellStyle name="40% - Accent6 5 2 2 2" xfId="2269" xr:uid="{00000000-0005-0000-0000-00003D060000}"/>
    <cellStyle name="40% - Accent6 5 2 3" xfId="2270" xr:uid="{00000000-0005-0000-0000-00003E060000}"/>
    <cellStyle name="40% - Accent6 5 3" xfId="2271" xr:uid="{00000000-0005-0000-0000-00003F060000}"/>
    <cellStyle name="40% - Accent6 5 3 2" xfId="2272" xr:uid="{00000000-0005-0000-0000-000040060000}"/>
    <cellStyle name="40% - Accent6 5 3 2 2" xfId="2273" xr:uid="{00000000-0005-0000-0000-000041060000}"/>
    <cellStyle name="40% - Accent6 5 3 2 2 2" xfId="2274" xr:uid="{00000000-0005-0000-0000-000042060000}"/>
    <cellStyle name="40% - Accent6 5 3 2 3" xfId="2275" xr:uid="{00000000-0005-0000-0000-000043060000}"/>
    <cellStyle name="40% - Accent6 5 3 3" xfId="2276" xr:uid="{00000000-0005-0000-0000-000044060000}"/>
    <cellStyle name="40% - Accent6 5 3 3 2" xfId="2277" xr:uid="{00000000-0005-0000-0000-000045060000}"/>
    <cellStyle name="40% - Accent6 5 3 4" xfId="2278" xr:uid="{00000000-0005-0000-0000-000046060000}"/>
    <cellStyle name="40% - Accent6 5 4" xfId="2279" xr:uid="{00000000-0005-0000-0000-000047060000}"/>
    <cellStyle name="40% - Accent6 5 4 2" xfId="2280" xr:uid="{00000000-0005-0000-0000-000048060000}"/>
    <cellStyle name="40% - Accent6 5 5" xfId="2281" xr:uid="{00000000-0005-0000-0000-000049060000}"/>
    <cellStyle name="40% - Accent6 6" xfId="2282" xr:uid="{00000000-0005-0000-0000-00004A060000}"/>
    <cellStyle name="40% - Accent6 6 2" xfId="2283" xr:uid="{00000000-0005-0000-0000-00004B060000}"/>
    <cellStyle name="40% - Accent6 6 2 2" xfId="2284" xr:uid="{00000000-0005-0000-0000-00004C060000}"/>
    <cellStyle name="40% - Accent6 6 2 2 2" xfId="2285" xr:uid="{00000000-0005-0000-0000-00004D060000}"/>
    <cellStyle name="40% - Accent6 6 2 3" xfId="2286" xr:uid="{00000000-0005-0000-0000-00004E060000}"/>
    <cellStyle name="40% - Accent6 6 3" xfId="2287" xr:uid="{00000000-0005-0000-0000-00004F060000}"/>
    <cellStyle name="40% - Accent6 6 3 2" xfId="2288" xr:uid="{00000000-0005-0000-0000-000050060000}"/>
    <cellStyle name="40% - Accent6 6 4" xfId="2289" xr:uid="{00000000-0005-0000-0000-000051060000}"/>
    <cellStyle name="40% - Accent6 7" xfId="2290" xr:uid="{00000000-0005-0000-0000-000052060000}"/>
    <cellStyle name="40% - Accent6 8" xfId="2291" xr:uid="{00000000-0005-0000-0000-000053060000}"/>
    <cellStyle name="60% - Accent1 2" xfId="2292" xr:uid="{00000000-0005-0000-0000-000054060000}"/>
    <cellStyle name="60% - Accent1 2 10" xfId="2293" xr:uid="{00000000-0005-0000-0000-000055060000}"/>
    <cellStyle name="60% - Accent1 2 2" xfId="2294" xr:uid="{00000000-0005-0000-0000-000056060000}"/>
    <cellStyle name="60% - Accent1 2 2 2" xfId="2295" xr:uid="{00000000-0005-0000-0000-000057060000}"/>
    <cellStyle name="60% - Accent1 2 2 2 2" xfId="2296" xr:uid="{00000000-0005-0000-0000-000058060000}"/>
    <cellStyle name="60% - Accent1 2 2 3" xfId="2297" xr:uid="{00000000-0005-0000-0000-000059060000}"/>
    <cellStyle name="60% - Accent1 2 2 3 2" xfId="2298" xr:uid="{00000000-0005-0000-0000-00005A060000}"/>
    <cellStyle name="60% - Accent1 2 2 3 2 2" xfId="2299" xr:uid="{00000000-0005-0000-0000-00005B060000}"/>
    <cellStyle name="60% - Accent1 2 2 3 3" xfId="2300" xr:uid="{00000000-0005-0000-0000-00005C060000}"/>
    <cellStyle name="60% - Accent1 2 2 4" xfId="2301" xr:uid="{00000000-0005-0000-0000-00005D060000}"/>
    <cellStyle name="60% - Accent1 2 3" xfId="2302" xr:uid="{00000000-0005-0000-0000-00005E060000}"/>
    <cellStyle name="60% - Accent1 2 3 2" xfId="2303" xr:uid="{00000000-0005-0000-0000-00005F060000}"/>
    <cellStyle name="60% - Accent1 2 3 2 2" xfId="2304" xr:uid="{00000000-0005-0000-0000-000060060000}"/>
    <cellStyle name="60% - Accent1 2 3 3" xfId="2305" xr:uid="{00000000-0005-0000-0000-000061060000}"/>
    <cellStyle name="60% - Accent1 2 3 3 2" xfId="2306" xr:uid="{00000000-0005-0000-0000-000062060000}"/>
    <cellStyle name="60% - Accent1 2 3 3 2 2" xfId="2307" xr:uid="{00000000-0005-0000-0000-000063060000}"/>
    <cellStyle name="60% - Accent1 2 3 3 3" xfId="2308" xr:uid="{00000000-0005-0000-0000-000064060000}"/>
    <cellStyle name="60% - Accent1 2 3 4" xfId="2309" xr:uid="{00000000-0005-0000-0000-000065060000}"/>
    <cellStyle name="60% - Accent1 2 4" xfId="2310" xr:uid="{00000000-0005-0000-0000-000066060000}"/>
    <cellStyle name="60% - Accent1 2 4 2" xfId="2311" xr:uid="{00000000-0005-0000-0000-000067060000}"/>
    <cellStyle name="60% - Accent1 2 4 2 2" xfId="2312" xr:uid="{00000000-0005-0000-0000-000068060000}"/>
    <cellStyle name="60% - Accent1 2 4 3" xfId="2313" xr:uid="{00000000-0005-0000-0000-000069060000}"/>
    <cellStyle name="60% - Accent1 2 5" xfId="2314" xr:uid="{00000000-0005-0000-0000-00006A060000}"/>
    <cellStyle name="60% - Accent1 2 5 2" xfId="2315" xr:uid="{00000000-0005-0000-0000-00006B060000}"/>
    <cellStyle name="60% - Accent1 2 5 2 2" xfId="2316" xr:uid="{00000000-0005-0000-0000-00006C060000}"/>
    <cellStyle name="60% - Accent1 2 5 3" xfId="2317" xr:uid="{00000000-0005-0000-0000-00006D060000}"/>
    <cellStyle name="60% - Accent1 2 5 3 2" xfId="2318" xr:uid="{00000000-0005-0000-0000-00006E060000}"/>
    <cellStyle name="60% - Accent1 2 5 3 2 2" xfId="2319" xr:uid="{00000000-0005-0000-0000-00006F060000}"/>
    <cellStyle name="60% - Accent1 2 5 3 3" xfId="2320" xr:uid="{00000000-0005-0000-0000-000070060000}"/>
    <cellStyle name="60% - Accent1 2 5 4" xfId="2321" xr:uid="{00000000-0005-0000-0000-000071060000}"/>
    <cellStyle name="60% - Accent1 2 6" xfId="2322" xr:uid="{00000000-0005-0000-0000-000072060000}"/>
    <cellStyle name="60% - Accent1 2 6 2" xfId="2323" xr:uid="{00000000-0005-0000-0000-000073060000}"/>
    <cellStyle name="60% - Accent1 2 7" xfId="2324" xr:uid="{00000000-0005-0000-0000-000074060000}"/>
    <cellStyle name="60% - Accent1 2 7 2" xfId="2325" xr:uid="{00000000-0005-0000-0000-000075060000}"/>
    <cellStyle name="60% - Accent1 2 8" xfId="2326" xr:uid="{00000000-0005-0000-0000-000076060000}"/>
    <cellStyle name="60% - Accent1 2 8 2" xfId="2327" xr:uid="{00000000-0005-0000-0000-000077060000}"/>
    <cellStyle name="60% - Accent1 2 8 2 2" xfId="2328" xr:uid="{00000000-0005-0000-0000-000078060000}"/>
    <cellStyle name="60% - Accent1 2 8 3" xfId="2329" xr:uid="{00000000-0005-0000-0000-000079060000}"/>
    <cellStyle name="60% - Accent1 2 9" xfId="2330" xr:uid="{00000000-0005-0000-0000-00007A060000}"/>
    <cellStyle name="60% - Accent1 2 9 2" xfId="2331" xr:uid="{00000000-0005-0000-0000-00007B060000}"/>
    <cellStyle name="60% - Accent1 2 9 2 2" xfId="2332" xr:uid="{00000000-0005-0000-0000-00007C060000}"/>
    <cellStyle name="60% - Accent1 2 9 3" xfId="2333" xr:uid="{00000000-0005-0000-0000-00007D060000}"/>
    <cellStyle name="60% - Accent1 3" xfId="2334" xr:uid="{00000000-0005-0000-0000-00007E060000}"/>
    <cellStyle name="60% - Accent1 3 2" xfId="2335" xr:uid="{00000000-0005-0000-0000-00007F060000}"/>
    <cellStyle name="60% - Accent1 3 2 2" xfId="2336" xr:uid="{00000000-0005-0000-0000-000080060000}"/>
    <cellStyle name="60% - Accent1 3 3" xfId="2337" xr:uid="{00000000-0005-0000-0000-000081060000}"/>
    <cellStyle name="60% - Accent1 3 3 2" xfId="2338" xr:uid="{00000000-0005-0000-0000-000082060000}"/>
    <cellStyle name="60% - Accent1 3 4" xfId="2339" xr:uid="{00000000-0005-0000-0000-000083060000}"/>
    <cellStyle name="60% - Accent1 3 4 2" xfId="2340" xr:uid="{00000000-0005-0000-0000-000084060000}"/>
    <cellStyle name="60% - Accent1 3 4 2 2" xfId="2341" xr:uid="{00000000-0005-0000-0000-000085060000}"/>
    <cellStyle name="60% - Accent1 3 4 3" xfId="2342" xr:uid="{00000000-0005-0000-0000-000086060000}"/>
    <cellStyle name="60% - Accent1 3 5" xfId="2343" xr:uid="{00000000-0005-0000-0000-000087060000}"/>
    <cellStyle name="60% - Accent1 4" xfId="2344" xr:uid="{00000000-0005-0000-0000-000088060000}"/>
    <cellStyle name="60% - Accent1 4 2" xfId="2345" xr:uid="{00000000-0005-0000-0000-000089060000}"/>
    <cellStyle name="60% - Accent1 4 2 2" xfId="2346" xr:uid="{00000000-0005-0000-0000-00008A060000}"/>
    <cellStyle name="60% - Accent1 4 3" xfId="2347" xr:uid="{00000000-0005-0000-0000-00008B060000}"/>
    <cellStyle name="60% - Accent1 4 3 2" xfId="2348" xr:uid="{00000000-0005-0000-0000-00008C060000}"/>
    <cellStyle name="60% - Accent1 4 3 2 2" xfId="2349" xr:uid="{00000000-0005-0000-0000-00008D060000}"/>
    <cellStyle name="60% - Accent1 4 3 3" xfId="2350" xr:uid="{00000000-0005-0000-0000-00008E060000}"/>
    <cellStyle name="60% - Accent1 4 4" xfId="2351" xr:uid="{00000000-0005-0000-0000-00008F060000}"/>
    <cellStyle name="60% - Accent1 5" xfId="2352" xr:uid="{00000000-0005-0000-0000-000090060000}"/>
    <cellStyle name="60% - Accent1 5 2" xfId="2353" xr:uid="{00000000-0005-0000-0000-000091060000}"/>
    <cellStyle name="60% - Accent1 5 2 2" xfId="2354" xr:uid="{00000000-0005-0000-0000-000092060000}"/>
    <cellStyle name="60% - Accent1 5 3" xfId="2355" xr:uid="{00000000-0005-0000-0000-000093060000}"/>
    <cellStyle name="60% - Accent1 5 3 2" xfId="2356" xr:uid="{00000000-0005-0000-0000-000094060000}"/>
    <cellStyle name="60% - Accent1 5 3 2 2" xfId="2357" xr:uid="{00000000-0005-0000-0000-000095060000}"/>
    <cellStyle name="60% - Accent1 5 3 3" xfId="2358" xr:uid="{00000000-0005-0000-0000-000096060000}"/>
    <cellStyle name="60% - Accent1 5 4" xfId="2359" xr:uid="{00000000-0005-0000-0000-000097060000}"/>
    <cellStyle name="60% - Accent1 6" xfId="2360" xr:uid="{00000000-0005-0000-0000-000098060000}"/>
    <cellStyle name="60% - Accent1 6 2" xfId="2361" xr:uid="{00000000-0005-0000-0000-000099060000}"/>
    <cellStyle name="60% - Accent1 6 2 2" xfId="2362" xr:uid="{00000000-0005-0000-0000-00009A060000}"/>
    <cellStyle name="60% - Accent1 6 3" xfId="2363" xr:uid="{00000000-0005-0000-0000-00009B060000}"/>
    <cellStyle name="60% - Accent1 7" xfId="2364" xr:uid="{00000000-0005-0000-0000-00009C060000}"/>
    <cellStyle name="60% - Accent1 8" xfId="2365" xr:uid="{00000000-0005-0000-0000-00009D060000}"/>
    <cellStyle name="60% - Accent2 2" xfId="2366" xr:uid="{00000000-0005-0000-0000-00009E060000}"/>
    <cellStyle name="60% - Accent2 2 10" xfId="2367" xr:uid="{00000000-0005-0000-0000-00009F060000}"/>
    <cellStyle name="60% - Accent2 2 2" xfId="2368" xr:uid="{00000000-0005-0000-0000-0000A0060000}"/>
    <cellStyle name="60% - Accent2 2 2 2" xfId="2369" xr:uid="{00000000-0005-0000-0000-0000A1060000}"/>
    <cellStyle name="60% - Accent2 2 2 2 2" xfId="2370" xr:uid="{00000000-0005-0000-0000-0000A2060000}"/>
    <cellStyle name="60% - Accent2 2 2 3" xfId="2371" xr:uid="{00000000-0005-0000-0000-0000A3060000}"/>
    <cellStyle name="60% - Accent2 2 2 3 2" xfId="2372" xr:uid="{00000000-0005-0000-0000-0000A4060000}"/>
    <cellStyle name="60% - Accent2 2 2 3 2 2" xfId="2373" xr:uid="{00000000-0005-0000-0000-0000A5060000}"/>
    <cellStyle name="60% - Accent2 2 2 3 3" xfId="2374" xr:uid="{00000000-0005-0000-0000-0000A6060000}"/>
    <cellStyle name="60% - Accent2 2 2 4" xfId="2375" xr:uid="{00000000-0005-0000-0000-0000A7060000}"/>
    <cellStyle name="60% - Accent2 2 3" xfId="2376" xr:uid="{00000000-0005-0000-0000-0000A8060000}"/>
    <cellStyle name="60% - Accent2 2 3 2" xfId="2377" xr:uid="{00000000-0005-0000-0000-0000A9060000}"/>
    <cellStyle name="60% - Accent2 2 3 2 2" xfId="2378" xr:uid="{00000000-0005-0000-0000-0000AA060000}"/>
    <cellStyle name="60% - Accent2 2 3 3" xfId="2379" xr:uid="{00000000-0005-0000-0000-0000AB060000}"/>
    <cellStyle name="60% - Accent2 2 3 3 2" xfId="2380" xr:uid="{00000000-0005-0000-0000-0000AC060000}"/>
    <cellStyle name="60% - Accent2 2 3 3 2 2" xfId="2381" xr:uid="{00000000-0005-0000-0000-0000AD060000}"/>
    <cellStyle name="60% - Accent2 2 3 3 3" xfId="2382" xr:uid="{00000000-0005-0000-0000-0000AE060000}"/>
    <cellStyle name="60% - Accent2 2 3 4" xfId="2383" xr:uid="{00000000-0005-0000-0000-0000AF060000}"/>
    <cellStyle name="60% - Accent2 2 4" xfId="2384" xr:uid="{00000000-0005-0000-0000-0000B0060000}"/>
    <cellStyle name="60% - Accent2 2 4 2" xfId="2385" xr:uid="{00000000-0005-0000-0000-0000B1060000}"/>
    <cellStyle name="60% - Accent2 2 4 2 2" xfId="2386" xr:uid="{00000000-0005-0000-0000-0000B2060000}"/>
    <cellStyle name="60% - Accent2 2 4 3" xfId="2387" xr:uid="{00000000-0005-0000-0000-0000B3060000}"/>
    <cellStyle name="60% - Accent2 2 5" xfId="2388" xr:uid="{00000000-0005-0000-0000-0000B4060000}"/>
    <cellStyle name="60% - Accent2 2 5 2" xfId="2389" xr:uid="{00000000-0005-0000-0000-0000B5060000}"/>
    <cellStyle name="60% - Accent2 2 5 2 2" xfId="2390" xr:uid="{00000000-0005-0000-0000-0000B6060000}"/>
    <cellStyle name="60% - Accent2 2 5 3" xfId="2391" xr:uid="{00000000-0005-0000-0000-0000B7060000}"/>
    <cellStyle name="60% - Accent2 2 5 3 2" xfId="2392" xr:uid="{00000000-0005-0000-0000-0000B8060000}"/>
    <cellStyle name="60% - Accent2 2 5 3 2 2" xfId="2393" xr:uid="{00000000-0005-0000-0000-0000B9060000}"/>
    <cellStyle name="60% - Accent2 2 5 3 3" xfId="2394" xr:uid="{00000000-0005-0000-0000-0000BA060000}"/>
    <cellStyle name="60% - Accent2 2 5 4" xfId="2395" xr:uid="{00000000-0005-0000-0000-0000BB060000}"/>
    <cellStyle name="60% - Accent2 2 6" xfId="2396" xr:uid="{00000000-0005-0000-0000-0000BC060000}"/>
    <cellStyle name="60% - Accent2 2 6 2" xfId="2397" xr:uid="{00000000-0005-0000-0000-0000BD060000}"/>
    <cellStyle name="60% - Accent2 2 7" xfId="2398" xr:uid="{00000000-0005-0000-0000-0000BE060000}"/>
    <cellStyle name="60% - Accent2 2 7 2" xfId="2399" xr:uid="{00000000-0005-0000-0000-0000BF060000}"/>
    <cellStyle name="60% - Accent2 2 8" xfId="2400" xr:uid="{00000000-0005-0000-0000-0000C0060000}"/>
    <cellStyle name="60% - Accent2 2 8 2" xfId="2401" xr:uid="{00000000-0005-0000-0000-0000C1060000}"/>
    <cellStyle name="60% - Accent2 2 8 2 2" xfId="2402" xr:uid="{00000000-0005-0000-0000-0000C2060000}"/>
    <cellStyle name="60% - Accent2 2 8 3" xfId="2403" xr:uid="{00000000-0005-0000-0000-0000C3060000}"/>
    <cellStyle name="60% - Accent2 2 9" xfId="2404" xr:uid="{00000000-0005-0000-0000-0000C4060000}"/>
    <cellStyle name="60% - Accent2 2 9 2" xfId="2405" xr:uid="{00000000-0005-0000-0000-0000C5060000}"/>
    <cellStyle name="60% - Accent2 2 9 2 2" xfId="2406" xr:uid="{00000000-0005-0000-0000-0000C6060000}"/>
    <cellStyle name="60% - Accent2 2 9 3" xfId="2407" xr:uid="{00000000-0005-0000-0000-0000C7060000}"/>
    <cellStyle name="60% - Accent2 3" xfId="2408" xr:uid="{00000000-0005-0000-0000-0000C8060000}"/>
    <cellStyle name="60% - Accent2 3 2" xfId="2409" xr:uid="{00000000-0005-0000-0000-0000C9060000}"/>
    <cellStyle name="60% - Accent2 3 2 2" xfId="2410" xr:uid="{00000000-0005-0000-0000-0000CA060000}"/>
    <cellStyle name="60% - Accent2 3 3" xfId="2411" xr:uid="{00000000-0005-0000-0000-0000CB060000}"/>
    <cellStyle name="60% - Accent2 3 3 2" xfId="2412" xr:uid="{00000000-0005-0000-0000-0000CC060000}"/>
    <cellStyle name="60% - Accent2 3 4" xfId="2413" xr:uid="{00000000-0005-0000-0000-0000CD060000}"/>
    <cellStyle name="60% - Accent2 3 4 2" xfId="2414" xr:uid="{00000000-0005-0000-0000-0000CE060000}"/>
    <cellStyle name="60% - Accent2 3 4 2 2" xfId="2415" xr:uid="{00000000-0005-0000-0000-0000CF060000}"/>
    <cellStyle name="60% - Accent2 3 4 3" xfId="2416" xr:uid="{00000000-0005-0000-0000-0000D0060000}"/>
    <cellStyle name="60% - Accent2 3 5" xfId="2417" xr:uid="{00000000-0005-0000-0000-0000D1060000}"/>
    <cellStyle name="60% - Accent2 4" xfId="2418" xr:uid="{00000000-0005-0000-0000-0000D2060000}"/>
    <cellStyle name="60% - Accent2 4 2" xfId="2419" xr:uid="{00000000-0005-0000-0000-0000D3060000}"/>
    <cellStyle name="60% - Accent2 4 2 2" xfId="2420" xr:uid="{00000000-0005-0000-0000-0000D4060000}"/>
    <cellStyle name="60% - Accent2 4 3" xfId="2421" xr:uid="{00000000-0005-0000-0000-0000D5060000}"/>
    <cellStyle name="60% - Accent2 4 3 2" xfId="2422" xr:uid="{00000000-0005-0000-0000-0000D6060000}"/>
    <cellStyle name="60% - Accent2 4 3 2 2" xfId="2423" xr:uid="{00000000-0005-0000-0000-0000D7060000}"/>
    <cellStyle name="60% - Accent2 4 3 3" xfId="2424" xr:uid="{00000000-0005-0000-0000-0000D8060000}"/>
    <cellStyle name="60% - Accent2 4 4" xfId="2425" xr:uid="{00000000-0005-0000-0000-0000D9060000}"/>
    <cellStyle name="60% - Accent2 5" xfId="2426" xr:uid="{00000000-0005-0000-0000-0000DA060000}"/>
    <cellStyle name="60% - Accent2 5 2" xfId="2427" xr:uid="{00000000-0005-0000-0000-0000DB060000}"/>
    <cellStyle name="60% - Accent2 5 2 2" xfId="2428" xr:uid="{00000000-0005-0000-0000-0000DC060000}"/>
    <cellStyle name="60% - Accent2 5 3" xfId="2429" xr:uid="{00000000-0005-0000-0000-0000DD060000}"/>
    <cellStyle name="60% - Accent2 5 3 2" xfId="2430" xr:uid="{00000000-0005-0000-0000-0000DE060000}"/>
    <cellStyle name="60% - Accent2 5 3 2 2" xfId="2431" xr:uid="{00000000-0005-0000-0000-0000DF060000}"/>
    <cellStyle name="60% - Accent2 5 3 3" xfId="2432" xr:uid="{00000000-0005-0000-0000-0000E0060000}"/>
    <cellStyle name="60% - Accent2 5 4" xfId="2433" xr:uid="{00000000-0005-0000-0000-0000E1060000}"/>
    <cellStyle name="60% - Accent2 6" xfId="2434" xr:uid="{00000000-0005-0000-0000-0000E2060000}"/>
    <cellStyle name="60% - Accent2 6 2" xfId="2435" xr:uid="{00000000-0005-0000-0000-0000E3060000}"/>
    <cellStyle name="60% - Accent2 6 2 2" xfId="2436" xr:uid="{00000000-0005-0000-0000-0000E4060000}"/>
    <cellStyle name="60% - Accent2 6 3" xfId="2437" xr:uid="{00000000-0005-0000-0000-0000E5060000}"/>
    <cellStyle name="60% - Accent2 7" xfId="2438" xr:uid="{00000000-0005-0000-0000-0000E6060000}"/>
    <cellStyle name="60% - Accent2 8" xfId="2439" xr:uid="{00000000-0005-0000-0000-0000E7060000}"/>
    <cellStyle name="60% - Accent3 2" xfId="2440" xr:uid="{00000000-0005-0000-0000-0000E8060000}"/>
    <cellStyle name="60% - Accent3 2 10" xfId="2441" xr:uid="{00000000-0005-0000-0000-0000E9060000}"/>
    <cellStyle name="60% - Accent3 2 2" xfId="2442" xr:uid="{00000000-0005-0000-0000-0000EA060000}"/>
    <cellStyle name="60% - Accent3 2 2 2" xfId="2443" xr:uid="{00000000-0005-0000-0000-0000EB060000}"/>
    <cellStyle name="60% - Accent3 2 2 2 2" xfId="2444" xr:uid="{00000000-0005-0000-0000-0000EC060000}"/>
    <cellStyle name="60% - Accent3 2 2 3" xfId="2445" xr:uid="{00000000-0005-0000-0000-0000ED060000}"/>
    <cellStyle name="60% - Accent3 2 2 3 2" xfId="2446" xr:uid="{00000000-0005-0000-0000-0000EE060000}"/>
    <cellStyle name="60% - Accent3 2 2 3 2 2" xfId="2447" xr:uid="{00000000-0005-0000-0000-0000EF060000}"/>
    <cellStyle name="60% - Accent3 2 2 3 3" xfId="2448" xr:uid="{00000000-0005-0000-0000-0000F0060000}"/>
    <cellStyle name="60% - Accent3 2 2 4" xfId="2449" xr:uid="{00000000-0005-0000-0000-0000F1060000}"/>
    <cellStyle name="60% - Accent3 2 3" xfId="2450" xr:uid="{00000000-0005-0000-0000-0000F2060000}"/>
    <cellStyle name="60% - Accent3 2 3 2" xfId="2451" xr:uid="{00000000-0005-0000-0000-0000F3060000}"/>
    <cellStyle name="60% - Accent3 2 3 2 2" xfId="2452" xr:uid="{00000000-0005-0000-0000-0000F4060000}"/>
    <cellStyle name="60% - Accent3 2 3 3" xfId="2453" xr:uid="{00000000-0005-0000-0000-0000F5060000}"/>
    <cellStyle name="60% - Accent3 2 3 3 2" xfId="2454" xr:uid="{00000000-0005-0000-0000-0000F6060000}"/>
    <cellStyle name="60% - Accent3 2 3 3 2 2" xfId="2455" xr:uid="{00000000-0005-0000-0000-0000F7060000}"/>
    <cellStyle name="60% - Accent3 2 3 3 3" xfId="2456" xr:uid="{00000000-0005-0000-0000-0000F8060000}"/>
    <cellStyle name="60% - Accent3 2 3 4" xfId="2457" xr:uid="{00000000-0005-0000-0000-0000F9060000}"/>
    <cellStyle name="60% - Accent3 2 4" xfId="2458" xr:uid="{00000000-0005-0000-0000-0000FA060000}"/>
    <cellStyle name="60% - Accent3 2 4 2" xfId="2459" xr:uid="{00000000-0005-0000-0000-0000FB060000}"/>
    <cellStyle name="60% - Accent3 2 4 2 2" xfId="2460" xr:uid="{00000000-0005-0000-0000-0000FC060000}"/>
    <cellStyle name="60% - Accent3 2 4 3" xfId="2461" xr:uid="{00000000-0005-0000-0000-0000FD060000}"/>
    <cellStyle name="60% - Accent3 2 5" xfId="2462" xr:uid="{00000000-0005-0000-0000-0000FE060000}"/>
    <cellStyle name="60% - Accent3 2 5 2" xfId="2463" xr:uid="{00000000-0005-0000-0000-0000FF060000}"/>
    <cellStyle name="60% - Accent3 2 5 2 2" xfId="2464" xr:uid="{00000000-0005-0000-0000-000000070000}"/>
    <cellStyle name="60% - Accent3 2 5 3" xfId="2465" xr:uid="{00000000-0005-0000-0000-000001070000}"/>
    <cellStyle name="60% - Accent3 2 5 3 2" xfId="2466" xr:uid="{00000000-0005-0000-0000-000002070000}"/>
    <cellStyle name="60% - Accent3 2 5 3 2 2" xfId="2467" xr:uid="{00000000-0005-0000-0000-000003070000}"/>
    <cellStyle name="60% - Accent3 2 5 3 3" xfId="2468" xr:uid="{00000000-0005-0000-0000-000004070000}"/>
    <cellStyle name="60% - Accent3 2 5 4" xfId="2469" xr:uid="{00000000-0005-0000-0000-000005070000}"/>
    <cellStyle name="60% - Accent3 2 6" xfId="2470" xr:uid="{00000000-0005-0000-0000-000006070000}"/>
    <cellStyle name="60% - Accent3 2 6 2" xfId="2471" xr:uid="{00000000-0005-0000-0000-000007070000}"/>
    <cellStyle name="60% - Accent3 2 7" xfId="2472" xr:uid="{00000000-0005-0000-0000-000008070000}"/>
    <cellStyle name="60% - Accent3 2 7 2" xfId="2473" xr:uid="{00000000-0005-0000-0000-000009070000}"/>
    <cellStyle name="60% - Accent3 2 8" xfId="2474" xr:uid="{00000000-0005-0000-0000-00000A070000}"/>
    <cellStyle name="60% - Accent3 2 8 2" xfId="2475" xr:uid="{00000000-0005-0000-0000-00000B070000}"/>
    <cellStyle name="60% - Accent3 2 8 2 2" xfId="2476" xr:uid="{00000000-0005-0000-0000-00000C070000}"/>
    <cellStyle name="60% - Accent3 2 8 3" xfId="2477" xr:uid="{00000000-0005-0000-0000-00000D070000}"/>
    <cellStyle name="60% - Accent3 2 9" xfId="2478" xr:uid="{00000000-0005-0000-0000-00000E070000}"/>
    <cellStyle name="60% - Accent3 2 9 2" xfId="2479" xr:uid="{00000000-0005-0000-0000-00000F070000}"/>
    <cellStyle name="60% - Accent3 2 9 2 2" xfId="2480" xr:uid="{00000000-0005-0000-0000-000010070000}"/>
    <cellStyle name="60% - Accent3 2 9 3" xfId="2481" xr:uid="{00000000-0005-0000-0000-000011070000}"/>
    <cellStyle name="60% - Accent3 3" xfId="2482" xr:uid="{00000000-0005-0000-0000-000012070000}"/>
    <cellStyle name="60% - Accent3 3 2" xfId="2483" xr:uid="{00000000-0005-0000-0000-000013070000}"/>
    <cellStyle name="60% - Accent3 3 2 2" xfId="2484" xr:uid="{00000000-0005-0000-0000-000014070000}"/>
    <cellStyle name="60% - Accent3 3 3" xfId="2485" xr:uid="{00000000-0005-0000-0000-000015070000}"/>
    <cellStyle name="60% - Accent3 3 3 2" xfId="2486" xr:uid="{00000000-0005-0000-0000-000016070000}"/>
    <cellStyle name="60% - Accent3 3 4" xfId="2487" xr:uid="{00000000-0005-0000-0000-000017070000}"/>
    <cellStyle name="60% - Accent3 3 4 2" xfId="2488" xr:uid="{00000000-0005-0000-0000-000018070000}"/>
    <cellStyle name="60% - Accent3 3 4 2 2" xfId="2489" xr:uid="{00000000-0005-0000-0000-000019070000}"/>
    <cellStyle name="60% - Accent3 3 4 3" xfId="2490" xr:uid="{00000000-0005-0000-0000-00001A070000}"/>
    <cellStyle name="60% - Accent3 3 5" xfId="2491" xr:uid="{00000000-0005-0000-0000-00001B070000}"/>
    <cellStyle name="60% - Accent3 4" xfId="2492" xr:uid="{00000000-0005-0000-0000-00001C070000}"/>
    <cellStyle name="60% - Accent3 4 2" xfId="2493" xr:uid="{00000000-0005-0000-0000-00001D070000}"/>
    <cellStyle name="60% - Accent3 4 2 2" xfId="2494" xr:uid="{00000000-0005-0000-0000-00001E070000}"/>
    <cellStyle name="60% - Accent3 4 3" xfId="2495" xr:uid="{00000000-0005-0000-0000-00001F070000}"/>
    <cellStyle name="60% - Accent3 4 3 2" xfId="2496" xr:uid="{00000000-0005-0000-0000-000020070000}"/>
    <cellStyle name="60% - Accent3 4 3 2 2" xfId="2497" xr:uid="{00000000-0005-0000-0000-000021070000}"/>
    <cellStyle name="60% - Accent3 4 3 3" xfId="2498" xr:uid="{00000000-0005-0000-0000-000022070000}"/>
    <cellStyle name="60% - Accent3 4 4" xfId="2499" xr:uid="{00000000-0005-0000-0000-000023070000}"/>
    <cellStyle name="60% - Accent3 5" xfId="2500" xr:uid="{00000000-0005-0000-0000-000024070000}"/>
    <cellStyle name="60% - Accent3 5 2" xfId="2501" xr:uid="{00000000-0005-0000-0000-000025070000}"/>
    <cellStyle name="60% - Accent3 5 2 2" xfId="2502" xr:uid="{00000000-0005-0000-0000-000026070000}"/>
    <cellStyle name="60% - Accent3 5 3" xfId="2503" xr:uid="{00000000-0005-0000-0000-000027070000}"/>
    <cellStyle name="60% - Accent3 5 3 2" xfId="2504" xr:uid="{00000000-0005-0000-0000-000028070000}"/>
    <cellStyle name="60% - Accent3 5 3 2 2" xfId="2505" xr:uid="{00000000-0005-0000-0000-000029070000}"/>
    <cellStyle name="60% - Accent3 5 3 3" xfId="2506" xr:uid="{00000000-0005-0000-0000-00002A070000}"/>
    <cellStyle name="60% - Accent3 5 4" xfId="2507" xr:uid="{00000000-0005-0000-0000-00002B070000}"/>
    <cellStyle name="60% - Accent3 6" xfId="2508" xr:uid="{00000000-0005-0000-0000-00002C070000}"/>
    <cellStyle name="60% - Accent3 6 2" xfId="2509" xr:uid="{00000000-0005-0000-0000-00002D070000}"/>
    <cellStyle name="60% - Accent3 6 2 2" xfId="2510" xr:uid="{00000000-0005-0000-0000-00002E070000}"/>
    <cellStyle name="60% - Accent3 6 3" xfId="2511" xr:uid="{00000000-0005-0000-0000-00002F070000}"/>
    <cellStyle name="60% - Accent3 7" xfId="2512" xr:uid="{00000000-0005-0000-0000-000030070000}"/>
    <cellStyle name="60% - Accent3 8" xfId="2513" xr:uid="{00000000-0005-0000-0000-000031070000}"/>
    <cellStyle name="60% - Accent4 2" xfId="2514" xr:uid="{00000000-0005-0000-0000-000032070000}"/>
    <cellStyle name="60% - Accent4 2 10" xfId="2515" xr:uid="{00000000-0005-0000-0000-000033070000}"/>
    <cellStyle name="60% - Accent4 2 2" xfId="2516" xr:uid="{00000000-0005-0000-0000-000034070000}"/>
    <cellStyle name="60% - Accent4 2 2 2" xfId="2517" xr:uid="{00000000-0005-0000-0000-000035070000}"/>
    <cellStyle name="60% - Accent4 2 2 2 2" xfId="2518" xr:uid="{00000000-0005-0000-0000-000036070000}"/>
    <cellStyle name="60% - Accent4 2 2 3" xfId="2519" xr:uid="{00000000-0005-0000-0000-000037070000}"/>
    <cellStyle name="60% - Accent4 2 2 3 2" xfId="2520" xr:uid="{00000000-0005-0000-0000-000038070000}"/>
    <cellStyle name="60% - Accent4 2 2 3 2 2" xfId="2521" xr:uid="{00000000-0005-0000-0000-000039070000}"/>
    <cellStyle name="60% - Accent4 2 2 3 3" xfId="2522" xr:uid="{00000000-0005-0000-0000-00003A070000}"/>
    <cellStyle name="60% - Accent4 2 2 4" xfId="2523" xr:uid="{00000000-0005-0000-0000-00003B070000}"/>
    <cellStyle name="60% - Accent4 2 3" xfId="2524" xr:uid="{00000000-0005-0000-0000-00003C070000}"/>
    <cellStyle name="60% - Accent4 2 3 2" xfId="2525" xr:uid="{00000000-0005-0000-0000-00003D070000}"/>
    <cellStyle name="60% - Accent4 2 3 2 2" xfId="2526" xr:uid="{00000000-0005-0000-0000-00003E070000}"/>
    <cellStyle name="60% - Accent4 2 3 3" xfId="2527" xr:uid="{00000000-0005-0000-0000-00003F070000}"/>
    <cellStyle name="60% - Accent4 2 3 3 2" xfId="2528" xr:uid="{00000000-0005-0000-0000-000040070000}"/>
    <cellStyle name="60% - Accent4 2 3 3 2 2" xfId="2529" xr:uid="{00000000-0005-0000-0000-000041070000}"/>
    <cellStyle name="60% - Accent4 2 3 3 3" xfId="2530" xr:uid="{00000000-0005-0000-0000-000042070000}"/>
    <cellStyle name="60% - Accent4 2 3 4" xfId="2531" xr:uid="{00000000-0005-0000-0000-000043070000}"/>
    <cellStyle name="60% - Accent4 2 4" xfId="2532" xr:uid="{00000000-0005-0000-0000-000044070000}"/>
    <cellStyle name="60% - Accent4 2 4 2" xfId="2533" xr:uid="{00000000-0005-0000-0000-000045070000}"/>
    <cellStyle name="60% - Accent4 2 4 2 2" xfId="2534" xr:uid="{00000000-0005-0000-0000-000046070000}"/>
    <cellStyle name="60% - Accent4 2 4 3" xfId="2535" xr:uid="{00000000-0005-0000-0000-000047070000}"/>
    <cellStyle name="60% - Accent4 2 5" xfId="2536" xr:uid="{00000000-0005-0000-0000-000048070000}"/>
    <cellStyle name="60% - Accent4 2 5 2" xfId="2537" xr:uid="{00000000-0005-0000-0000-000049070000}"/>
    <cellStyle name="60% - Accent4 2 5 2 2" xfId="2538" xr:uid="{00000000-0005-0000-0000-00004A070000}"/>
    <cellStyle name="60% - Accent4 2 5 3" xfId="2539" xr:uid="{00000000-0005-0000-0000-00004B070000}"/>
    <cellStyle name="60% - Accent4 2 5 3 2" xfId="2540" xr:uid="{00000000-0005-0000-0000-00004C070000}"/>
    <cellStyle name="60% - Accent4 2 5 3 2 2" xfId="2541" xr:uid="{00000000-0005-0000-0000-00004D070000}"/>
    <cellStyle name="60% - Accent4 2 5 3 3" xfId="2542" xr:uid="{00000000-0005-0000-0000-00004E070000}"/>
    <cellStyle name="60% - Accent4 2 5 4" xfId="2543" xr:uid="{00000000-0005-0000-0000-00004F070000}"/>
    <cellStyle name="60% - Accent4 2 6" xfId="2544" xr:uid="{00000000-0005-0000-0000-000050070000}"/>
    <cellStyle name="60% - Accent4 2 6 2" xfId="2545" xr:uid="{00000000-0005-0000-0000-000051070000}"/>
    <cellStyle name="60% - Accent4 2 7" xfId="2546" xr:uid="{00000000-0005-0000-0000-000052070000}"/>
    <cellStyle name="60% - Accent4 2 7 2" xfId="2547" xr:uid="{00000000-0005-0000-0000-000053070000}"/>
    <cellStyle name="60% - Accent4 2 8" xfId="2548" xr:uid="{00000000-0005-0000-0000-000054070000}"/>
    <cellStyle name="60% - Accent4 2 8 2" xfId="2549" xr:uid="{00000000-0005-0000-0000-000055070000}"/>
    <cellStyle name="60% - Accent4 2 8 2 2" xfId="2550" xr:uid="{00000000-0005-0000-0000-000056070000}"/>
    <cellStyle name="60% - Accent4 2 8 3" xfId="2551" xr:uid="{00000000-0005-0000-0000-000057070000}"/>
    <cellStyle name="60% - Accent4 2 9" xfId="2552" xr:uid="{00000000-0005-0000-0000-000058070000}"/>
    <cellStyle name="60% - Accent4 2 9 2" xfId="2553" xr:uid="{00000000-0005-0000-0000-000059070000}"/>
    <cellStyle name="60% - Accent4 2 9 2 2" xfId="2554" xr:uid="{00000000-0005-0000-0000-00005A070000}"/>
    <cellStyle name="60% - Accent4 2 9 3" xfId="2555" xr:uid="{00000000-0005-0000-0000-00005B070000}"/>
    <cellStyle name="60% - Accent4 3" xfId="2556" xr:uid="{00000000-0005-0000-0000-00005C070000}"/>
    <cellStyle name="60% - Accent4 3 2" xfId="2557" xr:uid="{00000000-0005-0000-0000-00005D070000}"/>
    <cellStyle name="60% - Accent4 3 2 2" xfId="2558" xr:uid="{00000000-0005-0000-0000-00005E070000}"/>
    <cellStyle name="60% - Accent4 3 3" xfId="2559" xr:uid="{00000000-0005-0000-0000-00005F070000}"/>
    <cellStyle name="60% - Accent4 3 3 2" xfId="2560" xr:uid="{00000000-0005-0000-0000-000060070000}"/>
    <cellStyle name="60% - Accent4 3 4" xfId="2561" xr:uid="{00000000-0005-0000-0000-000061070000}"/>
    <cellStyle name="60% - Accent4 3 4 2" xfId="2562" xr:uid="{00000000-0005-0000-0000-000062070000}"/>
    <cellStyle name="60% - Accent4 3 4 2 2" xfId="2563" xr:uid="{00000000-0005-0000-0000-000063070000}"/>
    <cellStyle name="60% - Accent4 3 4 3" xfId="2564" xr:uid="{00000000-0005-0000-0000-000064070000}"/>
    <cellStyle name="60% - Accent4 3 5" xfId="2565" xr:uid="{00000000-0005-0000-0000-000065070000}"/>
    <cellStyle name="60% - Accent4 4" xfId="2566" xr:uid="{00000000-0005-0000-0000-000066070000}"/>
    <cellStyle name="60% - Accent4 4 2" xfId="2567" xr:uid="{00000000-0005-0000-0000-000067070000}"/>
    <cellStyle name="60% - Accent4 4 2 2" xfId="2568" xr:uid="{00000000-0005-0000-0000-000068070000}"/>
    <cellStyle name="60% - Accent4 4 3" xfId="2569" xr:uid="{00000000-0005-0000-0000-000069070000}"/>
    <cellStyle name="60% - Accent4 4 3 2" xfId="2570" xr:uid="{00000000-0005-0000-0000-00006A070000}"/>
    <cellStyle name="60% - Accent4 4 3 2 2" xfId="2571" xr:uid="{00000000-0005-0000-0000-00006B070000}"/>
    <cellStyle name="60% - Accent4 4 3 3" xfId="2572" xr:uid="{00000000-0005-0000-0000-00006C070000}"/>
    <cellStyle name="60% - Accent4 4 4" xfId="2573" xr:uid="{00000000-0005-0000-0000-00006D070000}"/>
    <cellStyle name="60% - Accent4 5" xfId="2574" xr:uid="{00000000-0005-0000-0000-00006E070000}"/>
    <cellStyle name="60% - Accent4 5 2" xfId="2575" xr:uid="{00000000-0005-0000-0000-00006F070000}"/>
    <cellStyle name="60% - Accent4 5 2 2" xfId="2576" xr:uid="{00000000-0005-0000-0000-000070070000}"/>
    <cellStyle name="60% - Accent4 5 3" xfId="2577" xr:uid="{00000000-0005-0000-0000-000071070000}"/>
    <cellStyle name="60% - Accent4 5 3 2" xfId="2578" xr:uid="{00000000-0005-0000-0000-000072070000}"/>
    <cellStyle name="60% - Accent4 5 3 2 2" xfId="2579" xr:uid="{00000000-0005-0000-0000-000073070000}"/>
    <cellStyle name="60% - Accent4 5 3 3" xfId="2580" xr:uid="{00000000-0005-0000-0000-000074070000}"/>
    <cellStyle name="60% - Accent4 5 4" xfId="2581" xr:uid="{00000000-0005-0000-0000-000075070000}"/>
    <cellStyle name="60% - Accent4 6" xfId="2582" xr:uid="{00000000-0005-0000-0000-000076070000}"/>
    <cellStyle name="60% - Accent4 6 2" xfId="2583" xr:uid="{00000000-0005-0000-0000-000077070000}"/>
    <cellStyle name="60% - Accent4 6 2 2" xfId="2584" xr:uid="{00000000-0005-0000-0000-000078070000}"/>
    <cellStyle name="60% - Accent4 6 3" xfId="2585" xr:uid="{00000000-0005-0000-0000-000079070000}"/>
    <cellStyle name="60% - Accent4 7" xfId="2586" xr:uid="{00000000-0005-0000-0000-00007A070000}"/>
    <cellStyle name="60% - Accent4 8" xfId="2587" xr:uid="{00000000-0005-0000-0000-00007B070000}"/>
    <cellStyle name="60% - Accent5 2" xfId="2588" xr:uid="{00000000-0005-0000-0000-00007C070000}"/>
    <cellStyle name="60% - Accent5 2 10" xfId="2589" xr:uid="{00000000-0005-0000-0000-00007D070000}"/>
    <cellStyle name="60% - Accent5 2 2" xfId="2590" xr:uid="{00000000-0005-0000-0000-00007E070000}"/>
    <cellStyle name="60% - Accent5 2 2 2" xfId="2591" xr:uid="{00000000-0005-0000-0000-00007F070000}"/>
    <cellStyle name="60% - Accent5 2 2 2 2" xfId="2592" xr:uid="{00000000-0005-0000-0000-000080070000}"/>
    <cellStyle name="60% - Accent5 2 2 3" xfId="2593" xr:uid="{00000000-0005-0000-0000-000081070000}"/>
    <cellStyle name="60% - Accent5 2 2 3 2" xfId="2594" xr:uid="{00000000-0005-0000-0000-000082070000}"/>
    <cellStyle name="60% - Accent5 2 2 3 2 2" xfId="2595" xr:uid="{00000000-0005-0000-0000-000083070000}"/>
    <cellStyle name="60% - Accent5 2 2 3 3" xfId="2596" xr:uid="{00000000-0005-0000-0000-000084070000}"/>
    <cellStyle name="60% - Accent5 2 2 4" xfId="2597" xr:uid="{00000000-0005-0000-0000-000085070000}"/>
    <cellStyle name="60% - Accent5 2 3" xfId="2598" xr:uid="{00000000-0005-0000-0000-000086070000}"/>
    <cellStyle name="60% - Accent5 2 3 2" xfId="2599" xr:uid="{00000000-0005-0000-0000-000087070000}"/>
    <cellStyle name="60% - Accent5 2 3 2 2" xfId="2600" xr:uid="{00000000-0005-0000-0000-000088070000}"/>
    <cellStyle name="60% - Accent5 2 3 3" xfId="2601" xr:uid="{00000000-0005-0000-0000-000089070000}"/>
    <cellStyle name="60% - Accent5 2 3 3 2" xfId="2602" xr:uid="{00000000-0005-0000-0000-00008A070000}"/>
    <cellStyle name="60% - Accent5 2 3 3 2 2" xfId="2603" xr:uid="{00000000-0005-0000-0000-00008B070000}"/>
    <cellStyle name="60% - Accent5 2 3 3 3" xfId="2604" xr:uid="{00000000-0005-0000-0000-00008C070000}"/>
    <cellStyle name="60% - Accent5 2 3 4" xfId="2605" xr:uid="{00000000-0005-0000-0000-00008D070000}"/>
    <cellStyle name="60% - Accent5 2 4" xfId="2606" xr:uid="{00000000-0005-0000-0000-00008E070000}"/>
    <cellStyle name="60% - Accent5 2 4 2" xfId="2607" xr:uid="{00000000-0005-0000-0000-00008F070000}"/>
    <cellStyle name="60% - Accent5 2 4 2 2" xfId="2608" xr:uid="{00000000-0005-0000-0000-000090070000}"/>
    <cellStyle name="60% - Accent5 2 4 3" xfId="2609" xr:uid="{00000000-0005-0000-0000-000091070000}"/>
    <cellStyle name="60% - Accent5 2 5" xfId="2610" xr:uid="{00000000-0005-0000-0000-000092070000}"/>
    <cellStyle name="60% - Accent5 2 5 2" xfId="2611" xr:uid="{00000000-0005-0000-0000-000093070000}"/>
    <cellStyle name="60% - Accent5 2 5 2 2" xfId="2612" xr:uid="{00000000-0005-0000-0000-000094070000}"/>
    <cellStyle name="60% - Accent5 2 5 3" xfId="2613" xr:uid="{00000000-0005-0000-0000-000095070000}"/>
    <cellStyle name="60% - Accent5 2 5 3 2" xfId="2614" xr:uid="{00000000-0005-0000-0000-000096070000}"/>
    <cellStyle name="60% - Accent5 2 5 3 2 2" xfId="2615" xr:uid="{00000000-0005-0000-0000-000097070000}"/>
    <cellStyle name="60% - Accent5 2 5 3 3" xfId="2616" xr:uid="{00000000-0005-0000-0000-000098070000}"/>
    <cellStyle name="60% - Accent5 2 5 4" xfId="2617" xr:uid="{00000000-0005-0000-0000-000099070000}"/>
    <cellStyle name="60% - Accent5 2 6" xfId="2618" xr:uid="{00000000-0005-0000-0000-00009A070000}"/>
    <cellStyle name="60% - Accent5 2 6 2" xfId="2619" xr:uid="{00000000-0005-0000-0000-00009B070000}"/>
    <cellStyle name="60% - Accent5 2 7" xfId="2620" xr:uid="{00000000-0005-0000-0000-00009C070000}"/>
    <cellStyle name="60% - Accent5 2 7 2" xfId="2621" xr:uid="{00000000-0005-0000-0000-00009D070000}"/>
    <cellStyle name="60% - Accent5 2 8" xfId="2622" xr:uid="{00000000-0005-0000-0000-00009E070000}"/>
    <cellStyle name="60% - Accent5 2 8 2" xfId="2623" xr:uid="{00000000-0005-0000-0000-00009F070000}"/>
    <cellStyle name="60% - Accent5 2 8 2 2" xfId="2624" xr:uid="{00000000-0005-0000-0000-0000A0070000}"/>
    <cellStyle name="60% - Accent5 2 8 3" xfId="2625" xr:uid="{00000000-0005-0000-0000-0000A1070000}"/>
    <cellStyle name="60% - Accent5 2 9" xfId="2626" xr:uid="{00000000-0005-0000-0000-0000A2070000}"/>
    <cellStyle name="60% - Accent5 2 9 2" xfId="2627" xr:uid="{00000000-0005-0000-0000-0000A3070000}"/>
    <cellStyle name="60% - Accent5 2 9 2 2" xfId="2628" xr:uid="{00000000-0005-0000-0000-0000A4070000}"/>
    <cellStyle name="60% - Accent5 2 9 3" xfId="2629" xr:uid="{00000000-0005-0000-0000-0000A5070000}"/>
    <cellStyle name="60% - Accent5 3" xfId="2630" xr:uid="{00000000-0005-0000-0000-0000A6070000}"/>
    <cellStyle name="60% - Accent5 3 2" xfId="2631" xr:uid="{00000000-0005-0000-0000-0000A7070000}"/>
    <cellStyle name="60% - Accent5 3 2 2" xfId="2632" xr:uid="{00000000-0005-0000-0000-0000A8070000}"/>
    <cellStyle name="60% - Accent5 3 3" xfId="2633" xr:uid="{00000000-0005-0000-0000-0000A9070000}"/>
    <cellStyle name="60% - Accent5 3 3 2" xfId="2634" xr:uid="{00000000-0005-0000-0000-0000AA070000}"/>
    <cellStyle name="60% - Accent5 3 4" xfId="2635" xr:uid="{00000000-0005-0000-0000-0000AB070000}"/>
    <cellStyle name="60% - Accent5 3 4 2" xfId="2636" xr:uid="{00000000-0005-0000-0000-0000AC070000}"/>
    <cellStyle name="60% - Accent5 3 4 2 2" xfId="2637" xr:uid="{00000000-0005-0000-0000-0000AD070000}"/>
    <cellStyle name="60% - Accent5 3 4 3" xfId="2638" xr:uid="{00000000-0005-0000-0000-0000AE070000}"/>
    <cellStyle name="60% - Accent5 3 5" xfId="2639" xr:uid="{00000000-0005-0000-0000-0000AF070000}"/>
    <cellStyle name="60% - Accent5 4" xfId="2640" xr:uid="{00000000-0005-0000-0000-0000B0070000}"/>
    <cellStyle name="60% - Accent5 4 2" xfId="2641" xr:uid="{00000000-0005-0000-0000-0000B1070000}"/>
    <cellStyle name="60% - Accent5 4 2 2" xfId="2642" xr:uid="{00000000-0005-0000-0000-0000B2070000}"/>
    <cellStyle name="60% - Accent5 4 3" xfId="2643" xr:uid="{00000000-0005-0000-0000-0000B3070000}"/>
    <cellStyle name="60% - Accent5 4 3 2" xfId="2644" xr:uid="{00000000-0005-0000-0000-0000B4070000}"/>
    <cellStyle name="60% - Accent5 4 3 2 2" xfId="2645" xr:uid="{00000000-0005-0000-0000-0000B5070000}"/>
    <cellStyle name="60% - Accent5 4 3 3" xfId="2646" xr:uid="{00000000-0005-0000-0000-0000B6070000}"/>
    <cellStyle name="60% - Accent5 4 4" xfId="2647" xr:uid="{00000000-0005-0000-0000-0000B7070000}"/>
    <cellStyle name="60% - Accent5 5" xfId="2648" xr:uid="{00000000-0005-0000-0000-0000B8070000}"/>
    <cellStyle name="60% - Accent5 5 2" xfId="2649" xr:uid="{00000000-0005-0000-0000-0000B9070000}"/>
    <cellStyle name="60% - Accent5 5 2 2" xfId="2650" xr:uid="{00000000-0005-0000-0000-0000BA070000}"/>
    <cellStyle name="60% - Accent5 5 3" xfId="2651" xr:uid="{00000000-0005-0000-0000-0000BB070000}"/>
    <cellStyle name="60% - Accent5 5 3 2" xfId="2652" xr:uid="{00000000-0005-0000-0000-0000BC070000}"/>
    <cellStyle name="60% - Accent5 5 3 2 2" xfId="2653" xr:uid="{00000000-0005-0000-0000-0000BD070000}"/>
    <cellStyle name="60% - Accent5 5 3 3" xfId="2654" xr:uid="{00000000-0005-0000-0000-0000BE070000}"/>
    <cellStyle name="60% - Accent5 5 4" xfId="2655" xr:uid="{00000000-0005-0000-0000-0000BF070000}"/>
    <cellStyle name="60% - Accent5 6" xfId="2656" xr:uid="{00000000-0005-0000-0000-0000C0070000}"/>
    <cellStyle name="60% - Accent5 6 2" xfId="2657" xr:uid="{00000000-0005-0000-0000-0000C1070000}"/>
    <cellStyle name="60% - Accent5 6 2 2" xfId="2658" xr:uid="{00000000-0005-0000-0000-0000C2070000}"/>
    <cellStyle name="60% - Accent5 6 3" xfId="2659" xr:uid="{00000000-0005-0000-0000-0000C3070000}"/>
    <cellStyle name="60% - Accent5 7" xfId="2660" xr:uid="{00000000-0005-0000-0000-0000C4070000}"/>
    <cellStyle name="60% - Accent5 8" xfId="2661" xr:uid="{00000000-0005-0000-0000-0000C5070000}"/>
    <cellStyle name="60% - Accent6 2" xfId="2662" xr:uid="{00000000-0005-0000-0000-0000C6070000}"/>
    <cellStyle name="60% - Accent6 2 10" xfId="2663" xr:uid="{00000000-0005-0000-0000-0000C7070000}"/>
    <cellStyle name="60% - Accent6 2 2" xfId="2664" xr:uid="{00000000-0005-0000-0000-0000C8070000}"/>
    <cellStyle name="60% - Accent6 2 2 2" xfId="2665" xr:uid="{00000000-0005-0000-0000-0000C9070000}"/>
    <cellStyle name="60% - Accent6 2 2 2 2" xfId="2666" xr:uid="{00000000-0005-0000-0000-0000CA070000}"/>
    <cellStyle name="60% - Accent6 2 2 3" xfId="2667" xr:uid="{00000000-0005-0000-0000-0000CB070000}"/>
    <cellStyle name="60% - Accent6 2 2 3 2" xfId="2668" xr:uid="{00000000-0005-0000-0000-0000CC070000}"/>
    <cellStyle name="60% - Accent6 2 2 3 2 2" xfId="2669" xr:uid="{00000000-0005-0000-0000-0000CD070000}"/>
    <cellStyle name="60% - Accent6 2 2 3 3" xfId="2670" xr:uid="{00000000-0005-0000-0000-0000CE070000}"/>
    <cellStyle name="60% - Accent6 2 2 4" xfId="2671" xr:uid="{00000000-0005-0000-0000-0000CF070000}"/>
    <cellStyle name="60% - Accent6 2 3" xfId="2672" xr:uid="{00000000-0005-0000-0000-0000D0070000}"/>
    <cellStyle name="60% - Accent6 2 3 2" xfId="2673" xr:uid="{00000000-0005-0000-0000-0000D1070000}"/>
    <cellStyle name="60% - Accent6 2 3 2 2" xfId="2674" xr:uid="{00000000-0005-0000-0000-0000D2070000}"/>
    <cellStyle name="60% - Accent6 2 3 3" xfId="2675" xr:uid="{00000000-0005-0000-0000-0000D3070000}"/>
    <cellStyle name="60% - Accent6 2 3 3 2" xfId="2676" xr:uid="{00000000-0005-0000-0000-0000D4070000}"/>
    <cellStyle name="60% - Accent6 2 3 3 2 2" xfId="2677" xr:uid="{00000000-0005-0000-0000-0000D5070000}"/>
    <cellStyle name="60% - Accent6 2 3 3 3" xfId="2678" xr:uid="{00000000-0005-0000-0000-0000D6070000}"/>
    <cellStyle name="60% - Accent6 2 3 4" xfId="2679" xr:uid="{00000000-0005-0000-0000-0000D7070000}"/>
    <cellStyle name="60% - Accent6 2 4" xfId="2680" xr:uid="{00000000-0005-0000-0000-0000D8070000}"/>
    <cellStyle name="60% - Accent6 2 4 2" xfId="2681" xr:uid="{00000000-0005-0000-0000-0000D9070000}"/>
    <cellStyle name="60% - Accent6 2 4 2 2" xfId="2682" xr:uid="{00000000-0005-0000-0000-0000DA070000}"/>
    <cellStyle name="60% - Accent6 2 4 3" xfId="2683" xr:uid="{00000000-0005-0000-0000-0000DB070000}"/>
    <cellStyle name="60% - Accent6 2 5" xfId="2684" xr:uid="{00000000-0005-0000-0000-0000DC070000}"/>
    <cellStyle name="60% - Accent6 2 5 2" xfId="2685" xr:uid="{00000000-0005-0000-0000-0000DD070000}"/>
    <cellStyle name="60% - Accent6 2 5 2 2" xfId="2686" xr:uid="{00000000-0005-0000-0000-0000DE070000}"/>
    <cellStyle name="60% - Accent6 2 5 3" xfId="2687" xr:uid="{00000000-0005-0000-0000-0000DF070000}"/>
    <cellStyle name="60% - Accent6 2 5 3 2" xfId="2688" xr:uid="{00000000-0005-0000-0000-0000E0070000}"/>
    <cellStyle name="60% - Accent6 2 5 3 2 2" xfId="2689" xr:uid="{00000000-0005-0000-0000-0000E1070000}"/>
    <cellStyle name="60% - Accent6 2 5 3 3" xfId="2690" xr:uid="{00000000-0005-0000-0000-0000E2070000}"/>
    <cellStyle name="60% - Accent6 2 5 4" xfId="2691" xr:uid="{00000000-0005-0000-0000-0000E3070000}"/>
    <cellStyle name="60% - Accent6 2 6" xfId="2692" xr:uid="{00000000-0005-0000-0000-0000E4070000}"/>
    <cellStyle name="60% - Accent6 2 6 2" xfId="2693" xr:uid="{00000000-0005-0000-0000-0000E5070000}"/>
    <cellStyle name="60% - Accent6 2 7" xfId="2694" xr:uid="{00000000-0005-0000-0000-0000E6070000}"/>
    <cellStyle name="60% - Accent6 2 7 2" xfId="2695" xr:uid="{00000000-0005-0000-0000-0000E7070000}"/>
    <cellStyle name="60% - Accent6 2 8" xfId="2696" xr:uid="{00000000-0005-0000-0000-0000E8070000}"/>
    <cellStyle name="60% - Accent6 2 8 2" xfId="2697" xr:uid="{00000000-0005-0000-0000-0000E9070000}"/>
    <cellStyle name="60% - Accent6 2 8 2 2" xfId="2698" xr:uid="{00000000-0005-0000-0000-0000EA070000}"/>
    <cellStyle name="60% - Accent6 2 8 3" xfId="2699" xr:uid="{00000000-0005-0000-0000-0000EB070000}"/>
    <cellStyle name="60% - Accent6 2 9" xfId="2700" xr:uid="{00000000-0005-0000-0000-0000EC070000}"/>
    <cellStyle name="60% - Accent6 2 9 2" xfId="2701" xr:uid="{00000000-0005-0000-0000-0000ED070000}"/>
    <cellStyle name="60% - Accent6 2 9 2 2" xfId="2702" xr:uid="{00000000-0005-0000-0000-0000EE070000}"/>
    <cellStyle name="60% - Accent6 2 9 3" xfId="2703" xr:uid="{00000000-0005-0000-0000-0000EF070000}"/>
    <cellStyle name="60% - Accent6 3" xfId="2704" xr:uid="{00000000-0005-0000-0000-0000F0070000}"/>
    <cellStyle name="60% - Accent6 3 2" xfId="2705" xr:uid="{00000000-0005-0000-0000-0000F1070000}"/>
    <cellStyle name="60% - Accent6 3 2 2" xfId="2706" xr:uid="{00000000-0005-0000-0000-0000F2070000}"/>
    <cellStyle name="60% - Accent6 3 3" xfId="2707" xr:uid="{00000000-0005-0000-0000-0000F3070000}"/>
    <cellStyle name="60% - Accent6 3 3 2" xfId="2708" xr:uid="{00000000-0005-0000-0000-0000F4070000}"/>
    <cellStyle name="60% - Accent6 3 4" xfId="2709" xr:uid="{00000000-0005-0000-0000-0000F5070000}"/>
    <cellStyle name="60% - Accent6 3 4 2" xfId="2710" xr:uid="{00000000-0005-0000-0000-0000F6070000}"/>
    <cellStyle name="60% - Accent6 3 4 2 2" xfId="2711" xr:uid="{00000000-0005-0000-0000-0000F7070000}"/>
    <cellStyle name="60% - Accent6 3 4 3" xfId="2712" xr:uid="{00000000-0005-0000-0000-0000F8070000}"/>
    <cellStyle name="60% - Accent6 3 5" xfId="2713" xr:uid="{00000000-0005-0000-0000-0000F9070000}"/>
    <cellStyle name="60% - Accent6 4" xfId="2714" xr:uid="{00000000-0005-0000-0000-0000FA070000}"/>
    <cellStyle name="60% - Accent6 4 2" xfId="2715" xr:uid="{00000000-0005-0000-0000-0000FB070000}"/>
    <cellStyle name="60% - Accent6 4 2 2" xfId="2716" xr:uid="{00000000-0005-0000-0000-0000FC070000}"/>
    <cellStyle name="60% - Accent6 4 3" xfId="2717" xr:uid="{00000000-0005-0000-0000-0000FD070000}"/>
    <cellStyle name="60% - Accent6 4 3 2" xfId="2718" xr:uid="{00000000-0005-0000-0000-0000FE070000}"/>
    <cellStyle name="60% - Accent6 4 3 2 2" xfId="2719" xr:uid="{00000000-0005-0000-0000-0000FF070000}"/>
    <cellStyle name="60% - Accent6 4 3 3" xfId="2720" xr:uid="{00000000-0005-0000-0000-000000080000}"/>
    <cellStyle name="60% - Accent6 4 4" xfId="2721" xr:uid="{00000000-0005-0000-0000-000001080000}"/>
    <cellStyle name="60% - Accent6 5" xfId="2722" xr:uid="{00000000-0005-0000-0000-000002080000}"/>
    <cellStyle name="60% - Accent6 5 2" xfId="2723" xr:uid="{00000000-0005-0000-0000-000003080000}"/>
    <cellStyle name="60% - Accent6 5 2 2" xfId="2724" xr:uid="{00000000-0005-0000-0000-000004080000}"/>
    <cellStyle name="60% - Accent6 5 3" xfId="2725" xr:uid="{00000000-0005-0000-0000-000005080000}"/>
    <cellStyle name="60% - Accent6 5 3 2" xfId="2726" xr:uid="{00000000-0005-0000-0000-000006080000}"/>
    <cellStyle name="60% - Accent6 5 3 2 2" xfId="2727" xr:uid="{00000000-0005-0000-0000-000007080000}"/>
    <cellStyle name="60% - Accent6 5 3 3" xfId="2728" xr:uid="{00000000-0005-0000-0000-000008080000}"/>
    <cellStyle name="60% - Accent6 5 4" xfId="2729" xr:uid="{00000000-0005-0000-0000-000009080000}"/>
    <cellStyle name="60% - Accent6 6" xfId="2730" xr:uid="{00000000-0005-0000-0000-00000A080000}"/>
    <cellStyle name="60% - Accent6 6 2" xfId="2731" xr:uid="{00000000-0005-0000-0000-00000B080000}"/>
    <cellStyle name="60% - Accent6 6 2 2" xfId="2732" xr:uid="{00000000-0005-0000-0000-00000C080000}"/>
    <cellStyle name="60% - Accent6 6 3" xfId="2733" xr:uid="{00000000-0005-0000-0000-00000D080000}"/>
    <cellStyle name="60% - Accent6 7" xfId="2734" xr:uid="{00000000-0005-0000-0000-00000E080000}"/>
    <cellStyle name="60% - Accent6 8" xfId="2735" xr:uid="{00000000-0005-0000-0000-00000F080000}"/>
    <cellStyle name="Accent1 - 20%" xfId="1" xr:uid="{00000000-0005-0000-0000-000010080000}"/>
    <cellStyle name="Accent1 - 20% 10" xfId="2736" xr:uid="{00000000-0005-0000-0000-000011080000}"/>
    <cellStyle name="Accent1 - 20% 11" xfId="2737" xr:uid="{00000000-0005-0000-0000-000012080000}"/>
    <cellStyle name="Accent1 - 20% 2" xfId="2738" xr:uid="{00000000-0005-0000-0000-000013080000}"/>
    <cellStyle name="Accent1 - 20% 2 2" xfId="2739" xr:uid="{00000000-0005-0000-0000-000014080000}"/>
    <cellStyle name="Accent1 - 20% 2 2 2" xfId="2740" xr:uid="{00000000-0005-0000-0000-000015080000}"/>
    <cellStyle name="Accent1 - 20% 2 2 2 2" xfId="2741" xr:uid="{00000000-0005-0000-0000-000016080000}"/>
    <cellStyle name="Accent1 - 20% 2 2 3" xfId="2742" xr:uid="{00000000-0005-0000-0000-000017080000}"/>
    <cellStyle name="Accent1 - 20% 2 3" xfId="2743" xr:uid="{00000000-0005-0000-0000-000018080000}"/>
    <cellStyle name="Accent1 - 20% 2 3 2" xfId="2744" xr:uid="{00000000-0005-0000-0000-000019080000}"/>
    <cellStyle name="Accent1 - 20% 2 3 2 2" xfId="2745" xr:uid="{00000000-0005-0000-0000-00001A080000}"/>
    <cellStyle name="Accent1 - 20% 2 3 2 2 2" xfId="2746" xr:uid="{00000000-0005-0000-0000-00001B080000}"/>
    <cellStyle name="Accent1 - 20% 2 3 2 3" xfId="2747" xr:uid="{00000000-0005-0000-0000-00001C080000}"/>
    <cellStyle name="Accent1 - 20% 2 3 3" xfId="2748" xr:uid="{00000000-0005-0000-0000-00001D080000}"/>
    <cellStyle name="Accent1 - 20% 2 3 3 2" xfId="2749" xr:uid="{00000000-0005-0000-0000-00001E080000}"/>
    <cellStyle name="Accent1 - 20% 2 3 4" xfId="2750" xr:uid="{00000000-0005-0000-0000-00001F080000}"/>
    <cellStyle name="Accent1 - 20% 2 4" xfId="2751" xr:uid="{00000000-0005-0000-0000-000020080000}"/>
    <cellStyle name="Accent1 - 20% 2 4 2" xfId="2752" xr:uid="{00000000-0005-0000-0000-000021080000}"/>
    <cellStyle name="Accent1 - 20% 2 4 2 2" xfId="2753" xr:uid="{00000000-0005-0000-0000-000022080000}"/>
    <cellStyle name="Accent1 - 20% 2 4 2 2 2" xfId="2754" xr:uid="{00000000-0005-0000-0000-000023080000}"/>
    <cellStyle name="Accent1 - 20% 2 4 2 3" xfId="2755" xr:uid="{00000000-0005-0000-0000-000024080000}"/>
    <cellStyle name="Accent1 - 20% 2 4 3" xfId="2756" xr:uid="{00000000-0005-0000-0000-000025080000}"/>
    <cellStyle name="Accent1 - 20% 2 4 3 2" xfId="2757" xr:uid="{00000000-0005-0000-0000-000026080000}"/>
    <cellStyle name="Accent1 - 20% 2 4 4" xfId="2758" xr:uid="{00000000-0005-0000-0000-000027080000}"/>
    <cellStyle name="Accent1 - 20% 2 5" xfId="2759" xr:uid="{00000000-0005-0000-0000-000028080000}"/>
    <cellStyle name="Accent1 - 20% 2 5 2" xfId="2760" xr:uid="{00000000-0005-0000-0000-000029080000}"/>
    <cellStyle name="Accent1 - 20% 2 6" xfId="2761" xr:uid="{00000000-0005-0000-0000-00002A080000}"/>
    <cellStyle name="Accent1 - 20% 2 6 2" xfId="2762" xr:uid="{00000000-0005-0000-0000-00002B080000}"/>
    <cellStyle name="Accent1 - 20% 2 7" xfId="2763" xr:uid="{00000000-0005-0000-0000-00002C080000}"/>
    <cellStyle name="Accent1 - 20% 3" xfId="2764" xr:uid="{00000000-0005-0000-0000-00002D080000}"/>
    <cellStyle name="Accent1 - 20% 3 2" xfId="2765" xr:uid="{00000000-0005-0000-0000-00002E080000}"/>
    <cellStyle name="Accent1 - 20% 3 2 2" xfId="2766" xr:uid="{00000000-0005-0000-0000-00002F080000}"/>
    <cellStyle name="Accent1 - 20% 3 2 2 2" xfId="2767" xr:uid="{00000000-0005-0000-0000-000030080000}"/>
    <cellStyle name="Accent1 - 20% 3 2 3" xfId="2768" xr:uid="{00000000-0005-0000-0000-000031080000}"/>
    <cellStyle name="Accent1 - 20% 3 3" xfId="2769" xr:uid="{00000000-0005-0000-0000-000032080000}"/>
    <cellStyle name="Accent1 - 20% 3 3 2" xfId="2770" xr:uid="{00000000-0005-0000-0000-000033080000}"/>
    <cellStyle name="Accent1 - 20% 3 4" xfId="2771" xr:uid="{00000000-0005-0000-0000-000034080000}"/>
    <cellStyle name="Accent1 - 20% 4" xfId="2772" xr:uid="{00000000-0005-0000-0000-000035080000}"/>
    <cellStyle name="Accent1 - 20% 4 2" xfId="2773" xr:uid="{00000000-0005-0000-0000-000036080000}"/>
    <cellStyle name="Accent1 - 20% 4 2 2" xfId="2774" xr:uid="{00000000-0005-0000-0000-000037080000}"/>
    <cellStyle name="Accent1 - 20% 4 3" xfId="2775" xr:uid="{00000000-0005-0000-0000-000038080000}"/>
    <cellStyle name="Accent1 - 20% 5" xfId="2776" xr:uid="{00000000-0005-0000-0000-000039080000}"/>
    <cellStyle name="Accent1 - 20% 5 2" xfId="2777" xr:uid="{00000000-0005-0000-0000-00003A080000}"/>
    <cellStyle name="Accent1 - 20% 5 2 2" xfId="2778" xr:uid="{00000000-0005-0000-0000-00003B080000}"/>
    <cellStyle name="Accent1 - 20% 5 3" xfId="2779" xr:uid="{00000000-0005-0000-0000-00003C080000}"/>
    <cellStyle name="Accent1 - 20% 6" xfId="2780" xr:uid="{00000000-0005-0000-0000-00003D080000}"/>
    <cellStyle name="Accent1 - 20% 6 2" xfId="2781" xr:uid="{00000000-0005-0000-0000-00003E080000}"/>
    <cellStyle name="Accent1 - 20% 7" xfId="2782" xr:uid="{00000000-0005-0000-0000-00003F080000}"/>
    <cellStyle name="Accent1 - 20% 7 2" xfId="2783" xr:uid="{00000000-0005-0000-0000-000040080000}"/>
    <cellStyle name="Accent1 - 20% 8" xfId="2784" xr:uid="{00000000-0005-0000-0000-000041080000}"/>
    <cellStyle name="Accent1 - 20% 8 2" xfId="2785" xr:uid="{00000000-0005-0000-0000-000042080000}"/>
    <cellStyle name="Accent1 - 20% 9" xfId="2786" xr:uid="{00000000-0005-0000-0000-000043080000}"/>
    <cellStyle name="Accent1 - 20% 9 2" xfId="2787" xr:uid="{00000000-0005-0000-0000-000044080000}"/>
    <cellStyle name="Accent1 - 40%" xfId="2" xr:uid="{00000000-0005-0000-0000-000045080000}"/>
    <cellStyle name="Accent1 - 40% 10" xfId="2788" xr:uid="{00000000-0005-0000-0000-000046080000}"/>
    <cellStyle name="Accent1 - 40% 11" xfId="2789" xr:uid="{00000000-0005-0000-0000-000047080000}"/>
    <cellStyle name="Accent1 - 40% 2" xfId="2790" xr:uid="{00000000-0005-0000-0000-000048080000}"/>
    <cellStyle name="Accent1 - 40% 2 2" xfId="2791" xr:uid="{00000000-0005-0000-0000-000049080000}"/>
    <cellStyle name="Accent1 - 40% 2 2 2" xfId="2792" xr:uid="{00000000-0005-0000-0000-00004A080000}"/>
    <cellStyle name="Accent1 - 40% 2 2 2 2" xfId="2793" xr:uid="{00000000-0005-0000-0000-00004B080000}"/>
    <cellStyle name="Accent1 - 40% 2 2 3" xfId="2794" xr:uid="{00000000-0005-0000-0000-00004C080000}"/>
    <cellStyle name="Accent1 - 40% 2 3" xfId="2795" xr:uid="{00000000-0005-0000-0000-00004D080000}"/>
    <cellStyle name="Accent1 - 40% 2 3 2" xfId="2796" xr:uid="{00000000-0005-0000-0000-00004E080000}"/>
    <cellStyle name="Accent1 - 40% 2 3 2 2" xfId="2797" xr:uid="{00000000-0005-0000-0000-00004F080000}"/>
    <cellStyle name="Accent1 - 40% 2 3 2 2 2" xfId="2798" xr:uid="{00000000-0005-0000-0000-000050080000}"/>
    <cellStyle name="Accent1 - 40% 2 3 2 3" xfId="2799" xr:uid="{00000000-0005-0000-0000-000051080000}"/>
    <cellStyle name="Accent1 - 40% 2 3 3" xfId="2800" xr:uid="{00000000-0005-0000-0000-000052080000}"/>
    <cellStyle name="Accent1 - 40% 2 3 3 2" xfId="2801" xr:uid="{00000000-0005-0000-0000-000053080000}"/>
    <cellStyle name="Accent1 - 40% 2 3 4" xfId="2802" xr:uid="{00000000-0005-0000-0000-000054080000}"/>
    <cellStyle name="Accent1 - 40% 2 4" xfId="2803" xr:uid="{00000000-0005-0000-0000-000055080000}"/>
    <cellStyle name="Accent1 - 40% 2 4 2" xfId="2804" xr:uid="{00000000-0005-0000-0000-000056080000}"/>
    <cellStyle name="Accent1 - 40% 2 4 2 2" xfId="2805" xr:uid="{00000000-0005-0000-0000-000057080000}"/>
    <cellStyle name="Accent1 - 40% 2 4 2 2 2" xfId="2806" xr:uid="{00000000-0005-0000-0000-000058080000}"/>
    <cellStyle name="Accent1 - 40% 2 4 2 3" xfId="2807" xr:uid="{00000000-0005-0000-0000-000059080000}"/>
    <cellStyle name="Accent1 - 40% 2 4 3" xfId="2808" xr:uid="{00000000-0005-0000-0000-00005A080000}"/>
    <cellStyle name="Accent1 - 40% 2 4 3 2" xfId="2809" xr:uid="{00000000-0005-0000-0000-00005B080000}"/>
    <cellStyle name="Accent1 - 40% 2 4 4" xfId="2810" xr:uid="{00000000-0005-0000-0000-00005C080000}"/>
    <cellStyle name="Accent1 - 40% 2 5" xfId="2811" xr:uid="{00000000-0005-0000-0000-00005D080000}"/>
    <cellStyle name="Accent1 - 40% 2 5 2" xfId="2812" xr:uid="{00000000-0005-0000-0000-00005E080000}"/>
    <cellStyle name="Accent1 - 40% 2 6" xfId="2813" xr:uid="{00000000-0005-0000-0000-00005F080000}"/>
    <cellStyle name="Accent1 - 40% 2 6 2" xfId="2814" xr:uid="{00000000-0005-0000-0000-000060080000}"/>
    <cellStyle name="Accent1 - 40% 2 7" xfId="2815" xr:uid="{00000000-0005-0000-0000-000061080000}"/>
    <cellStyle name="Accent1 - 40% 3" xfId="2816" xr:uid="{00000000-0005-0000-0000-000062080000}"/>
    <cellStyle name="Accent1 - 40% 3 2" xfId="2817" xr:uid="{00000000-0005-0000-0000-000063080000}"/>
    <cellStyle name="Accent1 - 40% 3 2 2" xfId="2818" xr:uid="{00000000-0005-0000-0000-000064080000}"/>
    <cellStyle name="Accent1 - 40% 3 2 2 2" xfId="2819" xr:uid="{00000000-0005-0000-0000-000065080000}"/>
    <cellStyle name="Accent1 - 40% 3 2 3" xfId="2820" xr:uid="{00000000-0005-0000-0000-000066080000}"/>
    <cellStyle name="Accent1 - 40% 3 3" xfId="2821" xr:uid="{00000000-0005-0000-0000-000067080000}"/>
    <cellStyle name="Accent1 - 40% 3 3 2" xfId="2822" xr:uid="{00000000-0005-0000-0000-000068080000}"/>
    <cellStyle name="Accent1 - 40% 3 4" xfId="2823" xr:uid="{00000000-0005-0000-0000-000069080000}"/>
    <cellStyle name="Accent1 - 40% 4" xfId="2824" xr:uid="{00000000-0005-0000-0000-00006A080000}"/>
    <cellStyle name="Accent1 - 40% 4 2" xfId="2825" xr:uid="{00000000-0005-0000-0000-00006B080000}"/>
    <cellStyle name="Accent1 - 40% 4 2 2" xfId="2826" xr:uid="{00000000-0005-0000-0000-00006C080000}"/>
    <cellStyle name="Accent1 - 40% 4 3" xfId="2827" xr:uid="{00000000-0005-0000-0000-00006D080000}"/>
    <cellStyle name="Accent1 - 40% 5" xfId="2828" xr:uid="{00000000-0005-0000-0000-00006E080000}"/>
    <cellStyle name="Accent1 - 40% 5 2" xfId="2829" xr:uid="{00000000-0005-0000-0000-00006F080000}"/>
    <cellStyle name="Accent1 - 40% 5 2 2" xfId="2830" xr:uid="{00000000-0005-0000-0000-000070080000}"/>
    <cellStyle name="Accent1 - 40% 5 3" xfId="2831" xr:uid="{00000000-0005-0000-0000-000071080000}"/>
    <cellStyle name="Accent1 - 40% 6" xfId="2832" xr:uid="{00000000-0005-0000-0000-000072080000}"/>
    <cellStyle name="Accent1 - 40% 6 2" xfId="2833" xr:uid="{00000000-0005-0000-0000-000073080000}"/>
    <cellStyle name="Accent1 - 40% 7" xfId="2834" xr:uid="{00000000-0005-0000-0000-000074080000}"/>
    <cellStyle name="Accent1 - 40% 7 2" xfId="2835" xr:uid="{00000000-0005-0000-0000-000075080000}"/>
    <cellStyle name="Accent1 - 40% 8" xfId="2836" xr:uid="{00000000-0005-0000-0000-000076080000}"/>
    <cellStyle name="Accent1 - 40% 8 2" xfId="2837" xr:uid="{00000000-0005-0000-0000-000077080000}"/>
    <cellStyle name="Accent1 - 40% 9" xfId="2838" xr:uid="{00000000-0005-0000-0000-000078080000}"/>
    <cellStyle name="Accent1 - 40% 9 2" xfId="2839" xr:uid="{00000000-0005-0000-0000-000079080000}"/>
    <cellStyle name="Accent1 - 60%" xfId="3" xr:uid="{00000000-0005-0000-0000-00007A080000}"/>
    <cellStyle name="Accent1 - 60% 10" xfId="2840" xr:uid="{00000000-0005-0000-0000-00007B080000}"/>
    <cellStyle name="Accent1 - 60% 2" xfId="2841" xr:uid="{00000000-0005-0000-0000-00007C080000}"/>
    <cellStyle name="Accent1 - 60% 2 2" xfId="2842" xr:uid="{00000000-0005-0000-0000-00007D080000}"/>
    <cellStyle name="Accent1 - 60% 2 2 2" xfId="2843" xr:uid="{00000000-0005-0000-0000-00007E080000}"/>
    <cellStyle name="Accent1 - 60% 2 3" xfId="2844" xr:uid="{00000000-0005-0000-0000-00007F080000}"/>
    <cellStyle name="Accent1 - 60% 2 3 2" xfId="2845" xr:uid="{00000000-0005-0000-0000-000080080000}"/>
    <cellStyle name="Accent1 - 60% 2 3 2 2" xfId="2846" xr:uid="{00000000-0005-0000-0000-000081080000}"/>
    <cellStyle name="Accent1 - 60% 2 3 3" xfId="2847" xr:uid="{00000000-0005-0000-0000-000082080000}"/>
    <cellStyle name="Accent1 - 60% 2 4" xfId="2848" xr:uid="{00000000-0005-0000-0000-000083080000}"/>
    <cellStyle name="Accent1 - 60% 2 4 2" xfId="2849" xr:uid="{00000000-0005-0000-0000-000084080000}"/>
    <cellStyle name="Accent1 - 60% 2 4 2 2" xfId="2850" xr:uid="{00000000-0005-0000-0000-000085080000}"/>
    <cellStyle name="Accent1 - 60% 2 4 3" xfId="2851" xr:uid="{00000000-0005-0000-0000-000086080000}"/>
    <cellStyle name="Accent1 - 60% 2 5" xfId="2852" xr:uid="{00000000-0005-0000-0000-000087080000}"/>
    <cellStyle name="Accent1 - 60% 3" xfId="2853" xr:uid="{00000000-0005-0000-0000-000088080000}"/>
    <cellStyle name="Accent1 - 60% 3 2" xfId="2854" xr:uid="{00000000-0005-0000-0000-000089080000}"/>
    <cellStyle name="Accent1 - 60% 3 2 2" xfId="2855" xr:uid="{00000000-0005-0000-0000-00008A080000}"/>
    <cellStyle name="Accent1 - 60% 3 3" xfId="2856" xr:uid="{00000000-0005-0000-0000-00008B080000}"/>
    <cellStyle name="Accent1 - 60% 4" xfId="2857" xr:uid="{00000000-0005-0000-0000-00008C080000}"/>
    <cellStyle name="Accent1 - 60% 4 2" xfId="2858" xr:uid="{00000000-0005-0000-0000-00008D080000}"/>
    <cellStyle name="Accent1 - 60% 5" xfId="2859" xr:uid="{00000000-0005-0000-0000-00008E080000}"/>
    <cellStyle name="Accent1 - 60% 5 2" xfId="2860" xr:uid="{00000000-0005-0000-0000-00008F080000}"/>
    <cellStyle name="Accent1 - 60% 6" xfId="2861" xr:uid="{00000000-0005-0000-0000-000090080000}"/>
    <cellStyle name="Accent1 - 60% 6 2" xfId="2862" xr:uid="{00000000-0005-0000-0000-000091080000}"/>
    <cellStyle name="Accent1 - 60% 6 2 2" xfId="2863" xr:uid="{00000000-0005-0000-0000-000092080000}"/>
    <cellStyle name="Accent1 - 60% 6 3" xfId="2864" xr:uid="{00000000-0005-0000-0000-000093080000}"/>
    <cellStyle name="Accent1 - 60% 7" xfId="2865" xr:uid="{00000000-0005-0000-0000-000094080000}"/>
    <cellStyle name="Accent1 - 60% 7 2" xfId="2866" xr:uid="{00000000-0005-0000-0000-000095080000}"/>
    <cellStyle name="Accent1 - 60% 8" xfId="2867" xr:uid="{00000000-0005-0000-0000-000096080000}"/>
    <cellStyle name="Accent1 - 60% 8 2" xfId="2868" xr:uid="{00000000-0005-0000-0000-000097080000}"/>
    <cellStyle name="Accent1 - 60% 9" xfId="2869" xr:uid="{00000000-0005-0000-0000-000098080000}"/>
    <cellStyle name="Accent1 10" xfId="2870" xr:uid="{00000000-0005-0000-0000-000099080000}"/>
    <cellStyle name="Accent1 10 2" xfId="2871" xr:uid="{00000000-0005-0000-0000-00009A080000}"/>
    <cellStyle name="Accent1 10 2 2" xfId="2872" xr:uid="{00000000-0005-0000-0000-00009B080000}"/>
    <cellStyle name="Accent1 10 3" xfId="2873" xr:uid="{00000000-0005-0000-0000-00009C080000}"/>
    <cellStyle name="Accent1 100" xfId="2874" xr:uid="{00000000-0005-0000-0000-00009D080000}"/>
    <cellStyle name="Accent1 100 2" xfId="2875" xr:uid="{00000000-0005-0000-0000-00009E080000}"/>
    <cellStyle name="Accent1 100 2 2" xfId="2876" xr:uid="{00000000-0005-0000-0000-00009F080000}"/>
    <cellStyle name="Accent1 100 3" xfId="2877" xr:uid="{00000000-0005-0000-0000-0000A0080000}"/>
    <cellStyle name="Accent1 101" xfId="2878" xr:uid="{00000000-0005-0000-0000-0000A1080000}"/>
    <cellStyle name="Accent1 101 2" xfId="2879" xr:uid="{00000000-0005-0000-0000-0000A2080000}"/>
    <cellStyle name="Accent1 101 2 2" xfId="2880" xr:uid="{00000000-0005-0000-0000-0000A3080000}"/>
    <cellStyle name="Accent1 101 3" xfId="2881" xr:uid="{00000000-0005-0000-0000-0000A4080000}"/>
    <cellStyle name="Accent1 102" xfId="2882" xr:uid="{00000000-0005-0000-0000-0000A5080000}"/>
    <cellStyle name="Accent1 102 2" xfId="2883" xr:uid="{00000000-0005-0000-0000-0000A6080000}"/>
    <cellStyle name="Accent1 103" xfId="2884" xr:uid="{00000000-0005-0000-0000-0000A7080000}"/>
    <cellStyle name="Accent1 103 2" xfId="2885" xr:uid="{00000000-0005-0000-0000-0000A8080000}"/>
    <cellStyle name="Accent1 104" xfId="2886" xr:uid="{00000000-0005-0000-0000-0000A9080000}"/>
    <cellStyle name="Accent1 104 2" xfId="2887" xr:uid="{00000000-0005-0000-0000-0000AA080000}"/>
    <cellStyle name="Accent1 104 2 2" xfId="2888" xr:uid="{00000000-0005-0000-0000-0000AB080000}"/>
    <cellStyle name="Accent1 104 3" xfId="2889" xr:uid="{00000000-0005-0000-0000-0000AC080000}"/>
    <cellStyle name="Accent1 105" xfId="2890" xr:uid="{00000000-0005-0000-0000-0000AD080000}"/>
    <cellStyle name="Accent1 105 2" xfId="2891" xr:uid="{00000000-0005-0000-0000-0000AE080000}"/>
    <cellStyle name="Accent1 105 2 2" xfId="2892" xr:uid="{00000000-0005-0000-0000-0000AF080000}"/>
    <cellStyle name="Accent1 105 3" xfId="2893" xr:uid="{00000000-0005-0000-0000-0000B0080000}"/>
    <cellStyle name="Accent1 106" xfId="2894" xr:uid="{00000000-0005-0000-0000-0000B1080000}"/>
    <cellStyle name="Accent1 106 2" xfId="2895" xr:uid="{00000000-0005-0000-0000-0000B2080000}"/>
    <cellStyle name="Accent1 106 2 2" xfId="2896" xr:uid="{00000000-0005-0000-0000-0000B3080000}"/>
    <cellStyle name="Accent1 106 3" xfId="2897" xr:uid="{00000000-0005-0000-0000-0000B4080000}"/>
    <cellStyle name="Accent1 107" xfId="2898" xr:uid="{00000000-0005-0000-0000-0000B5080000}"/>
    <cellStyle name="Accent1 107 2" xfId="2899" xr:uid="{00000000-0005-0000-0000-0000B6080000}"/>
    <cellStyle name="Accent1 107 2 2" xfId="2900" xr:uid="{00000000-0005-0000-0000-0000B7080000}"/>
    <cellStyle name="Accent1 107 3" xfId="2901" xr:uid="{00000000-0005-0000-0000-0000B8080000}"/>
    <cellStyle name="Accent1 108" xfId="2902" xr:uid="{00000000-0005-0000-0000-0000B9080000}"/>
    <cellStyle name="Accent1 108 2" xfId="2903" xr:uid="{00000000-0005-0000-0000-0000BA080000}"/>
    <cellStyle name="Accent1 108 2 2" xfId="2904" xr:uid="{00000000-0005-0000-0000-0000BB080000}"/>
    <cellStyle name="Accent1 108 3" xfId="2905" xr:uid="{00000000-0005-0000-0000-0000BC080000}"/>
    <cellStyle name="Accent1 109" xfId="2906" xr:uid="{00000000-0005-0000-0000-0000BD080000}"/>
    <cellStyle name="Accent1 109 2" xfId="2907" xr:uid="{00000000-0005-0000-0000-0000BE080000}"/>
    <cellStyle name="Accent1 109 2 2" xfId="2908" xr:uid="{00000000-0005-0000-0000-0000BF080000}"/>
    <cellStyle name="Accent1 109 3" xfId="2909" xr:uid="{00000000-0005-0000-0000-0000C0080000}"/>
    <cellStyle name="Accent1 11" xfId="2910" xr:uid="{00000000-0005-0000-0000-0000C1080000}"/>
    <cellStyle name="Accent1 11 2" xfId="2911" xr:uid="{00000000-0005-0000-0000-0000C2080000}"/>
    <cellStyle name="Accent1 11 2 2" xfId="2912" xr:uid="{00000000-0005-0000-0000-0000C3080000}"/>
    <cellStyle name="Accent1 11 3" xfId="2913" xr:uid="{00000000-0005-0000-0000-0000C4080000}"/>
    <cellStyle name="Accent1 110" xfId="2914" xr:uid="{00000000-0005-0000-0000-0000C5080000}"/>
    <cellStyle name="Accent1 110 2" xfId="2915" xr:uid="{00000000-0005-0000-0000-0000C6080000}"/>
    <cellStyle name="Accent1 110 2 2" xfId="2916" xr:uid="{00000000-0005-0000-0000-0000C7080000}"/>
    <cellStyle name="Accent1 110 3" xfId="2917" xr:uid="{00000000-0005-0000-0000-0000C8080000}"/>
    <cellStyle name="Accent1 111" xfId="2918" xr:uid="{00000000-0005-0000-0000-0000C9080000}"/>
    <cellStyle name="Accent1 111 2" xfId="2919" xr:uid="{00000000-0005-0000-0000-0000CA080000}"/>
    <cellStyle name="Accent1 111 2 2" xfId="2920" xr:uid="{00000000-0005-0000-0000-0000CB080000}"/>
    <cellStyle name="Accent1 111 3" xfId="2921" xr:uid="{00000000-0005-0000-0000-0000CC080000}"/>
    <cellStyle name="Accent1 112" xfId="2922" xr:uid="{00000000-0005-0000-0000-0000CD080000}"/>
    <cellStyle name="Accent1 112 2" xfId="2923" xr:uid="{00000000-0005-0000-0000-0000CE080000}"/>
    <cellStyle name="Accent1 112 2 2" xfId="2924" xr:uid="{00000000-0005-0000-0000-0000CF080000}"/>
    <cellStyle name="Accent1 112 3" xfId="2925" xr:uid="{00000000-0005-0000-0000-0000D0080000}"/>
    <cellStyle name="Accent1 113" xfId="2926" xr:uid="{00000000-0005-0000-0000-0000D1080000}"/>
    <cellStyle name="Accent1 113 2" xfId="2927" xr:uid="{00000000-0005-0000-0000-0000D2080000}"/>
    <cellStyle name="Accent1 113 2 2" xfId="2928" xr:uid="{00000000-0005-0000-0000-0000D3080000}"/>
    <cellStyle name="Accent1 113 3" xfId="2929" xr:uid="{00000000-0005-0000-0000-0000D4080000}"/>
    <cellStyle name="Accent1 114" xfId="2930" xr:uid="{00000000-0005-0000-0000-0000D5080000}"/>
    <cellStyle name="Accent1 114 2" xfId="2931" xr:uid="{00000000-0005-0000-0000-0000D6080000}"/>
    <cellStyle name="Accent1 115" xfId="2932" xr:uid="{00000000-0005-0000-0000-0000D7080000}"/>
    <cellStyle name="Accent1 115 2" xfId="2933" xr:uid="{00000000-0005-0000-0000-0000D8080000}"/>
    <cellStyle name="Accent1 116" xfId="2934" xr:uid="{00000000-0005-0000-0000-0000D9080000}"/>
    <cellStyle name="Accent1 116 2" xfId="2935" xr:uid="{00000000-0005-0000-0000-0000DA080000}"/>
    <cellStyle name="Accent1 117" xfId="2936" xr:uid="{00000000-0005-0000-0000-0000DB080000}"/>
    <cellStyle name="Accent1 117 2" xfId="2937" xr:uid="{00000000-0005-0000-0000-0000DC080000}"/>
    <cellStyle name="Accent1 118" xfId="2938" xr:uid="{00000000-0005-0000-0000-0000DD080000}"/>
    <cellStyle name="Accent1 118 2" xfId="2939" xr:uid="{00000000-0005-0000-0000-0000DE080000}"/>
    <cellStyle name="Accent1 119" xfId="2940" xr:uid="{00000000-0005-0000-0000-0000DF080000}"/>
    <cellStyle name="Accent1 119 2" xfId="2941" xr:uid="{00000000-0005-0000-0000-0000E0080000}"/>
    <cellStyle name="Accent1 12" xfId="2942" xr:uid="{00000000-0005-0000-0000-0000E1080000}"/>
    <cellStyle name="Accent1 12 2" xfId="2943" xr:uid="{00000000-0005-0000-0000-0000E2080000}"/>
    <cellStyle name="Accent1 12 2 2" xfId="2944" xr:uid="{00000000-0005-0000-0000-0000E3080000}"/>
    <cellStyle name="Accent1 12 3" xfId="2945" xr:uid="{00000000-0005-0000-0000-0000E4080000}"/>
    <cellStyle name="Accent1 120" xfId="2946" xr:uid="{00000000-0005-0000-0000-0000E5080000}"/>
    <cellStyle name="Accent1 120 2" xfId="2947" xr:uid="{00000000-0005-0000-0000-0000E6080000}"/>
    <cellStyle name="Accent1 121" xfId="2948" xr:uid="{00000000-0005-0000-0000-0000E7080000}"/>
    <cellStyle name="Accent1 121 2" xfId="2949" xr:uid="{00000000-0005-0000-0000-0000E8080000}"/>
    <cellStyle name="Accent1 122" xfId="2950" xr:uid="{00000000-0005-0000-0000-0000E9080000}"/>
    <cellStyle name="Accent1 122 2" xfId="2951" xr:uid="{00000000-0005-0000-0000-0000EA080000}"/>
    <cellStyle name="Accent1 123" xfId="2952" xr:uid="{00000000-0005-0000-0000-0000EB080000}"/>
    <cellStyle name="Accent1 123 2" xfId="2953" xr:uid="{00000000-0005-0000-0000-0000EC080000}"/>
    <cellStyle name="Accent1 124" xfId="2954" xr:uid="{00000000-0005-0000-0000-0000ED080000}"/>
    <cellStyle name="Accent1 124 2" xfId="2955" xr:uid="{00000000-0005-0000-0000-0000EE080000}"/>
    <cellStyle name="Accent1 125" xfId="2956" xr:uid="{00000000-0005-0000-0000-0000EF080000}"/>
    <cellStyle name="Accent1 125 2" xfId="2957" xr:uid="{00000000-0005-0000-0000-0000F0080000}"/>
    <cellStyle name="Accent1 126" xfId="2958" xr:uid="{00000000-0005-0000-0000-0000F1080000}"/>
    <cellStyle name="Accent1 127" xfId="2959" xr:uid="{00000000-0005-0000-0000-0000F2080000}"/>
    <cellStyle name="Accent1 128" xfId="2960" xr:uid="{00000000-0005-0000-0000-0000F3080000}"/>
    <cellStyle name="Accent1 129" xfId="2961" xr:uid="{00000000-0005-0000-0000-0000F4080000}"/>
    <cellStyle name="Accent1 13" xfId="2962" xr:uid="{00000000-0005-0000-0000-0000F5080000}"/>
    <cellStyle name="Accent1 13 2" xfId="2963" xr:uid="{00000000-0005-0000-0000-0000F6080000}"/>
    <cellStyle name="Accent1 13 2 2" xfId="2964" xr:uid="{00000000-0005-0000-0000-0000F7080000}"/>
    <cellStyle name="Accent1 13 3" xfId="2965" xr:uid="{00000000-0005-0000-0000-0000F8080000}"/>
    <cellStyle name="Accent1 130" xfId="2966" xr:uid="{00000000-0005-0000-0000-0000F9080000}"/>
    <cellStyle name="Accent1 131" xfId="2967" xr:uid="{00000000-0005-0000-0000-0000FA080000}"/>
    <cellStyle name="Accent1 132" xfId="2968" xr:uid="{00000000-0005-0000-0000-0000FB080000}"/>
    <cellStyle name="Accent1 133" xfId="2969" xr:uid="{00000000-0005-0000-0000-0000FC080000}"/>
    <cellStyle name="Accent1 134" xfId="2970" xr:uid="{00000000-0005-0000-0000-0000FD080000}"/>
    <cellStyle name="Accent1 135" xfId="2971" xr:uid="{00000000-0005-0000-0000-0000FE080000}"/>
    <cellStyle name="Accent1 136" xfId="2972" xr:uid="{00000000-0005-0000-0000-0000FF080000}"/>
    <cellStyle name="Accent1 137" xfId="2973" xr:uid="{00000000-0005-0000-0000-000000090000}"/>
    <cellStyle name="Accent1 138" xfId="2974" xr:uid="{00000000-0005-0000-0000-000001090000}"/>
    <cellStyle name="Accent1 139" xfId="2975" xr:uid="{00000000-0005-0000-0000-000002090000}"/>
    <cellStyle name="Accent1 14" xfId="2976" xr:uid="{00000000-0005-0000-0000-000003090000}"/>
    <cellStyle name="Accent1 14 2" xfId="2977" xr:uid="{00000000-0005-0000-0000-000004090000}"/>
    <cellStyle name="Accent1 14 2 2" xfId="2978" xr:uid="{00000000-0005-0000-0000-000005090000}"/>
    <cellStyle name="Accent1 14 3" xfId="2979" xr:uid="{00000000-0005-0000-0000-000006090000}"/>
    <cellStyle name="Accent1 140" xfId="2980" xr:uid="{00000000-0005-0000-0000-000007090000}"/>
    <cellStyle name="Accent1 141" xfId="2981" xr:uid="{00000000-0005-0000-0000-000008090000}"/>
    <cellStyle name="Accent1 142" xfId="2982" xr:uid="{00000000-0005-0000-0000-000009090000}"/>
    <cellStyle name="Accent1 143" xfId="2983" xr:uid="{00000000-0005-0000-0000-00000A090000}"/>
    <cellStyle name="Accent1 144" xfId="2984" xr:uid="{00000000-0005-0000-0000-00000B090000}"/>
    <cellStyle name="Accent1 145" xfId="2985" xr:uid="{00000000-0005-0000-0000-00000C090000}"/>
    <cellStyle name="Accent1 146" xfId="2986" xr:uid="{00000000-0005-0000-0000-00000D090000}"/>
    <cellStyle name="Accent1 147" xfId="2987" xr:uid="{00000000-0005-0000-0000-00000E090000}"/>
    <cellStyle name="Accent1 148" xfId="2988" xr:uid="{00000000-0005-0000-0000-00000F090000}"/>
    <cellStyle name="Accent1 149" xfId="2989" xr:uid="{00000000-0005-0000-0000-000010090000}"/>
    <cellStyle name="Accent1 15" xfId="2990" xr:uid="{00000000-0005-0000-0000-000011090000}"/>
    <cellStyle name="Accent1 15 2" xfId="2991" xr:uid="{00000000-0005-0000-0000-000012090000}"/>
    <cellStyle name="Accent1 15 2 2" xfId="2992" xr:uid="{00000000-0005-0000-0000-000013090000}"/>
    <cellStyle name="Accent1 15 3" xfId="2993" xr:uid="{00000000-0005-0000-0000-000014090000}"/>
    <cellStyle name="Accent1 150" xfId="2994" xr:uid="{00000000-0005-0000-0000-000015090000}"/>
    <cellStyle name="Accent1 151" xfId="2995" xr:uid="{00000000-0005-0000-0000-000016090000}"/>
    <cellStyle name="Accent1 152" xfId="2996" xr:uid="{00000000-0005-0000-0000-000017090000}"/>
    <cellStyle name="Accent1 153" xfId="2997" xr:uid="{00000000-0005-0000-0000-000018090000}"/>
    <cellStyle name="Accent1 154" xfId="2998" xr:uid="{00000000-0005-0000-0000-000019090000}"/>
    <cellStyle name="Accent1 155" xfId="2999" xr:uid="{00000000-0005-0000-0000-00001A090000}"/>
    <cellStyle name="Accent1 156" xfId="3000" xr:uid="{00000000-0005-0000-0000-00001B090000}"/>
    <cellStyle name="Accent1 157" xfId="3001" xr:uid="{00000000-0005-0000-0000-00001C090000}"/>
    <cellStyle name="Accent1 158" xfId="3002" xr:uid="{00000000-0005-0000-0000-00001D090000}"/>
    <cellStyle name="Accent1 159" xfId="3003" xr:uid="{00000000-0005-0000-0000-00001E090000}"/>
    <cellStyle name="Accent1 16" xfId="3004" xr:uid="{00000000-0005-0000-0000-00001F090000}"/>
    <cellStyle name="Accent1 16 2" xfId="3005" xr:uid="{00000000-0005-0000-0000-000020090000}"/>
    <cellStyle name="Accent1 16 2 2" xfId="3006" xr:uid="{00000000-0005-0000-0000-000021090000}"/>
    <cellStyle name="Accent1 16 3" xfId="3007" xr:uid="{00000000-0005-0000-0000-000022090000}"/>
    <cellStyle name="Accent1 160" xfId="3008" xr:uid="{00000000-0005-0000-0000-000023090000}"/>
    <cellStyle name="Accent1 161" xfId="3009" xr:uid="{00000000-0005-0000-0000-000024090000}"/>
    <cellStyle name="Accent1 162" xfId="3010" xr:uid="{00000000-0005-0000-0000-000025090000}"/>
    <cellStyle name="Accent1 163" xfId="3011" xr:uid="{00000000-0005-0000-0000-000026090000}"/>
    <cellStyle name="Accent1 164" xfId="3012" xr:uid="{00000000-0005-0000-0000-000027090000}"/>
    <cellStyle name="Accent1 165" xfId="3013" xr:uid="{00000000-0005-0000-0000-000028090000}"/>
    <cellStyle name="Accent1 166" xfId="3014" xr:uid="{00000000-0005-0000-0000-000029090000}"/>
    <cellStyle name="Accent1 167" xfId="3015" xr:uid="{00000000-0005-0000-0000-00002A090000}"/>
    <cellStyle name="Accent1 168" xfId="3016" xr:uid="{00000000-0005-0000-0000-00002B090000}"/>
    <cellStyle name="Accent1 169" xfId="3017" xr:uid="{00000000-0005-0000-0000-00002C090000}"/>
    <cellStyle name="Accent1 17" xfId="3018" xr:uid="{00000000-0005-0000-0000-00002D090000}"/>
    <cellStyle name="Accent1 17 2" xfId="3019" xr:uid="{00000000-0005-0000-0000-00002E090000}"/>
    <cellStyle name="Accent1 17 2 2" xfId="3020" xr:uid="{00000000-0005-0000-0000-00002F090000}"/>
    <cellStyle name="Accent1 17 3" xfId="3021" xr:uid="{00000000-0005-0000-0000-000030090000}"/>
    <cellStyle name="Accent1 170" xfId="3022" xr:uid="{00000000-0005-0000-0000-000031090000}"/>
    <cellStyle name="Accent1 171" xfId="3023" xr:uid="{00000000-0005-0000-0000-000032090000}"/>
    <cellStyle name="Accent1 172" xfId="3024" xr:uid="{00000000-0005-0000-0000-000033090000}"/>
    <cellStyle name="Accent1 173" xfId="3025" xr:uid="{00000000-0005-0000-0000-000034090000}"/>
    <cellStyle name="Accent1 174" xfId="3026" xr:uid="{00000000-0005-0000-0000-000035090000}"/>
    <cellStyle name="Accent1 175" xfId="3027" xr:uid="{00000000-0005-0000-0000-000036090000}"/>
    <cellStyle name="Accent1 176" xfId="3028" xr:uid="{00000000-0005-0000-0000-000037090000}"/>
    <cellStyle name="Accent1 177" xfId="3029" xr:uid="{00000000-0005-0000-0000-000038090000}"/>
    <cellStyle name="Accent1 178" xfId="3030" xr:uid="{00000000-0005-0000-0000-000039090000}"/>
    <cellStyle name="Accent1 179" xfId="3031" xr:uid="{00000000-0005-0000-0000-00003A090000}"/>
    <cellStyle name="Accent1 18" xfId="3032" xr:uid="{00000000-0005-0000-0000-00003B090000}"/>
    <cellStyle name="Accent1 18 2" xfId="3033" xr:uid="{00000000-0005-0000-0000-00003C090000}"/>
    <cellStyle name="Accent1 18 2 2" xfId="3034" xr:uid="{00000000-0005-0000-0000-00003D090000}"/>
    <cellStyle name="Accent1 18 3" xfId="3035" xr:uid="{00000000-0005-0000-0000-00003E090000}"/>
    <cellStyle name="Accent1 19" xfId="3036" xr:uid="{00000000-0005-0000-0000-00003F090000}"/>
    <cellStyle name="Accent1 19 2" xfId="3037" xr:uid="{00000000-0005-0000-0000-000040090000}"/>
    <cellStyle name="Accent1 19 2 2" xfId="3038" xr:uid="{00000000-0005-0000-0000-000041090000}"/>
    <cellStyle name="Accent1 19 3" xfId="3039" xr:uid="{00000000-0005-0000-0000-000042090000}"/>
    <cellStyle name="Accent1 2" xfId="3040" xr:uid="{00000000-0005-0000-0000-000043090000}"/>
    <cellStyle name="Accent1 2 10" xfId="3041" xr:uid="{00000000-0005-0000-0000-000044090000}"/>
    <cellStyle name="Accent1 2 10 2" xfId="3042" xr:uid="{00000000-0005-0000-0000-000045090000}"/>
    <cellStyle name="Accent1 2 11" xfId="3043" xr:uid="{00000000-0005-0000-0000-000046090000}"/>
    <cellStyle name="Accent1 2 12" xfId="3044" xr:uid="{00000000-0005-0000-0000-000047090000}"/>
    <cellStyle name="Accent1 2 2" xfId="3045" xr:uid="{00000000-0005-0000-0000-000048090000}"/>
    <cellStyle name="Accent1 2 2 2" xfId="3046" xr:uid="{00000000-0005-0000-0000-000049090000}"/>
    <cellStyle name="Accent1 2 2 2 2" xfId="3047" xr:uid="{00000000-0005-0000-0000-00004A090000}"/>
    <cellStyle name="Accent1 2 2 3" xfId="3048" xr:uid="{00000000-0005-0000-0000-00004B090000}"/>
    <cellStyle name="Accent1 2 2 3 2" xfId="3049" xr:uid="{00000000-0005-0000-0000-00004C090000}"/>
    <cellStyle name="Accent1 2 2 3 2 2" xfId="3050" xr:uid="{00000000-0005-0000-0000-00004D090000}"/>
    <cellStyle name="Accent1 2 2 3 3" xfId="3051" xr:uid="{00000000-0005-0000-0000-00004E090000}"/>
    <cellStyle name="Accent1 2 2 4" xfId="3052" xr:uid="{00000000-0005-0000-0000-00004F090000}"/>
    <cellStyle name="Accent1 2 3" xfId="3053" xr:uid="{00000000-0005-0000-0000-000050090000}"/>
    <cellStyle name="Accent1 2 3 2" xfId="3054" xr:uid="{00000000-0005-0000-0000-000051090000}"/>
    <cellStyle name="Accent1 2 3 2 2" xfId="3055" xr:uid="{00000000-0005-0000-0000-000052090000}"/>
    <cellStyle name="Accent1 2 3 3" xfId="3056" xr:uid="{00000000-0005-0000-0000-000053090000}"/>
    <cellStyle name="Accent1 2 3 3 2" xfId="3057" xr:uid="{00000000-0005-0000-0000-000054090000}"/>
    <cellStyle name="Accent1 2 3 3 2 2" xfId="3058" xr:uid="{00000000-0005-0000-0000-000055090000}"/>
    <cellStyle name="Accent1 2 3 3 3" xfId="3059" xr:uid="{00000000-0005-0000-0000-000056090000}"/>
    <cellStyle name="Accent1 2 3 4" xfId="3060" xr:uid="{00000000-0005-0000-0000-000057090000}"/>
    <cellStyle name="Accent1 2 4" xfId="3061" xr:uid="{00000000-0005-0000-0000-000058090000}"/>
    <cellStyle name="Accent1 2 4 2" xfId="3062" xr:uid="{00000000-0005-0000-0000-000059090000}"/>
    <cellStyle name="Accent1 2 4 2 2" xfId="3063" xr:uid="{00000000-0005-0000-0000-00005A090000}"/>
    <cellStyle name="Accent1 2 4 3" xfId="3064" xr:uid="{00000000-0005-0000-0000-00005B090000}"/>
    <cellStyle name="Accent1 2 5" xfId="3065" xr:uid="{00000000-0005-0000-0000-00005C090000}"/>
    <cellStyle name="Accent1 2 5 2" xfId="3066" xr:uid="{00000000-0005-0000-0000-00005D090000}"/>
    <cellStyle name="Accent1 2 5 2 2" xfId="3067" xr:uid="{00000000-0005-0000-0000-00005E090000}"/>
    <cellStyle name="Accent1 2 5 3" xfId="3068" xr:uid="{00000000-0005-0000-0000-00005F090000}"/>
    <cellStyle name="Accent1 2 5 3 2" xfId="3069" xr:uid="{00000000-0005-0000-0000-000060090000}"/>
    <cellStyle name="Accent1 2 5 3 2 2" xfId="3070" xr:uid="{00000000-0005-0000-0000-000061090000}"/>
    <cellStyle name="Accent1 2 5 3 3" xfId="3071" xr:uid="{00000000-0005-0000-0000-000062090000}"/>
    <cellStyle name="Accent1 2 5 4" xfId="3072" xr:uid="{00000000-0005-0000-0000-000063090000}"/>
    <cellStyle name="Accent1 2 6" xfId="3073" xr:uid="{00000000-0005-0000-0000-000064090000}"/>
    <cellStyle name="Accent1 2 6 2" xfId="3074" xr:uid="{00000000-0005-0000-0000-000065090000}"/>
    <cellStyle name="Accent1 2 7" xfId="3075" xr:uid="{00000000-0005-0000-0000-000066090000}"/>
    <cellStyle name="Accent1 2 7 2" xfId="3076" xr:uid="{00000000-0005-0000-0000-000067090000}"/>
    <cellStyle name="Accent1 2 8" xfId="3077" xr:uid="{00000000-0005-0000-0000-000068090000}"/>
    <cellStyle name="Accent1 2 8 2" xfId="3078" xr:uid="{00000000-0005-0000-0000-000069090000}"/>
    <cellStyle name="Accent1 2 8 2 2" xfId="3079" xr:uid="{00000000-0005-0000-0000-00006A090000}"/>
    <cellStyle name="Accent1 2 8 3" xfId="3080" xr:uid="{00000000-0005-0000-0000-00006B090000}"/>
    <cellStyle name="Accent1 2 9" xfId="3081" xr:uid="{00000000-0005-0000-0000-00006C090000}"/>
    <cellStyle name="Accent1 2 9 2" xfId="3082" xr:uid="{00000000-0005-0000-0000-00006D090000}"/>
    <cellStyle name="Accent1 2 9 2 2" xfId="3083" xr:uid="{00000000-0005-0000-0000-00006E090000}"/>
    <cellStyle name="Accent1 2 9 3" xfId="3084" xr:uid="{00000000-0005-0000-0000-00006F090000}"/>
    <cellStyle name="Accent1 20" xfId="3085" xr:uid="{00000000-0005-0000-0000-000070090000}"/>
    <cellStyle name="Accent1 20 2" xfId="3086" xr:uid="{00000000-0005-0000-0000-000071090000}"/>
    <cellStyle name="Accent1 20 2 2" xfId="3087" xr:uid="{00000000-0005-0000-0000-000072090000}"/>
    <cellStyle name="Accent1 20 3" xfId="3088" xr:uid="{00000000-0005-0000-0000-000073090000}"/>
    <cellStyle name="Accent1 21" xfId="3089" xr:uid="{00000000-0005-0000-0000-000074090000}"/>
    <cellStyle name="Accent1 21 2" xfId="3090" xr:uid="{00000000-0005-0000-0000-000075090000}"/>
    <cellStyle name="Accent1 21 2 2" xfId="3091" xr:uid="{00000000-0005-0000-0000-000076090000}"/>
    <cellStyle name="Accent1 21 3" xfId="3092" xr:uid="{00000000-0005-0000-0000-000077090000}"/>
    <cellStyle name="Accent1 22" xfId="3093" xr:uid="{00000000-0005-0000-0000-000078090000}"/>
    <cellStyle name="Accent1 22 2" xfId="3094" xr:uid="{00000000-0005-0000-0000-000079090000}"/>
    <cellStyle name="Accent1 22 2 2" xfId="3095" xr:uid="{00000000-0005-0000-0000-00007A090000}"/>
    <cellStyle name="Accent1 22 3" xfId="3096" xr:uid="{00000000-0005-0000-0000-00007B090000}"/>
    <cellStyle name="Accent1 23" xfId="3097" xr:uid="{00000000-0005-0000-0000-00007C090000}"/>
    <cellStyle name="Accent1 23 2" xfId="3098" xr:uid="{00000000-0005-0000-0000-00007D090000}"/>
    <cellStyle name="Accent1 23 2 2" xfId="3099" xr:uid="{00000000-0005-0000-0000-00007E090000}"/>
    <cellStyle name="Accent1 23 3" xfId="3100" xr:uid="{00000000-0005-0000-0000-00007F090000}"/>
    <cellStyle name="Accent1 24" xfId="3101" xr:uid="{00000000-0005-0000-0000-000080090000}"/>
    <cellStyle name="Accent1 24 2" xfId="3102" xr:uid="{00000000-0005-0000-0000-000081090000}"/>
    <cellStyle name="Accent1 24 2 2" xfId="3103" xr:uid="{00000000-0005-0000-0000-000082090000}"/>
    <cellStyle name="Accent1 24 3" xfId="3104" xr:uid="{00000000-0005-0000-0000-000083090000}"/>
    <cellStyle name="Accent1 25" xfId="3105" xr:uid="{00000000-0005-0000-0000-000084090000}"/>
    <cellStyle name="Accent1 25 2" xfId="3106" xr:uid="{00000000-0005-0000-0000-000085090000}"/>
    <cellStyle name="Accent1 25 2 2" xfId="3107" xr:uid="{00000000-0005-0000-0000-000086090000}"/>
    <cellStyle name="Accent1 25 3" xfId="3108" xr:uid="{00000000-0005-0000-0000-000087090000}"/>
    <cellStyle name="Accent1 26" xfId="3109" xr:uid="{00000000-0005-0000-0000-000088090000}"/>
    <cellStyle name="Accent1 26 2" xfId="3110" xr:uid="{00000000-0005-0000-0000-000089090000}"/>
    <cellStyle name="Accent1 26 2 2" xfId="3111" xr:uid="{00000000-0005-0000-0000-00008A090000}"/>
    <cellStyle name="Accent1 26 3" xfId="3112" xr:uid="{00000000-0005-0000-0000-00008B090000}"/>
    <cellStyle name="Accent1 27" xfId="3113" xr:uid="{00000000-0005-0000-0000-00008C090000}"/>
    <cellStyle name="Accent1 27 2" xfId="3114" xr:uid="{00000000-0005-0000-0000-00008D090000}"/>
    <cellStyle name="Accent1 27 2 2" xfId="3115" xr:uid="{00000000-0005-0000-0000-00008E090000}"/>
    <cellStyle name="Accent1 27 3" xfId="3116" xr:uid="{00000000-0005-0000-0000-00008F090000}"/>
    <cellStyle name="Accent1 28" xfId="3117" xr:uid="{00000000-0005-0000-0000-000090090000}"/>
    <cellStyle name="Accent1 28 2" xfId="3118" xr:uid="{00000000-0005-0000-0000-000091090000}"/>
    <cellStyle name="Accent1 28 2 2" xfId="3119" xr:uid="{00000000-0005-0000-0000-000092090000}"/>
    <cellStyle name="Accent1 28 3" xfId="3120" xr:uid="{00000000-0005-0000-0000-000093090000}"/>
    <cellStyle name="Accent1 29" xfId="3121" xr:uid="{00000000-0005-0000-0000-000094090000}"/>
    <cellStyle name="Accent1 29 2" xfId="3122" xr:uid="{00000000-0005-0000-0000-000095090000}"/>
    <cellStyle name="Accent1 29 2 2" xfId="3123" xr:uid="{00000000-0005-0000-0000-000096090000}"/>
    <cellStyle name="Accent1 29 3" xfId="3124" xr:uid="{00000000-0005-0000-0000-000097090000}"/>
    <cellStyle name="Accent1 3" xfId="3125" xr:uid="{00000000-0005-0000-0000-000098090000}"/>
    <cellStyle name="Accent1 3 10" xfId="3126" xr:uid="{00000000-0005-0000-0000-000099090000}"/>
    <cellStyle name="Accent1 3 10 2" xfId="3127" xr:uid="{00000000-0005-0000-0000-00009A090000}"/>
    <cellStyle name="Accent1 3 11" xfId="3128" xr:uid="{00000000-0005-0000-0000-00009B090000}"/>
    <cellStyle name="Accent1 3 2" xfId="3129" xr:uid="{00000000-0005-0000-0000-00009C090000}"/>
    <cellStyle name="Accent1 3 2 2" xfId="3130" xr:uid="{00000000-0005-0000-0000-00009D090000}"/>
    <cellStyle name="Accent1 3 2 2 2" xfId="3131" xr:uid="{00000000-0005-0000-0000-00009E090000}"/>
    <cellStyle name="Accent1 3 2 3" xfId="3132" xr:uid="{00000000-0005-0000-0000-00009F090000}"/>
    <cellStyle name="Accent1 3 2 3 2" xfId="3133" xr:uid="{00000000-0005-0000-0000-0000A0090000}"/>
    <cellStyle name="Accent1 3 2 3 2 2" xfId="3134" xr:uid="{00000000-0005-0000-0000-0000A1090000}"/>
    <cellStyle name="Accent1 3 2 3 3" xfId="3135" xr:uid="{00000000-0005-0000-0000-0000A2090000}"/>
    <cellStyle name="Accent1 3 2 4" xfId="3136" xr:uid="{00000000-0005-0000-0000-0000A3090000}"/>
    <cellStyle name="Accent1 3 3" xfId="3137" xr:uid="{00000000-0005-0000-0000-0000A4090000}"/>
    <cellStyle name="Accent1 3 3 2" xfId="3138" xr:uid="{00000000-0005-0000-0000-0000A5090000}"/>
    <cellStyle name="Accent1 3 3 2 2" xfId="3139" xr:uid="{00000000-0005-0000-0000-0000A6090000}"/>
    <cellStyle name="Accent1 3 3 3" xfId="3140" xr:uid="{00000000-0005-0000-0000-0000A7090000}"/>
    <cellStyle name="Accent1 3 3 3 2" xfId="3141" xr:uid="{00000000-0005-0000-0000-0000A8090000}"/>
    <cellStyle name="Accent1 3 3 3 2 2" xfId="3142" xr:uid="{00000000-0005-0000-0000-0000A9090000}"/>
    <cellStyle name="Accent1 3 3 3 3" xfId="3143" xr:uid="{00000000-0005-0000-0000-0000AA090000}"/>
    <cellStyle name="Accent1 3 3 4" xfId="3144" xr:uid="{00000000-0005-0000-0000-0000AB090000}"/>
    <cellStyle name="Accent1 3 4" xfId="3145" xr:uid="{00000000-0005-0000-0000-0000AC090000}"/>
    <cellStyle name="Accent1 3 4 2" xfId="3146" xr:uid="{00000000-0005-0000-0000-0000AD090000}"/>
    <cellStyle name="Accent1 3 4 2 2" xfId="3147" xr:uid="{00000000-0005-0000-0000-0000AE090000}"/>
    <cellStyle name="Accent1 3 4 3" xfId="3148" xr:uid="{00000000-0005-0000-0000-0000AF090000}"/>
    <cellStyle name="Accent1 3 5" xfId="3149" xr:uid="{00000000-0005-0000-0000-0000B0090000}"/>
    <cellStyle name="Accent1 3 5 2" xfId="3150" xr:uid="{00000000-0005-0000-0000-0000B1090000}"/>
    <cellStyle name="Accent1 3 5 2 2" xfId="3151" xr:uid="{00000000-0005-0000-0000-0000B2090000}"/>
    <cellStyle name="Accent1 3 5 3" xfId="3152" xr:uid="{00000000-0005-0000-0000-0000B3090000}"/>
    <cellStyle name="Accent1 3 5 3 2" xfId="3153" xr:uid="{00000000-0005-0000-0000-0000B4090000}"/>
    <cellStyle name="Accent1 3 5 3 2 2" xfId="3154" xr:uid="{00000000-0005-0000-0000-0000B5090000}"/>
    <cellStyle name="Accent1 3 5 3 3" xfId="3155" xr:uid="{00000000-0005-0000-0000-0000B6090000}"/>
    <cellStyle name="Accent1 3 5 4" xfId="3156" xr:uid="{00000000-0005-0000-0000-0000B7090000}"/>
    <cellStyle name="Accent1 3 6" xfId="3157" xr:uid="{00000000-0005-0000-0000-0000B8090000}"/>
    <cellStyle name="Accent1 3 6 2" xfId="3158" xr:uid="{00000000-0005-0000-0000-0000B9090000}"/>
    <cellStyle name="Accent1 3 7" xfId="3159" xr:uid="{00000000-0005-0000-0000-0000BA090000}"/>
    <cellStyle name="Accent1 3 7 2" xfId="3160" xr:uid="{00000000-0005-0000-0000-0000BB090000}"/>
    <cellStyle name="Accent1 3 8" xfId="3161" xr:uid="{00000000-0005-0000-0000-0000BC090000}"/>
    <cellStyle name="Accent1 3 8 2" xfId="3162" xr:uid="{00000000-0005-0000-0000-0000BD090000}"/>
    <cellStyle name="Accent1 3 8 2 2" xfId="3163" xr:uid="{00000000-0005-0000-0000-0000BE090000}"/>
    <cellStyle name="Accent1 3 8 3" xfId="3164" xr:uid="{00000000-0005-0000-0000-0000BF090000}"/>
    <cellStyle name="Accent1 3 9" xfId="3165" xr:uid="{00000000-0005-0000-0000-0000C0090000}"/>
    <cellStyle name="Accent1 3 9 2" xfId="3166" xr:uid="{00000000-0005-0000-0000-0000C1090000}"/>
    <cellStyle name="Accent1 3 9 2 2" xfId="3167" xr:uid="{00000000-0005-0000-0000-0000C2090000}"/>
    <cellStyle name="Accent1 3 9 3" xfId="3168" xr:uid="{00000000-0005-0000-0000-0000C3090000}"/>
    <cellStyle name="Accent1 30" xfId="3169" xr:uid="{00000000-0005-0000-0000-0000C4090000}"/>
    <cellStyle name="Accent1 30 2" xfId="3170" xr:uid="{00000000-0005-0000-0000-0000C5090000}"/>
    <cellStyle name="Accent1 30 2 2" xfId="3171" xr:uid="{00000000-0005-0000-0000-0000C6090000}"/>
    <cellStyle name="Accent1 30 3" xfId="3172" xr:uid="{00000000-0005-0000-0000-0000C7090000}"/>
    <cellStyle name="Accent1 31" xfId="3173" xr:uid="{00000000-0005-0000-0000-0000C8090000}"/>
    <cellStyle name="Accent1 31 2" xfId="3174" xr:uid="{00000000-0005-0000-0000-0000C9090000}"/>
    <cellStyle name="Accent1 31 2 2" xfId="3175" xr:uid="{00000000-0005-0000-0000-0000CA090000}"/>
    <cellStyle name="Accent1 31 3" xfId="3176" xr:uid="{00000000-0005-0000-0000-0000CB090000}"/>
    <cellStyle name="Accent1 32" xfId="3177" xr:uid="{00000000-0005-0000-0000-0000CC090000}"/>
    <cellStyle name="Accent1 32 2" xfId="3178" xr:uid="{00000000-0005-0000-0000-0000CD090000}"/>
    <cellStyle name="Accent1 32 2 2" xfId="3179" xr:uid="{00000000-0005-0000-0000-0000CE090000}"/>
    <cellStyle name="Accent1 32 3" xfId="3180" xr:uid="{00000000-0005-0000-0000-0000CF090000}"/>
    <cellStyle name="Accent1 33" xfId="3181" xr:uid="{00000000-0005-0000-0000-0000D0090000}"/>
    <cellStyle name="Accent1 33 2" xfId="3182" xr:uid="{00000000-0005-0000-0000-0000D1090000}"/>
    <cellStyle name="Accent1 33 2 2" xfId="3183" xr:uid="{00000000-0005-0000-0000-0000D2090000}"/>
    <cellStyle name="Accent1 33 3" xfId="3184" xr:uid="{00000000-0005-0000-0000-0000D3090000}"/>
    <cellStyle name="Accent1 34" xfId="3185" xr:uid="{00000000-0005-0000-0000-0000D4090000}"/>
    <cellStyle name="Accent1 34 2" xfId="3186" xr:uid="{00000000-0005-0000-0000-0000D5090000}"/>
    <cellStyle name="Accent1 34 2 2" xfId="3187" xr:uid="{00000000-0005-0000-0000-0000D6090000}"/>
    <cellStyle name="Accent1 34 3" xfId="3188" xr:uid="{00000000-0005-0000-0000-0000D7090000}"/>
    <cellStyle name="Accent1 35" xfId="3189" xr:uid="{00000000-0005-0000-0000-0000D8090000}"/>
    <cellStyle name="Accent1 35 2" xfId="3190" xr:uid="{00000000-0005-0000-0000-0000D9090000}"/>
    <cellStyle name="Accent1 35 2 2" xfId="3191" xr:uid="{00000000-0005-0000-0000-0000DA090000}"/>
    <cellStyle name="Accent1 35 3" xfId="3192" xr:uid="{00000000-0005-0000-0000-0000DB090000}"/>
    <cellStyle name="Accent1 36" xfId="3193" xr:uid="{00000000-0005-0000-0000-0000DC090000}"/>
    <cellStyle name="Accent1 36 2" xfId="3194" xr:uid="{00000000-0005-0000-0000-0000DD090000}"/>
    <cellStyle name="Accent1 36 2 2" xfId="3195" xr:uid="{00000000-0005-0000-0000-0000DE090000}"/>
    <cellStyle name="Accent1 36 3" xfId="3196" xr:uid="{00000000-0005-0000-0000-0000DF090000}"/>
    <cellStyle name="Accent1 37" xfId="3197" xr:uid="{00000000-0005-0000-0000-0000E0090000}"/>
    <cellStyle name="Accent1 37 2" xfId="3198" xr:uid="{00000000-0005-0000-0000-0000E1090000}"/>
    <cellStyle name="Accent1 37 2 2" xfId="3199" xr:uid="{00000000-0005-0000-0000-0000E2090000}"/>
    <cellStyle name="Accent1 37 3" xfId="3200" xr:uid="{00000000-0005-0000-0000-0000E3090000}"/>
    <cellStyle name="Accent1 38" xfId="3201" xr:uid="{00000000-0005-0000-0000-0000E4090000}"/>
    <cellStyle name="Accent1 38 2" xfId="3202" xr:uid="{00000000-0005-0000-0000-0000E5090000}"/>
    <cellStyle name="Accent1 38 2 2" xfId="3203" xr:uid="{00000000-0005-0000-0000-0000E6090000}"/>
    <cellStyle name="Accent1 38 3" xfId="3204" xr:uid="{00000000-0005-0000-0000-0000E7090000}"/>
    <cellStyle name="Accent1 39" xfId="3205" xr:uid="{00000000-0005-0000-0000-0000E8090000}"/>
    <cellStyle name="Accent1 39 2" xfId="3206" xr:uid="{00000000-0005-0000-0000-0000E9090000}"/>
    <cellStyle name="Accent1 39 2 2" xfId="3207" xr:uid="{00000000-0005-0000-0000-0000EA090000}"/>
    <cellStyle name="Accent1 39 3" xfId="3208" xr:uid="{00000000-0005-0000-0000-0000EB090000}"/>
    <cellStyle name="Accent1 4" xfId="3209" xr:uid="{00000000-0005-0000-0000-0000EC090000}"/>
    <cellStyle name="Accent1 4 2" xfId="3210" xr:uid="{00000000-0005-0000-0000-0000ED090000}"/>
    <cellStyle name="Accent1 4 2 2" xfId="3211" xr:uid="{00000000-0005-0000-0000-0000EE090000}"/>
    <cellStyle name="Accent1 4 2 2 2" xfId="3212" xr:uid="{00000000-0005-0000-0000-0000EF090000}"/>
    <cellStyle name="Accent1 4 2 3" xfId="3213" xr:uid="{00000000-0005-0000-0000-0000F0090000}"/>
    <cellStyle name="Accent1 4 2 3 2" xfId="3214" xr:uid="{00000000-0005-0000-0000-0000F1090000}"/>
    <cellStyle name="Accent1 4 2 3 2 2" xfId="3215" xr:uid="{00000000-0005-0000-0000-0000F2090000}"/>
    <cellStyle name="Accent1 4 2 3 3" xfId="3216" xr:uid="{00000000-0005-0000-0000-0000F3090000}"/>
    <cellStyle name="Accent1 4 2 4" xfId="3217" xr:uid="{00000000-0005-0000-0000-0000F4090000}"/>
    <cellStyle name="Accent1 4 3" xfId="3218" xr:uid="{00000000-0005-0000-0000-0000F5090000}"/>
    <cellStyle name="Accent1 4 3 2" xfId="3219" xr:uid="{00000000-0005-0000-0000-0000F6090000}"/>
    <cellStyle name="Accent1 4 3 2 2" xfId="3220" xr:uid="{00000000-0005-0000-0000-0000F7090000}"/>
    <cellStyle name="Accent1 4 3 3" xfId="3221" xr:uid="{00000000-0005-0000-0000-0000F8090000}"/>
    <cellStyle name="Accent1 4 3 3 2" xfId="3222" xr:uid="{00000000-0005-0000-0000-0000F9090000}"/>
    <cellStyle name="Accent1 4 3 3 2 2" xfId="3223" xr:uid="{00000000-0005-0000-0000-0000FA090000}"/>
    <cellStyle name="Accent1 4 3 3 3" xfId="3224" xr:uid="{00000000-0005-0000-0000-0000FB090000}"/>
    <cellStyle name="Accent1 4 3 4" xfId="3225" xr:uid="{00000000-0005-0000-0000-0000FC090000}"/>
    <cellStyle name="Accent1 4 4" xfId="3226" xr:uid="{00000000-0005-0000-0000-0000FD090000}"/>
    <cellStyle name="Accent1 4 4 2" xfId="3227" xr:uid="{00000000-0005-0000-0000-0000FE090000}"/>
    <cellStyle name="Accent1 4 4 2 2" xfId="3228" xr:uid="{00000000-0005-0000-0000-0000FF090000}"/>
    <cellStyle name="Accent1 4 4 3" xfId="3229" xr:uid="{00000000-0005-0000-0000-0000000A0000}"/>
    <cellStyle name="Accent1 4 5" xfId="3230" xr:uid="{00000000-0005-0000-0000-0000010A0000}"/>
    <cellStyle name="Accent1 4 5 2" xfId="3231" xr:uid="{00000000-0005-0000-0000-0000020A0000}"/>
    <cellStyle name="Accent1 4 6" xfId="3232" xr:uid="{00000000-0005-0000-0000-0000030A0000}"/>
    <cellStyle name="Accent1 4 6 2" xfId="3233" xr:uid="{00000000-0005-0000-0000-0000040A0000}"/>
    <cellStyle name="Accent1 4 7" xfId="3234" xr:uid="{00000000-0005-0000-0000-0000050A0000}"/>
    <cellStyle name="Accent1 40" xfId="3235" xr:uid="{00000000-0005-0000-0000-0000060A0000}"/>
    <cellStyle name="Accent1 40 2" xfId="3236" xr:uid="{00000000-0005-0000-0000-0000070A0000}"/>
    <cellStyle name="Accent1 40 2 2" xfId="3237" xr:uid="{00000000-0005-0000-0000-0000080A0000}"/>
    <cellStyle name="Accent1 40 3" xfId="3238" xr:uid="{00000000-0005-0000-0000-0000090A0000}"/>
    <cellStyle name="Accent1 41" xfId="3239" xr:uid="{00000000-0005-0000-0000-00000A0A0000}"/>
    <cellStyle name="Accent1 41 2" xfId="3240" xr:uid="{00000000-0005-0000-0000-00000B0A0000}"/>
    <cellStyle name="Accent1 41 2 2" xfId="3241" xr:uid="{00000000-0005-0000-0000-00000C0A0000}"/>
    <cellStyle name="Accent1 41 3" xfId="3242" xr:uid="{00000000-0005-0000-0000-00000D0A0000}"/>
    <cellStyle name="Accent1 42" xfId="3243" xr:uid="{00000000-0005-0000-0000-00000E0A0000}"/>
    <cellStyle name="Accent1 42 2" xfId="3244" xr:uid="{00000000-0005-0000-0000-00000F0A0000}"/>
    <cellStyle name="Accent1 42 2 2" xfId="3245" xr:uid="{00000000-0005-0000-0000-0000100A0000}"/>
    <cellStyle name="Accent1 42 3" xfId="3246" xr:uid="{00000000-0005-0000-0000-0000110A0000}"/>
    <cellStyle name="Accent1 43" xfId="3247" xr:uid="{00000000-0005-0000-0000-0000120A0000}"/>
    <cellStyle name="Accent1 43 2" xfId="3248" xr:uid="{00000000-0005-0000-0000-0000130A0000}"/>
    <cellStyle name="Accent1 43 2 2" xfId="3249" xr:uid="{00000000-0005-0000-0000-0000140A0000}"/>
    <cellStyle name="Accent1 43 3" xfId="3250" xr:uid="{00000000-0005-0000-0000-0000150A0000}"/>
    <cellStyle name="Accent1 44" xfId="3251" xr:uid="{00000000-0005-0000-0000-0000160A0000}"/>
    <cellStyle name="Accent1 44 2" xfId="3252" xr:uid="{00000000-0005-0000-0000-0000170A0000}"/>
    <cellStyle name="Accent1 44 2 2" xfId="3253" xr:uid="{00000000-0005-0000-0000-0000180A0000}"/>
    <cellStyle name="Accent1 44 3" xfId="3254" xr:uid="{00000000-0005-0000-0000-0000190A0000}"/>
    <cellStyle name="Accent1 45" xfId="3255" xr:uid="{00000000-0005-0000-0000-00001A0A0000}"/>
    <cellStyle name="Accent1 45 2" xfId="3256" xr:uid="{00000000-0005-0000-0000-00001B0A0000}"/>
    <cellStyle name="Accent1 45 2 2" xfId="3257" xr:uid="{00000000-0005-0000-0000-00001C0A0000}"/>
    <cellStyle name="Accent1 45 3" xfId="3258" xr:uid="{00000000-0005-0000-0000-00001D0A0000}"/>
    <cellStyle name="Accent1 46" xfId="3259" xr:uid="{00000000-0005-0000-0000-00001E0A0000}"/>
    <cellStyle name="Accent1 46 2" xfId="3260" xr:uid="{00000000-0005-0000-0000-00001F0A0000}"/>
    <cellStyle name="Accent1 46 2 2" xfId="3261" xr:uid="{00000000-0005-0000-0000-0000200A0000}"/>
    <cellStyle name="Accent1 46 3" xfId="3262" xr:uid="{00000000-0005-0000-0000-0000210A0000}"/>
    <cellStyle name="Accent1 47" xfId="3263" xr:uid="{00000000-0005-0000-0000-0000220A0000}"/>
    <cellStyle name="Accent1 47 2" xfId="3264" xr:uid="{00000000-0005-0000-0000-0000230A0000}"/>
    <cellStyle name="Accent1 47 2 2" xfId="3265" xr:uid="{00000000-0005-0000-0000-0000240A0000}"/>
    <cellStyle name="Accent1 47 3" xfId="3266" xr:uid="{00000000-0005-0000-0000-0000250A0000}"/>
    <cellStyle name="Accent1 48" xfId="3267" xr:uid="{00000000-0005-0000-0000-0000260A0000}"/>
    <cellStyle name="Accent1 48 2" xfId="3268" xr:uid="{00000000-0005-0000-0000-0000270A0000}"/>
    <cellStyle name="Accent1 48 2 2" xfId="3269" xr:uid="{00000000-0005-0000-0000-0000280A0000}"/>
    <cellStyle name="Accent1 48 3" xfId="3270" xr:uid="{00000000-0005-0000-0000-0000290A0000}"/>
    <cellStyle name="Accent1 48 3 2" xfId="3271" xr:uid="{00000000-0005-0000-0000-00002A0A0000}"/>
    <cellStyle name="Accent1 48 3 2 2" xfId="3272" xr:uid="{00000000-0005-0000-0000-00002B0A0000}"/>
    <cellStyle name="Accent1 48 3 3" xfId="3273" xr:uid="{00000000-0005-0000-0000-00002C0A0000}"/>
    <cellStyle name="Accent1 48 4" xfId="3274" xr:uid="{00000000-0005-0000-0000-00002D0A0000}"/>
    <cellStyle name="Accent1 49" xfId="3275" xr:uid="{00000000-0005-0000-0000-00002E0A0000}"/>
    <cellStyle name="Accent1 49 2" xfId="3276" xr:uid="{00000000-0005-0000-0000-00002F0A0000}"/>
    <cellStyle name="Accent1 49 2 2" xfId="3277" xr:uid="{00000000-0005-0000-0000-0000300A0000}"/>
    <cellStyle name="Accent1 49 3" xfId="3278" xr:uid="{00000000-0005-0000-0000-0000310A0000}"/>
    <cellStyle name="Accent1 49 3 2" xfId="3279" xr:uid="{00000000-0005-0000-0000-0000320A0000}"/>
    <cellStyle name="Accent1 49 3 2 2" xfId="3280" xr:uid="{00000000-0005-0000-0000-0000330A0000}"/>
    <cellStyle name="Accent1 49 3 3" xfId="3281" xr:uid="{00000000-0005-0000-0000-0000340A0000}"/>
    <cellStyle name="Accent1 49 4" xfId="3282" xr:uid="{00000000-0005-0000-0000-0000350A0000}"/>
    <cellStyle name="Accent1 5" xfId="3283" xr:uid="{00000000-0005-0000-0000-0000360A0000}"/>
    <cellStyle name="Accent1 5 2" xfId="3284" xr:uid="{00000000-0005-0000-0000-0000370A0000}"/>
    <cellStyle name="Accent1 5 2 2" xfId="3285" xr:uid="{00000000-0005-0000-0000-0000380A0000}"/>
    <cellStyle name="Accent1 5 2 2 2" xfId="3286" xr:uid="{00000000-0005-0000-0000-0000390A0000}"/>
    <cellStyle name="Accent1 5 2 3" xfId="3287" xr:uid="{00000000-0005-0000-0000-00003A0A0000}"/>
    <cellStyle name="Accent1 5 2 3 2" xfId="3288" xr:uid="{00000000-0005-0000-0000-00003B0A0000}"/>
    <cellStyle name="Accent1 5 2 3 2 2" xfId="3289" xr:uid="{00000000-0005-0000-0000-00003C0A0000}"/>
    <cellStyle name="Accent1 5 2 3 3" xfId="3290" xr:uid="{00000000-0005-0000-0000-00003D0A0000}"/>
    <cellStyle name="Accent1 5 2 4" xfId="3291" xr:uid="{00000000-0005-0000-0000-00003E0A0000}"/>
    <cellStyle name="Accent1 5 3" xfId="3292" xr:uid="{00000000-0005-0000-0000-00003F0A0000}"/>
    <cellStyle name="Accent1 5 3 2" xfId="3293" xr:uid="{00000000-0005-0000-0000-0000400A0000}"/>
    <cellStyle name="Accent1 5 3 2 2" xfId="3294" xr:uid="{00000000-0005-0000-0000-0000410A0000}"/>
    <cellStyle name="Accent1 5 3 3" xfId="3295" xr:uid="{00000000-0005-0000-0000-0000420A0000}"/>
    <cellStyle name="Accent1 5 3 3 2" xfId="3296" xr:uid="{00000000-0005-0000-0000-0000430A0000}"/>
    <cellStyle name="Accent1 5 3 3 2 2" xfId="3297" xr:uid="{00000000-0005-0000-0000-0000440A0000}"/>
    <cellStyle name="Accent1 5 3 3 3" xfId="3298" xr:uid="{00000000-0005-0000-0000-0000450A0000}"/>
    <cellStyle name="Accent1 5 3 4" xfId="3299" xr:uid="{00000000-0005-0000-0000-0000460A0000}"/>
    <cellStyle name="Accent1 5 4" xfId="3300" xr:uid="{00000000-0005-0000-0000-0000470A0000}"/>
    <cellStyle name="Accent1 5 4 2" xfId="3301" xr:uid="{00000000-0005-0000-0000-0000480A0000}"/>
    <cellStyle name="Accent1 5 5" xfId="3302" xr:uid="{00000000-0005-0000-0000-0000490A0000}"/>
    <cellStyle name="Accent1 5 5 2" xfId="3303" xr:uid="{00000000-0005-0000-0000-00004A0A0000}"/>
    <cellStyle name="Accent1 5 6" xfId="3304" xr:uid="{00000000-0005-0000-0000-00004B0A0000}"/>
    <cellStyle name="Accent1 50" xfId="3305" xr:uid="{00000000-0005-0000-0000-00004C0A0000}"/>
    <cellStyle name="Accent1 50 2" xfId="3306" xr:uid="{00000000-0005-0000-0000-00004D0A0000}"/>
    <cellStyle name="Accent1 50 2 2" xfId="3307" xr:uid="{00000000-0005-0000-0000-00004E0A0000}"/>
    <cellStyle name="Accent1 50 3" xfId="3308" xr:uid="{00000000-0005-0000-0000-00004F0A0000}"/>
    <cellStyle name="Accent1 50 3 2" xfId="3309" xr:uid="{00000000-0005-0000-0000-0000500A0000}"/>
    <cellStyle name="Accent1 50 3 2 2" xfId="3310" xr:uid="{00000000-0005-0000-0000-0000510A0000}"/>
    <cellStyle name="Accent1 50 3 3" xfId="3311" xr:uid="{00000000-0005-0000-0000-0000520A0000}"/>
    <cellStyle name="Accent1 50 4" xfId="3312" xr:uid="{00000000-0005-0000-0000-0000530A0000}"/>
    <cellStyle name="Accent1 51" xfId="3313" xr:uid="{00000000-0005-0000-0000-0000540A0000}"/>
    <cellStyle name="Accent1 51 2" xfId="3314" xr:uid="{00000000-0005-0000-0000-0000550A0000}"/>
    <cellStyle name="Accent1 51 2 2" xfId="3315" xr:uid="{00000000-0005-0000-0000-0000560A0000}"/>
    <cellStyle name="Accent1 51 3" xfId="3316" xr:uid="{00000000-0005-0000-0000-0000570A0000}"/>
    <cellStyle name="Accent1 51 3 2" xfId="3317" xr:uid="{00000000-0005-0000-0000-0000580A0000}"/>
    <cellStyle name="Accent1 51 3 2 2" xfId="3318" xr:uid="{00000000-0005-0000-0000-0000590A0000}"/>
    <cellStyle name="Accent1 51 3 3" xfId="3319" xr:uid="{00000000-0005-0000-0000-00005A0A0000}"/>
    <cellStyle name="Accent1 51 4" xfId="3320" xr:uid="{00000000-0005-0000-0000-00005B0A0000}"/>
    <cellStyle name="Accent1 52" xfId="3321" xr:uid="{00000000-0005-0000-0000-00005C0A0000}"/>
    <cellStyle name="Accent1 52 2" xfId="3322" xr:uid="{00000000-0005-0000-0000-00005D0A0000}"/>
    <cellStyle name="Accent1 52 2 2" xfId="3323" xr:uid="{00000000-0005-0000-0000-00005E0A0000}"/>
    <cellStyle name="Accent1 52 3" xfId="3324" xr:uid="{00000000-0005-0000-0000-00005F0A0000}"/>
    <cellStyle name="Accent1 53" xfId="3325" xr:uid="{00000000-0005-0000-0000-0000600A0000}"/>
    <cellStyle name="Accent1 53 2" xfId="3326" xr:uid="{00000000-0005-0000-0000-0000610A0000}"/>
    <cellStyle name="Accent1 53 2 2" xfId="3327" xr:uid="{00000000-0005-0000-0000-0000620A0000}"/>
    <cellStyle name="Accent1 53 3" xfId="3328" xr:uid="{00000000-0005-0000-0000-0000630A0000}"/>
    <cellStyle name="Accent1 54" xfId="3329" xr:uid="{00000000-0005-0000-0000-0000640A0000}"/>
    <cellStyle name="Accent1 54 2" xfId="3330" xr:uid="{00000000-0005-0000-0000-0000650A0000}"/>
    <cellStyle name="Accent1 54 2 2" xfId="3331" xr:uid="{00000000-0005-0000-0000-0000660A0000}"/>
    <cellStyle name="Accent1 54 3" xfId="3332" xr:uid="{00000000-0005-0000-0000-0000670A0000}"/>
    <cellStyle name="Accent1 55" xfId="3333" xr:uid="{00000000-0005-0000-0000-0000680A0000}"/>
    <cellStyle name="Accent1 55 2" xfId="3334" xr:uid="{00000000-0005-0000-0000-0000690A0000}"/>
    <cellStyle name="Accent1 55 2 2" xfId="3335" xr:uid="{00000000-0005-0000-0000-00006A0A0000}"/>
    <cellStyle name="Accent1 55 3" xfId="3336" xr:uid="{00000000-0005-0000-0000-00006B0A0000}"/>
    <cellStyle name="Accent1 56" xfId="3337" xr:uid="{00000000-0005-0000-0000-00006C0A0000}"/>
    <cellStyle name="Accent1 56 2" xfId="3338" xr:uid="{00000000-0005-0000-0000-00006D0A0000}"/>
    <cellStyle name="Accent1 56 2 2" xfId="3339" xr:uid="{00000000-0005-0000-0000-00006E0A0000}"/>
    <cellStyle name="Accent1 56 3" xfId="3340" xr:uid="{00000000-0005-0000-0000-00006F0A0000}"/>
    <cellStyle name="Accent1 57" xfId="3341" xr:uid="{00000000-0005-0000-0000-0000700A0000}"/>
    <cellStyle name="Accent1 57 2" xfId="3342" xr:uid="{00000000-0005-0000-0000-0000710A0000}"/>
    <cellStyle name="Accent1 57 2 2" xfId="3343" xr:uid="{00000000-0005-0000-0000-0000720A0000}"/>
    <cellStyle name="Accent1 57 3" xfId="3344" xr:uid="{00000000-0005-0000-0000-0000730A0000}"/>
    <cellStyle name="Accent1 58" xfId="3345" xr:uid="{00000000-0005-0000-0000-0000740A0000}"/>
    <cellStyle name="Accent1 58 2" xfId="3346" xr:uid="{00000000-0005-0000-0000-0000750A0000}"/>
    <cellStyle name="Accent1 58 2 2" xfId="3347" xr:uid="{00000000-0005-0000-0000-0000760A0000}"/>
    <cellStyle name="Accent1 58 3" xfId="3348" xr:uid="{00000000-0005-0000-0000-0000770A0000}"/>
    <cellStyle name="Accent1 58 3 2" xfId="3349" xr:uid="{00000000-0005-0000-0000-0000780A0000}"/>
    <cellStyle name="Accent1 58 3 2 2" xfId="3350" xr:uid="{00000000-0005-0000-0000-0000790A0000}"/>
    <cellStyle name="Accent1 58 3 3" xfId="3351" xr:uid="{00000000-0005-0000-0000-00007A0A0000}"/>
    <cellStyle name="Accent1 58 4" xfId="3352" xr:uid="{00000000-0005-0000-0000-00007B0A0000}"/>
    <cellStyle name="Accent1 59" xfId="3353" xr:uid="{00000000-0005-0000-0000-00007C0A0000}"/>
    <cellStyle name="Accent1 59 2" xfId="3354" xr:uid="{00000000-0005-0000-0000-00007D0A0000}"/>
    <cellStyle name="Accent1 59 2 2" xfId="3355" xr:uid="{00000000-0005-0000-0000-00007E0A0000}"/>
    <cellStyle name="Accent1 59 3" xfId="3356" xr:uid="{00000000-0005-0000-0000-00007F0A0000}"/>
    <cellStyle name="Accent1 59 3 2" xfId="3357" xr:uid="{00000000-0005-0000-0000-0000800A0000}"/>
    <cellStyle name="Accent1 59 3 2 2" xfId="3358" xr:uid="{00000000-0005-0000-0000-0000810A0000}"/>
    <cellStyle name="Accent1 59 3 3" xfId="3359" xr:uid="{00000000-0005-0000-0000-0000820A0000}"/>
    <cellStyle name="Accent1 59 4" xfId="3360" xr:uid="{00000000-0005-0000-0000-0000830A0000}"/>
    <cellStyle name="Accent1 6" xfId="3361" xr:uid="{00000000-0005-0000-0000-0000840A0000}"/>
    <cellStyle name="Accent1 6 2" xfId="3362" xr:uid="{00000000-0005-0000-0000-0000850A0000}"/>
    <cellStyle name="Accent1 6 2 2" xfId="3363" xr:uid="{00000000-0005-0000-0000-0000860A0000}"/>
    <cellStyle name="Accent1 6 2 2 2" xfId="3364" xr:uid="{00000000-0005-0000-0000-0000870A0000}"/>
    <cellStyle name="Accent1 6 2 3" xfId="3365" xr:uid="{00000000-0005-0000-0000-0000880A0000}"/>
    <cellStyle name="Accent1 6 2 3 2" xfId="3366" xr:uid="{00000000-0005-0000-0000-0000890A0000}"/>
    <cellStyle name="Accent1 6 2 3 2 2" xfId="3367" xr:uid="{00000000-0005-0000-0000-00008A0A0000}"/>
    <cellStyle name="Accent1 6 2 3 3" xfId="3368" xr:uid="{00000000-0005-0000-0000-00008B0A0000}"/>
    <cellStyle name="Accent1 6 2 4" xfId="3369" xr:uid="{00000000-0005-0000-0000-00008C0A0000}"/>
    <cellStyle name="Accent1 6 3" xfId="3370" xr:uid="{00000000-0005-0000-0000-00008D0A0000}"/>
    <cellStyle name="Accent1 6 3 2" xfId="3371" xr:uid="{00000000-0005-0000-0000-00008E0A0000}"/>
    <cellStyle name="Accent1 6 4" xfId="3372" xr:uid="{00000000-0005-0000-0000-00008F0A0000}"/>
    <cellStyle name="Accent1 60" xfId="3373" xr:uid="{00000000-0005-0000-0000-0000900A0000}"/>
    <cellStyle name="Accent1 60 2" xfId="3374" xr:uid="{00000000-0005-0000-0000-0000910A0000}"/>
    <cellStyle name="Accent1 60 2 2" xfId="3375" xr:uid="{00000000-0005-0000-0000-0000920A0000}"/>
    <cellStyle name="Accent1 60 3" xfId="3376" xr:uid="{00000000-0005-0000-0000-0000930A0000}"/>
    <cellStyle name="Accent1 60 3 2" xfId="3377" xr:uid="{00000000-0005-0000-0000-0000940A0000}"/>
    <cellStyle name="Accent1 60 3 2 2" xfId="3378" xr:uid="{00000000-0005-0000-0000-0000950A0000}"/>
    <cellStyle name="Accent1 60 3 3" xfId="3379" xr:uid="{00000000-0005-0000-0000-0000960A0000}"/>
    <cellStyle name="Accent1 60 4" xfId="3380" xr:uid="{00000000-0005-0000-0000-0000970A0000}"/>
    <cellStyle name="Accent1 61" xfId="3381" xr:uid="{00000000-0005-0000-0000-0000980A0000}"/>
    <cellStyle name="Accent1 61 2" xfId="3382" xr:uid="{00000000-0005-0000-0000-0000990A0000}"/>
    <cellStyle name="Accent1 61 2 2" xfId="3383" xr:uid="{00000000-0005-0000-0000-00009A0A0000}"/>
    <cellStyle name="Accent1 61 3" xfId="3384" xr:uid="{00000000-0005-0000-0000-00009B0A0000}"/>
    <cellStyle name="Accent1 61 3 2" xfId="3385" xr:uid="{00000000-0005-0000-0000-00009C0A0000}"/>
    <cellStyle name="Accent1 61 3 2 2" xfId="3386" xr:uid="{00000000-0005-0000-0000-00009D0A0000}"/>
    <cellStyle name="Accent1 61 3 3" xfId="3387" xr:uid="{00000000-0005-0000-0000-00009E0A0000}"/>
    <cellStyle name="Accent1 61 4" xfId="3388" xr:uid="{00000000-0005-0000-0000-00009F0A0000}"/>
    <cellStyle name="Accent1 62" xfId="3389" xr:uid="{00000000-0005-0000-0000-0000A00A0000}"/>
    <cellStyle name="Accent1 62 2" xfId="3390" xr:uid="{00000000-0005-0000-0000-0000A10A0000}"/>
    <cellStyle name="Accent1 62 2 2" xfId="3391" xr:uid="{00000000-0005-0000-0000-0000A20A0000}"/>
    <cellStyle name="Accent1 62 3" xfId="3392" xr:uid="{00000000-0005-0000-0000-0000A30A0000}"/>
    <cellStyle name="Accent1 62 3 2" xfId="3393" xr:uid="{00000000-0005-0000-0000-0000A40A0000}"/>
    <cellStyle name="Accent1 62 3 2 2" xfId="3394" xr:uid="{00000000-0005-0000-0000-0000A50A0000}"/>
    <cellStyle name="Accent1 62 3 3" xfId="3395" xr:uid="{00000000-0005-0000-0000-0000A60A0000}"/>
    <cellStyle name="Accent1 62 4" xfId="3396" xr:uid="{00000000-0005-0000-0000-0000A70A0000}"/>
    <cellStyle name="Accent1 63" xfId="3397" xr:uid="{00000000-0005-0000-0000-0000A80A0000}"/>
    <cellStyle name="Accent1 63 2" xfId="3398" xr:uid="{00000000-0005-0000-0000-0000A90A0000}"/>
    <cellStyle name="Accent1 63 2 2" xfId="3399" xr:uid="{00000000-0005-0000-0000-0000AA0A0000}"/>
    <cellStyle name="Accent1 63 3" xfId="3400" xr:uid="{00000000-0005-0000-0000-0000AB0A0000}"/>
    <cellStyle name="Accent1 63 3 2" xfId="3401" xr:uid="{00000000-0005-0000-0000-0000AC0A0000}"/>
    <cellStyle name="Accent1 63 3 2 2" xfId="3402" xr:uid="{00000000-0005-0000-0000-0000AD0A0000}"/>
    <cellStyle name="Accent1 63 3 3" xfId="3403" xr:uid="{00000000-0005-0000-0000-0000AE0A0000}"/>
    <cellStyle name="Accent1 63 4" xfId="3404" xr:uid="{00000000-0005-0000-0000-0000AF0A0000}"/>
    <cellStyle name="Accent1 64" xfId="3405" xr:uid="{00000000-0005-0000-0000-0000B00A0000}"/>
    <cellStyle name="Accent1 64 2" xfId="3406" xr:uid="{00000000-0005-0000-0000-0000B10A0000}"/>
    <cellStyle name="Accent1 64 2 2" xfId="3407" xr:uid="{00000000-0005-0000-0000-0000B20A0000}"/>
    <cellStyle name="Accent1 64 3" xfId="3408" xr:uid="{00000000-0005-0000-0000-0000B30A0000}"/>
    <cellStyle name="Accent1 64 3 2" xfId="3409" xr:uid="{00000000-0005-0000-0000-0000B40A0000}"/>
    <cellStyle name="Accent1 64 3 2 2" xfId="3410" xr:uid="{00000000-0005-0000-0000-0000B50A0000}"/>
    <cellStyle name="Accent1 64 3 3" xfId="3411" xr:uid="{00000000-0005-0000-0000-0000B60A0000}"/>
    <cellStyle name="Accent1 64 4" xfId="3412" xr:uid="{00000000-0005-0000-0000-0000B70A0000}"/>
    <cellStyle name="Accent1 65" xfId="3413" xr:uid="{00000000-0005-0000-0000-0000B80A0000}"/>
    <cellStyle name="Accent1 65 2" xfId="3414" xr:uid="{00000000-0005-0000-0000-0000B90A0000}"/>
    <cellStyle name="Accent1 65 2 2" xfId="3415" xr:uid="{00000000-0005-0000-0000-0000BA0A0000}"/>
    <cellStyle name="Accent1 65 3" xfId="3416" xr:uid="{00000000-0005-0000-0000-0000BB0A0000}"/>
    <cellStyle name="Accent1 65 3 2" xfId="3417" xr:uid="{00000000-0005-0000-0000-0000BC0A0000}"/>
    <cellStyle name="Accent1 65 3 2 2" xfId="3418" xr:uid="{00000000-0005-0000-0000-0000BD0A0000}"/>
    <cellStyle name="Accent1 65 3 3" xfId="3419" xr:uid="{00000000-0005-0000-0000-0000BE0A0000}"/>
    <cellStyle name="Accent1 65 4" xfId="3420" xr:uid="{00000000-0005-0000-0000-0000BF0A0000}"/>
    <cellStyle name="Accent1 66" xfId="3421" xr:uid="{00000000-0005-0000-0000-0000C00A0000}"/>
    <cellStyle name="Accent1 66 2" xfId="3422" xr:uid="{00000000-0005-0000-0000-0000C10A0000}"/>
    <cellStyle name="Accent1 66 2 2" xfId="3423" xr:uid="{00000000-0005-0000-0000-0000C20A0000}"/>
    <cellStyle name="Accent1 66 3" xfId="3424" xr:uid="{00000000-0005-0000-0000-0000C30A0000}"/>
    <cellStyle name="Accent1 66 3 2" xfId="3425" xr:uid="{00000000-0005-0000-0000-0000C40A0000}"/>
    <cellStyle name="Accent1 66 3 2 2" xfId="3426" xr:uid="{00000000-0005-0000-0000-0000C50A0000}"/>
    <cellStyle name="Accent1 66 3 3" xfId="3427" xr:uid="{00000000-0005-0000-0000-0000C60A0000}"/>
    <cellStyle name="Accent1 66 4" xfId="3428" xr:uid="{00000000-0005-0000-0000-0000C70A0000}"/>
    <cellStyle name="Accent1 67" xfId="3429" xr:uid="{00000000-0005-0000-0000-0000C80A0000}"/>
    <cellStyle name="Accent1 67 2" xfId="3430" xr:uid="{00000000-0005-0000-0000-0000C90A0000}"/>
    <cellStyle name="Accent1 67 2 2" xfId="3431" xr:uid="{00000000-0005-0000-0000-0000CA0A0000}"/>
    <cellStyle name="Accent1 67 3" xfId="3432" xr:uid="{00000000-0005-0000-0000-0000CB0A0000}"/>
    <cellStyle name="Accent1 67 3 2" xfId="3433" xr:uid="{00000000-0005-0000-0000-0000CC0A0000}"/>
    <cellStyle name="Accent1 67 3 2 2" xfId="3434" xr:uid="{00000000-0005-0000-0000-0000CD0A0000}"/>
    <cellStyle name="Accent1 67 3 3" xfId="3435" xr:uid="{00000000-0005-0000-0000-0000CE0A0000}"/>
    <cellStyle name="Accent1 67 4" xfId="3436" xr:uid="{00000000-0005-0000-0000-0000CF0A0000}"/>
    <cellStyle name="Accent1 68" xfId="3437" xr:uid="{00000000-0005-0000-0000-0000D00A0000}"/>
    <cellStyle name="Accent1 68 2" xfId="3438" xr:uid="{00000000-0005-0000-0000-0000D10A0000}"/>
    <cellStyle name="Accent1 68 2 2" xfId="3439" xr:uid="{00000000-0005-0000-0000-0000D20A0000}"/>
    <cellStyle name="Accent1 68 3" xfId="3440" xr:uid="{00000000-0005-0000-0000-0000D30A0000}"/>
    <cellStyle name="Accent1 68 3 2" xfId="3441" xr:uid="{00000000-0005-0000-0000-0000D40A0000}"/>
    <cellStyle name="Accent1 68 3 2 2" xfId="3442" xr:uid="{00000000-0005-0000-0000-0000D50A0000}"/>
    <cellStyle name="Accent1 68 3 3" xfId="3443" xr:uid="{00000000-0005-0000-0000-0000D60A0000}"/>
    <cellStyle name="Accent1 68 4" xfId="3444" xr:uid="{00000000-0005-0000-0000-0000D70A0000}"/>
    <cellStyle name="Accent1 69" xfId="3445" xr:uid="{00000000-0005-0000-0000-0000D80A0000}"/>
    <cellStyle name="Accent1 69 2" xfId="3446" xr:uid="{00000000-0005-0000-0000-0000D90A0000}"/>
    <cellStyle name="Accent1 69 2 2" xfId="3447" xr:uid="{00000000-0005-0000-0000-0000DA0A0000}"/>
    <cellStyle name="Accent1 69 3" xfId="3448" xr:uid="{00000000-0005-0000-0000-0000DB0A0000}"/>
    <cellStyle name="Accent1 69 3 2" xfId="3449" xr:uid="{00000000-0005-0000-0000-0000DC0A0000}"/>
    <cellStyle name="Accent1 69 3 2 2" xfId="3450" xr:uid="{00000000-0005-0000-0000-0000DD0A0000}"/>
    <cellStyle name="Accent1 69 3 3" xfId="3451" xr:uid="{00000000-0005-0000-0000-0000DE0A0000}"/>
    <cellStyle name="Accent1 69 4" xfId="3452" xr:uid="{00000000-0005-0000-0000-0000DF0A0000}"/>
    <cellStyle name="Accent1 7" xfId="3453" xr:uid="{00000000-0005-0000-0000-0000E00A0000}"/>
    <cellStyle name="Accent1 7 2" xfId="3454" xr:uid="{00000000-0005-0000-0000-0000E10A0000}"/>
    <cellStyle name="Accent1 7 2 2" xfId="3455" xr:uid="{00000000-0005-0000-0000-0000E20A0000}"/>
    <cellStyle name="Accent1 7 2 2 2" xfId="3456" xr:uid="{00000000-0005-0000-0000-0000E30A0000}"/>
    <cellStyle name="Accent1 7 2 3" xfId="3457" xr:uid="{00000000-0005-0000-0000-0000E40A0000}"/>
    <cellStyle name="Accent1 7 2 3 2" xfId="3458" xr:uid="{00000000-0005-0000-0000-0000E50A0000}"/>
    <cellStyle name="Accent1 7 2 3 2 2" xfId="3459" xr:uid="{00000000-0005-0000-0000-0000E60A0000}"/>
    <cellStyle name="Accent1 7 2 3 3" xfId="3460" xr:uid="{00000000-0005-0000-0000-0000E70A0000}"/>
    <cellStyle name="Accent1 7 2 4" xfId="3461" xr:uid="{00000000-0005-0000-0000-0000E80A0000}"/>
    <cellStyle name="Accent1 7 3" xfId="3462" xr:uid="{00000000-0005-0000-0000-0000E90A0000}"/>
    <cellStyle name="Accent1 7 3 2" xfId="3463" xr:uid="{00000000-0005-0000-0000-0000EA0A0000}"/>
    <cellStyle name="Accent1 7 4" xfId="3464" xr:uid="{00000000-0005-0000-0000-0000EB0A0000}"/>
    <cellStyle name="Accent1 70" xfId="3465" xr:uid="{00000000-0005-0000-0000-0000EC0A0000}"/>
    <cellStyle name="Accent1 70 2" xfId="3466" xr:uid="{00000000-0005-0000-0000-0000ED0A0000}"/>
    <cellStyle name="Accent1 70 2 2" xfId="3467" xr:uid="{00000000-0005-0000-0000-0000EE0A0000}"/>
    <cellStyle name="Accent1 70 3" xfId="3468" xr:uid="{00000000-0005-0000-0000-0000EF0A0000}"/>
    <cellStyle name="Accent1 70 3 2" xfId="3469" xr:uid="{00000000-0005-0000-0000-0000F00A0000}"/>
    <cellStyle name="Accent1 70 3 2 2" xfId="3470" xr:uid="{00000000-0005-0000-0000-0000F10A0000}"/>
    <cellStyle name="Accent1 70 3 3" xfId="3471" xr:uid="{00000000-0005-0000-0000-0000F20A0000}"/>
    <cellStyle name="Accent1 70 4" xfId="3472" xr:uid="{00000000-0005-0000-0000-0000F30A0000}"/>
    <cellStyle name="Accent1 71" xfId="3473" xr:uid="{00000000-0005-0000-0000-0000F40A0000}"/>
    <cellStyle name="Accent1 71 2" xfId="3474" xr:uid="{00000000-0005-0000-0000-0000F50A0000}"/>
    <cellStyle name="Accent1 71 2 2" xfId="3475" xr:uid="{00000000-0005-0000-0000-0000F60A0000}"/>
    <cellStyle name="Accent1 71 3" xfId="3476" xr:uid="{00000000-0005-0000-0000-0000F70A0000}"/>
    <cellStyle name="Accent1 71 3 2" xfId="3477" xr:uid="{00000000-0005-0000-0000-0000F80A0000}"/>
    <cellStyle name="Accent1 71 3 2 2" xfId="3478" xr:uid="{00000000-0005-0000-0000-0000F90A0000}"/>
    <cellStyle name="Accent1 71 3 3" xfId="3479" xr:uid="{00000000-0005-0000-0000-0000FA0A0000}"/>
    <cellStyle name="Accent1 71 4" xfId="3480" xr:uid="{00000000-0005-0000-0000-0000FB0A0000}"/>
    <cellStyle name="Accent1 72" xfId="3481" xr:uid="{00000000-0005-0000-0000-0000FC0A0000}"/>
    <cellStyle name="Accent1 72 2" xfId="3482" xr:uid="{00000000-0005-0000-0000-0000FD0A0000}"/>
    <cellStyle name="Accent1 72 2 2" xfId="3483" xr:uid="{00000000-0005-0000-0000-0000FE0A0000}"/>
    <cellStyle name="Accent1 72 3" xfId="3484" xr:uid="{00000000-0005-0000-0000-0000FF0A0000}"/>
    <cellStyle name="Accent1 72 3 2" xfId="3485" xr:uid="{00000000-0005-0000-0000-0000000B0000}"/>
    <cellStyle name="Accent1 72 3 2 2" xfId="3486" xr:uid="{00000000-0005-0000-0000-0000010B0000}"/>
    <cellStyle name="Accent1 72 3 3" xfId="3487" xr:uid="{00000000-0005-0000-0000-0000020B0000}"/>
    <cellStyle name="Accent1 72 4" xfId="3488" xr:uid="{00000000-0005-0000-0000-0000030B0000}"/>
    <cellStyle name="Accent1 73" xfId="3489" xr:uid="{00000000-0005-0000-0000-0000040B0000}"/>
    <cellStyle name="Accent1 73 2" xfId="3490" xr:uid="{00000000-0005-0000-0000-0000050B0000}"/>
    <cellStyle name="Accent1 73 2 2" xfId="3491" xr:uid="{00000000-0005-0000-0000-0000060B0000}"/>
    <cellStyle name="Accent1 73 3" xfId="3492" xr:uid="{00000000-0005-0000-0000-0000070B0000}"/>
    <cellStyle name="Accent1 73 3 2" xfId="3493" xr:uid="{00000000-0005-0000-0000-0000080B0000}"/>
    <cellStyle name="Accent1 73 3 2 2" xfId="3494" xr:uid="{00000000-0005-0000-0000-0000090B0000}"/>
    <cellStyle name="Accent1 73 3 3" xfId="3495" xr:uid="{00000000-0005-0000-0000-00000A0B0000}"/>
    <cellStyle name="Accent1 73 4" xfId="3496" xr:uid="{00000000-0005-0000-0000-00000B0B0000}"/>
    <cellStyle name="Accent1 74" xfId="3497" xr:uid="{00000000-0005-0000-0000-00000C0B0000}"/>
    <cellStyle name="Accent1 74 2" xfId="3498" xr:uid="{00000000-0005-0000-0000-00000D0B0000}"/>
    <cellStyle name="Accent1 74 2 2" xfId="3499" xr:uid="{00000000-0005-0000-0000-00000E0B0000}"/>
    <cellStyle name="Accent1 74 3" xfId="3500" xr:uid="{00000000-0005-0000-0000-00000F0B0000}"/>
    <cellStyle name="Accent1 74 3 2" xfId="3501" xr:uid="{00000000-0005-0000-0000-0000100B0000}"/>
    <cellStyle name="Accent1 74 3 2 2" xfId="3502" xr:uid="{00000000-0005-0000-0000-0000110B0000}"/>
    <cellStyle name="Accent1 74 3 3" xfId="3503" xr:uid="{00000000-0005-0000-0000-0000120B0000}"/>
    <cellStyle name="Accent1 74 4" xfId="3504" xr:uid="{00000000-0005-0000-0000-0000130B0000}"/>
    <cellStyle name="Accent1 75" xfId="3505" xr:uid="{00000000-0005-0000-0000-0000140B0000}"/>
    <cellStyle name="Accent1 75 2" xfId="3506" xr:uid="{00000000-0005-0000-0000-0000150B0000}"/>
    <cellStyle name="Accent1 75 2 2" xfId="3507" xr:uid="{00000000-0005-0000-0000-0000160B0000}"/>
    <cellStyle name="Accent1 75 3" xfId="3508" xr:uid="{00000000-0005-0000-0000-0000170B0000}"/>
    <cellStyle name="Accent1 75 3 2" xfId="3509" xr:uid="{00000000-0005-0000-0000-0000180B0000}"/>
    <cellStyle name="Accent1 75 3 2 2" xfId="3510" xr:uid="{00000000-0005-0000-0000-0000190B0000}"/>
    <cellStyle name="Accent1 75 3 3" xfId="3511" xr:uid="{00000000-0005-0000-0000-00001A0B0000}"/>
    <cellStyle name="Accent1 75 4" xfId="3512" xr:uid="{00000000-0005-0000-0000-00001B0B0000}"/>
    <cellStyle name="Accent1 76" xfId="3513" xr:uid="{00000000-0005-0000-0000-00001C0B0000}"/>
    <cellStyle name="Accent1 76 2" xfId="3514" xr:uid="{00000000-0005-0000-0000-00001D0B0000}"/>
    <cellStyle name="Accent1 76 2 2" xfId="3515" xr:uid="{00000000-0005-0000-0000-00001E0B0000}"/>
    <cellStyle name="Accent1 76 3" xfId="3516" xr:uid="{00000000-0005-0000-0000-00001F0B0000}"/>
    <cellStyle name="Accent1 76 3 2" xfId="3517" xr:uid="{00000000-0005-0000-0000-0000200B0000}"/>
    <cellStyle name="Accent1 76 3 2 2" xfId="3518" xr:uid="{00000000-0005-0000-0000-0000210B0000}"/>
    <cellStyle name="Accent1 76 3 3" xfId="3519" xr:uid="{00000000-0005-0000-0000-0000220B0000}"/>
    <cellStyle name="Accent1 76 4" xfId="3520" xr:uid="{00000000-0005-0000-0000-0000230B0000}"/>
    <cellStyle name="Accent1 77" xfId="3521" xr:uid="{00000000-0005-0000-0000-0000240B0000}"/>
    <cellStyle name="Accent1 77 2" xfId="3522" xr:uid="{00000000-0005-0000-0000-0000250B0000}"/>
    <cellStyle name="Accent1 77 2 2" xfId="3523" xr:uid="{00000000-0005-0000-0000-0000260B0000}"/>
    <cellStyle name="Accent1 77 3" xfId="3524" xr:uid="{00000000-0005-0000-0000-0000270B0000}"/>
    <cellStyle name="Accent1 77 3 2" xfId="3525" xr:uid="{00000000-0005-0000-0000-0000280B0000}"/>
    <cellStyle name="Accent1 77 3 2 2" xfId="3526" xr:uid="{00000000-0005-0000-0000-0000290B0000}"/>
    <cellStyle name="Accent1 77 3 3" xfId="3527" xr:uid="{00000000-0005-0000-0000-00002A0B0000}"/>
    <cellStyle name="Accent1 77 4" xfId="3528" xr:uid="{00000000-0005-0000-0000-00002B0B0000}"/>
    <cellStyle name="Accent1 78" xfId="3529" xr:uid="{00000000-0005-0000-0000-00002C0B0000}"/>
    <cellStyle name="Accent1 78 2" xfId="3530" xr:uid="{00000000-0005-0000-0000-00002D0B0000}"/>
    <cellStyle name="Accent1 78 2 2" xfId="3531" xr:uid="{00000000-0005-0000-0000-00002E0B0000}"/>
    <cellStyle name="Accent1 78 3" xfId="3532" xr:uid="{00000000-0005-0000-0000-00002F0B0000}"/>
    <cellStyle name="Accent1 78 3 2" xfId="3533" xr:uid="{00000000-0005-0000-0000-0000300B0000}"/>
    <cellStyle name="Accent1 78 3 2 2" xfId="3534" xr:uid="{00000000-0005-0000-0000-0000310B0000}"/>
    <cellStyle name="Accent1 78 3 3" xfId="3535" xr:uid="{00000000-0005-0000-0000-0000320B0000}"/>
    <cellStyle name="Accent1 78 4" xfId="3536" xr:uid="{00000000-0005-0000-0000-0000330B0000}"/>
    <cellStyle name="Accent1 79" xfId="3537" xr:uid="{00000000-0005-0000-0000-0000340B0000}"/>
    <cellStyle name="Accent1 79 2" xfId="3538" xr:uid="{00000000-0005-0000-0000-0000350B0000}"/>
    <cellStyle name="Accent1 79 2 2" xfId="3539" xr:uid="{00000000-0005-0000-0000-0000360B0000}"/>
    <cellStyle name="Accent1 79 3" xfId="3540" xr:uid="{00000000-0005-0000-0000-0000370B0000}"/>
    <cellStyle name="Accent1 79 3 2" xfId="3541" xr:uid="{00000000-0005-0000-0000-0000380B0000}"/>
    <cellStyle name="Accent1 79 3 2 2" xfId="3542" xr:uid="{00000000-0005-0000-0000-0000390B0000}"/>
    <cellStyle name="Accent1 79 3 3" xfId="3543" xr:uid="{00000000-0005-0000-0000-00003A0B0000}"/>
    <cellStyle name="Accent1 79 4" xfId="3544" xr:uid="{00000000-0005-0000-0000-00003B0B0000}"/>
    <cellStyle name="Accent1 8" xfId="3545" xr:uid="{00000000-0005-0000-0000-00003C0B0000}"/>
    <cellStyle name="Accent1 8 2" xfId="3546" xr:uid="{00000000-0005-0000-0000-00003D0B0000}"/>
    <cellStyle name="Accent1 8 2 2" xfId="3547" xr:uid="{00000000-0005-0000-0000-00003E0B0000}"/>
    <cellStyle name="Accent1 8 3" xfId="3548" xr:uid="{00000000-0005-0000-0000-00003F0B0000}"/>
    <cellStyle name="Accent1 80" xfId="3549" xr:uid="{00000000-0005-0000-0000-0000400B0000}"/>
    <cellStyle name="Accent1 80 2" xfId="3550" xr:uid="{00000000-0005-0000-0000-0000410B0000}"/>
    <cellStyle name="Accent1 80 2 2" xfId="3551" xr:uid="{00000000-0005-0000-0000-0000420B0000}"/>
    <cellStyle name="Accent1 80 3" xfId="3552" xr:uid="{00000000-0005-0000-0000-0000430B0000}"/>
    <cellStyle name="Accent1 80 3 2" xfId="3553" xr:uid="{00000000-0005-0000-0000-0000440B0000}"/>
    <cellStyle name="Accent1 80 3 2 2" xfId="3554" xr:uid="{00000000-0005-0000-0000-0000450B0000}"/>
    <cellStyle name="Accent1 80 3 3" xfId="3555" xr:uid="{00000000-0005-0000-0000-0000460B0000}"/>
    <cellStyle name="Accent1 80 4" xfId="3556" xr:uid="{00000000-0005-0000-0000-0000470B0000}"/>
    <cellStyle name="Accent1 81" xfId="3557" xr:uid="{00000000-0005-0000-0000-0000480B0000}"/>
    <cellStyle name="Accent1 81 2" xfId="3558" xr:uid="{00000000-0005-0000-0000-0000490B0000}"/>
    <cellStyle name="Accent1 81 2 2" xfId="3559" xr:uid="{00000000-0005-0000-0000-00004A0B0000}"/>
    <cellStyle name="Accent1 81 3" xfId="3560" xr:uid="{00000000-0005-0000-0000-00004B0B0000}"/>
    <cellStyle name="Accent1 81 3 2" xfId="3561" xr:uid="{00000000-0005-0000-0000-00004C0B0000}"/>
    <cellStyle name="Accent1 81 3 2 2" xfId="3562" xr:uid="{00000000-0005-0000-0000-00004D0B0000}"/>
    <cellStyle name="Accent1 81 3 3" xfId="3563" xr:uid="{00000000-0005-0000-0000-00004E0B0000}"/>
    <cellStyle name="Accent1 81 4" xfId="3564" xr:uid="{00000000-0005-0000-0000-00004F0B0000}"/>
    <cellStyle name="Accent1 82" xfId="3565" xr:uid="{00000000-0005-0000-0000-0000500B0000}"/>
    <cellStyle name="Accent1 82 2" xfId="3566" xr:uid="{00000000-0005-0000-0000-0000510B0000}"/>
    <cellStyle name="Accent1 82 2 2" xfId="3567" xr:uid="{00000000-0005-0000-0000-0000520B0000}"/>
    <cellStyle name="Accent1 82 3" xfId="3568" xr:uid="{00000000-0005-0000-0000-0000530B0000}"/>
    <cellStyle name="Accent1 82 3 2" xfId="3569" xr:uid="{00000000-0005-0000-0000-0000540B0000}"/>
    <cellStyle name="Accent1 82 3 2 2" xfId="3570" xr:uid="{00000000-0005-0000-0000-0000550B0000}"/>
    <cellStyle name="Accent1 82 3 3" xfId="3571" xr:uid="{00000000-0005-0000-0000-0000560B0000}"/>
    <cellStyle name="Accent1 82 4" xfId="3572" xr:uid="{00000000-0005-0000-0000-0000570B0000}"/>
    <cellStyle name="Accent1 83" xfId="3573" xr:uid="{00000000-0005-0000-0000-0000580B0000}"/>
    <cellStyle name="Accent1 83 2" xfId="3574" xr:uid="{00000000-0005-0000-0000-0000590B0000}"/>
    <cellStyle name="Accent1 83 2 2" xfId="3575" xr:uid="{00000000-0005-0000-0000-00005A0B0000}"/>
    <cellStyle name="Accent1 83 3" xfId="3576" xr:uid="{00000000-0005-0000-0000-00005B0B0000}"/>
    <cellStyle name="Accent1 83 3 2" xfId="3577" xr:uid="{00000000-0005-0000-0000-00005C0B0000}"/>
    <cellStyle name="Accent1 83 3 2 2" xfId="3578" xr:uid="{00000000-0005-0000-0000-00005D0B0000}"/>
    <cellStyle name="Accent1 83 3 3" xfId="3579" xr:uid="{00000000-0005-0000-0000-00005E0B0000}"/>
    <cellStyle name="Accent1 83 4" xfId="3580" xr:uid="{00000000-0005-0000-0000-00005F0B0000}"/>
    <cellStyle name="Accent1 84" xfId="3581" xr:uid="{00000000-0005-0000-0000-0000600B0000}"/>
    <cellStyle name="Accent1 84 2" xfId="3582" xr:uid="{00000000-0005-0000-0000-0000610B0000}"/>
    <cellStyle name="Accent1 84 2 2" xfId="3583" xr:uid="{00000000-0005-0000-0000-0000620B0000}"/>
    <cellStyle name="Accent1 84 3" xfId="3584" xr:uid="{00000000-0005-0000-0000-0000630B0000}"/>
    <cellStyle name="Accent1 85" xfId="3585" xr:uid="{00000000-0005-0000-0000-0000640B0000}"/>
    <cellStyle name="Accent1 85 2" xfId="3586" xr:uid="{00000000-0005-0000-0000-0000650B0000}"/>
    <cellStyle name="Accent1 85 2 2" xfId="3587" xr:uid="{00000000-0005-0000-0000-0000660B0000}"/>
    <cellStyle name="Accent1 85 3" xfId="3588" xr:uid="{00000000-0005-0000-0000-0000670B0000}"/>
    <cellStyle name="Accent1 86" xfId="3589" xr:uid="{00000000-0005-0000-0000-0000680B0000}"/>
    <cellStyle name="Accent1 86 2" xfId="3590" xr:uid="{00000000-0005-0000-0000-0000690B0000}"/>
    <cellStyle name="Accent1 86 2 2" xfId="3591" xr:uid="{00000000-0005-0000-0000-00006A0B0000}"/>
    <cellStyle name="Accent1 86 3" xfId="3592" xr:uid="{00000000-0005-0000-0000-00006B0B0000}"/>
    <cellStyle name="Accent1 87" xfId="3593" xr:uid="{00000000-0005-0000-0000-00006C0B0000}"/>
    <cellStyle name="Accent1 87 2" xfId="3594" xr:uid="{00000000-0005-0000-0000-00006D0B0000}"/>
    <cellStyle name="Accent1 87 2 2" xfId="3595" xr:uid="{00000000-0005-0000-0000-00006E0B0000}"/>
    <cellStyle name="Accent1 87 3" xfId="3596" xr:uid="{00000000-0005-0000-0000-00006F0B0000}"/>
    <cellStyle name="Accent1 88" xfId="3597" xr:uid="{00000000-0005-0000-0000-0000700B0000}"/>
    <cellStyle name="Accent1 88 2" xfId="3598" xr:uid="{00000000-0005-0000-0000-0000710B0000}"/>
    <cellStyle name="Accent1 88 2 2" xfId="3599" xr:uid="{00000000-0005-0000-0000-0000720B0000}"/>
    <cellStyle name="Accent1 88 3" xfId="3600" xr:uid="{00000000-0005-0000-0000-0000730B0000}"/>
    <cellStyle name="Accent1 89" xfId="3601" xr:uid="{00000000-0005-0000-0000-0000740B0000}"/>
    <cellStyle name="Accent1 89 2" xfId="3602" xr:uid="{00000000-0005-0000-0000-0000750B0000}"/>
    <cellStyle name="Accent1 89 2 2" xfId="3603" xr:uid="{00000000-0005-0000-0000-0000760B0000}"/>
    <cellStyle name="Accent1 89 3" xfId="3604" xr:uid="{00000000-0005-0000-0000-0000770B0000}"/>
    <cellStyle name="Accent1 9" xfId="3605" xr:uid="{00000000-0005-0000-0000-0000780B0000}"/>
    <cellStyle name="Accent1 9 2" xfId="3606" xr:uid="{00000000-0005-0000-0000-0000790B0000}"/>
    <cellStyle name="Accent1 9 2 2" xfId="3607" xr:uid="{00000000-0005-0000-0000-00007A0B0000}"/>
    <cellStyle name="Accent1 9 3" xfId="3608" xr:uid="{00000000-0005-0000-0000-00007B0B0000}"/>
    <cellStyle name="Accent1 90" xfId="3609" xr:uid="{00000000-0005-0000-0000-00007C0B0000}"/>
    <cellStyle name="Accent1 90 2" xfId="3610" xr:uid="{00000000-0005-0000-0000-00007D0B0000}"/>
    <cellStyle name="Accent1 90 2 2" xfId="3611" xr:uid="{00000000-0005-0000-0000-00007E0B0000}"/>
    <cellStyle name="Accent1 90 3" xfId="3612" xr:uid="{00000000-0005-0000-0000-00007F0B0000}"/>
    <cellStyle name="Accent1 91" xfId="3613" xr:uid="{00000000-0005-0000-0000-0000800B0000}"/>
    <cellStyle name="Accent1 91 2" xfId="3614" xr:uid="{00000000-0005-0000-0000-0000810B0000}"/>
    <cellStyle name="Accent1 91 2 2" xfId="3615" xr:uid="{00000000-0005-0000-0000-0000820B0000}"/>
    <cellStyle name="Accent1 91 3" xfId="3616" xr:uid="{00000000-0005-0000-0000-0000830B0000}"/>
    <cellStyle name="Accent1 92" xfId="3617" xr:uid="{00000000-0005-0000-0000-0000840B0000}"/>
    <cellStyle name="Accent1 92 2" xfId="3618" xr:uid="{00000000-0005-0000-0000-0000850B0000}"/>
    <cellStyle name="Accent1 92 2 2" xfId="3619" xr:uid="{00000000-0005-0000-0000-0000860B0000}"/>
    <cellStyle name="Accent1 92 3" xfId="3620" xr:uid="{00000000-0005-0000-0000-0000870B0000}"/>
    <cellStyle name="Accent1 93" xfId="3621" xr:uid="{00000000-0005-0000-0000-0000880B0000}"/>
    <cellStyle name="Accent1 93 2" xfId="3622" xr:uid="{00000000-0005-0000-0000-0000890B0000}"/>
    <cellStyle name="Accent1 93 2 2" xfId="3623" xr:uid="{00000000-0005-0000-0000-00008A0B0000}"/>
    <cellStyle name="Accent1 93 3" xfId="3624" xr:uid="{00000000-0005-0000-0000-00008B0B0000}"/>
    <cellStyle name="Accent1 94" xfId="3625" xr:uid="{00000000-0005-0000-0000-00008C0B0000}"/>
    <cellStyle name="Accent1 94 2" xfId="3626" xr:uid="{00000000-0005-0000-0000-00008D0B0000}"/>
    <cellStyle name="Accent1 94 2 2" xfId="3627" xr:uid="{00000000-0005-0000-0000-00008E0B0000}"/>
    <cellStyle name="Accent1 94 3" xfId="3628" xr:uid="{00000000-0005-0000-0000-00008F0B0000}"/>
    <cellStyle name="Accent1 95" xfId="3629" xr:uid="{00000000-0005-0000-0000-0000900B0000}"/>
    <cellStyle name="Accent1 95 2" xfId="3630" xr:uid="{00000000-0005-0000-0000-0000910B0000}"/>
    <cellStyle name="Accent1 95 2 2" xfId="3631" xr:uid="{00000000-0005-0000-0000-0000920B0000}"/>
    <cellStyle name="Accent1 95 3" xfId="3632" xr:uid="{00000000-0005-0000-0000-0000930B0000}"/>
    <cellStyle name="Accent1 96" xfId="3633" xr:uid="{00000000-0005-0000-0000-0000940B0000}"/>
    <cellStyle name="Accent1 96 2" xfId="3634" xr:uid="{00000000-0005-0000-0000-0000950B0000}"/>
    <cellStyle name="Accent1 96 2 2" xfId="3635" xr:uid="{00000000-0005-0000-0000-0000960B0000}"/>
    <cellStyle name="Accent1 96 3" xfId="3636" xr:uid="{00000000-0005-0000-0000-0000970B0000}"/>
    <cellStyle name="Accent1 97" xfId="3637" xr:uid="{00000000-0005-0000-0000-0000980B0000}"/>
    <cellStyle name="Accent1 97 2" xfId="3638" xr:uid="{00000000-0005-0000-0000-0000990B0000}"/>
    <cellStyle name="Accent1 97 2 2" xfId="3639" xr:uid="{00000000-0005-0000-0000-00009A0B0000}"/>
    <cellStyle name="Accent1 97 3" xfId="3640" xr:uid="{00000000-0005-0000-0000-00009B0B0000}"/>
    <cellStyle name="Accent1 98" xfId="3641" xr:uid="{00000000-0005-0000-0000-00009C0B0000}"/>
    <cellStyle name="Accent1 98 2" xfId="3642" xr:uid="{00000000-0005-0000-0000-00009D0B0000}"/>
    <cellStyle name="Accent1 98 2 2" xfId="3643" xr:uid="{00000000-0005-0000-0000-00009E0B0000}"/>
    <cellStyle name="Accent1 98 3" xfId="3644" xr:uid="{00000000-0005-0000-0000-00009F0B0000}"/>
    <cellStyle name="Accent1 99" xfId="3645" xr:uid="{00000000-0005-0000-0000-0000A00B0000}"/>
    <cellStyle name="Accent1 99 2" xfId="3646" xr:uid="{00000000-0005-0000-0000-0000A10B0000}"/>
    <cellStyle name="Accent1 99 2 2" xfId="3647" xr:uid="{00000000-0005-0000-0000-0000A20B0000}"/>
    <cellStyle name="Accent1 99 3" xfId="3648" xr:uid="{00000000-0005-0000-0000-0000A30B0000}"/>
    <cellStyle name="Accent2 - 20%" xfId="4" xr:uid="{00000000-0005-0000-0000-0000A40B0000}"/>
    <cellStyle name="Accent2 - 20% 10" xfId="3649" xr:uid="{00000000-0005-0000-0000-0000A50B0000}"/>
    <cellStyle name="Accent2 - 20% 11" xfId="3650" xr:uid="{00000000-0005-0000-0000-0000A60B0000}"/>
    <cellStyle name="Accent2 - 20% 2" xfId="3651" xr:uid="{00000000-0005-0000-0000-0000A70B0000}"/>
    <cellStyle name="Accent2 - 20% 2 2" xfId="3652" xr:uid="{00000000-0005-0000-0000-0000A80B0000}"/>
    <cellStyle name="Accent2 - 20% 2 2 2" xfId="3653" xr:uid="{00000000-0005-0000-0000-0000A90B0000}"/>
    <cellStyle name="Accent2 - 20% 2 2 2 2" xfId="3654" xr:uid="{00000000-0005-0000-0000-0000AA0B0000}"/>
    <cellStyle name="Accent2 - 20% 2 2 3" xfId="3655" xr:uid="{00000000-0005-0000-0000-0000AB0B0000}"/>
    <cellStyle name="Accent2 - 20% 2 3" xfId="3656" xr:uid="{00000000-0005-0000-0000-0000AC0B0000}"/>
    <cellStyle name="Accent2 - 20% 2 3 2" xfId="3657" xr:uid="{00000000-0005-0000-0000-0000AD0B0000}"/>
    <cellStyle name="Accent2 - 20% 2 3 2 2" xfId="3658" xr:uid="{00000000-0005-0000-0000-0000AE0B0000}"/>
    <cellStyle name="Accent2 - 20% 2 3 2 2 2" xfId="3659" xr:uid="{00000000-0005-0000-0000-0000AF0B0000}"/>
    <cellStyle name="Accent2 - 20% 2 3 2 3" xfId="3660" xr:uid="{00000000-0005-0000-0000-0000B00B0000}"/>
    <cellStyle name="Accent2 - 20% 2 3 3" xfId="3661" xr:uid="{00000000-0005-0000-0000-0000B10B0000}"/>
    <cellStyle name="Accent2 - 20% 2 3 3 2" xfId="3662" xr:uid="{00000000-0005-0000-0000-0000B20B0000}"/>
    <cellStyle name="Accent2 - 20% 2 3 4" xfId="3663" xr:uid="{00000000-0005-0000-0000-0000B30B0000}"/>
    <cellStyle name="Accent2 - 20% 2 4" xfId="3664" xr:uid="{00000000-0005-0000-0000-0000B40B0000}"/>
    <cellStyle name="Accent2 - 20% 2 4 2" xfId="3665" xr:uid="{00000000-0005-0000-0000-0000B50B0000}"/>
    <cellStyle name="Accent2 - 20% 2 4 2 2" xfId="3666" xr:uid="{00000000-0005-0000-0000-0000B60B0000}"/>
    <cellStyle name="Accent2 - 20% 2 4 2 2 2" xfId="3667" xr:uid="{00000000-0005-0000-0000-0000B70B0000}"/>
    <cellStyle name="Accent2 - 20% 2 4 2 3" xfId="3668" xr:uid="{00000000-0005-0000-0000-0000B80B0000}"/>
    <cellStyle name="Accent2 - 20% 2 4 3" xfId="3669" xr:uid="{00000000-0005-0000-0000-0000B90B0000}"/>
    <cellStyle name="Accent2 - 20% 2 4 3 2" xfId="3670" xr:uid="{00000000-0005-0000-0000-0000BA0B0000}"/>
    <cellStyle name="Accent2 - 20% 2 4 4" xfId="3671" xr:uid="{00000000-0005-0000-0000-0000BB0B0000}"/>
    <cellStyle name="Accent2 - 20% 2 5" xfId="3672" xr:uid="{00000000-0005-0000-0000-0000BC0B0000}"/>
    <cellStyle name="Accent2 - 20% 2 5 2" xfId="3673" xr:uid="{00000000-0005-0000-0000-0000BD0B0000}"/>
    <cellStyle name="Accent2 - 20% 2 6" xfId="3674" xr:uid="{00000000-0005-0000-0000-0000BE0B0000}"/>
    <cellStyle name="Accent2 - 20% 2 6 2" xfId="3675" xr:uid="{00000000-0005-0000-0000-0000BF0B0000}"/>
    <cellStyle name="Accent2 - 20% 2 7" xfId="3676" xr:uid="{00000000-0005-0000-0000-0000C00B0000}"/>
    <cellStyle name="Accent2 - 20% 3" xfId="3677" xr:uid="{00000000-0005-0000-0000-0000C10B0000}"/>
    <cellStyle name="Accent2 - 20% 3 2" xfId="3678" xr:uid="{00000000-0005-0000-0000-0000C20B0000}"/>
    <cellStyle name="Accent2 - 20% 3 2 2" xfId="3679" xr:uid="{00000000-0005-0000-0000-0000C30B0000}"/>
    <cellStyle name="Accent2 - 20% 3 2 2 2" xfId="3680" xr:uid="{00000000-0005-0000-0000-0000C40B0000}"/>
    <cellStyle name="Accent2 - 20% 3 2 3" xfId="3681" xr:uid="{00000000-0005-0000-0000-0000C50B0000}"/>
    <cellStyle name="Accent2 - 20% 3 3" xfId="3682" xr:uid="{00000000-0005-0000-0000-0000C60B0000}"/>
    <cellStyle name="Accent2 - 20% 3 3 2" xfId="3683" xr:uid="{00000000-0005-0000-0000-0000C70B0000}"/>
    <cellStyle name="Accent2 - 20% 3 4" xfId="3684" xr:uid="{00000000-0005-0000-0000-0000C80B0000}"/>
    <cellStyle name="Accent2 - 20% 4" xfId="3685" xr:uid="{00000000-0005-0000-0000-0000C90B0000}"/>
    <cellStyle name="Accent2 - 20% 4 2" xfId="3686" xr:uid="{00000000-0005-0000-0000-0000CA0B0000}"/>
    <cellStyle name="Accent2 - 20% 4 2 2" xfId="3687" xr:uid="{00000000-0005-0000-0000-0000CB0B0000}"/>
    <cellStyle name="Accent2 - 20% 4 3" xfId="3688" xr:uid="{00000000-0005-0000-0000-0000CC0B0000}"/>
    <cellStyle name="Accent2 - 20% 5" xfId="3689" xr:uid="{00000000-0005-0000-0000-0000CD0B0000}"/>
    <cellStyle name="Accent2 - 20% 5 2" xfId="3690" xr:uid="{00000000-0005-0000-0000-0000CE0B0000}"/>
    <cellStyle name="Accent2 - 20% 5 2 2" xfId="3691" xr:uid="{00000000-0005-0000-0000-0000CF0B0000}"/>
    <cellStyle name="Accent2 - 20% 5 3" xfId="3692" xr:uid="{00000000-0005-0000-0000-0000D00B0000}"/>
    <cellStyle name="Accent2 - 20% 6" xfId="3693" xr:uid="{00000000-0005-0000-0000-0000D10B0000}"/>
    <cellStyle name="Accent2 - 20% 6 2" xfId="3694" xr:uid="{00000000-0005-0000-0000-0000D20B0000}"/>
    <cellStyle name="Accent2 - 20% 7" xfId="3695" xr:uid="{00000000-0005-0000-0000-0000D30B0000}"/>
    <cellStyle name="Accent2 - 20% 7 2" xfId="3696" xr:uid="{00000000-0005-0000-0000-0000D40B0000}"/>
    <cellStyle name="Accent2 - 20% 8" xfId="3697" xr:uid="{00000000-0005-0000-0000-0000D50B0000}"/>
    <cellStyle name="Accent2 - 20% 8 2" xfId="3698" xr:uid="{00000000-0005-0000-0000-0000D60B0000}"/>
    <cellStyle name="Accent2 - 20% 9" xfId="3699" xr:uid="{00000000-0005-0000-0000-0000D70B0000}"/>
    <cellStyle name="Accent2 - 20% 9 2" xfId="3700" xr:uid="{00000000-0005-0000-0000-0000D80B0000}"/>
    <cellStyle name="Accent2 - 40%" xfId="5" xr:uid="{00000000-0005-0000-0000-0000D90B0000}"/>
    <cellStyle name="Accent2 - 40% 10" xfId="3701" xr:uid="{00000000-0005-0000-0000-0000DA0B0000}"/>
    <cellStyle name="Accent2 - 40% 11" xfId="3702" xr:uid="{00000000-0005-0000-0000-0000DB0B0000}"/>
    <cellStyle name="Accent2 - 40% 2" xfId="3703" xr:uid="{00000000-0005-0000-0000-0000DC0B0000}"/>
    <cellStyle name="Accent2 - 40% 2 2" xfId="3704" xr:uid="{00000000-0005-0000-0000-0000DD0B0000}"/>
    <cellStyle name="Accent2 - 40% 2 2 2" xfId="3705" xr:uid="{00000000-0005-0000-0000-0000DE0B0000}"/>
    <cellStyle name="Accent2 - 40% 2 2 2 2" xfId="3706" xr:uid="{00000000-0005-0000-0000-0000DF0B0000}"/>
    <cellStyle name="Accent2 - 40% 2 2 3" xfId="3707" xr:uid="{00000000-0005-0000-0000-0000E00B0000}"/>
    <cellStyle name="Accent2 - 40% 2 3" xfId="3708" xr:uid="{00000000-0005-0000-0000-0000E10B0000}"/>
    <cellStyle name="Accent2 - 40% 2 3 2" xfId="3709" xr:uid="{00000000-0005-0000-0000-0000E20B0000}"/>
    <cellStyle name="Accent2 - 40% 2 3 2 2" xfId="3710" xr:uid="{00000000-0005-0000-0000-0000E30B0000}"/>
    <cellStyle name="Accent2 - 40% 2 3 2 2 2" xfId="3711" xr:uid="{00000000-0005-0000-0000-0000E40B0000}"/>
    <cellStyle name="Accent2 - 40% 2 3 2 3" xfId="3712" xr:uid="{00000000-0005-0000-0000-0000E50B0000}"/>
    <cellStyle name="Accent2 - 40% 2 3 3" xfId="3713" xr:uid="{00000000-0005-0000-0000-0000E60B0000}"/>
    <cellStyle name="Accent2 - 40% 2 3 3 2" xfId="3714" xr:uid="{00000000-0005-0000-0000-0000E70B0000}"/>
    <cellStyle name="Accent2 - 40% 2 3 4" xfId="3715" xr:uid="{00000000-0005-0000-0000-0000E80B0000}"/>
    <cellStyle name="Accent2 - 40% 2 4" xfId="3716" xr:uid="{00000000-0005-0000-0000-0000E90B0000}"/>
    <cellStyle name="Accent2 - 40% 2 4 2" xfId="3717" xr:uid="{00000000-0005-0000-0000-0000EA0B0000}"/>
    <cellStyle name="Accent2 - 40% 2 4 2 2" xfId="3718" xr:uid="{00000000-0005-0000-0000-0000EB0B0000}"/>
    <cellStyle name="Accent2 - 40% 2 4 2 2 2" xfId="3719" xr:uid="{00000000-0005-0000-0000-0000EC0B0000}"/>
    <cellStyle name="Accent2 - 40% 2 4 2 3" xfId="3720" xr:uid="{00000000-0005-0000-0000-0000ED0B0000}"/>
    <cellStyle name="Accent2 - 40% 2 4 3" xfId="3721" xr:uid="{00000000-0005-0000-0000-0000EE0B0000}"/>
    <cellStyle name="Accent2 - 40% 2 4 3 2" xfId="3722" xr:uid="{00000000-0005-0000-0000-0000EF0B0000}"/>
    <cellStyle name="Accent2 - 40% 2 4 4" xfId="3723" xr:uid="{00000000-0005-0000-0000-0000F00B0000}"/>
    <cellStyle name="Accent2 - 40% 2 5" xfId="3724" xr:uid="{00000000-0005-0000-0000-0000F10B0000}"/>
    <cellStyle name="Accent2 - 40% 2 5 2" xfId="3725" xr:uid="{00000000-0005-0000-0000-0000F20B0000}"/>
    <cellStyle name="Accent2 - 40% 2 6" xfId="3726" xr:uid="{00000000-0005-0000-0000-0000F30B0000}"/>
    <cellStyle name="Accent2 - 40% 2 6 2" xfId="3727" xr:uid="{00000000-0005-0000-0000-0000F40B0000}"/>
    <cellStyle name="Accent2 - 40% 2 7" xfId="3728" xr:uid="{00000000-0005-0000-0000-0000F50B0000}"/>
    <cellStyle name="Accent2 - 40% 3" xfId="3729" xr:uid="{00000000-0005-0000-0000-0000F60B0000}"/>
    <cellStyle name="Accent2 - 40% 3 2" xfId="3730" xr:uid="{00000000-0005-0000-0000-0000F70B0000}"/>
    <cellStyle name="Accent2 - 40% 3 2 2" xfId="3731" xr:uid="{00000000-0005-0000-0000-0000F80B0000}"/>
    <cellStyle name="Accent2 - 40% 3 2 2 2" xfId="3732" xr:uid="{00000000-0005-0000-0000-0000F90B0000}"/>
    <cellStyle name="Accent2 - 40% 3 2 3" xfId="3733" xr:uid="{00000000-0005-0000-0000-0000FA0B0000}"/>
    <cellStyle name="Accent2 - 40% 3 3" xfId="3734" xr:uid="{00000000-0005-0000-0000-0000FB0B0000}"/>
    <cellStyle name="Accent2 - 40% 3 3 2" xfId="3735" xr:uid="{00000000-0005-0000-0000-0000FC0B0000}"/>
    <cellStyle name="Accent2 - 40% 3 4" xfId="3736" xr:uid="{00000000-0005-0000-0000-0000FD0B0000}"/>
    <cellStyle name="Accent2 - 40% 4" xfId="3737" xr:uid="{00000000-0005-0000-0000-0000FE0B0000}"/>
    <cellStyle name="Accent2 - 40% 4 2" xfId="3738" xr:uid="{00000000-0005-0000-0000-0000FF0B0000}"/>
    <cellStyle name="Accent2 - 40% 4 2 2" xfId="3739" xr:uid="{00000000-0005-0000-0000-0000000C0000}"/>
    <cellStyle name="Accent2 - 40% 4 3" xfId="3740" xr:uid="{00000000-0005-0000-0000-0000010C0000}"/>
    <cellStyle name="Accent2 - 40% 5" xfId="3741" xr:uid="{00000000-0005-0000-0000-0000020C0000}"/>
    <cellStyle name="Accent2 - 40% 5 2" xfId="3742" xr:uid="{00000000-0005-0000-0000-0000030C0000}"/>
    <cellStyle name="Accent2 - 40% 5 2 2" xfId="3743" xr:uid="{00000000-0005-0000-0000-0000040C0000}"/>
    <cellStyle name="Accent2 - 40% 5 3" xfId="3744" xr:uid="{00000000-0005-0000-0000-0000050C0000}"/>
    <cellStyle name="Accent2 - 40% 6" xfId="3745" xr:uid="{00000000-0005-0000-0000-0000060C0000}"/>
    <cellStyle name="Accent2 - 40% 6 2" xfId="3746" xr:uid="{00000000-0005-0000-0000-0000070C0000}"/>
    <cellStyle name="Accent2 - 40% 7" xfId="3747" xr:uid="{00000000-0005-0000-0000-0000080C0000}"/>
    <cellStyle name="Accent2 - 40% 7 2" xfId="3748" xr:uid="{00000000-0005-0000-0000-0000090C0000}"/>
    <cellStyle name="Accent2 - 40% 8" xfId="3749" xr:uid="{00000000-0005-0000-0000-00000A0C0000}"/>
    <cellStyle name="Accent2 - 40% 8 2" xfId="3750" xr:uid="{00000000-0005-0000-0000-00000B0C0000}"/>
    <cellStyle name="Accent2 - 40% 9" xfId="3751" xr:uid="{00000000-0005-0000-0000-00000C0C0000}"/>
    <cellStyle name="Accent2 - 40% 9 2" xfId="3752" xr:uid="{00000000-0005-0000-0000-00000D0C0000}"/>
    <cellStyle name="Accent2 - 60%" xfId="6" xr:uid="{00000000-0005-0000-0000-00000E0C0000}"/>
    <cellStyle name="Accent2 - 60% 10" xfId="3753" xr:uid="{00000000-0005-0000-0000-00000F0C0000}"/>
    <cellStyle name="Accent2 - 60% 2" xfId="3754" xr:uid="{00000000-0005-0000-0000-0000100C0000}"/>
    <cellStyle name="Accent2 - 60% 2 2" xfId="3755" xr:uid="{00000000-0005-0000-0000-0000110C0000}"/>
    <cellStyle name="Accent2 - 60% 2 2 2" xfId="3756" xr:uid="{00000000-0005-0000-0000-0000120C0000}"/>
    <cellStyle name="Accent2 - 60% 2 3" xfId="3757" xr:uid="{00000000-0005-0000-0000-0000130C0000}"/>
    <cellStyle name="Accent2 - 60% 2 3 2" xfId="3758" xr:uid="{00000000-0005-0000-0000-0000140C0000}"/>
    <cellStyle name="Accent2 - 60% 2 3 2 2" xfId="3759" xr:uid="{00000000-0005-0000-0000-0000150C0000}"/>
    <cellStyle name="Accent2 - 60% 2 3 3" xfId="3760" xr:uid="{00000000-0005-0000-0000-0000160C0000}"/>
    <cellStyle name="Accent2 - 60% 2 4" xfId="3761" xr:uid="{00000000-0005-0000-0000-0000170C0000}"/>
    <cellStyle name="Accent2 - 60% 2 4 2" xfId="3762" xr:uid="{00000000-0005-0000-0000-0000180C0000}"/>
    <cellStyle name="Accent2 - 60% 2 4 2 2" xfId="3763" xr:uid="{00000000-0005-0000-0000-0000190C0000}"/>
    <cellStyle name="Accent2 - 60% 2 4 3" xfId="3764" xr:uid="{00000000-0005-0000-0000-00001A0C0000}"/>
    <cellStyle name="Accent2 - 60% 2 5" xfId="3765" xr:uid="{00000000-0005-0000-0000-00001B0C0000}"/>
    <cellStyle name="Accent2 - 60% 3" xfId="3766" xr:uid="{00000000-0005-0000-0000-00001C0C0000}"/>
    <cellStyle name="Accent2 - 60% 3 2" xfId="3767" xr:uid="{00000000-0005-0000-0000-00001D0C0000}"/>
    <cellStyle name="Accent2 - 60% 3 2 2" xfId="3768" xr:uid="{00000000-0005-0000-0000-00001E0C0000}"/>
    <cellStyle name="Accent2 - 60% 3 3" xfId="3769" xr:uid="{00000000-0005-0000-0000-00001F0C0000}"/>
    <cellStyle name="Accent2 - 60% 4" xfId="3770" xr:uid="{00000000-0005-0000-0000-0000200C0000}"/>
    <cellStyle name="Accent2 - 60% 4 2" xfId="3771" xr:uid="{00000000-0005-0000-0000-0000210C0000}"/>
    <cellStyle name="Accent2 - 60% 5" xfId="3772" xr:uid="{00000000-0005-0000-0000-0000220C0000}"/>
    <cellStyle name="Accent2 - 60% 5 2" xfId="3773" xr:uid="{00000000-0005-0000-0000-0000230C0000}"/>
    <cellStyle name="Accent2 - 60% 6" xfId="3774" xr:uid="{00000000-0005-0000-0000-0000240C0000}"/>
    <cellStyle name="Accent2 - 60% 6 2" xfId="3775" xr:uid="{00000000-0005-0000-0000-0000250C0000}"/>
    <cellStyle name="Accent2 - 60% 6 2 2" xfId="3776" xr:uid="{00000000-0005-0000-0000-0000260C0000}"/>
    <cellStyle name="Accent2 - 60% 6 3" xfId="3777" xr:uid="{00000000-0005-0000-0000-0000270C0000}"/>
    <cellStyle name="Accent2 - 60% 7" xfId="3778" xr:uid="{00000000-0005-0000-0000-0000280C0000}"/>
    <cellStyle name="Accent2 - 60% 7 2" xfId="3779" xr:uid="{00000000-0005-0000-0000-0000290C0000}"/>
    <cellStyle name="Accent2 - 60% 8" xfId="3780" xr:uid="{00000000-0005-0000-0000-00002A0C0000}"/>
    <cellStyle name="Accent2 - 60% 8 2" xfId="3781" xr:uid="{00000000-0005-0000-0000-00002B0C0000}"/>
    <cellStyle name="Accent2 - 60% 9" xfId="3782" xr:uid="{00000000-0005-0000-0000-00002C0C0000}"/>
    <cellStyle name="Accent2 10" xfId="3783" xr:uid="{00000000-0005-0000-0000-00002D0C0000}"/>
    <cellStyle name="Accent2 10 2" xfId="3784" xr:uid="{00000000-0005-0000-0000-00002E0C0000}"/>
    <cellStyle name="Accent2 10 2 2" xfId="3785" xr:uid="{00000000-0005-0000-0000-00002F0C0000}"/>
    <cellStyle name="Accent2 10 3" xfId="3786" xr:uid="{00000000-0005-0000-0000-0000300C0000}"/>
    <cellStyle name="Accent2 100" xfId="3787" xr:uid="{00000000-0005-0000-0000-0000310C0000}"/>
    <cellStyle name="Accent2 100 2" xfId="3788" xr:uid="{00000000-0005-0000-0000-0000320C0000}"/>
    <cellStyle name="Accent2 100 2 2" xfId="3789" xr:uid="{00000000-0005-0000-0000-0000330C0000}"/>
    <cellStyle name="Accent2 100 3" xfId="3790" xr:uid="{00000000-0005-0000-0000-0000340C0000}"/>
    <cellStyle name="Accent2 101" xfId="3791" xr:uid="{00000000-0005-0000-0000-0000350C0000}"/>
    <cellStyle name="Accent2 101 2" xfId="3792" xr:uid="{00000000-0005-0000-0000-0000360C0000}"/>
    <cellStyle name="Accent2 101 2 2" xfId="3793" xr:uid="{00000000-0005-0000-0000-0000370C0000}"/>
    <cellStyle name="Accent2 101 3" xfId="3794" xr:uid="{00000000-0005-0000-0000-0000380C0000}"/>
    <cellStyle name="Accent2 102" xfId="3795" xr:uid="{00000000-0005-0000-0000-0000390C0000}"/>
    <cellStyle name="Accent2 102 2" xfId="3796" xr:uid="{00000000-0005-0000-0000-00003A0C0000}"/>
    <cellStyle name="Accent2 103" xfId="3797" xr:uid="{00000000-0005-0000-0000-00003B0C0000}"/>
    <cellStyle name="Accent2 103 2" xfId="3798" xr:uid="{00000000-0005-0000-0000-00003C0C0000}"/>
    <cellStyle name="Accent2 104" xfId="3799" xr:uid="{00000000-0005-0000-0000-00003D0C0000}"/>
    <cellStyle name="Accent2 104 2" xfId="3800" xr:uid="{00000000-0005-0000-0000-00003E0C0000}"/>
    <cellStyle name="Accent2 104 2 2" xfId="3801" xr:uid="{00000000-0005-0000-0000-00003F0C0000}"/>
    <cellStyle name="Accent2 104 3" xfId="3802" xr:uid="{00000000-0005-0000-0000-0000400C0000}"/>
    <cellStyle name="Accent2 105" xfId="3803" xr:uid="{00000000-0005-0000-0000-0000410C0000}"/>
    <cellStyle name="Accent2 105 2" xfId="3804" xr:uid="{00000000-0005-0000-0000-0000420C0000}"/>
    <cellStyle name="Accent2 105 2 2" xfId="3805" xr:uid="{00000000-0005-0000-0000-0000430C0000}"/>
    <cellStyle name="Accent2 105 3" xfId="3806" xr:uid="{00000000-0005-0000-0000-0000440C0000}"/>
    <cellStyle name="Accent2 106" xfId="3807" xr:uid="{00000000-0005-0000-0000-0000450C0000}"/>
    <cellStyle name="Accent2 106 2" xfId="3808" xr:uid="{00000000-0005-0000-0000-0000460C0000}"/>
    <cellStyle name="Accent2 106 2 2" xfId="3809" xr:uid="{00000000-0005-0000-0000-0000470C0000}"/>
    <cellStyle name="Accent2 106 3" xfId="3810" xr:uid="{00000000-0005-0000-0000-0000480C0000}"/>
    <cellStyle name="Accent2 107" xfId="3811" xr:uid="{00000000-0005-0000-0000-0000490C0000}"/>
    <cellStyle name="Accent2 107 2" xfId="3812" xr:uid="{00000000-0005-0000-0000-00004A0C0000}"/>
    <cellStyle name="Accent2 107 2 2" xfId="3813" xr:uid="{00000000-0005-0000-0000-00004B0C0000}"/>
    <cellStyle name="Accent2 107 3" xfId="3814" xr:uid="{00000000-0005-0000-0000-00004C0C0000}"/>
    <cellStyle name="Accent2 108" xfId="3815" xr:uid="{00000000-0005-0000-0000-00004D0C0000}"/>
    <cellStyle name="Accent2 108 2" xfId="3816" xr:uid="{00000000-0005-0000-0000-00004E0C0000}"/>
    <cellStyle name="Accent2 108 2 2" xfId="3817" xr:uid="{00000000-0005-0000-0000-00004F0C0000}"/>
    <cellStyle name="Accent2 108 3" xfId="3818" xr:uid="{00000000-0005-0000-0000-0000500C0000}"/>
    <cellStyle name="Accent2 109" xfId="3819" xr:uid="{00000000-0005-0000-0000-0000510C0000}"/>
    <cellStyle name="Accent2 109 2" xfId="3820" xr:uid="{00000000-0005-0000-0000-0000520C0000}"/>
    <cellStyle name="Accent2 109 2 2" xfId="3821" xr:uid="{00000000-0005-0000-0000-0000530C0000}"/>
    <cellStyle name="Accent2 109 3" xfId="3822" xr:uid="{00000000-0005-0000-0000-0000540C0000}"/>
    <cellStyle name="Accent2 11" xfId="3823" xr:uid="{00000000-0005-0000-0000-0000550C0000}"/>
    <cellStyle name="Accent2 11 2" xfId="3824" xr:uid="{00000000-0005-0000-0000-0000560C0000}"/>
    <cellStyle name="Accent2 11 2 2" xfId="3825" xr:uid="{00000000-0005-0000-0000-0000570C0000}"/>
    <cellStyle name="Accent2 11 3" xfId="3826" xr:uid="{00000000-0005-0000-0000-0000580C0000}"/>
    <cellStyle name="Accent2 110" xfId="3827" xr:uid="{00000000-0005-0000-0000-0000590C0000}"/>
    <cellStyle name="Accent2 110 2" xfId="3828" xr:uid="{00000000-0005-0000-0000-00005A0C0000}"/>
    <cellStyle name="Accent2 110 2 2" xfId="3829" xr:uid="{00000000-0005-0000-0000-00005B0C0000}"/>
    <cellStyle name="Accent2 110 3" xfId="3830" xr:uid="{00000000-0005-0000-0000-00005C0C0000}"/>
    <cellStyle name="Accent2 111" xfId="3831" xr:uid="{00000000-0005-0000-0000-00005D0C0000}"/>
    <cellStyle name="Accent2 111 2" xfId="3832" xr:uid="{00000000-0005-0000-0000-00005E0C0000}"/>
    <cellStyle name="Accent2 111 2 2" xfId="3833" xr:uid="{00000000-0005-0000-0000-00005F0C0000}"/>
    <cellStyle name="Accent2 111 3" xfId="3834" xr:uid="{00000000-0005-0000-0000-0000600C0000}"/>
    <cellStyle name="Accent2 112" xfId="3835" xr:uid="{00000000-0005-0000-0000-0000610C0000}"/>
    <cellStyle name="Accent2 112 2" xfId="3836" xr:uid="{00000000-0005-0000-0000-0000620C0000}"/>
    <cellStyle name="Accent2 112 2 2" xfId="3837" xr:uid="{00000000-0005-0000-0000-0000630C0000}"/>
    <cellStyle name="Accent2 112 3" xfId="3838" xr:uid="{00000000-0005-0000-0000-0000640C0000}"/>
    <cellStyle name="Accent2 113" xfId="3839" xr:uid="{00000000-0005-0000-0000-0000650C0000}"/>
    <cellStyle name="Accent2 113 2" xfId="3840" xr:uid="{00000000-0005-0000-0000-0000660C0000}"/>
    <cellStyle name="Accent2 113 2 2" xfId="3841" xr:uid="{00000000-0005-0000-0000-0000670C0000}"/>
    <cellStyle name="Accent2 113 3" xfId="3842" xr:uid="{00000000-0005-0000-0000-0000680C0000}"/>
    <cellStyle name="Accent2 114" xfId="3843" xr:uid="{00000000-0005-0000-0000-0000690C0000}"/>
    <cellStyle name="Accent2 114 2" xfId="3844" xr:uid="{00000000-0005-0000-0000-00006A0C0000}"/>
    <cellStyle name="Accent2 115" xfId="3845" xr:uid="{00000000-0005-0000-0000-00006B0C0000}"/>
    <cellStyle name="Accent2 115 2" xfId="3846" xr:uid="{00000000-0005-0000-0000-00006C0C0000}"/>
    <cellStyle name="Accent2 116" xfId="3847" xr:uid="{00000000-0005-0000-0000-00006D0C0000}"/>
    <cellStyle name="Accent2 116 2" xfId="3848" xr:uid="{00000000-0005-0000-0000-00006E0C0000}"/>
    <cellStyle name="Accent2 117" xfId="3849" xr:uid="{00000000-0005-0000-0000-00006F0C0000}"/>
    <cellStyle name="Accent2 117 2" xfId="3850" xr:uid="{00000000-0005-0000-0000-0000700C0000}"/>
    <cellStyle name="Accent2 118" xfId="3851" xr:uid="{00000000-0005-0000-0000-0000710C0000}"/>
    <cellStyle name="Accent2 118 2" xfId="3852" xr:uid="{00000000-0005-0000-0000-0000720C0000}"/>
    <cellStyle name="Accent2 119" xfId="3853" xr:uid="{00000000-0005-0000-0000-0000730C0000}"/>
    <cellStyle name="Accent2 119 2" xfId="3854" xr:uid="{00000000-0005-0000-0000-0000740C0000}"/>
    <cellStyle name="Accent2 12" xfId="3855" xr:uid="{00000000-0005-0000-0000-0000750C0000}"/>
    <cellStyle name="Accent2 12 2" xfId="3856" xr:uid="{00000000-0005-0000-0000-0000760C0000}"/>
    <cellStyle name="Accent2 12 2 2" xfId="3857" xr:uid="{00000000-0005-0000-0000-0000770C0000}"/>
    <cellStyle name="Accent2 12 3" xfId="3858" xr:uid="{00000000-0005-0000-0000-0000780C0000}"/>
    <cellStyle name="Accent2 120" xfId="3859" xr:uid="{00000000-0005-0000-0000-0000790C0000}"/>
    <cellStyle name="Accent2 120 2" xfId="3860" xr:uid="{00000000-0005-0000-0000-00007A0C0000}"/>
    <cellStyle name="Accent2 121" xfId="3861" xr:uid="{00000000-0005-0000-0000-00007B0C0000}"/>
    <cellStyle name="Accent2 121 2" xfId="3862" xr:uid="{00000000-0005-0000-0000-00007C0C0000}"/>
    <cellStyle name="Accent2 122" xfId="3863" xr:uid="{00000000-0005-0000-0000-00007D0C0000}"/>
    <cellStyle name="Accent2 122 2" xfId="3864" xr:uid="{00000000-0005-0000-0000-00007E0C0000}"/>
    <cellStyle name="Accent2 123" xfId="3865" xr:uid="{00000000-0005-0000-0000-00007F0C0000}"/>
    <cellStyle name="Accent2 123 2" xfId="3866" xr:uid="{00000000-0005-0000-0000-0000800C0000}"/>
    <cellStyle name="Accent2 124" xfId="3867" xr:uid="{00000000-0005-0000-0000-0000810C0000}"/>
    <cellStyle name="Accent2 124 2" xfId="3868" xr:uid="{00000000-0005-0000-0000-0000820C0000}"/>
    <cellStyle name="Accent2 125" xfId="3869" xr:uid="{00000000-0005-0000-0000-0000830C0000}"/>
    <cellStyle name="Accent2 125 2" xfId="3870" xr:uid="{00000000-0005-0000-0000-0000840C0000}"/>
    <cellStyle name="Accent2 126" xfId="3871" xr:uid="{00000000-0005-0000-0000-0000850C0000}"/>
    <cellStyle name="Accent2 127" xfId="3872" xr:uid="{00000000-0005-0000-0000-0000860C0000}"/>
    <cellStyle name="Accent2 128" xfId="3873" xr:uid="{00000000-0005-0000-0000-0000870C0000}"/>
    <cellStyle name="Accent2 129" xfId="3874" xr:uid="{00000000-0005-0000-0000-0000880C0000}"/>
    <cellStyle name="Accent2 13" xfId="3875" xr:uid="{00000000-0005-0000-0000-0000890C0000}"/>
    <cellStyle name="Accent2 13 2" xfId="3876" xr:uid="{00000000-0005-0000-0000-00008A0C0000}"/>
    <cellStyle name="Accent2 13 2 2" xfId="3877" xr:uid="{00000000-0005-0000-0000-00008B0C0000}"/>
    <cellStyle name="Accent2 13 3" xfId="3878" xr:uid="{00000000-0005-0000-0000-00008C0C0000}"/>
    <cellStyle name="Accent2 130" xfId="3879" xr:uid="{00000000-0005-0000-0000-00008D0C0000}"/>
    <cellStyle name="Accent2 131" xfId="3880" xr:uid="{00000000-0005-0000-0000-00008E0C0000}"/>
    <cellStyle name="Accent2 132" xfId="3881" xr:uid="{00000000-0005-0000-0000-00008F0C0000}"/>
    <cellStyle name="Accent2 133" xfId="3882" xr:uid="{00000000-0005-0000-0000-0000900C0000}"/>
    <cellStyle name="Accent2 134" xfId="3883" xr:uid="{00000000-0005-0000-0000-0000910C0000}"/>
    <cellStyle name="Accent2 135" xfId="3884" xr:uid="{00000000-0005-0000-0000-0000920C0000}"/>
    <cellStyle name="Accent2 136" xfId="3885" xr:uid="{00000000-0005-0000-0000-0000930C0000}"/>
    <cellStyle name="Accent2 137" xfId="3886" xr:uid="{00000000-0005-0000-0000-0000940C0000}"/>
    <cellStyle name="Accent2 138" xfId="3887" xr:uid="{00000000-0005-0000-0000-0000950C0000}"/>
    <cellStyle name="Accent2 139" xfId="3888" xr:uid="{00000000-0005-0000-0000-0000960C0000}"/>
    <cellStyle name="Accent2 14" xfId="3889" xr:uid="{00000000-0005-0000-0000-0000970C0000}"/>
    <cellStyle name="Accent2 14 2" xfId="3890" xr:uid="{00000000-0005-0000-0000-0000980C0000}"/>
    <cellStyle name="Accent2 14 2 2" xfId="3891" xr:uid="{00000000-0005-0000-0000-0000990C0000}"/>
    <cellStyle name="Accent2 14 3" xfId="3892" xr:uid="{00000000-0005-0000-0000-00009A0C0000}"/>
    <cellStyle name="Accent2 140" xfId="3893" xr:uid="{00000000-0005-0000-0000-00009B0C0000}"/>
    <cellStyle name="Accent2 141" xfId="3894" xr:uid="{00000000-0005-0000-0000-00009C0C0000}"/>
    <cellStyle name="Accent2 142" xfId="3895" xr:uid="{00000000-0005-0000-0000-00009D0C0000}"/>
    <cellStyle name="Accent2 143" xfId="3896" xr:uid="{00000000-0005-0000-0000-00009E0C0000}"/>
    <cellStyle name="Accent2 144" xfId="3897" xr:uid="{00000000-0005-0000-0000-00009F0C0000}"/>
    <cellStyle name="Accent2 145" xfId="3898" xr:uid="{00000000-0005-0000-0000-0000A00C0000}"/>
    <cellStyle name="Accent2 146" xfId="3899" xr:uid="{00000000-0005-0000-0000-0000A10C0000}"/>
    <cellStyle name="Accent2 147" xfId="3900" xr:uid="{00000000-0005-0000-0000-0000A20C0000}"/>
    <cellStyle name="Accent2 148" xfId="3901" xr:uid="{00000000-0005-0000-0000-0000A30C0000}"/>
    <cellStyle name="Accent2 149" xfId="3902" xr:uid="{00000000-0005-0000-0000-0000A40C0000}"/>
    <cellStyle name="Accent2 15" xfId="3903" xr:uid="{00000000-0005-0000-0000-0000A50C0000}"/>
    <cellStyle name="Accent2 15 2" xfId="3904" xr:uid="{00000000-0005-0000-0000-0000A60C0000}"/>
    <cellStyle name="Accent2 15 2 2" xfId="3905" xr:uid="{00000000-0005-0000-0000-0000A70C0000}"/>
    <cellStyle name="Accent2 15 3" xfId="3906" xr:uid="{00000000-0005-0000-0000-0000A80C0000}"/>
    <cellStyle name="Accent2 150" xfId="3907" xr:uid="{00000000-0005-0000-0000-0000A90C0000}"/>
    <cellStyle name="Accent2 151" xfId="3908" xr:uid="{00000000-0005-0000-0000-0000AA0C0000}"/>
    <cellStyle name="Accent2 152" xfId="3909" xr:uid="{00000000-0005-0000-0000-0000AB0C0000}"/>
    <cellStyle name="Accent2 153" xfId="3910" xr:uid="{00000000-0005-0000-0000-0000AC0C0000}"/>
    <cellStyle name="Accent2 154" xfId="3911" xr:uid="{00000000-0005-0000-0000-0000AD0C0000}"/>
    <cellStyle name="Accent2 155" xfId="3912" xr:uid="{00000000-0005-0000-0000-0000AE0C0000}"/>
    <cellStyle name="Accent2 156" xfId="3913" xr:uid="{00000000-0005-0000-0000-0000AF0C0000}"/>
    <cellStyle name="Accent2 157" xfId="3914" xr:uid="{00000000-0005-0000-0000-0000B00C0000}"/>
    <cellStyle name="Accent2 158" xfId="3915" xr:uid="{00000000-0005-0000-0000-0000B10C0000}"/>
    <cellStyle name="Accent2 159" xfId="3916" xr:uid="{00000000-0005-0000-0000-0000B20C0000}"/>
    <cellStyle name="Accent2 16" xfId="3917" xr:uid="{00000000-0005-0000-0000-0000B30C0000}"/>
    <cellStyle name="Accent2 16 2" xfId="3918" xr:uid="{00000000-0005-0000-0000-0000B40C0000}"/>
    <cellStyle name="Accent2 16 2 2" xfId="3919" xr:uid="{00000000-0005-0000-0000-0000B50C0000}"/>
    <cellStyle name="Accent2 16 3" xfId="3920" xr:uid="{00000000-0005-0000-0000-0000B60C0000}"/>
    <cellStyle name="Accent2 160" xfId="3921" xr:uid="{00000000-0005-0000-0000-0000B70C0000}"/>
    <cellStyle name="Accent2 161" xfId="3922" xr:uid="{00000000-0005-0000-0000-0000B80C0000}"/>
    <cellStyle name="Accent2 162" xfId="3923" xr:uid="{00000000-0005-0000-0000-0000B90C0000}"/>
    <cellStyle name="Accent2 163" xfId="3924" xr:uid="{00000000-0005-0000-0000-0000BA0C0000}"/>
    <cellStyle name="Accent2 164" xfId="3925" xr:uid="{00000000-0005-0000-0000-0000BB0C0000}"/>
    <cellStyle name="Accent2 165" xfId="3926" xr:uid="{00000000-0005-0000-0000-0000BC0C0000}"/>
    <cellStyle name="Accent2 166" xfId="3927" xr:uid="{00000000-0005-0000-0000-0000BD0C0000}"/>
    <cellStyle name="Accent2 167" xfId="3928" xr:uid="{00000000-0005-0000-0000-0000BE0C0000}"/>
    <cellStyle name="Accent2 168" xfId="3929" xr:uid="{00000000-0005-0000-0000-0000BF0C0000}"/>
    <cellStyle name="Accent2 169" xfId="3930" xr:uid="{00000000-0005-0000-0000-0000C00C0000}"/>
    <cellStyle name="Accent2 17" xfId="3931" xr:uid="{00000000-0005-0000-0000-0000C10C0000}"/>
    <cellStyle name="Accent2 17 2" xfId="3932" xr:uid="{00000000-0005-0000-0000-0000C20C0000}"/>
    <cellStyle name="Accent2 17 2 2" xfId="3933" xr:uid="{00000000-0005-0000-0000-0000C30C0000}"/>
    <cellStyle name="Accent2 17 3" xfId="3934" xr:uid="{00000000-0005-0000-0000-0000C40C0000}"/>
    <cellStyle name="Accent2 170" xfId="3935" xr:uid="{00000000-0005-0000-0000-0000C50C0000}"/>
    <cellStyle name="Accent2 171" xfId="3936" xr:uid="{00000000-0005-0000-0000-0000C60C0000}"/>
    <cellStyle name="Accent2 172" xfId="3937" xr:uid="{00000000-0005-0000-0000-0000C70C0000}"/>
    <cellStyle name="Accent2 173" xfId="3938" xr:uid="{00000000-0005-0000-0000-0000C80C0000}"/>
    <cellStyle name="Accent2 174" xfId="3939" xr:uid="{00000000-0005-0000-0000-0000C90C0000}"/>
    <cellStyle name="Accent2 175" xfId="3940" xr:uid="{00000000-0005-0000-0000-0000CA0C0000}"/>
    <cellStyle name="Accent2 176" xfId="3941" xr:uid="{00000000-0005-0000-0000-0000CB0C0000}"/>
    <cellStyle name="Accent2 177" xfId="3942" xr:uid="{00000000-0005-0000-0000-0000CC0C0000}"/>
    <cellStyle name="Accent2 178" xfId="3943" xr:uid="{00000000-0005-0000-0000-0000CD0C0000}"/>
    <cellStyle name="Accent2 179" xfId="3944" xr:uid="{00000000-0005-0000-0000-0000CE0C0000}"/>
    <cellStyle name="Accent2 18" xfId="3945" xr:uid="{00000000-0005-0000-0000-0000CF0C0000}"/>
    <cellStyle name="Accent2 18 2" xfId="3946" xr:uid="{00000000-0005-0000-0000-0000D00C0000}"/>
    <cellStyle name="Accent2 18 2 2" xfId="3947" xr:uid="{00000000-0005-0000-0000-0000D10C0000}"/>
    <cellStyle name="Accent2 18 3" xfId="3948" xr:uid="{00000000-0005-0000-0000-0000D20C0000}"/>
    <cellStyle name="Accent2 19" xfId="3949" xr:uid="{00000000-0005-0000-0000-0000D30C0000}"/>
    <cellStyle name="Accent2 19 2" xfId="3950" xr:uid="{00000000-0005-0000-0000-0000D40C0000}"/>
    <cellStyle name="Accent2 19 2 2" xfId="3951" xr:uid="{00000000-0005-0000-0000-0000D50C0000}"/>
    <cellStyle name="Accent2 19 3" xfId="3952" xr:uid="{00000000-0005-0000-0000-0000D60C0000}"/>
    <cellStyle name="Accent2 2" xfId="3953" xr:uid="{00000000-0005-0000-0000-0000D70C0000}"/>
    <cellStyle name="Accent2 2 10" xfId="3954" xr:uid="{00000000-0005-0000-0000-0000D80C0000}"/>
    <cellStyle name="Accent2 2 10 2" xfId="3955" xr:uid="{00000000-0005-0000-0000-0000D90C0000}"/>
    <cellStyle name="Accent2 2 11" xfId="3956" xr:uid="{00000000-0005-0000-0000-0000DA0C0000}"/>
    <cellStyle name="Accent2 2 12" xfId="3957" xr:uid="{00000000-0005-0000-0000-0000DB0C0000}"/>
    <cellStyle name="Accent2 2 2" xfId="3958" xr:uid="{00000000-0005-0000-0000-0000DC0C0000}"/>
    <cellStyle name="Accent2 2 2 2" xfId="3959" xr:uid="{00000000-0005-0000-0000-0000DD0C0000}"/>
    <cellStyle name="Accent2 2 2 2 2" xfId="3960" xr:uid="{00000000-0005-0000-0000-0000DE0C0000}"/>
    <cellStyle name="Accent2 2 2 3" xfId="3961" xr:uid="{00000000-0005-0000-0000-0000DF0C0000}"/>
    <cellStyle name="Accent2 2 2 3 2" xfId="3962" xr:uid="{00000000-0005-0000-0000-0000E00C0000}"/>
    <cellStyle name="Accent2 2 2 3 2 2" xfId="3963" xr:uid="{00000000-0005-0000-0000-0000E10C0000}"/>
    <cellStyle name="Accent2 2 2 3 3" xfId="3964" xr:uid="{00000000-0005-0000-0000-0000E20C0000}"/>
    <cellStyle name="Accent2 2 2 4" xfId="3965" xr:uid="{00000000-0005-0000-0000-0000E30C0000}"/>
    <cellStyle name="Accent2 2 3" xfId="3966" xr:uid="{00000000-0005-0000-0000-0000E40C0000}"/>
    <cellStyle name="Accent2 2 3 2" xfId="3967" xr:uid="{00000000-0005-0000-0000-0000E50C0000}"/>
    <cellStyle name="Accent2 2 3 2 2" xfId="3968" xr:uid="{00000000-0005-0000-0000-0000E60C0000}"/>
    <cellStyle name="Accent2 2 3 3" xfId="3969" xr:uid="{00000000-0005-0000-0000-0000E70C0000}"/>
    <cellStyle name="Accent2 2 3 3 2" xfId="3970" xr:uid="{00000000-0005-0000-0000-0000E80C0000}"/>
    <cellStyle name="Accent2 2 3 3 2 2" xfId="3971" xr:uid="{00000000-0005-0000-0000-0000E90C0000}"/>
    <cellStyle name="Accent2 2 3 3 3" xfId="3972" xr:uid="{00000000-0005-0000-0000-0000EA0C0000}"/>
    <cellStyle name="Accent2 2 3 4" xfId="3973" xr:uid="{00000000-0005-0000-0000-0000EB0C0000}"/>
    <cellStyle name="Accent2 2 4" xfId="3974" xr:uid="{00000000-0005-0000-0000-0000EC0C0000}"/>
    <cellStyle name="Accent2 2 4 2" xfId="3975" xr:uid="{00000000-0005-0000-0000-0000ED0C0000}"/>
    <cellStyle name="Accent2 2 4 2 2" xfId="3976" xr:uid="{00000000-0005-0000-0000-0000EE0C0000}"/>
    <cellStyle name="Accent2 2 4 3" xfId="3977" xr:uid="{00000000-0005-0000-0000-0000EF0C0000}"/>
    <cellStyle name="Accent2 2 5" xfId="3978" xr:uid="{00000000-0005-0000-0000-0000F00C0000}"/>
    <cellStyle name="Accent2 2 5 2" xfId="3979" xr:uid="{00000000-0005-0000-0000-0000F10C0000}"/>
    <cellStyle name="Accent2 2 5 2 2" xfId="3980" xr:uid="{00000000-0005-0000-0000-0000F20C0000}"/>
    <cellStyle name="Accent2 2 5 3" xfId="3981" xr:uid="{00000000-0005-0000-0000-0000F30C0000}"/>
    <cellStyle name="Accent2 2 5 3 2" xfId="3982" xr:uid="{00000000-0005-0000-0000-0000F40C0000}"/>
    <cellStyle name="Accent2 2 5 3 2 2" xfId="3983" xr:uid="{00000000-0005-0000-0000-0000F50C0000}"/>
    <cellStyle name="Accent2 2 5 3 3" xfId="3984" xr:uid="{00000000-0005-0000-0000-0000F60C0000}"/>
    <cellStyle name="Accent2 2 5 4" xfId="3985" xr:uid="{00000000-0005-0000-0000-0000F70C0000}"/>
    <cellStyle name="Accent2 2 6" xfId="3986" xr:uid="{00000000-0005-0000-0000-0000F80C0000}"/>
    <cellStyle name="Accent2 2 6 2" xfId="3987" xr:uid="{00000000-0005-0000-0000-0000F90C0000}"/>
    <cellStyle name="Accent2 2 7" xfId="3988" xr:uid="{00000000-0005-0000-0000-0000FA0C0000}"/>
    <cellStyle name="Accent2 2 7 2" xfId="3989" xr:uid="{00000000-0005-0000-0000-0000FB0C0000}"/>
    <cellStyle name="Accent2 2 8" xfId="3990" xr:uid="{00000000-0005-0000-0000-0000FC0C0000}"/>
    <cellStyle name="Accent2 2 8 2" xfId="3991" xr:uid="{00000000-0005-0000-0000-0000FD0C0000}"/>
    <cellStyle name="Accent2 2 8 2 2" xfId="3992" xr:uid="{00000000-0005-0000-0000-0000FE0C0000}"/>
    <cellStyle name="Accent2 2 8 3" xfId="3993" xr:uid="{00000000-0005-0000-0000-0000FF0C0000}"/>
    <cellStyle name="Accent2 2 9" xfId="3994" xr:uid="{00000000-0005-0000-0000-0000000D0000}"/>
    <cellStyle name="Accent2 2 9 2" xfId="3995" xr:uid="{00000000-0005-0000-0000-0000010D0000}"/>
    <cellStyle name="Accent2 2 9 2 2" xfId="3996" xr:uid="{00000000-0005-0000-0000-0000020D0000}"/>
    <cellStyle name="Accent2 2 9 3" xfId="3997" xr:uid="{00000000-0005-0000-0000-0000030D0000}"/>
    <cellStyle name="Accent2 20" xfId="3998" xr:uid="{00000000-0005-0000-0000-0000040D0000}"/>
    <cellStyle name="Accent2 20 2" xfId="3999" xr:uid="{00000000-0005-0000-0000-0000050D0000}"/>
    <cellStyle name="Accent2 20 2 2" xfId="4000" xr:uid="{00000000-0005-0000-0000-0000060D0000}"/>
    <cellStyle name="Accent2 20 3" xfId="4001" xr:uid="{00000000-0005-0000-0000-0000070D0000}"/>
    <cellStyle name="Accent2 21" xfId="4002" xr:uid="{00000000-0005-0000-0000-0000080D0000}"/>
    <cellStyle name="Accent2 21 2" xfId="4003" xr:uid="{00000000-0005-0000-0000-0000090D0000}"/>
    <cellStyle name="Accent2 21 2 2" xfId="4004" xr:uid="{00000000-0005-0000-0000-00000A0D0000}"/>
    <cellStyle name="Accent2 21 3" xfId="4005" xr:uid="{00000000-0005-0000-0000-00000B0D0000}"/>
    <cellStyle name="Accent2 22" xfId="4006" xr:uid="{00000000-0005-0000-0000-00000C0D0000}"/>
    <cellStyle name="Accent2 22 2" xfId="4007" xr:uid="{00000000-0005-0000-0000-00000D0D0000}"/>
    <cellStyle name="Accent2 22 2 2" xfId="4008" xr:uid="{00000000-0005-0000-0000-00000E0D0000}"/>
    <cellStyle name="Accent2 22 3" xfId="4009" xr:uid="{00000000-0005-0000-0000-00000F0D0000}"/>
    <cellStyle name="Accent2 23" xfId="4010" xr:uid="{00000000-0005-0000-0000-0000100D0000}"/>
    <cellStyle name="Accent2 23 2" xfId="4011" xr:uid="{00000000-0005-0000-0000-0000110D0000}"/>
    <cellStyle name="Accent2 23 2 2" xfId="4012" xr:uid="{00000000-0005-0000-0000-0000120D0000}"/>
    <cellStyle name="Accent2 23 3" xfId="4013" xr:uid="{00000000-0005-0000-0000-0000130D0000}"/>
    <cellStyle name="Accent2 24" xfId="4014" xr:uid="{00000000-0005-0000-0000-0000140D0000}"/>
    <cellStyle name="Accent2 24 2" xfId="4015" xr:uid="{00000000-0005-0000-0000-0000150D0000}"/>
    <cellStyle name="Accent2 24 2 2" xfId="4016" xr:uid="{00000000-0005-0000-0000-0000160D0000}"/>
    <cellStyle name="Accent2 24 3" xfId="4017" xr:uid="{00000000-0005-0000-0000-0000170D0000}"/>
    <cellStyle name="Accent2 25" xfId="4018" xr:uid="{00000000-0005-0000-0000-0000180D0000}"/>
    <cellStyle name="Accent2 25 2" xfId="4019" xr:uid="{00000000-0005-0000-0000-0000190D0000}"/>
    <cellStyle name="Accent2 25 2 2" xfId="4020" xr:uid="{00000000-0005-0000-0000-00001A0D0000}"/>
    <cellStyle name="Accent2 25 3" xfId="4021" xr:uid="{00000000-0005-0000-0000-00001B0D0000}"/>
    <cellStyle name="Accent2 26" xfId="4022" xr:uid="{00000000-0005-0000-0000-00001C0D0000}"/>
    <cellStyle name="Accent2 26 2" xfId="4023" xr:uid="{00000000-0005-0000-0000-00001D0D0000}"/>
    <cellStyle name="Accent2 26 2 2" xfId="4024" xr:uid="{00000000-0005-0000-0000-00001E0D0000}"/>
    <cellStyle name="Accent2 26 3" xfId="4025" xr:uid="{00000000-0005-0000-0000-00001F0D0000}"/>
    <cellStyle name="Accent2 27" xfId="4026" xr:uid="{00000000-0005-0000-0000-0000200D0000}"/>
    <cellStyle name="Accent2 27 2" xfId="4027" xr:uid="{00000000-0005-0000-0000-0000210D0000}"/>
    <cellStyle name="Accent2 27 2 2" xfId="4028" xr:uid="{00000000-0005-0000-0000-0000220D0000}"/>
    <cellStyle name="Accent2 27 3" xfId="4029" xr:uid="{00000000-0005-0000-0000-0000230D0000}"/>
    <cellStyle name="Accent2 28" xfId="4030" xr:uid="{00000000-0005-0000-0000-0000240D0000}"/>
    <cellStyle name="Accent2 28 2" xfId="4031" xr:uid="{00000000-0005-0000-0000-0000250D0000}"/>
    <cellStyle name="Accent2 28 2 2" xfId="4032" xr:uid="{00000000-0005-0000-0000-0000260D0000}"/>
    <cellStyle name="Accent2 28 3" xfId="4033" xr:uid="{00000000-0005-0000-0000-0000270D0000}"/>
    <cellStyle name="Accent2 29" xfId="4034" xr:uid="{00000000-0005-0000-0000-0000280D0000}"/>
    <cellStyle name="Accent2 29 2" xfId="4035" xr:uid="{00000000-0005-0000-0000-0000290D0000}"/>
    <cellStyle name="Accent2 29 2 2" xfId="4036" xr:uid="{00000000-0005-0000-0000-00002A0D0000}"/>
    <cellStyle name="Accent2 29 3" xfId="4037" xr:uid="{00000000-0005-0000-0000-00002B0D0000}"/>
    <cellStyle name="Accent2 3" xfId="4038" xr:uid="{00000000-0005-0000-0000-00002C0D0000}"/>
    <cellStyle name="Accent2 3 10" xfId="4039" xr:uid="{00000000-0005-0000-0000-00002D0D0000}"/>
    <cellStyle name="Accent2 3 10 2" xfId="4040" xr:uid="{00000000-0005-0000-0000-00002E0D0000}"/>
    <cellStyle name="Accent2 3 11" xfId="4041" xr:uid="{00000000-0005-0000-0000-00002F0D0000}"/>
    <cellStyle name="Accent2 3 2" xfId="4042" xr:uid="{00000000-0005-0000-0000-0000300D0000}"/>
    <cellStyle name="Accent2 3 2 2" xfId="4043" xr:uid="{00000000-0005-0000-0000-0000310D0000}"/>
    <cellStyle name="Accent2 3 2 2 2" xfId="4044" xr:uid="{00000000-0005-0000-0000-0000320D0000}"/>
    <cellStyle name="Accent2 3 2 3" xfId="4045" xr:uid="{00000000-0005-0000-0000-0000330D0000}"/>
    <cellStyle name="Accent2 3 2 3 2" xfId="4046" xr:uid="{00000000-0005-0000-0000-0000340D0000}"/>
    <cellStyle name="Accent2 3 2 3 2 2" xfId="4047" xr:uid="{00000000-0005-0000-0000-0000350D0000}"/>
    <cellStyle name="Accent2 3 2 3 3" xfId="4048" xr:uid="{00000000-0005-0000-0000-0000360D0000}"/>
    <cellStyle name="Accent2 3 2 4" xfId="4049" xr:uid="{00000000-0005-0000-0000-0000370D0000}"/>
    <cellStyle name="Accent2 3 3" xfId="4050" xr:uid="{00000000-0005-0000-0000-0000380D0000}"/>
    <cellStyle name="Accent2 3 3 2" xfId="4051" xr:uid="{00000000-0005-0000-0000-0000390D0000}"/>
    <cellStyle name="Accent2 3 3 2 2" xfId="4052" xr:uid="{00000000-0005-0000-0000-00003A0D0000}"/>
    <cellStyle name="Accent2 3 3 3" xfId="4053" xr:uid="{00000000-0005-0000-0000-00003B0D0000}"/>
    <cellStyle name="Accent2 3 3 3 2" xfId="4054" xr:uid="{00000000-0005-0000-0000-00003C0D0000}"/>
    <cellStyle name="Accent2 3 3 3 2 2" xfId="4055" xr:uid="{00000000-0005-0000-0000-00003D0D0000}"/>
    <cellStyle name="Accent2 3 3 3 3" xfId="4056" xr:uid="{00000000-0005-0000-0000-00003E0D0000}"/>
    <cellStyle name="Accent2 3 3 4" xfId="4057" xr:uid="{00000000-0005-0000-0000-00003F0D0000}"/>
    <cellStyle name="Accent2 3 4" xfId="4058" xr:uid="{00000000-0005-0000-0000-0000400D0000}"/>
    <cellStyle name="Accent2 3 4 2" xfId="4059" xr:uid="{00000000-0005-0000-0000-0000410D0000}"/>
    <cellStyle name="Accent2 3 4 2 2" xfId="4060" xr:uid="{00000000-0005-0000-0000-0000420D0000}"/>
    <cellStyle name="Accent2 3 4 3" xfId="4061" xr:uid="{00000000-0005-0000-0000-0000430D0000}"/>
    <cellStyle name="Accent2 3 5" xfId="4062" xr:uid="{00000000-0005-0000-0000-0000440D0000}"/>
    <cellStyle name="Accent2 3 5 2" xfId="4063" xr:uid="{00000000-0005-0000-0000-0000450D0000}"/>
    <cellStyle name="Accent2 3 5 2 2" xfId="4064" xr:uid="{00000000-0005-0000-0000-0000460D0000}"/>
    <cellStyle name="Accent2 3 5 3" xfId="4065" xr:uid="{00000000-0005-0000-0000-0000470D0000}"/>
    <cellStyle name="Accent2 3 5 3 2" xfId="4066" xr:uid="{00000000-0005-0000-0000-0000480D0000}"/>
    <cellStyle name="Accent2 3 5 3 2 2" xfId="4067" xr:uid="{00000000-0005-0000-0000-0000490D0000}"/>
    <cellStyle name="Accent2 3 5 3 3" xfId="4068" xr:uid="{00000000-0005-0000-0000-00004A0D0000}"/>
    <cellStyle name="Accent2 3 5 4" xfId="4069" xr:uid="{00000000-0005-0000-0000-00004B0D0000}"/>
    <cellStyle name="Accent2 3 6" xfId="4070" xr:uid="{00000000-0005-0000-0000-00004C0D0000}"/>
    <cellStyle name="Accent2 3 6 2" xfId="4071" xr:uid="{00000000-0005-0000-0000-00004D0D0000}"/>
    <cellStyle name="Accent2 3 7" xfId="4072" xr:uid="{00000000-0005-0000-0000-00004E0D0000}"/>
    <cellStyle name="Accent2 3 7 2" xfId="4073" xr:uid="{00000000-0005-0000-0000-00004F0D0000}"/>
    <cellStyle name="Accent2 3 8" xfId="4074" xr:uid="{00000000-0005-0000-0000-0000500D0000}"/>
    <cellStyle name="Accent2 3 8 2" xfId="4075" xr:uid="{00000000-0005-0000-0000-0000510D0000}"/>
    <cellStyle name="Accent2 3 8 2 2" xfId="4076" xr:uid="{00000000-0005-0000-0000-0000520D0000}"/>
    <cellStyle name="Accent2 3 8 3" xfId="4077" xr:uid="{00000000-0005-0000-0000-0000530D0000}"/>
    <cellStyle name="Accent2 3 9" xfId="4078" xr:uid="{00000000-0005-0000-0000-0000540D0000}"/>
    <cellStyle name="Accent2 3 9 2" xfId="4079" xr:uid="{00000000-0005-0000-0000-0000550D0000}"/>
    <cellStyle name="Accent2 3 9 2 2" xfId="4080" xr:uid="{00000000-0005-0000-0000-0000560D0000}"/>
    <cellStyle name="Accent2 3 9 3" xfId="4081" xr:uid="{00000000-0005-0000-0000-0000570D0000}"/>
    <cellStyle name="Accent2 30" xfId="4082" xr:uid="{00000000-0005-0000-0000-0000580D0000}"/>
    <cellStyle name="Accent2 30 2" xfId="4083" xr:uid="{00000000-0005-0000-0000-0000590D0000}"/>
    <cellStyle name="Accent2 30 2 2" xfId="4084" xr:uid="{00000000-0005-0000-0000-00005A0D0000}"/>
    <cellStyle name="Accent2 30 3" xfId="4085" xr:uid="{00000000-0005-0000-0000-00005B0D0000}"/>
    <cellStyle name="Accent2 31" xfId="4086" xr:uid="{00000000-0005-0000-0000-00005C0D0000}"/>
    <cellStyle name="Accent2 31 2" xfId="4087" xr:uid="{00000000-0005-0000-0000-00005D0D0000}"/>
    <cellStyle name="Accent2 31 2 2" xfId="4088" xr:uid="{00000000-0005-0000-0000-00005E0D0000}"/>
    <cellStyle name="Accent2 31 3" xfId="4089" xr:uid="{00000000-0005-0000-0000-00005F0D0000}"/>
    <cellStyle name="Accent2 32" xfId="4090" xr:uid="{00000000-0005-0000-0000-0000600D0000}"/>
    <cellStyle name="Accent2 32 2" xfId="4091" xr:uid="{00000000-0005-0000-0000-0000610D0000}"/>
    <cellStyle name="Accent2 32 2 2" xfId="4092" xr:uid="{00000000-0005-0000-0000-0000620D0000}"/>
    <cellStyle name="Accent2 32 3" xfId="4093" xr:uid="{00000000-0005-0000-0000-0000630D0000}"/>
    <cellStyle name="Accent2 33" xfId="4094" xr:uid="{00000000-0005-0000-0000-0000640D0000}"/>
    <cellStyle name="Accent2 33 2" xfId="4095" xr:uid="{00000000-0005-0000-0000-0000650D0000}"/>
    <cellStyle name="Accent2 33 2 2" xfId="4096" xr:uid="{00000000-0005-0000-0000-0000660D0000}"/>
    <cellStyle name="Accent2 33 3" xfId="4097" xr:uid="{00000000-0005-0000-0000-0000670D0000}"/>
    <cellStyle name="Accent2 34" xfId="4098" xr:uid="{00000000-0005-0000-0000-0000680D0000}"/>
    <cellStyle name="Accent2 34 2" xfId="4099" xr:uid="{00000000-0005-0000-0000-0000690D0000}"/>
    <cellStyle name="Accent2 34 2 2" xfId="4100" xr:uid="{00000000-0005-0000-0000-00006A0D0000}"/>
    <cellStyle name="Accent2 34 3" xfId="4101" xr:uid="{00000000-0005-0000-0000-00006B0D0000}"/>
    <cellStyle name="Accent2 35" xfId="4102" xr:uid="{00000000-0005-0000-0000-00006C0D0000}"/>
    <cellStyle name="Accent2 35 2" xfId="4103" xr:uid="{00000000-0005-0000-0000-00006D0D0000}"/>
    <cellStyle name="Accent2 35 2 2" xfId="4104" xr:uid="{00000000-0005-0000-0000-00006E0D0000}"/>
    <cellStyle name="Accent2 35 3" xfId="4105" xr:uid="{00000000-0005-0000-0000-00006F0D0000}"/>
    <cellStyle name="Accent2 36" xfId="4106" xr:uid="{00000000-0005-0000-0000-0000700D0000}"/>
    <cellStyle name="Accent2 36 2" xfId="4107" xr:uid="{00000000-0005-0000-0000-0000710D0000}"/>
    <cellStyle name="Accent2 36 2 2" xfId="4108" xr:uid="{00000000-0005-0000-0000-0000720D0000}"/>
    <cellStyle name="Accent2 36 3" xfId="4109" xr:uid="{00000000-0005-0000-0000-0000730D0000}"/>
    <cellStyle name="Accent2 37" xfId="4110" xr:uid="{00000000-0005-0000-0000-0000740D0000}"/>
    <cellStyle name="Accent2 37 2" xfId="4111" xr:uid="{00000000-0005-0000-0000-0000750D0000}"/>
    <cellStyle name="Accent2 37 2 2" xfId="4112" xr:uid="{00000000-0005-0000-0000-0000760D0000}"/>
    <cellStyle name="Accent2 37 3" xfId="4113" xr:uid="{00000000-0005-0000-0000-0000770D0000}"/>
    <cellStyle name="Accent2 38" xfId="4114" xr:uid="{00000000-0005-0000-0000-0000780D0000}"/>
    <cellStyle name="Accent2 38 2" xfId="4115" xr:uid="{00000000-0005-0000-0000-0000790D0000}"/>
    <cellStyle name="Accent2 38 2 2" xfId="4116" xr:uid="{00000000-0005-0000-0000-00007A0D0000}"/>
    <cellStyle name="Accent2 38 3" xfId="4117" xr:uid="{00000000-0005-0000-0000-00007B0D0000}"/>
    <cellStyle name="Accent2 39" xfId="4118" xr:uid="{00000000-0005-0000-0000-00007C0D0000}"/>
    <cellStyle name="Accent2 39 2" xfId="4119" xr:uid="{00000000-0005-0000-0000-00007D0D0000}"/>
    <cellStyle name="Accent2 39 2 2" xfId="4120" xr:uid="{00000000-0005-0000-0000-00007E0D0000}"/>
    <cellStyle name="Accent2 39 3" xfId="4121" xr:uid="{00000000-0005-0000-0000-00007F0D0000}"/>
    <cellStyle name="Accent2 4" xfId="4122" xr:uid="{00000000-0005-0000-0000-0000800D0000}"/>
    <cellStyle name="Accent2 4 2" xfId="4123" xr:uid="{00000000-0005-0000-0000-0000810D0000}"/>
    <cellStyle name="Accent2 4 2 2" xfId="4124" xr:uid="{00000000-0005-0000-0000-0000820D0000}"/>
    <cellStyle name="Accent2 4 2 2 2" xfId="4125" xr:uid="{00000000-0005-0000-0000-0000830D0000}"/>
    <cellStyle name="Accent2 4 2 3" xfId="4126" xr:uid="{00000000-0005-0000-0000-0000840D0000}"/>
    <cellStyle name="Accent2 4 2 3 2" xfId="4127" xr:uid="{00000000-0005-0000-0000-0000850D0000}"/>
    <cellStyle name="Accent2 4 2 3 2 2" xfId="4128" xr:uid="{00000000-0005-0000-0000-0000860D0000}"/>
    <cellStyle name="Accent2 4 2 3 3" xfId="4129" xr:uid="{00000000-0005-0000-0000-0000870D0000}"/>
    <cellStyle name="Accent2 4 2 4" xfId="4130" xr:uid="{00000000-0005-0000-0000-0000880D0000}"/>
    <cellStyle name="Accent2 4 3" xfId="4131" xr:uid="{00000000-0005-0000-0000-0000890D0000}"/>
    <cellStyle name="Accent2 4 3 2" xfId="4132" xr:uid="{00000000-0005-0000-0000-00008A0D0000}"/>
    <cellStyle name="Accent2 4 3 2 2" xfId="4133" xr:uid="{00000000-0005-0000-0000-00008B0D0000}"/>
    <cellStyle name="Accent2 4 3 3" xfId="4134" xr:uid="{00000000-0005-0000-0000-00008C0D0000}"/>
    <cellStyle name="Accent2 4 3 3 2" xfId="4135" xr:uid="{00000000-0005-0000-0000-00008D0D0000}"/>
    <cellStyle name="Accent2 4 3 3 2 2" xfId="4136" xr:uid="{00000000-0005-0000-0000-00008E0D0000}"/>
    <cellStyle name="Accent2 4 3 3 3" xfId="4137" xr:uid="{00000000-0005-0000-0000-00008F0D0000}"/>
    <cellStyle name="Accent2 4 3 4" xfId="4138" xr:uid="{00000000-0005-0000-0000-0000900D0000}"/>
    <cellStyle name="Accent2 4 4" xfId="4139" xr:uid="{00000000-0005-0000-0000-0000910D0000}"/>
    <cellStyle name="Accent2 4 4 2" xfId="4140" xr:uid="{00000000-0005-0000-0000-0000920D0000}"/>
    <cellStyle name="Accent2 4 4 2 2" xfId="4141" xr:uid="{00000000-0005-0000-0000-0000930D0000}"/>
    <cellStyle name="Accent2 4 4 3" xfId="4142" xr:uid="{00000000-0005-0000-0000-0000940D0000}"/>
    <cellStyle name="Accent2 4 5" xfId="4143" xr:uid="{00000000-0005-0000-0000-0000950D0000}"/>
    <cellStyle name="Accent2 4 5 2" xfId="4144" xr:uid="{00000000-0005-0000-0000-0000960D0000}"/>
    <cellStyle name="Accent2 4 6" xfId="4145" xr:uid="{00000000-0005-0000-0000-0000970D0000}"/>
    <cellStyle name="Accent2 4 6 2" xfId="4146" xr:uid="{00000000-0005-0000-0000-0000980D0000}"/>
    <cellStyle name="Accent2 4 7" xfId="4147" xr:uid="{00000000-0005-0000-0000-0000990D0000}"/>
    <cellStyle name="Accent2 40" xfId="4148" xr:uid="{00000000-0005-0000-0000-00009A0D0000}"/>
    <cellStyle name="Accent2 40 2" xfId="4149" xr:uid="{00000000-0005-0000-0000-00009B0D0000}"/>
    <cellStyle name="Accent2 40 2 2" xfId="4150" xr:uid="{00000000-0005-0000-0000-00009C0D0000}"/>
    <cellStyle name="Accent2 40 3" xfId="4151" xr:uid="{00000000-0005-0000-0000-00009D0D0000}"/>
    <cellStyle name="Accent2 41" xfId="4152" xr:uid="{00000000-0005-0000-0000-00009E0D0000}"/>
    <cellStyle name="Accent2 41 2" xfId="4153" xr:uid="{00000000-0005-0000-0000-00009F0D0000}"/>
    <cellStyle name="Accent2 41 2 2" xfId="4154" xr:uid="{00000000-0005-0000-0000-0000A00D0000}"/>
    <cellStyle name="Accent2 41 3" xfId="4155" xr:uid="{00000000-0005-0000-0000-0000A10D0000}"/>
    <cellStyle name="Accent2 42" xfId="4156" xr:uid="{00000000-0005-0000-0000-0000A20D0000}"/>
    <cellStyle name="Accent2 42 2" xfId="4157" xr:uid="{00000000-0005-0000-0000-0000A30D0000}"/>
    <cellStyle name="Accent2 42 2 2" xfId="4158" xr:uid="{00000000-0005-0000-0000-0000A40D0000}"/>
    <cellStyle name="Accent2 42 3" xfId="4159" xr:uid="{00000000-0005-0000-0000-0000A50D0000}"/>
    <cellStyle name="Accent2 43" xfId="4160" xr:uid="{00000000-0005-0000-0000-0000A60D0000}"/>
    <cellStyle name="Accent2 43 2" xfId="4161" xr:uid="{00000000-0005-0000-0000-0000A70D0000}"/>
    <cellStyle name="Accent2 43 2 2" xfId="4162" xr:uid="{00000000-0005-0000-0000-0000A80D0000}"/>
    <cellStyle name="Accent2 43 3" xfId="4163" xr:uid="{00000000-0005-0000-0000-0000A90D0000}"/>
    <cellStyle name="Accent2 44" xfId="4164" xr:uid="{00000000-0005-0000-0000-0000AA0D0000}"/>
    <cellStyle name="Accent2 44 2" xfId="4165" xr:uid="{00000000-0005-0000-0000-0000AB0D0000}"/>
    <cellStyle name="Accent2 44 2 2" xfId="4166" xr:uid="{00000000-0005-0000-0000-0000AC0D0000}"/>
    <cellStyle name="Accent2 44 3" xfId="4167" xr:uid="{00000000-0005-0000-0000-0000AD0D0000}"/>
    <cellStyle name="Accent2 45" xfId="4168" xr:uid="{00000000-0005-0000-0000-0000AE0D0000}"/>
    <cellStyle name="Accent2 45 2" xfId="4169" xr:uid="{00000000-0005-0000-0000-0000AF0D0000}"/>
    <cellStyle name="Accent2 45 2 2" xfId="4170" xr:uid="{00000000-0005-0000-0000-0000B00D0000}"/>
    <cellStyle name="Accent2 45 3" xfId="4171" xr:uid="{00000000-0005-0000-0000-0000B10D0000}"/>
    <cellStyle name="Accent2 46" xfId="4172" xr:uid="{00000000-0005-0000-0000-0000B20D0000}"/>
    <cellStyle name="Accent2 46 2" xfId="4173" xr:uid="{00000000-0005-0000-0000-0000B30D0000}"/>
    <cellStyle name="Accent2 46 2 2" xfId="4174" xr:uid="{00000000-0005-0000-0000-0000B40D0000}"/>
    <cellStyle name="Accent2 46 3" xfId="4175" xr:uid="{00000000-0005-0000-0000-0000B50D0000}"/>
    <cellStyle name="Accent2 47" xfId="4176" xr:uid="{00000000-0005-0000-0000-0000B60D0000}"/>
    <cellStyle name="Accent2 47 2" xfId="4177" xr:uid="{00000000-0005-0000-0000-0000B70D0000}"/>
    <cellStyle name="Accent2 47 2 2" xfId="4178" xr:uid="{00000000-0005-0000-0000-0000B80D0000}"/>
    <cellStyle name="Accent2 47 3" xfId="4179" xr:uid="{00000000-0005-0000-0000-0000B90D0000}"/>
    <cellStyle name="Accent2 48" xfId="4180" xr:uid="{00000000-0005-0000-0000-0000BA0D0000}"/>
    <cellStyle name="Accent2 48 2" xfId="4181" xr:uid="{00000000-0005-0000-0000-0000BB0D0000}"/>
    <cellStyle name="Accent2 48 2 2" xfId="4182" xr:uid="{00000000-0005-0000-0000-0000BC0D0000}"/>
    <cellStyle name="Accent2 48 3" xfId="4183" xr:uid="{00000000-0005-0000-0000-0000BD0D0000}"/>
    <cellStyle name="Accent2 48 3 2" xfId="4184" xr:uid="{00000000-0005-0000-0000-0000BE0D0000}"/>
    <cellStyle name="Accent2 48 3 2 2" xfId="4185" xr:uid="{00000000-0005-0000-0000-0000BF0D0000}"/>
    <cellStyle name="Accent2 48 3 3" xfId="4186" xr:uid="{00000000-0005-0000-0000-0000C00D0000}"/>
    <cellStyle name="Accent2 48 4" xfId="4187" xr:uid="{00000000-0005-0000-0000-0000C10D0000}"/>
    <cellStyle name="Accent2 49" xfId="4188" xr:uid="{00000000-0005-0000-0000-0000C20D0000}"/>
    <cellStyle name="Accent2 49 2" xfId="4189" xr:uid="{00000000-0005-0000-0000-0000C30D0000}"/>
    <cellStyle name="Accent2 49 2 2" xfId="4190" xr:uid="{00000000-0005-0000-0000-0000C40D0000}"/>
    <cellStyle name="Accent2 49 3" xfId="4191" xr:uid="{00000000-0005-0000-0000-0000C50D0000}"/>
    <cellStyle name="Accent2 49 3 2" xfId="4192" xr:uid="{00000000-0005-0000-0000-0000C60D0000}"/>
    <cellStyle name="Accent2 49 3 2 2" xfId="4193" xr:uid="{00000000-0005-0000-0000-0000C70D0000}"/>
    <cellStyle name="Accent2 49 3 3" xfId="4194" xr:uid="{00000000-0005-0000-0000-0000C80D0000}"/>
    <cellStyle name="Accent2 49 4" xfId="4195" xr:uid="{00000000-0005-0000-0000-0000C90D0000}"/>
    <cellStyle name="Accent2 5" xfId="4196" xr:uid="{00000000-0005-0000-0000-0000CA0D0000}"/>
    <cellStyle name="Accent2 5 2" xfId="4197" xr:uid="{00000000-0005-0000-0000-0000CB0D0000}"/>
    <cellStyle name="Accent2 5 2 2" xfId="4198" xr:uid="{00000000-0005-0000-0000-0000CC0D0000}"/>
    <cellStyle name="Accent2 5 2 2 2" xfId="4199" xr:uid="{00000000-0005-0000-0000-0000CD0D0000}"/>
    <cellStyle name="Accent2 5 2 3" xfId="4200" xr:uid="{00000000-0005-0000-0000-0000CE0D0000}"/>
    <cellStyle name="Accent2 5 2 3 2" xfId="4201" xr:uid="{00000000-0005-0000-0000-0000CF0D0000}"/>
    <cellStyle name="Accent2 5 2 3 2 2" xfId="4202" xr:uid="{00000000-0005-0000-0000-0000D00D0000}"/>
    <cellStyle name="Accent2 5 2 3 3" xfId="4203" xr:uid="{00000000-0005-0000-0000-0000D10D0000}"/>
    <cellStyle name="Accent2 5 2 4" xfId="4204" xr:uid="{00000000-0005-0000-0000-0000D20D0000}"/>
    <cellStyle name="Accent2 5 3" xfId="4205" xr:uid="{00000000-0005-0000-0000-0000D30D0000}"/>
    <cellStyle name="Accent2 5 3 2" xfId="4206" xr:uid="{00000000-0005-0000-0000-0000D40D0000}"/>
    <cellStyle name="Accent2 5 3 2 2" xfId="4207" xr:uid="{00000000-0005-0000-0000-0000D50D0000}"/>
    <cellStyle name="Accent2 5 3 3" xfId="4208" xr:uid="{00000000-0005-0000-0000-0000D60D0000}"/>
    <cellStyle name="Accent2 5 3 3 2" xfId="4209" xr:uid="{00000000-0005-0000-0000-0000D70D0000}"/>
    <cellStyle name="Accent2 5 3 3 2 2" xfId="4210" xr:uid="{00000000-0005-0000-0000-0000D80D0000}"/>
    <cellStyle name="Accent2 5 3 3 3" xfId="4211" xr:uid="{00000000-0005-0000-0000-0000D90D0000}"/>
    <cellStyle name="Accent2 5 3 4" xfId="4212" xr:uid="{00000000-0005-0000-0000-0000DA0D0000}"/>
    <cellStyle name="Accent2 5 4" xfId="4213" xr:uid="{00000000-0005-0000-0000-0000DB0D0000}"/>
    <cellStyle name="Accent2 5 4 2" xfId="4214" xr:uid="{00000000-0005-0000-0000-0000DC0D0000}"/>
    <cellStyle name="Accent2 5 5" xfId="4215" xr:uid="{00000000-0005-0000-0000-0000DD0D0000}"/>
    <cellStyle name="Accent2 5 5 2" xfId="4216" xr:uid="{00000000-0005-0000-0000-0000DE0D0000}"/>
    <cellStyle name="Accent2 5 6" xfId="4217" xr:uid="{00000000-0005-0000-0000-0000DF0D0000}"/>
    <cellStyle name="Accent2 50" xfId="4218" xr:uid="{00000000-0005-0000-0000-0000E00D0000}"/>
    <cellStyle name="Accent2 50 2" xfId="4219" xr:uid="{00000000-0005-0000-0000-0000E10D0000}"/>
    <cellStyle name="Accent2 50 2 2" xfId="4220" xr:uid="{00000000-0005-0000-0000-0000E20D0000}"/>
    <cellStyle name="Accent2 50 3" xfId="4221" xr:uid="{00000000-0005-0000-0000-0000E30D0000}"/>
    <cellStyle name="Accent2 50 3 2" xfId="4222" xr:uid="{00000000-0005-0000-0000-0000E40D0000}"/>
    <cellStyle name="Accent2 50 3 2 2" xfId="4223" xr:uid="{00000000-0005-0000-0000-0000E50D0000}"/>
    <cellStyle name="Accent2 50 3 3" xfId="4224" xr:uid="{00000000-0005-0000-0000-0000E60D0000}"/>
    <cellStyle name="Accent2 50 4" xfId="4225" xr:uid="{00000000-0005-0000-0000-0000E70D0000}"/>
    <cellStyle name="Accent2 51" xfId="4226" xr:uid="{00000000-0005-0000-0000-0000E80D0000}"/>
    <cellStyle name="Accent2 51 2" xfId="4227" xr:uid="{00000000-0005-0000-0000-0000E90D0000}"/>
    <cellStyle name="Accent2 51 2 2" xfId="4228" xr:uid="{00000000-0005-0000-0000-0000EA0D0000}"/>
    <cellStyle name="Accent2 51 3" xfId="4229" xr:uid="{00000000-0005-0000-0000-0000EB0D0000}"/>
    <cellStyle name="Accent2 51 3 2" xfId="4230" xr:uid="{00000000-0005-0000-0000-0000EC0D0000}"/>
    <cellStyle name="Accent2 51 3 2 2" xfId="4231" xr:uid="{00000000-0005-0000-0000-0000ED0D0000}"/>
    <cellStyle name="Accent2 51 3 3" xfId="4232" xr:uid="{00000000-0005-0000-0000-0000EE0D0000}"/>
    <cellStyle name="Accent2 51 4" xfId="4233" xr:uid="{00000000-0005-0000-0000-0000EF0D0000}"/>
    <cellStyle name="Accent2 52" xfId="4234" xr:uid="{00000000-0005-0000-0000-0000F00D0000}"/>
    <cellStyle name="Accent2 52 2" xfId="4235" xr:uid="{00000000-0005-0000-0000-0000F10D0000}"/>
    <cellStyle name="Accent2 52 2 2" xfId="4236" xr:uid="{00000000-0005-0000-0000-0000F20D0000}"/>
    <cellStyle name="Accent2 52 3" xfId="4237" xr:uid="{00000000-0005-0000-0000-0000F30D0000}"/>
    <cellStyle name="Accent2 53" xfId="4238" xr:uid="{00000000-0005-0000-0000-0000F40D0000}"/>
    <cellStyle name="Accent2 53 2" xfId="4239" xr:uid="{00000000-0005-0000-0000-0000F50D0000}"/>
    <cellStyle name="Accent2 53 2 2" xfId="4240" xr:uid="{00000000-0005-0000-0000-0000F60D0000}"/>
    <cellStyle name="Accent2 53 3" xfId="4241" xr:uid="{00000000-0005-0000-0000-0000F70D0000}"/>
    <cellStyle name="Accent2 54" xfId="4242" xr:uid="{00000000-0005-0000-0000-0000F80D0000}"/>
    <cellStyle name="Accent2 54 2" xfId="4243" xr:uid="{00000000-0005-0000-0000-0000F90D0000}"/>
    <cellStyle name="Accent2 54 2 2" xfId="4244" xr:uid="{00000000-0005-0000-0000-0000FA0D0000}"/>
    <cellStyle name="Accent2 54 3" xfId="4245" xr:uid="{00000000-0005-0000-0000-0000FB0D0000}"/>
    <cellStyle name="Accent2 55" xfId="4246" xr:uid="{00000000-0005-0000-0000-0000FC0D0000}"/>
    <cellStyle name="Accent2 55 2" xfId="4247" xr:uid="{00000000-0005-0000-0000-0000FD0D0000}"/>
    <cellStyle name="Accent2 55 2 2" xfId="4248" xr:uid="{00000000-0005-0000-0000-0000FE0D0000}"/>
    <cellStyle name="Accent2 55 3" xfId="4249" xr:uid="{00000000-0005-0000-0000-0000FF0D0000}"/>
    <cellStyle name="Accent2 56" xfId="4250" xr:uid="{00000000-0005-0000-0000-0000000E0000}"/>
    <cellStyle name="Accent2 56 2" xfId="4251" xr:uid="{00000000-0005-0000-0000-0000010E0000}"/>
    <cellStyle name="Accent2 56 2 2" xfId="4252" xr:uid="{00000000-0005-0000-0000-0000020E0000}"/>
    <cellStyle name="Accent2 56 3" xfId="4253" xr:uid="{00000000-0005-0000-0000-0000030E0000}"/>
    <cellStyle name="Accent2 57" xfId="4254" xr:uid="{00000000-0005-0000-0000-0000040E0000}"/>
    <cellStyle name="Accent2 57 2" xfId="4255" xr:uid="{00000000-0005-0000-0000-0000050E0000}"/>
    <cellStyle name="Accent2 57 2 2" xfId="4256" xr:uid="{00000000-0005-0000-0000-0000060E0000}"/>
    <cellStyle name="Accent2 57 3" xfId="4257" xr:uid="{00000000-0005-0000-0000-0000070E0000}"/>
    <cellStyle name="Accent2 58" xfId="4258" xr:uid="{00000000-0005-0000-0000-0000080E0000}"/>
    <cellStyle name="Accent2 58 2" xfId="4259" xr:uid="{00000000-0005-0000-0000-0000090E0000}"/>
    <cellStyle name="Accent2 58 2 2" xfId="4260" xr:uid="{00000000-0005-0000-0000-00000A0E0000}"/>
    <cellStyle name="Accent2 58 3" xfId="4261" xr:uid="{00000000-0005-0000-0000-00000B0E0000}"/>
    <cellStyle name="Accent2 58 3 2" xfId="4262" xr:uid="{00000000-0005-0000-0000-00000C0E0000}"/>
    <cellStyle name="Accent2 58 3 2 2" xfId="4263" xr:uid="{00000000-0005-0000-0000-00000D0E0000}"/>
    <cellStyle name="Accent2 58 3 3" xfId="4264" xr:uid="{00000000-0005-0000-0000-00000E0E0000}"/>
    <cellStyle name="Accent2 58 4" xfId="4265" xr:uid="{00000000-0005-0000-0000-00000F0E0000}"/>
    <cellStyle name="Accent2 59" xfId="4266" xr:uid="{00000000-0005-0000-0000-0000100E0000}"/>
    <cellStyle name="Accent2 59 2" xfId="4267" xr:uid="{00000000-0005-0000-0000-0000110E0000}"/>
    <cellStyle name="Accent2 59 2 2" xfId="4268" xr:uid="{00000000-0005-0000-0000-0000120E0000}"/>
    <cellStyle name="Accent2 59 3" xfId="4269" xr:uid="{00000000-0005-0000-0000-0000130E0000}"/>
    <cellStyle name="Accent2 59 3 2" xfId="4270" xr:uid="{00000000-0005-0000-0000-0000140E0000}"/>
    <cellStyle name="Accent2 59 3 2 2" xfId="4271" xr:uid="{00000000-0005-0000-0000-0000150E0000}"/>
    <cellStyle name="Accent2 59 3 3" xfId="4272" xr:uid="{00000000-0005-0000-0000-0000160E0000}"/>
    <cellStyle name="Accent2 59 4" xfId="4273" xr:uid="{00000000-0005-0000-0000-0000170E0000}"/>
    <cellStyle name="Accent2 6" xfId="4274" xr:uid="{00000000-0005-0000-0000-0000180E0000}"/>
    <cellStyle name="Accent2 6 2" xfId="4275" xr:uid="{00000000-0005-0000-0000-0000190E0000}"/>
    <cellStyle name="Accent2 6 2 2" xfId="4276" xr:uid="{00000000-0005-0000-0000-00001A0E0000}"/>
    <cellStyle name="Accent2 6 2 2 2" xfId="4277" xr:uid="{00000000-0005-0000-0000-00001B0E0000}"/>
    <cellStyle name="Accent2 6 2 3" xfId="4278" xr:uid="{00000000-0005-0000-0000-00001C0E0000}"/>
    <cellStyle name="Accent2 6 2 3 2" xfId="4279" xr:uid="{00000000-0005-0000-0000-00001D0E0000}"/>
    <cellStyle name="Accent2 6 2 3 2 2" xfId="4280" xr:uid="{00000000-0005-0000-0000-00001E0E0000}"/>
    <cellStyle name="Accent2 6 2 3 3" xfId="4281" xr:uid="{00000000-0005-0000-0000-00001F0E0000}"/>
    <cellStyle name="Accent2 6 2 4" xfId="4282" xr:uid="{00000000-0005-0000-0000-0000200E0000}"/>
    <cellStyle name="Accent2 6 3" xfId="4283" xr:uid="{00000000-0005-0000-0000-0000210E0000}"/>
    <cellStyle name="Accent2 6 3 2" xfId="4284" xr:uid="{00000000-0005-0000-0000-0000220E0000}"/>
    <cellStyle name="Accent2 6 4" xfId="4285" xr:uid="{00000000-0005-0000-0000-0000230E0000}"/>
    <cellStyle name="Accent2 60" xfId="4286" xr:uid="{00000000-0005-0000-0000-0000240E0000}"/>
    <cellStyle name="Accent2 60 2" xfId="4287" xr:uid="{00000000-0005-0000-0000-0000250E0000}"/>
    <cellStyle name="Accent2 60 2 2" xfId="4288" xr:uid="{00000000-0005-0000-0000-0000260E0000}"/>
    <cellStyle name="Accent2 60 3" xfId="4289" xr:uid="{00000000-0005-0000-0000-0000270E0000}"/>
    <cellStyle name="Accent2 60 3 2" xfId="4290" xr:uid="{00000000-0005-0000-0000-0000280E0000}"/>
    <cellStyle name="Accent2 60 3 2 2" xfId="4291" xr:uid="{00000000-0005-0000-0000-0000290E0000}"/>
    <cellStyle name="Accent2 60 3 3" xfId="4292" xr:uid="{00000000-0005-0000-0000-00002A0E0000}"/>
    <cellStyle name="Accent2 60 4" xfId="4293" xr:uid="{00000000-0005-0000-0000-00002B0E0000}"/>
    <cellStyle name="Accent2 61" xfId="4294" xr:uid="{00000000-0005-0000-0000-00002C0E0000}"/>
    <cellStyle name="Accent2 61 2" xfId="4295" xr:uid="{00000000-0005-0000-0000-00002D0E0000}"/>
    <cellStyle name="Accent2 61 2 2" xfId="4296" xr:uid="{00000000-0005-0000-0000-00002E0E0000}"/>
    <cellStyle name="Accent2 61 3" xfId="4297" xr:uid="{00000000-0005-0000-0000-00002F0E0000}"/>
    <cellStyle name="Accent2 61 3 2" xfId="4298" xr:uid="{00000000-0005-0000-0000-0000300E0000}"/>
    <cellStyle name="Accent2 61 3 2 2" xfId="4299" xr:uid="{00000000-0005-0000-0000-0000310E0000}"/>
    <cellStyle name="Accent2 61 3 3" xfId="4300" xr:uid="{00000000-0005-0000-0000-0000320E0000}"/>
    <cellStyle name="Accent2 61 4" xfId="4301" xr:uid="{00000000-0005-0000-0000-0000330E0000}"/>
    <cellStyle name="Accent2 62" xfId="4302" xr:uid="{00000000-0005-0000-0000-0000340E0000}"/>
    <cellStyle name="Accent2 62 2" xfId="4303" xr:uid="{00000000-0005-0000-0000-0000350E0000}"/>
    <cellStyle name="Accent2 62 2 2" xfId="4304" xr:uid="{00000000-0005-0000-0000-0000360E0000}"/>
    <cellStyle name="Accent2 62 3" xfId="4305" xr:uid="{00000000-0005-0000-0000-0000370E0000}"/>
    <cellStyle name="Accent2 62 3 2" xfId="4306" xr:uid="{00000000-0005-0000-0000-0000380E0000}"/>
    <cellStyle name="Accent2 62 3 2 2" xfId="4307" xr:uid="{00000000-0005-0000-0000-0000390E0000}"/>
    <cellStyle name="Accent2 62 3 3" xfId="4308" xr:uid="{00000000-0005-0000-0000-00003A0E0000}"/>
    <cellStyle name="Accent2 62 4" xfId="4309" xr:uid="{00000000-0005-0000-0000-00003B0E0000}"/>
    <cellStyle name="Accent2 63" xfId="4310" xr:uid="{00000000-0005-0000-0000-00003C0E0000}"/>
    <cellStyle name="Accent2 63 2" xfId="4311" xr:uid="{00000000-0005-0000-0000-00003D0E0000}"/>
    <cellStyle name="Accent2 63 2 2" xfId="4312" xr:uid="{00000000-0005-0000-0000-00003E0E0000}"/>
    <cellStyle name="Accent2 63 3" xfId="4313" xr:uid="{00000000-0005-0000-0000-00003F0E0000}"/>
    <cellStyle name="Accent2 63 3 2" xfId="4314" xr:uid="{00000000-0005-0000-0000-0000400E0000}"/>
    <cellStyle name="Accent2 63 3 2 2" xfId="4315" xr:uid="{00000000-0005-0000-0000-0000410E0000}"/>
    <cellStyle name="Accent2 63 3 3" xfId="4316" xr:uid="{00000000-0005-0000-0000-0000420E0000}"/>
    <cellStyle name="Accent2 63 4" xfId="4317" xr:uid="{00000000-0005-0000-0000-0000430E0000}"/>
    <cellStyle name="Accent2 64" xfId="4318" xr:uid="{00000000-0005-0000-0000-0000440E0000}"/>
    <cellStyle name="Accent2 64 2" xfId="4319" xr:uid="{00000000-0005-0000-0000-0000450E0000}"/>
    <cellStyle name="Accent2 64 2 2" xfId="4320" xr:uid="{00000000-0005-0000-0000-0000460E0000}"/>
    <cellStyle name="Accent2 64 3" xfId="4321" xr:uid="{00000000-0005-0000-0000-0000470E0000}"/>
    <cellStyle name="Accent2 64 3 2" xfId="4322" xr:uid="{00000000-0005-0000-0000-0000480E0000}"/>
    <cellStyle name="Accent2 64 3 2 2" xfId="4323" xr:uid="{00000000-0005-0000-0000-0000490E0000}"/>
    <cellStyle name="Accent2 64 3 3" xfId="4324" xr:uid="{00000000-0005-0000-0000-00004A0E0000}"/>
    <cellStyle name="Accent2 64 4" xfId="4325" xr:uid="{00000000-0005-0000-0000-00004B0E0000}"/>
    <cellStyle name="Accent2 65" xfId="4326" xr:uid="{00000000-0005-0000-0000-00004C0E0000}"/>
    <cellStyle name="Accent2 65 2" xfId="4327" xr:uid="{00000000-0005-0000-0000-00004D0E0000}"/>
    <cellStyle name="Accent2 65 2 2" xfId="4328" xr:uid="{00000000-0005-0000-0000-00004E0E0000}"/>
    <cellStyle name="Accent2 65 3" xfId="4329" xr:uid="{00000000-0005-0000-0000-00004F0E0000}"/>
    <cellStyle name="Accent2 65 3 2" xfId="4330" xr:uid="{00000000-0005-0000-0000-0000500E0000}"/>
    <cellStyle name="Accent2 65 3 2 2" xfId="4331" xr:uid="{00000000-0005-0000-0000-0000510E0000}"/>
    <cellStyle name="Accent2 65 3 3" xfId="4332" xr:uid="{00000000-0005-0000-0000-0000520E0000}"/>
    <cellStyle name="Accent2 65 4" xfId="4333" xr:uid="{00000000-0005-0000-0000-0000530E0000}"/>
    <cellStyle name="Accent2 66" xfId="4334" xr:uid="{00000000-0005-0000-0000-0000540E0000}"/>
    <cellStyle name="Accent2 66 2" xfId="4335" xr:uid="{00000000-0005-0000-0000-0000550E0000}"/>
    <cellStyle name="Accent2 66 2 2" xfId="4336" xr:uid="{00000000-0005-0000-0000-0000560E0000}"/>
    <cellStyle name="Accent2 66 3" xfId="4337" xr:uid="{00000000-0005-0000-0000-0000570E0000}"/>
    <cellStyle name="Accent2 66 3 2" xfId="4338" xr:uid="{00000000-0005-0000-0000-0000580E0000}"/>
    <cellStyle name="Accent2 66 3 2 2" xfId="4339" xr:uid="{00000000-0005-0000-0000-0000590E0000}"/>
    <cellStyle name="Accent2 66 3 3" xfId="4340" xr:uid="{00000000-0005-0000-0000-00005A0E0000}"/>
    <cellStyle name="Accent2 66 4" xfId="4341" xr:uid="{00000000-0005-0000-0000-00005B0E0000}"/>
    <cellStyle name="Accent2 67" xfId="4342" xr:uid="{00000000-0005-0000-0000-00005C0E0000}"/>
    <cellStyle name="Accent2 67 2" xfId="4343" xr:uid="{00000000-0005-0000-0000-00005D0E0000}"/>
    <cellStyle name="Accent2 67 2 2" xfId="4344" xr:uid="{00000000-0005-0000-0000-00005E0E0000}"/>
    <cellStyle name="Accent2 67 3" xfId="4345" xr:uid="{00000000-0005-0000-0000-00005F0E0000}"/>
    <cellStyle name="Accent2 67 3 2" xfId="4346" xr:uid="{00000000-0005-0000-0000-0000600E0000}"/>
    <cellStyle name="Accent2 67 3 2 2" xfId="4347" xr:uid="{00000000-0005-0000-0000-0000610E0000}"/>
    <cellStyle name="Accent2 67 3 3" xfId="4348" xr:uid="{00000000-0005-0000-0000-0000620E0000}"/>
    <cellStyle name="Accent2 67 4" xfId="4349" xr:uid="{00000000-0005-0000-0000-0000630E0000}"/>
    <cellStyle name="Accent2 68" xfId="4350" xr:uid="{00000000-0005-0000-0000-0000640E0000}"/>
    <cellStyle name="Accent2 68 2" xfId="4351" xr:uid="{00000000-0005-0000-0000-0000650E0000}"/>
    <cellStyle name="Accent2 68 2 2" xfId="4352" xr:uid="{00000000-0005-0000-0000-0000660E0000}"/>
    <cellStyle name="Accent2 68 3" xfId="4353" xr:uid="{00000000-0005-0000-0000-0000670E0000}"/>
    <cellStyle name="Accent2 68 3 2" xfId="4354" xr:uid="{00000000-0005-0000-0000-0000680E0000}"/>
    <cellStyle name="Accent2 68 3 2 2" xfId="4355" xr:uid="{00000000-0005-0000-0000-0000690E0000}"/>
    <cellStyle name="Accent2 68 3 3" xfId="4356" xr:uid="{00000000-0005-0000-0000-00006A0E0000}"/>
    <cellStyle name="Accent2 68 4" xfId="4357" xr:uid="{00000000-0005-0000-0000-00006B0E0000}"/>
    <cellStyle name="Accent2 69" xfId="4358" xr:uid="{00000000-0005-0000-0000-00006C0E0000}"/>
    <cellStyle name="Accent2 69 2" xfId="4359" xr:uid="{00000000-0005-0000-0000-00006D0E0000}"/>
    <cellStyle name="Accent2 69 2 2" xfId="4360" xr:uid="{00000000-0005-0000-0000-00006E0E0000}"/>
    <cellStyle name="Accent2 69 3" xfId="4361" xr:uid="{00000000-0005-0000-0000-00006F0E0000}"/>
    <cellStyle name="Accent2 69 3 2" xfId="4362" xr:uid="{00000000-0005-0000-0000-0000700E0000}"/>
    <cellStyle name="Accent2 69 3 2 2" xfId="4363" xr:uid="{00000000-0005-0000-0000-0000710E0000}"/>
    <cellStyle name="Accent2 69 3 3" xfId="4364" xr:uid="{00000000-0005-0000-0000-0000720E0000}"/>
    <cellStyle name="Accent2 69 4" xfId="4365" xr:uid="{00000000-0005-0000-0000-0000730E0000}"/>
    <cellStyle name="Accent2 7" xfId="4366" xr:uid="{00000000-0005-0000-0000-0000740E0000}"/>
    <cellStyle name="Accent2 7 2" xfId="4367" xr:uid="{00000000-0005-0000-0000-0000750E0000}"/>
    <cellStyle name="Accent2 7 2 2" xfId="4368" xr:uid="{00000000-0005-0000-0000-0000760E0000}"/>
    <cellStyle name="Accent2 7 2 2 2" xfId="4369" xr:uid="{00000000-0005-0000-0000-0000770E0000}"/>
    <cellStyle name="Accent2 7 2 3" xfId="4370" xr:uid="{00000000-0005-0000-0000-0000780E0000}"/>
    <cellStyle name="Accent2 7 2 3 2" xfId="4371" xr:uid="{00000000-0005-0000-0000-0000790E0000}"/>
    <cellStyle name="Accent2 7 2 3 2 2" xfId="4372" xr:uid="{00000000-0005-0000-0000-00007A0E0000}"/>
    <cellStyle name="Accent2 7 2 3 3" xfId="4373" xr:uid="{00000000-0005-0000-0000-00007B0E0000}"/>
    <cellStyle name="Accent2 7 2 4" xfId="4374" xr:uid="{00000000-0005-0000-0000-00007C0E0000}"/>
    <cellStyle name="Accent2 7 3" xfId="4375" xr:uid="{00000000-0005-0000-0000-00007D0E0000}"/>
    <cellStyle name="Accent2 7 3 2" xfId="4376" xr:uid="{00000000-0005-0000-0000-00007E0E0000}"/>
    <cellStyle name="Accent2 7 4" xfId="4377" xr:uid="{00000000-0005-0000-0000-00007F0E0000}"/>
    <cellStyle name="Accent2 70" xfId="4378" xr:uid="{00000000-0005-0000-0000-0000800E0000}"/>
    <cellStyle name="Accent2 70 2" xfId="4379" xr:uid="{00000000-0005-0000-0000-0000810E0000}"/>
    <cellStyle name="Accent2 70 2 2" xfId="4380" xr:uid="{00000000-0005-0000-0000-0000820E0000}"/>
    <cellStyle name="Accent2 70 3" xfId="4381" xr:uid="{00000000-0005-0000-0000-0000830E0000}"/>
    <cellStyle name="Accent2 70 3 2" xfId="4382" xr:uid="{00000000-0005-0000-0000-0000840E0000}"/>
    <cellStyle name="Accent2 70 3 2 2" xfId="4383" xr:uid="{00000000-0005-0000-0000-0000850E0000}"/>
    <cellStyle name="Accent2 70 3 3" xfId="4384" xr:uid="{00000000-0005-0000-0000-0000860E0000}"/>
    <cellStyle name="Accent2 70 4" xfId="4385" xr:uid="{00000000-0005-0000-0000-0000870E0000}"/>
    <cellStyle name="Accent2 71" xfId="4386" xr:uid="{00000000-0005-0000-0000-0000880E0000}"/>
    <cellStyle name="Accent2 71 2" xfId="4387" xr:uid="{00000000-0005-0000-0000-0000890E0000}"/>
    <cellStyle name="Accent2 71 2 2" xfId="4388" xr:uid="{00000000-0005-0000-0000-00008A0E0000}"/>
    <cellStyle name="Accent2 71 3" xfId="4389" xr:uid="{00000000-0005-0000-0000-00008B0E0000}"/>
    <cellStyle name="Accent2 71 3 2" xfId="4390" xr:uid="{00000000-0005-0000-0000-00008C0E0000}"/>
    <cellStyle name="Accent2 71 3 2 2" xfId="4391" xr:uid="{00000000-0005-0000-0000-00008D0E0000}"/>
    <cellStyle name="Accent2 71 3 3" xfId="4392" xr:uid="{00000000-0005-0000-0000-00008E0E0000}"/>
    <cellStyle name="Accent2 71 4" xfId="4393" xr:uid="{00000000-0005-0000-0000-00008F0E0000}"/>
    <cellStyle name="Accent2 72" xfId="4394" xr:uid="{00000000-0005-0000-0000-0000900E0000}"/>
    <cellStyle name="Accent2 72 2" xfId="4395" xr:uid="{00000000-0005-0000-0000-0000910E0000}"/>
    <cellStyle name="Accent2 72 2 2" xfId="4396" xr:uid="{00000000-0005-0000-0000-0000920E0000}"/>
    <cellStyle name="Accent2 72 3" xfId="4397" xr:uid="{00000000-0005-0000-0000-0000930E0000}"/>
    <cellStyle name="Accent2 72 3 2" xfId="4398" xr:uid="{00000000-0005-0000-0000-0000940E0000}"/>
    <cellStyle name="Accent2 72 3 2 2" xfId="4399" xr:uid="{00000000-0005-0000-0000-0000950E0000}"/>
    <cellStyle name="Accent2 72 3 3" xfId="4400" xr:uid="{00000000-0005-0000-0000-0000960E0000}"/>
    <cellStyle name="Accent2 72 4" xfId="4401" xr:uid="{00000000-0005-0000-0000-0000970E0000}"/>
    <cellStyle name="Accent2 73" xfId="4402" xr:uid="{00000000-0005-0000-0000-0000980E0000}"/>
    <cellStyle name="Accent2 73 2" xfId="4403" xr:uid="{00000000-0005-0000-0000-0000990E0000}"/>
    <cellStyle name="Accent2 73 2 2" xfId="4404" xr:uid="{00000000-0005-0000-0000-00009A0E0000}"/>
    <cellStyle name="Accent2 73 3" xfId="4405" xr:uid="{00000000-0005-0000-0000-00009B0E0000}"/>
    <cellStyle name="Accent2 73 3 2" xfId="4406" xr:uid="{00000000-0005-0000-0000-00009C0E0000}"/>
    <cellStyle name="Accent2 73 3 2 2" xfId="4407" xr:uid="{00000000-0005-0000-0000-00009D0E0000}"/>
    <cellStyle name="Accent2 73 3 3" xfId="4408" xr:uid="{00000000-0005-0000-0000-00009E0E0000}"/>
    <cellStyle name="Accent2 73 4" xfId="4409" xr:uid="{00000000-0005-0000-0000-00009F0E0000}"/>
    <cellStyle name="Accent2 74" xfId="4410" xr:uid="{00000000-0005-0000-0000-0000A00E0000}"/>
    <cellStyle name="Accent2 74 2" xfId="4411" xr:uid="{00000000-0005-0000-0000-0000A10E0000}"/>
    <cellStyle name="Accent2 74 2 2" xfId="4412" xr:uid="{00000000-0005-0000-0000-0000A20E0000}"/>
    <cellStyle name="Accent2 74 3" xfId="4413" xr:uid="{00000000-0005-0000-0000-0000A30E0000}"/>
    <cellStyle name="Accent2 74 3 2" xfId="4414" xr:uid="{00000000-0005-0000-0000-0000A40E0000}"/>
    <cellStyle name="Accent2 74 3 2 2" xfId="4415" xr:uid="{00000000-0005-0000-0000-0000A50E0000}"/>
    <cellStyle name="Accent2 74 3 3" xfId="4416" xr:uid="{00000000-0005-0000-0000-0000A60E0000}"/>
    <cellStyle name="Accent2 74 4" xfId="4417" xr:uid="{00000000-0005-0000-0000-0000A70E0000}"/>
    <cellStyle name="Accent2 75" xfId="4418" xr:uid="{00000000-0005-0000-0000-0000A80E0000}"/>
    <cellStyle name="Accent2 75 2" xfId="4419" xr:uid="{00000000-0005-0000-0000-0000A90E0000}"/>
    <cellStyle name="Accent2 75 2 2" xfId="4420" xr:uid="{00000000-0005-0000-0000-0000AA0E0000}"/>
    <cellStyle name="Accent2 75 3" xfId="4421" xr:uid="{00000000-0005-0000-0000-0000AB0E0000}"/>
    <cellStyle name="Accent2 75 3 2" xfId="4422" xr:uid="{00000000-0005-0000-0000-0000AC0E0000}"/>
    <cellStyle name="Accent2 75 3 2 2" xfId="4423" xr:uid="{00000000-0005-0000-0000-0000AD0E0000}"/>
    <cellStyle name="Accent2 75 3 3" xfId="4424" xr:uid="{00000000-0005-0000-0000-0000AE0E0000}"/>
    <cellStyle name="Accent2 75 4" xfId="4425" xr:uid="{00000000-0005-0000-0000-0000AF0E0000}"/>
    <cellStyle name="Accent2 76" xfId="4426" xr:uid="{00000000-0005-0000-0000-0000B00E0000}"/>
    <cellStyle name="Accent2 76 2" xfId="4427" xr:uid="{00000000-0005-0000-0000-0000B10E0000}"/>
    <cellStyle name="Accent2 76 2 2" xfId="4428" xr:uid="{00000000-0005-0000-0000-0000B20E0000}"/>
    <cellStyle name="Accent2 76 3" xfId="4429" xr:uid="{00000000-0005-0000-0000-0000B30E0000}"/>
    <cellStyle name="Accent2 76 3 2" xfId="4430" xr:uid="{00000000-0005-0000-0000-0000B40E0000}"/>
    <cellStyle name="Accent2 76 3 2 2" xfId="4431" xr:uid="{00000000-0005-0000-0000-0000B50E0000}"/>
    <cellStyle name="Accent2 76 3 3" xfId="4432" xr:uid="{00000000-0005-0000-0000-0000B60E0000}"/>
    <cellStyle name="Accent2 76 4" xfId="4433" xr:uid="{00000000-0005-0000-0000-0000B70E0000}"/>
    <cellStyle name="Accent2 77" xfId="4434" xr:uid="{00000000-0005-0000-0000-0000B80E0000}"/>
    <cellStyle name="Accent2 77 2" xfId="4435" xr:uid="{00000000-0005-0000-0000-0000B90E0000}"/>
    <cellStyle name="Accent2 77 2 2" xfId="4436" xr:uid="{00000000-0005-0000-0000-0000BA0E0000}"/>
    <cellStyle name="Accent2 77 3" xfId="4437" xr:uid="{00000000-0005-0000-0000-0000BB0E0000}"/>
    <cellStyle name="Accent2 77 3 2" xfId="4438" xr:uid="{00000000-0005-0000-0000-0000BC0E0000}"/>
    <cellStyle name="Accent2 77 3 2 2" xfId="4439" xr:uid="{00000000-0005-0000-0000-0000BD0E0000}"/>
    <cellStyle name="Accent2 77 3 3" xfId="4440" xr:uid="{00000000-0005-0000-0000-0000BE0E0000}"/>
    <cellStyle name="Accent2 77 4" xfId="4441" xr:uid="{00000000-0005-0000-0000-0000BF0E0000}"/>
    <cellStyle name="Accent2 78" xfId="4442" xr:uid="{00000000-0005-0000-0000-0000C00E0000}"/>
    <cellStyle name="Accent2 78 2" xfId="4443" xr:uid="{00000000-0005-0000-0000-0000C10E0000}"/>
    <cellStyle name="Accent2 78 2 2" xfId="4444" xr:uid="{00000000-0005-0000-0000-0000C20E0000}"/>
    <cellStyle name="Accent2 78 3" xfId="4445" xr:uid="{00000000-0005-0000-0000-0000C30E0000}"/>
    <cellStyle name="Accent2 78 3 2" xfId="4446" xr:uid="{00000000-0005-0000-0000-0000C40E0000}"/>
    <cellStyle name="Accent2 78 3 2 2" xfId="4447" xr:uid="{00000000-0005-0000-0000-0000C50E0000}"/>
    <cellStyle name="Accent2 78 3 3" xfId="4448" xr:uid="{00000000-0005-0000-0000-0000C60E0000}"/>
    <cellStyle name="Accent2 78 4" xfId="4449" xr:uid="{00000000-0005-0000-0000-0000C70E0000}"/>
    <cellStyle name="Accent2 79" xfId="4450" xr:uid="{00000000-0005-0000-0000-0000C80E0000}"/>
    <cellStyle name="Accent2 79 2" xfId="4451" xr:uid="{00000000-0005-0000-0000-0000C90E0000}"/>
    <cellStyle name="Accent2 79 2 2" xfId="4452" xr:uid="{00000000-0005-0000-0000-0000CA0E0000}"/>
    <cellStyle name="Accent2 79 3" xfId="4453" xr:uid="{00000000-0005-0000-0000-0000CB0E0000}"/>
    <cellStyle name="Accent2 79 3 2" xfId="4454" xr:uid="{00000000-0005-0000-0000-0000CC0E0000}"/>
    <cellStyle name="Accent2 79 3 2 2" xfId="4455" xr:uid="{00000000-0005-0000-0000-0000CD0E0000}"/>
    <cellStyle name="Accent2 79 3 3" xfId="4456" xr:uid="{00000000-0005-0000-0000-0000CE0E0000}"/>
    <cellStyle name="Accent2 79 4" xfId="4457" xr:uid="{00000000-0005-0000-0000-0000CF0E0000}"/>
    <cellStyle name="Accent2 8" xfId="4458" xr:uid="{00000000-0005-0000-0000-0000D00E0000}"/>
    <cellStyle name="Accent2 8 2" xfId="4459" xr:uid="{00000000-0005-0000-0000-0000D10E0000}"/>
    <cellStyle name="Accent2 8 2 2" xfId="4460" xr:uid="{00000000-0005-0000-0000-0000D20E0000}"/>
    <cellStyle name="Accent2 8 3" xfId="4461" xr:uid="{00000000-0005-0000-0000-0000D30E0000}"/>
    <cellStyle name="Accent2 80" xfId="4462" xr:uid="{00000000-0005-0000-0000-0000D40E0000}"/>
    <cellStyle name="Accent2 80 2" xfId="4463" xr:uid="{00000000-0005-0000-0000-0000D50E0000}"/>
    <cellStyle name="Accent2 80 2 2" xfId="4464" xr:uid="{00000000-0005-0000-0000-0000D60E0000}"/>
    <cellStyle name="Accent2 80 3" xfId="4465" xr:uid="{00000000-0005-0000-0000-0000D70E0000}"/>
    <cellStyle name="Accent2 80 3 2" xfId="4466" xr:uid="{00000000-0005-0000-0000-0000D80E0000}"/>
    <cellStyle name="Accent2 80 3 2 2" xfId="4467" xr:uid="{00000000-0005-0000-0000-0000D90E0000}"/>
    <cellStyle name="Accent2 80 3 3" xfId="4468" xr:uid="{00000000-0005-0000-0000-0000DA0E0000}"/>
    <cellStyle name="Accent2 80 4" xfId="4469" xr:uid="{00000000-0005-0000-0000-0000DB0E0000}"/>
    <cellStyle name="Accent2 81" xfId="4470" xr:uid="{00000000-0005-0000-0000-0000DC0E0000}"/>
    <cellStyle name="Accent2 81 2" xfId="4471" xr:uid="{00000000-0005-0000-0000-0000DD0E0000}"/>
    <cellStyle name="Accent2 81 2 2" xfId="4472" xr:uid="{00000000-0005-0000-0000-0000DE0E0000}"/>
    <cellStyle name="Accent2 81 3" xfId="4473" xr:uid="{00000000-0005-0000-0000-0000DF0E0000}"/>
    <cellStyle name="Accent2 81 3 2" xfId="4474" xr:uid="{00000000-0005-0000-0000-0000E00E0000}"/>
    <cellStyle name="Accent2 81 3 2 2" xfId="4475" xr:uid="{00000000-0005-0000-0000-0000E10E0000}"/>
    <cellStyle name="Accent2 81 3 3" xfId="4476" xr:uid="{00000000-0005-0000-0000-0000E20E0000}"/>
    <cellStyle name="Accent2 81 4" xfId="4477" xr:uid="{00000000-0005-0000-0000-0000E30E0000}"/>
    <cellStyle name="Accent2 82" xfId="4478" xr:uid="{00000000-0005-0000-0000-0000E40E0000}"/>
    <cellStyle name="Accent2 82 2" xfId="4479" xr:uid="{00000000-0005-0000-0000-0000E50E0000}"/>
    <cellStyle name="Accent2 82 2 2" xfId="4480" xr:uid="{00000000-0005-0000-0000-0000E60E0000}"/>
    <cellStyle name="Accent2 82 3" xfId="4481" xr:uid="{00000000-0005-0000-0000-0000E70E0000}"/>
    <cellStyle name="Accent2 82 3 2" xfId="4482" xr:uid="{00000000-0005-0000-0000-0000E80E0000}"/>
    <cellStyle name="Accent2 82 3 2 2" xfId="4483" xr:uid="{00000000-0005-0000-0000-0000E90E0000}"/>
    <cellStyle name="Accent2 82 3 3" xfId="4484" xr:uid="{00000000-0005-0000-0000-0000EA0E0000}"/>
    <cellStyle name="Accent2 82 4" xfId="4485" xr:uid="{00000000-0005-0000-0000-0000EB0E0000}"/>
    <cellStyle name="Accent2 83" xfId="4486" xr:uid="{00000000-0005-0000-0000-0000EC0E0000}"/>
    <cellStyle name="Accent2 83 2" xfId="4487" xr:uid="{00000000-0005-0000-0000-0000ED0E0000}"/>
    <cellStyle name="Accent2 83 2 2" xfId="4488" xr:uid="{00000000-0005-0000-0000-0000EE0E0000}"/>
    <cellStyle name="Accent2 83 3" xfId="4489" xr:uid="{00000000-0005-0000-0000-0000EF0E0000}"/>
    <cellStyle name="Accent2 83 3 2" xfId="4490" xr:uid="{00000000-0005-0000-0000-0000F00E0000}"/>
    <cellStyle name="Accent2 83 3 2 2" xfId="4491" xr:uid="{00000000-0005-0000-0000-0000F10E0000}"/>
    <cellStyle name="Accent2 83 3 3" xfId="4492" xr:uid="{00000000-0005-0000-0000-0000F20E0000}"/>
    <cellStyle name="Accent2 83 4" xfId="4493" xr:uid="{00000000-0005-0000-0000-0000F30E0000}"/>
    <cellStyle name="Accent2 84" xfId="4494" xr:uid="{00000000-0005-0000-0000-0000F40E0000}"/>
    <cellStyle name="Accent2 84 2" xfId="4495" xr:uid="{00000000-0005-0000-0000-0000F50E0000}"/>
    <cellStyle name="Accent2 84 2 2" xfId="4496" xr:uid="{00000000-0005-0000-0000-0000F60E0000}"/>
    <cellStyle name="Accent2 84 3" xfId="4497" xr:uid="{00000000-0005-0000-0000-0000F70E0000}"/>
    <cellStyle name="Accent2 85" xfId="4498" xr:uid="{00000000-0005-0000-0000-0000F80E0000}"/>
    <cellStyle name="Accent2 85 2" xfId="4499" xr:uid="{00000000-0005-0000-0000-0000F90E0000}"/>
    <cellStyle name="Accent2 85 2 2" xfId="4500" xr:uid="{00000000-0005-0000-0000-0000FA0E0000}"/>
    <cellStyle name="Accent2 85 3" xfId="4501" xr:uid="{00000000-0005-0000-0000-0000FB0E0000}"/>
    <cellStyle name="Accent2 86" xfId="4502" xr:uid="{00000000-0005-0000-0000-0000FC0E0000}"/>
    <cellStyle name="Accent2 86 2" xfId="4503" xr:uid="{00000000-0005-0000-0000-0000FD0E0000}"/>
    <cellStyle name="Accent2 86 2 2" xfId="4504" xr:uid="{00000000-0005-0000-0000-0000FE0E0000}"/>
    <cellStyle name="Accent2 86 3" xfId="4505" xr:uid="{00000000-0005-0000-0000-0000FF0E0000}"/>
    <cellStyle name="Accent2 87" xfId="4506" xr:uid="{00000000-0005-0000-0000-0000000F0000}"/>
    <cellStyle name="Accent2 87 2" xfId="4507" xr:uid="{00000000-0005-0000-0000-0000010F0000}"/>
    <cellStyle name="Accent2 87 2 2" xfId="4508" xr:uid="{00000000-0005-0000-0000-0000020F0000}"/>
    <cellStyle name="Accent2 87 3" xfId="4509" xr:uid="{00000000-0005-0000-0000-0000030F0000}"/>
    <cellStyle name="Accent2 88" xfId="4510" xr:uid="{00000000-0005-0000-0000-0000040F0000}"/>
    <cellStyle name="Accent2 88 2" xfId="4511" xr:uid="{00000000-0005-0000-0000-0000050F0000}"/>
    <cellStyle name="Accent2 88 2 2" xfId="4512" xr:uid="{00000000-0005-0000-0000-0000060F0000}"/>
    <cellStyle name="Accent2 88 3" xfId="4513" xr:uid="{00000000-0005-0000-0000-0000070F0000}"/>
    <cellStyle name="Accent2 89" xfId="4514" xr:uid="{00000000-0005-0000-0000-0000080F0000}"/>
    <cellStyle name="Accent2 89 2" xfId="4515" xr:uid="{00000000-0005-0000-0000-0000090F0000}"/>
    <cellStyle name="Accent2 89 2 2" xfId="4516" xr:uid="{00000000-0005-0000-0000-00000A0F0000}"/>
    <cellStyle name="Accent2 89 3" xfId="4517" xr:uid="{00000000-0005-0000-0000-00000B0F0000}"/>
    <cellStyle name="Accent2 9" xfId="4518" xr:uid="{00000000-0005-0000-0000-00000C0F0000}"/>
    <cellStyle name="Accent2 9 2" xfId="4519" xr:uid="{00000000-0005-0000-0000-00000D0F0000}"/>
    <cellStyle name="Accent2 9 2 2" xfId="4520" xr:uid="{00000000-0005-0000-0000-00000E0F0000}"/>
    <cellStyle name="Accent2 9 3" xfId="4521" xr:uid="{00000000-0005-0000-0000-00000F0F0000}"/>
    <cellStyle name="Accent2 90" xfId="4522" xr:uid="{00000000-0005-0000-0000-0000100F0000}"/>
    <cellStyle name="Accent2 90 2" xfId="4523" xr:uid="{00000000-0005-0000-0000-0000110F0000}"/>
    <cellStyle name="Accent2 90 2 2" xfId="4524" xr:uid="{00000000-0005-0000-0000-0000120F0000}"/>
    <cellStyle name="Accent2 90 3" xfId="4525" xr:uid="{00000000-0005-0000-0000-0000130F0000}"/>
    <cellStyle name="Accent2 91" xfId="4526" xr:uid="{00000000-0005-0000-0000-0000140F0000}"/>
    <cellStyle name="Accent2 91 2" xfId="4527" xr:uid="{00000000-0005-0000-0000-0000150F0000}"/>
    <cellStyle name="Accent2 91 2 2" xfId="4528" xr:uid="{00000000-0005-0000-0000-0000160F0000}"/>
    <cellStyle name="Accent2 91 3" xfId="4529" xr:uid="{00000000-0005-0000-0000-0000170F0000}"/>
    <cellStyle name="Accent2 92" xfId="4530" xr:uid="{00000000-0005-0000-0000-0000180F0000}"/>
    <cellStyle name="Accent2 92 2" xfId="4531" xr:uid="{00000000-0005-0000-0000-0000190F0000}"/>
    <cellStyle name="Accent2 92 2 2" xfId="4532" xr:uid="{00000000-0005-0000-0000-00001A0F0000}"/>
    <cellStyle name="Accent2 92 3" xfId="4533" xr:uid="{00000000-0005-0000-0000-00001B0F0000}"/>
    <cellStyle name="Accent2 93" xfId="4534" xr:uid="{00000000-0005-0000-0000-00001C0F0000}"/>
    <cellStyle name="Accent2 93 2" xfId="4535" xr:uid="{00000000-0005-0000-0000-00001D0F0000}"/>
    <cellStyle name="Accent2 93 2 2" xfId="4536" xr:uid="{00000000-0005-0000-0000-00001E0F0000}"/>
    <cellStyle name="Accent2 93 3" xfId="4537" xr:uid="{00000000-0005-0000-0000-00001F0F0000}"/>
    <cellStyle name="Accent2 94" xfId="4538" xr:uid="{00000000-0005-0000-0000-0000200F0000}"/>
    <cellStyle name="Accent2 94 2" xfId="4539" xr:uid="{00000000-0005-0000-0000-0000210F0000}"/>
    <cellStyle name="Accent2 94 2 2" xfId="4540" xr:uid="{00000000-0005-0000-0000-0000220F0000}"/>
    <cellStyle name="Accent2 94 3" xfId="4541" xr:uid="{00000000-0005-0000-0000-0000230F0000}"/>
    <cellStyle name="Accent2 95" xfId="4542" xr:uid="{00000000-0005-0000-0000-0000240F0000}"/>
    <cellStyle name="Accent2 95 2" xfId="4543" xr:uid="{00000000-0005-0000-0000-0000250F0000}"/>
    <cellStyle name="Accent2 95 2 2" xfId="4544" xr:uid="{00000000-0005-0000-0000-0000260F0000}"/>
    <cellStyle name="Accent2 95 3" xfId="4545" xr:uid="{00000000-0005-0000-0000-0000270F0000}"/>
    <cellStyle name="Accent2 96" xfId="4546" xr:uid="{00000000-0005-0000-0000-0000280F0000}"/>
    <cellStyle name="Accent2 96 2" xfId="4547" xr:uid="{00000000-0005-0000-0000-0000290F0000}"/>
    <cellStyle name="Accent2 96 2 2" xfId="4548" xr:uid="{00000000-0005-0000-0000-00002A0F0000}"/>
    <cellStyle name="Accent2 96 3" xfId="4549" xr:uid="{00000000-0005-0000-0000-00002B0F0000}"/>
    <cellStyle name="Accent2 97" xfId="4550" xr:uid="{00000000-0005-0000-0000-00002C0F0000}"/>
    <cellStyle name="Accent2 97 2" xfId="4551" xr:uid="{00000000-0005-0000-0000-00002D0F0000}"/>
    <cellStyle name="Accent2 97 2 2" xfId="4552" xr:uid="{00000000-0005-0000-0000-00002E0F0000}"/>
    <cellStyle name="Accent2 97 3" xfId="4553" xr:uid="{00000000-0005-0000-0000-00002F0F0000}"/>
    <cellStyle name="Accent2 98" xfId="4554" xr:uid="{00000000-0005-0000-0000-0000300F0000}"/>
    <cellStyle name="Accent2 98 2" xfId="4555" xr:uid="{00000000-0005-0000-0000-0000310F0000}"/>
    <cellStyle name="Accent2 98 2 2" xfId="4556" xr:uid="{00000000-0005-0000-0000-0000320F0000}"/>
    <cellStyle name="Accent2 98 3" xfId="4557" xr:uid="{00000000-0005-0000-0000-0000330F0000}"/>
    <cellStyle name="Accent2 99" xfId="4558" xr:uid="{00000000-0005-0000-0000-0000340F0000}"/>
    <cellStyle name="Accent2 99 2" xfId="4559" xr:uid="{00000000-0005-0000-0000-0000350F0000}"/>
    <cellStyle name="Accent2 99 2 2" xfId="4560" xr:uid="{00000000-0005-0000-0000-0000360F0000}"/>
    <cellStyle name="Accent2 99 3" xfId="4561" xr:uid="{00000000-0005-0000-0000-0000370F0000}"/>
    <cellStyle name="Accent3 - 20%" xfId="7" xr:uid="{00000000-0005-0000-0000-0000380F0000}"/>
    <cellStyle name="Accent3 - 20% 10" xfId="4562" xr:uid="{00000000-0005-0000-0000-0000390F0000}"/>
    <cellStyle name="Accent3 - 20% 11" xfId="4563" xr:uid="{00000000-0005-0000-0000-00003A0F0000}"/>
    <cellStyle name="Accent3 - 20% 2" xfId="4564" xr:uid="{00000000-0005-0000-0000-00003B0F0000}"/>
    <cellStyle name="Accent3 - 20% 2 2" xfId="4565" xr:uid="{00000000-0005-0000-0000-00003C0F0000}"/>
    <cellStyle name="Accent3 - 20% 2 2 2" xfId="4566" xr:uid="{00000000-0005-0000-0000-00003D0F0000}"/>
    <cellStyle name="Accent3 - 20% 2 2 2 2" xfId="4567" xr:uid="{00000000-0005-0000-0000-00003E0F0000}"/>
    <cellStyle name="Accent3 - 20% 2 2 3" xfId="4568" xr:uid="{00000000-0005-0000-0000-00003F0F0000}"/>
    <cellStyle name="Accent3 - 20% 2 3" xfId="4569" xr:uid="{00000000-0005-0000-0000-0000400F0000}"/>
    <cellStyle name="Accent3 - 20% 2 3 2" xfId="4570" xr:uid="{00000000-0005-0000-0000-0000410F0000}"/>
    <cellStyle name="Accent3 - 20% 2 3 2 2" xfId="4571" xr:uid="{00000000-0005-0000-0000-0000420F0000}"/>
    <cellStyle name="Accent3 - 20% 2 3 2 2 2" xfId="4572" xr:uid="{00000000-0005-0000-0000-0000430F0000}"/>
    <cellStyle name="Accent3 - 20% 2 3 2 3" xfId="4573" xr:uid="{00000000-0005-0000-0000-0000440F0000}"/>
    <cellStyle name="Accent3 - 20% 2 3 3" xfId="4574" xr:uid="{00000000-0005-0000-0000-0000450F0000}"/>
    <cellStyle name="Accent3 - 20% 2 3 3 2" xfId="4575" xr:uid="{00000000-0005-0000-0000-0000460F0000}"/>
    <cellStyle name="Accent3 - 20% 2 3 4" xfId="4576" xr:uid="{00000000-0005-0000-0000-0000470F0000}"/>
    <cellStyle name="Accent3 - 20% 2 4" xfId="4577" xr:uid="{00000000-0005-0000-0000-0000480F0000}"/>
    <cellStyle name="Accent3 - 20% 2 4 2" xfId="4578" xr:uid="{00000000-0005-0000-0000-0000490F0000}"/>
    <cellStyle name="Accent3 - 20% 2 4 2 2" xfId="4579" xr:uid="{00000000-0005-0000-0000-00004A0F0000}"/>
    <cellStyle name="Accent3 - 20% 2 4 2 2 2" xfId="4580" xr:uid="{00000000-0005-0000-0000-00004B0F0000}"/>
    <cellStyle name="Accent3 - 20% 2 4 2 3" xfId="4581" xr:uid="{00000000-0005-0000-0000-00004C0F0000}"/>
    <cellStyle name="Accent3 - 20% 2 4 3" xfId="4582" xr:uid="{00000000-0005-0000-0000-00004D0F0000}"/>
    <cellStyle name="Accent3 - 20% 2 4 3 2" xfId="4583" xr:uid="{00000000-0005-0000-0000-00004E0F0000}"/>
    <cellStyle name="Accent3 - 20% 2 4 4" xfId="4584" xr:uid="{00000000-0005-0000-0000-00004F0F0000}"/>
    <cellStyle name="Accent3 - 20% 2 5" xfId="4585" xr:uid="{00000000-0005-0000-0000-0000500F0000}"/>
    <cellStyle name="Accent3 - 20% 2 5 2" xfId="4586" xr:uid="{00000000-0005-0000-0000-0000510F0000}"/>
    <cellStyle name="Accent3 - 20% 2 6" xfId="4587" xr:uid="{00000000-0005-0000-0000-0000520F0000}"/>
    <cellStyle name="Accent3 - 20% 2 6 2" xfId="4588" xr:uid="{00000000-0005-0000-0000-0000530F0000}"/>
    <cellStyle name="Accent3 - 20% 2 7" xfId="4589" xr:uid="{00000000-0005-0000-0000-0000540F0000}"/>
    <cellStyle name="Accent3 - 20% 3" xfId="4590" xr:uid="{00000000-0005-0000-0000-0000550F0000}"/>
    <cellStyle name="Accent3 - 20% 3 2" xfId="4591" xr:uid="{00000000-0005-0000-0000-0000560F0000}"/>
    <cellStyle name="Accent3 - 20% 3 2 2" xfId="4592" xr:uid="{00000000-0005-0000-0000-0000570F0000}"/>
    <cellStyle name="Accent3 - 20% 3 2 2 2" xfId="4593" xr:uid="{00000000-0005-0000-0000-0000580F0000}"/>
    <cellStyle name="Accent3 - 20% 3 2 3" xfId="4594" xr:uid="{00000000-0005-0000-0000-0000590F0000}"/>
    <cellStyle name="Accent3 - 20% 3 3" xfId="4595" xr:uid="{00000000-0005-0000-0000-00005A0F0000}"/>
    <cellStyle name="Accent3 - 20% 3 3 2" xfId="4596" xr:uid="{00000000-0005-0000-0000-00005B0F0000}"/>
    <cellStyle name="Accent3 - 20% 3 4" xfId="4597" xr:uid="{00000000-0005-0000-0000-00005C0F0000}"/>
    <cellStyle name="Accent3 - 20% 4" xfId="4598" xr:uid="{00000000-0005-0000-0000-00005D0F0000}"/>
    <cellStyle name="Accent3 - 20% 4 2" xfId="4599" xr:uid="{00000000-0005-0000-0000-00005E0F0000}"/>
    <cellStyle name="Accent3 - 20% 4 2 2" xfId="4600" xr:uid="{00000000-0005-0000-0000-00005F0F0000}"/>
    <cellStyle name="Accent3 - 20% 4 3" xfId="4601" xr:uid="{00000000-0005-0000-0000-0000600F0000}"/>
    <cellStyle name="Accent3 - 20% 5" xfId="4602" xr:uid="{00000000-0005-0000-0000-0000610F0000}"/>
    <cellStyle name="Accent3 - 20% 5 2" xfId="4603" xr:uid="{00000000-0005-0000-0000-0000620F0000}"/>
    <cellStyle name="Accent3 - 20% 5 2 2" xfId="4604" xr:uid="{00000000-0005-0000-0000-0000630F0000}"/>
    <cellStyle name="Accent3 - 20% 5 3" xfId="4605" xr:uid="{00000000-0005-0000-0000-0000640F0000}"/>
    <cellStyle name="Accent3 - 20% 6" xfId="4606" xr:uid="{00000000-0005-0000-0000-0000650F0000}"/>
    <cellStyle name="Accent3 - 20% 6 2" xfId="4607" xr:uid="{00000000-0005-0000-0000-0000660F0000}"/>
    <cellStyle name="Accent3 - 20% 7" xfId="4608" xr:uid="{00000000-0005-0000-0000-0000670F0000}"/>
    <cellStyle name="Accent3 - 20% 7 2" xfId="4609" xr:uid="{00000000-0005-0000-0000-0000680F0000}"/>
    <cellStyle name="Accent3 - 20% 8" xfId="4610" xr:uid="{00000000-0005-0000-0000-0000690F0000}"/>
    <cellStyle name="Accent3 - 20% 8 2" xfId="4611" xr:uid="{00000000-0005-0000-0000-00006A0F0000}"/>
    <cellStyle name="Accent3 - 20% 9" xfId="4612" xr:uid="{00000000-0005-0000-0000-00006B0F0000}"/>
    <cellStyle name="Accent3 - 20% 9 2" xfId="4613" xr:uid="{00000000-0005-0000-0000-00006C0F0000}"/>
    <cellStyle name="Accent3 - 40%" xfId="8" xr:uid="{00000000-0005-0000-0000-00006D0F0000}"/>
    <cellStyle name="Accent3 - 40% 10" xfId="4614" xr:uid="{00000000-0005-0000-0000-00006E0F0000}"/>
    <cellStyle name="Accent3 - 40% 11" xfId="4615" xr:uid="{00000000-0005-0000-0000-00006F0F0000}"/>
    <cellStyle name="Accent3 - 40% 2" xfId="4616" xr:uid="{00000000-0005-0000-0000-0000700F0000}"/>
    <cellStyle name="Accent3 - 40% 2 2" xfId="4617" xr:uid="{00000000-0005-0000-0000-0000710F0000}"/>
    <cellStyle name="Accent3 - 40% 2 2 2" xfId="4618" xr:uid="{00000000-0005-0000-0000-0000720F0000}"/>
    <cellStyle name="Accent3 - 40% 2 2 2 2" xfId="4619" xr:uid="{00000000-0005-0000-0000-0000730F0000}"/>
    <cellStyle name="Accent3 - 40% 2 2 3" xfId="4620" xr:uid="{00000000-0005-0000-0000-0000740F0000}"/>
    <cellStyle name="Accent3 - 40% 2 3" xfId="4621" xr:uid="{00000000-0005-0000-0000-0000750F0000}"/>
    <cellStyle name="Accent3 - 40% 2 3 2" xfId="4622" xr:uid="{00000000-0005-0000-0000-0000760F0000}"/>
    <cellStyle name="Accent3 - 40% 2 3 2 2" xfId="4623" xr:uid="{00000000-0005-0000-0000-0000770F0000}"/>
    <cellStyle name="Accent3 - 40% 2 3 2 2 2" xfId="4624" xr:uid="{00000000-0005-0000-0000-0000780F0000}"/>
    <cellStyle name="Accent3 - 40% 2 3 2 3" xfId="4625" xr:uid="{00000000-0005-0000-0000-0000790F0000}"/>
    <cellStyle name="Accent3 - 40% 2 3 3" xfId="4626" xr:uid="{00000000-0005-0000-0000-00007A0F0000}"/>
    <cellStyle name="Accent3 - 40% 2 3 3 2" xfId="4627" xr:uid="{00000000-0005-0000-0000-00007B0F0000}"/>
    <cellStyle name="Accent3 - 40% 2 3 4" xfId="4628" xr:uid="{00000000-0005-0000-0000-00007C0F0000}"/>
    <cellStyle name="Accent3 - 40% 2 4" xfId="4629" xr:uid="{00000000-0005-0000-0000-00007D0F0000}"/>
    <cellStyle name="Accent3 - 40% 2 4 2" xfId="4630" xr:uid="{00000000-0005-0000-0000-00007E0F0000}"/>
    <cellStyle name="Accent3 - 40% 2 4 2 2" xfId="4631" xr:uid="{00000000-0005-0000-0000-00007F0F0000}"/>
    <cellStyle name="Accent3 - 40% 2 4 2 2 2" xfId="4632" xr:uid="{00000000-0005-0000-0000-0000800F0000}"/>
    <cellStyle name="Accent3 - 40% 2 4 2 3" xfId="4633" xr:uid="{00000000-0005-0000-0000-0000810F0000}"/>
    <cellStyle name="Accent3 - 40% 2 4 3" xfId="4634" xr:uid="{00000000-0005-0000-0000-0000820F0000}"/>
    <cellStyle name="Accent3 - 40% 2 4 3 2" xfId="4635" xr:uid="{00000000-0005-0000-0000-0000830F0000}"/>
    <cellStyle name="Accent3 - 40% 2 4 4" xfId="4636" xr:uid="{00000000-0005-0000-0000-0000840F0000}"/>
    <cellStyle name="Accent3 - 40% 2 5" xfId="4637" xr:uid="{00000000-0005-0000-0000-0000850F0000}"/>
    <cellStyle name="Accent3 - 40% 2 5 2" xfId="4638" xr:uid="{00000000-0005-0000-0000-0000860F0000}"/>
    <cellStyle name="Accent3 - 40% 2 6" xfId="4639" xr:uid="{00000000-0005-0000-0000-0000870F0000}"/>
    <cellStyle name="Accent3 - 40% 2 6 2" xfId="4640" xr:uid="{00000000-0005-0000-0000-0000880F0000}"/>
    <cellStyle name="Accent3 - 40% 2 7" xfId="4641" xr:uid="{00000000-0005-0000-0000-0000890F0000}"/>
    <cellStyle name="Accent3 - 40% 3" xfId="4642" xr:uid="{00000000-0005-0000-0000-00008A0F0000}"/>
    <cellStyle name="Accent3 - 40% 3 2" xfId="4643" xr:uid="{00000000-0005-0000-0000-00008B0F0000}"/>
    <cellStyle name="Accent3 - 40% 3 2 2" xfId="4644" xr:uid="{00000000-0005-0000-0000-00008C0F0000}"/>
    <cellStyle name="Accent3 - 40% 3 2 2 2" xfId="4645" xr:uid="{00000000-0005-0000-0000-00008D0F0000}"/>
    <cellStyle name="Accent3 - 40% 3 2 3" xfId="4646" xr:uid="{00000000-0005-0000-0000-00008E0F0000}"/>
    <cellStyle name="Accent3 - 40% 3 3" xfId="4647" xr:uid="{00000000-0005-0000-0000-00008F0F0000}"/>
    <cellStyle name="Accent3 - 40% 3 3 2" xfId="4648" xr:uid="{00000000-0005-0000-0000-0000900F0000}"/>
    <cellStyle name="Accent3 - 40% 3 4" xfId="4649" xr:uid="{00000000-0005-0000-0000-0000910F0000}"/>
    <cellStyle name="Accent3 - 40% 4" xfId="4650" xr:uid="{00000000-0005-0000-0000-0000920F0000}"/>
    <cellStyle name="Accent3 - 40% 4 2" xfId="4651" xr:uid="{00000000-0005-0000-0000-0000930F0000}"/>
    <cellStyle name="Accent3 - 40% 4 2 2" xfId="4652" xr:uid="{00000000-0005-0000-0000-0000940F0000}"/>
    <cellStyle name="Accent3 - 40% 4 3" xfId="4653" xr:uid="{00000000-0005-0000-0000-0000950F0000}"/>
    <cellStyle name="Accent3 - 40% 5" xfId="4654" xr:uid="{00000000-0005-0000-0000-0000960F0000}"/>
    <cellStyle name="Accent3 - 40% 5 2" xfId="4655" xr:uid="{00000000-0005-0000-0000-0000970F0000}"/>
    <cellStyle name="Accent3 - 40% 5 2 2" xfId="4656" xr:uid="{00000000-0005-0000-0000-0000980F0000}"/>
    <cellStyle name="Accent3 - 40% 5 3" xfId="4657" xr:uid="{00000000-0005-0000-0000-0000990F0000}"/>
    <cellStyle name="Accent3 - 40% 6" xfId="4658" xr:uid="{00000000-0005-0000-0000-00009A0F0000}"/>
    <cellStyle name="Accent3 - 40% 6 2" xfId="4659" xr:uid="{00000000-0005-0000-0000-00009B0F0000}"/>
    <cellStyle name="Accent3 - 40% 7" xfId="4660" xr:uid="{00000000-0005-0000-0000-00009C0F0000}"/>
    <cellStyle name="Accent3 - 40% 7 2" xfId="4661" xr:uid="{00000000-0005-0000-0000-00009D0F0000}"/>
    <cellStyle name="Accent3 - 40% 8" xfId="4662" xr:uid="{00000000-0005-0000-0000-00009E0F0000}"/>
    <cellStyle name="Accent3 - 40% 8 2" xfId="4663" xr:uid="{00000000-0005-0000-0000-00009F0F0000}"/>
    <cellStyle name="Accent3 - 40% 9" xfId="4664" xr:uid="{00000000-0005-0000-0000-0000A00F0000}"/>
    <cellStyle name="Accent3 - 40% 9 2" xfId="4665" xr:uid="{00000000-0005-0000-0000-0000A10F0000}"/>
    <cellStyle name="Accent3 - 60%" xfId="9" xr:uid="{00000000-0005-0000-0000-0000A20F0000}"/>
    <cellStyle name="Accent3 - 60% 10" xfId="4666" xr:uid="{00000000-0005-0000-0000-0000A30F0000}"/>
    <cellStyle name="Accent3 - 60% 2" xfId="4667" xr:uid="{00000000-0005-0000-0000-0000A40F0000}"/>
    <cellStyle name="Accent3 - 60% 2 2" xfId="4668" xr:uid="{00000000-0005-0000-0000-0000A50F0000}"/>
    <cellStyle name="Accent3 - 60% 2 2 2" xfId="4669" xr:uid="{00000000-0005-0000-0000-0000A60F0000}"/>
    <cellStyle name="Accent3 - 60% 2 3" xfId="4670" xr:uid="{00000000-0005-0000-0000-0000A70F0000}"/>
    <cellStyle name="Accent3 - 60% 2 3 2" xfId="4671" xr:uid="{00000000-0005-0000-0000-0000A80F0000}"/>
    <cellStyle name="Accent3 - 60% 2 3 2 2" xfId="4672" xr:uid="{00000000-0005-0000-0000-0000A90F0000}"/>
    <cellStyle name="Accent3 - 60% 2 3 3" xfId="4673" xr:uid="{00000000-0005-0000-0000-0000AA0F0000}"/>
    <cellStyle name="Accent3 - 60% 2 4" xfId="4674" xr:uid="{00000000-0005-0000-0000-0000AB0F0000}"/>
    <cellStyle name="Accent3 - 60% 2 4 2" xfId="4675" xr:uid="{00000000-0005-0000-0000-0000AC0F0000}"/>
    <cellStyle name="Accent3 - 60% 2 4 2 2" xfId="4676" xr:uid="{00000000-0005-0000-0000-0000AD0F0000}"/>
    <cellStyle name="Accent3 - 60% 2 4 3" xfId="4677" xr:uid="{00000000-0005-0000-0000-0000AE0F0000}"/>
    <cellStyle name="Accent3 - 60% 2 5" xfId="4678" xr:uid="{00000000-0005-0000-0000-0000AF0F0000}"/>
    <cellStyle name="Accent3 - 60% 3" xfId="4679" xr:uid="{00000000-0005-0000-0000-0000B00F0000}"/>
    <cellStyle name="Accent3 - 60% 3 2" xfId="4680" xr:uid="{00000000-0005-0000-0000-0000B10F0000}"/>
    <cellStyle name="Accent3 - 60% 3 2 2" xfId="4681" xr:uid="{00000000-0005-0000-0000-0000B20F0000}"/>
    <cellStyle name="Accent3 - 60% 3 3" xfId="4682" xr:uid="{00000000-0005-0000-0000-0000B30F0000}"/>
    <cellStyle name="Accent3 - 60% 4" xfId="4683" xr:uid="{00000000-0005-0000-0000-0000B40F0000}"/>
    <cellStyle name="Accent3 - 60% 4 2" xfId="4684" xr:uid="{00000000-0005-0000-0000-0000B50F0000}"/>
    <cellStyle name="Accent3 - 60% 5" xfId="4685" xr:uid="{00000000-0005-0000-0000-0000B60F0000}"/>
    <cellStyle name="Accent3 - 60% 5 2" xfId="4686" xr:uid="{00000000-0005-0000-0000-0000B70F0000}"/>
    <cellStyle name="Accent3 - 60% 6" xfId="4687" xr:uid="{00000000-0005-0000-0000-0000B80F0000}"/>
    <cellStyle name="Accent3 - 60% 6 2" xfId="4688" xr:uid="{00000000-0005-0000-0000-0000B90F0000}"/>
    <cellStyle name="Accent3 - 60% 6 2 2" xfId="4689" xr:uid="{00000000-0005-0000-0000-0000BA0F0000}"/>
    <cellStyle name="Accent3 - 60% 6 3" xfId="4690" xr:uid="{00000000-0005-0000-0000-0000BB0F0000}"/>
    <cellStyle name="Accent3 - 60% 7" xfId="4691" xr:uid="{00000000-0005-0000-0000-0000BC0F0000}"/>
    <cellStyle name="Accent3 - 60% 7 2" xfId="4692" xr:uid="{00000000-0005-0000-0000-0000BD0F0000}"/>
    <cellStyle name="Accent3 - 60% 8" xfId="4693" xr:uid="{00000000-0005-0000-0000-0000BE0F0000}"/>
    <cellStyle name="Accent3 - 60% 8 2" xfId="4694" xr:uid="{00000000-0005-0000-0000-0000BF0F0000}"/>
    <cellStyle name="Accent3 - 60% 9" xfId="4695" xr:uid="{00000000-0005-0000-0000-0000C00F0000}"/>
    <cellStyle name="Accent3 10" xfId="4696" xr:uid="{00000000-0005-0000-0000-0000C10F0000}"/>
    <cellStyle name="Accent3 10 2" xfId="4697" xr:uid="{00000000-0005-0000-0000-0000C20F0000}"/>
    <cellStyle name="Accent3 10 2 2" xfId="4698" xr:uid="{00000000-0005-0000-0000-0000C30F0000}"/>
    <cellStyle name="Accent3 10 3" xfId="4699" xr:uid="{00000000-0005-0000-0000-0000C40F0000}"/>
    <cellStyle name="Accent3 100" xfId="4700" xr:uid="{00000000-0005-0000-0000-0000C50F0000}"/>
    <cellStyle name="Accent3 100 2" xfId="4701" xr:uid="{00000000-0005-0000-0000-0000C60F0000}"/>
    <cellStyle name="Accent3 100 2 2" xfId="4702" xr:uid="{00000000-0005-0000-0000-0000C70F0000}"/>
    <cellStyle name="Accent3 100 3" xfId="4703" xr:uid="{00000000-0005-0000-0000-0000C80F0000}"/>
    <cellStyle name="Accent3 101" xfId="4704" xr:uid="{00000000-0005-0000-0000-0000C90F0000}"/>
    <cellStyle name="Accent3 101 2" xfId="4705" xr:uid="{00000000-0005-0000-0000-0000CA0F0000}"/>
    <cellStyle name="Accent3 101 2 2" xfId="4706" xr:uid="{00000000-0005-0000-0000-0000CB0F0000}"/>
    <cellStyle name="Accent3 101 3" xfId="4707" xr:uid="{00000000-0005-0000-0000-0000CC0F0000}"/>
    <cellStyle name="Accent3 102" xfId="4708" xr:uid="{00000000-0005-0000-0000-0000CD0F0000}"/>
    <cellStyle name="Accent3 102 2" xfId="4709" xr:uid="{00000000-0005-0000-0000-0000CE0F0000}"/>
    <cellStyle name="Accent3 103" xfId="4710" xr:uid="{00000000-0005-0000-0000-0000CF0F0000}"/>
    <cellStyle name="Accent3 103 2" xfId="4711" xr:uid="{00000000-0005-0000-0000-0000D00F0000}"/>
    <cellStyle name="Accent3 104" xfId="4712" xr:uid="{00000000-0005-0000-0000-0000D10F0000}"/>
    <cellStyle name="Accent3 104 2" xfId="4713" xr:uid="{00000000-0005-0000-0000-0000D20F0000}"/>
    <cellStyle name="Accent3 104 2 2" xfId="4714" xr:uid="{00000000-0005-0000-0000-0000D30F0000}"/>
    <cellStyle name="Accent3 104 3" xfId="4715" xr:uid="{00000000-0005-0000-0000-0000D40F0000}"/>
    <cellStyle name="Accent3 105" xfId="4716" xr:uid="{00000000-0005-0000-0000-0000D50F0000}"/>
    <cellStyle name="Accent3 105 2" xfId="4717" xr:uid="{00000000-0005-0000-0000-0000D60F0000}"/>
    <cellStyle name="Accent3 105 2 2" xfId="4718" xr:uid="{00000000-0005-0000-0000-0000D70F0000}"/>
    <cellStyle name="Accent3 105 3" xfId="4719" xr:uid="{00000000-0005-0000-0000-0000D80F0000}"/>
    <cellStyle name="Accent3 106" xfId="4720" xr:uid="{00000000-0005-0000-0000-0000D90F0000}"/>
    <cellStyle name="Accent3 106 2" xfId="4721" xr:uid="{00000000-0005-0000-0000-0000DA0F0000}"/>
    <cellStyle name="Accent3 106 2 2" xfId="4722" xr:uid="{00000000-0005-0000-0000-0000DB0F0000}"/>
    <cellStyle name="Accent3 106 3" xfId="4723" xr:uid="{00000000-0005-0000-0000-0000DC0F0000}"/>
    <cellStyle name="Accent3 107" xfId="4724" xr:uid="{00000000-0005-0000-0000-0000DD0F0000}"/>
    <cellStyle name="Accent3 107 2" xfId="4725" xr:uid="{00000000-0005-0000-0000-0000DE0F0000}"/>
    <cellStyle name="Accent3 107 2 2" xfId="4726" xr:uid="{00000000-0005-0000-0000-0000DF0F0000}"/>
    <cellStyle name="Accent3 107 3" xfId="4727" xr:uid="{00000000-0005-0000-0000-0000E00F0000}"/>
    <cellStyle name="Accent3 108" xfId="4728" xr:uid="{00000000-0005-0000-0000-0000E10F0000}"/>
    <cellStyle name="Accent3 108 2" xfId="4729" xr:uid="{00000000-0005-0000-0000-0000E20F0000}"/>
    <cellStyle name="Accent3 108 2 2" xfId="4730" xr:uid="{00000000-0005-0000-0000-0000E30F0000}"/>
    <cellStyle name="Accent3 108 3" xfId="4731" xr:uid="{00000000-0005-0000-0000-0000E40F0000}"/>
    <cellStyle name="Accent3 109" xfId="4732" xr:uid="{00000000-0005-0000-0000-0000E50F0000}"/>
    <cellStyle name="Accent3 109 2" xfId="4733" xr:uid="{00000000-0005-0000-0000-0000E60F0000}"/>
    <cellStyle name="Accent3 109 2 2" xfId="4734" xr:uid="{00000000-0005-0000-0000-0000E70F0000}"/>
    <cellStyle name="Accent3 109 3" xfId="4735" xr:uid="{00000000-0005-0000-0000-0000E80F0000}"/>
    <cellStyle name="Accent3 11" xfId="4736" xr:uid="{00000000-0005-0000-0000-0000E90F0000}"/>
    <cellStyle name="Accent3 11 2" xfId="4737" xr:uid="{00000000-0005-0000-0000-0000EA0F0000}"/>
    <cellStyle name="Accent3 11 2 2" xfId="4738" xr:uid="{00000000-0005-0000-0000-0000EB0F0000}"/>
    <cellStyle name="Accent3 11 3" xfId="4739" xr:uid="{00000000-0005-0000-0000-0000EC0F0000}"/>
    <cellStyle name="Accent3 110" xfId="4740" xr:uid="{00000000-0005-0000-0000-0000ED0F0000}"/>
    <cellStyle name="Accent3 110 2" xfId="4741" xr:uid="{00000000-0005-0000-0000-0000EE0F0000}"/>
    <cellStyle name="Accent3 110 2 2" xfId="4742" xr:uid="{00000000-0005-0000-0000-0000EF0F0000}"/>
    <cellStyle name="Accent3 110 3" xfId="4743" xr:uid="{00000000-0005-0000-0000-0000F00F0000}"/>
    <cellStyle name="Accent3 111" xfId="4744" xr:uid="{00000000-0005-0000-0000-0000F10F0000}"/>
    <cellStyle name="Accent3 111 2" xfId="4745" xr:uid="{00000000-0005-0000-0000-0000F20F0000}"/>
    <cellStyle name="Accent3 111 2 2" xfId="4746" xr:uid="{00000000-0005-0000-0000-0000F30F0000}"/>
    <cellStyle name="Accent3 111 3" xfId="4747" xr:uid="{00000000-0005-0000-0000-0000F40F0000}"/>
    <cellStyle name="Accent3 112" xfId="4748" xr:uid="{00000000-0005-0000-0000-0000F50F0000}"/>
    <cellStyle name="Accent3 112 2" xfId="4749" xr:uid="{00000000-0005-0000-0000-0000F60F0000}"/>
    <cellStyle name="Accent3 112 2 2" xfId="4750" xr:uid="{00000000-0005-0000-0000-0000F70F0000}"/>
    <cellStyle name="Accent3 112 3" xfId="4751" xr:uid="{00000000-0005-0000-0000-0000F80F0000}"/>
    <cellStyle name="Accent3 113" xfId="4752" xr:uid="{00000000-0005-0000-0000-0000F90F0000}"/>
    <cellStyle name="Accent3 113 2" xfId="4753" xr:uid="{00000000-0005-0000-0000-0000FA0F0000}"/>
    <cellStyle name="Accent3 113 2 2" xfId="4754" xr:uid="{00000000-0005-0000-0000-0000FB0F0000}"/>
    <cellStyle name="Accent3 113 3" xfId="4755" xr:uid="{00000000-0005-0000-0000-0000FC0F0000}"/>
    <cellStyle name="Accent3 114" xfId="4756" xr:uid="{00000000-0005-0000-0000-0000FD0F0000}"/>
    <cellStyle name="Accent3 114 2" xfId="4757" xr:uid="{00000000-0005-0000-0000-0000FE0F0000}"/>
    <cellStyle name="Accent3 115" xfId="4758" xr:uid="{00000000-0005-0000-0000-0000FF0F0000}"/>
    <cellStyle name="Accent3 115 2" xfId="4759" xr:uid="{00000000-0005-0000-0000-000000100000}"/>
    <cellStyle name="Accent3 116" xfId="4760" xr:uid="{00000000-0005-0000-0000-000001100000}"/>
    <cellStyle name="Accent3 116 2" xfId="4761" xr:uid="{00000000-0005-0000-0000-000002100000}"/>
    <cellStyle name="Accent3 117" xfId="4762" xr:uid="{00000000-0005-0000-0000-000003100000}"/>
    <cellStyle name="Accent3 117 2" xfId="4763" xr:uid="{00000000-0005-0000-0000-000004100000}"/>
    <cellStyle name="Accent3 118" xfId="4764" xr:uid="{00000000-0005-0000-0000-000005100000}"/>
    <cellStyle name="Accent3 118 2" xfId="4765" xr:uid="{00000000-0005-0000-0000-000006100000}"/>
    <cellStyle name="Accent3 119" xfId="4766" xr:uid="{00000000-0005-0000-0000-000007100000}"/>
    <cellStyle name="Accent3 119 2" xfId="4767" xr:uid="{00000000-0005-0000-0000-000008100000}"/>
    <cellStyle name="Accent3 12" xfId="4768" xr:uid="{00000000-0005-0000-0000-000009100000}"/>
    <cellStyle name="Accent3 12 2" xfId="4769" xr:uid="{00000000-0005-0000-0000-00000A100000}"/>
    <cellStyle name="Accent3 12 2 2" xfId="4770" xr:uid="{00000000-0005-0000-0000-00000B100000}"/>
    <cellStyle name="Accent3 12 3" xfId="4771" xr:uid="{00000000-0005-0000-0000-00000C100000}"/>
    <cellStyle name="Accent3 120" xfId="4772" xr:uid="{00000000-0005-0000-0000-00000D100000}"/>
    <cellStyle name="Accent3 120 2" xfId="4773" xr:uid="{00000000-0005-0000-0000-00000E100000}"/>
    <cellStyle name="Accent3 121" xfId="4774" xr:uid="{00000000-0005-0000-0000-00000F100000}"/>
    <cellStyle name="Accent3 121 2" xfId="4775" xr:uid="{00000000-0005-0000-0000-000010100000}"/>
    <cellStyle name="Accent3 122" xfId="4776" xr:uid="{00000000-0005-0000-0000-000011100000}"/>
    <cellStyle name="Accent3 122 2" xfId="4777" xr:uid="{00000000-0005-0000-0000-000012100000}"/>
    <cellStyle name="Accent3 123" xfId="4778" xr:uid="{00000000-0005-0000-0000-000013100000}"/>
    <cellStyle name="Accent3 123 2" xfId="4779" xr:uid="{00000000-0005-0000-0000-000014100000}"/>
    <cellStyle name="Accent3 124" xfId="4780" xr:uid="{00000000-0005-0000-0000-000015100000}"/>
    <cellStyle name="Accent3 124 2" xfId="4781" xr:uid="{00000000-0005-0000-0000-000016100000}"/>
    <cellStyle name="Accent3 125" xfId="4782" xr:uid="{00000000-0005-0000-0000-000017100000}"/>
    <cellStyle name="Accent3 125 2" xfId="4783" xr:uid="{00000000-0005-0000-0000-000018100000}"/>
    <cellStyle name="Accent3 126" xfId="4784" xr:uid="{00000000-0005-0000-0000-000019100000}"/>
    <cellStyle name="Accent3 127" xfId="4785" xr:uid="{00000000-0005-0000-0000-00001A100000}"/>
    <cellStyle name="Accent3 128" xfId="4786" xr:uid="{00000000-0005-0000-0000-00001B100000}"/>
    <cellStyle name="Accent3 129" xfId="4787" xr:uid="{00000000-0005-0000-0000-00001C100000}"/>
    <cellStyle name="Accent3 13" xfId="4788" xr:uid="{00000000-0005-0000-0000-00001D100000}"/>
    <cellStyle name="Accent3 13 2" xfId="4789" xr:uid="{00000000-0005-0000-0000-00001E100000}"/>
    <cellStyle name="Accent3 13 2 2" xfId="4790" xr:uid="{00000000-0005-0000-0000-00001F100000}"/>
    <cellStyle name="Accent3 13 3" xfId="4791" xr:uid="{00000000-0005-0000-0000-000020100000}"/>
    <cellStyle name="Accent3 130" xfId="4792" xr:uid="{00000000-0005-0000-0000-000021100000}"/>
    <cellStyle name="Accent3 131" xfId="4793" xr:uid="{00000000-0005-0000-0000-000022100000}"/>
    <cellStyle name="Accent3 132" xfId="4794" xr:uid="{00000000-0005-0000-0000-000023100000}"/>
    <cellStyle name="Accent3 133" xfId="4795" xr:uid="{00000000-0005-0000-0000-000024100000}"/>
    <cellStyle name="Accent3 134" xfId="4796" xr:uid="{00000000-0005-0000-0000-000025100000}"/>
    <cellStyle name="Accent3 135" xfId="4797" xr:uid="{00000000-0005-0000-0000-000026100000}"/>
    <cellStyle name="Accent3 136" xfId="4798" xr:uid="{00000000-0005-0000-0000-000027100000}"/>
    <cellStyle name="Accent3 137" xfId="4799" xr:uid="{00000000-0005-0000-0000-000028100000}"/>
    <cellStyle name="Accent3 138" xfId="4800" xr:uid="{00000000-0005-0000-0000-000029100000}"/>
    <cellStyle name="Accent3 139" xfId="4801" xr:uid="{00000000-0005-0000-0000-00002A100000}"/>
    <cellStyle name="Accent3 14" xfId="4802" xr:uid="{00000000-0005-0000-0000-00002B100000}"/>
    <cellStyle name="Accent3 14 2" xfId="4803" xr:uid="{00000000-0005-0000-0000-00002C100000}"/>
    <cellStyle name="Accent3 14 2 2" xfId="4804" xr:uid="{00000000-0005-0000-0000-00002D100000}"/>
    <cellStyle name="Accent3 14 3" xfId="4805" xr:uid="{00000000-0005-0000-0000-00002E100000}"/>
    <cellStyle name="Accent3 140" xfId="4806" xr:uid="{00000000-0005-0000-0000-00002F100000}"/>
    <cellStyle name="Accent3 141" xfId="4807" xr:uid="{00000000-0005-0000-0000-000030100000}"/>
    <cellStyle name="Accent3 142" xfId="4808" xr:uid="{00000000-0005-0000-0000-000031100000}"/>
    <cellStyle name="Accent3 143" xfId="4809" xr:uid="{00000000-0005-0000-0000-000032100000}"/>
    <cellStyle name="Accent3 144" xfId="4810" xr:uid="{00000000-0005-0000-0000-000033100000}"/>
    <cellStyle name="Accent3 145" xfId="4811" xr:uid="{00000000-0005-0000-0000-000034100000}"/>
    <cellStyle name="Accent3 146" xfId="4812" xr:uid="{00000000-0005-0000-0000-000035100000}"/>
    <cellStyle name="Accent3 147" xfId="4813" xr:uid="{00000000-0005-0000-0000-000036100000}"/>
    <cellStyle name="Accent3 148" xfId="4814" xr:uid="{00000000-0005-0000-0000-000037100000}"/>
    <cellStyle name="Accent3 149" xfId="4815" xr:uid="{00000000-0005-0000-0000-000038100000}"/>
    <cellStyle name="Accent3 15" xfId="4816" xr:uid="{00000000-0005-0000-0000-000039100000}"/>
    <cellStyle name="Accent3 15 2" xfId="4817" xr:uid="{00000000-0005-0000-0000-00003A100000}"/>
    <cellStyle name="Accent3 15 2 2" xfId="4818" xr:uid="{00000000-0005-0000-0000-00003B100000}"/>
    <cellStyle name="Accent3 15 3" xfId="4819" xr:uid="{00000000-0005-0000-0000-00003C100000}"/>
    <cellStyle name="Accent3 150" xfId="4820" xr:uid="{00000000-0005-0000-0000-00003D100000}"/>
    <cellStyle name="Accent3 151" xfId="4821" xr:uid="{00000000-0005-0000-0000-00003E100000}"/>
    <cellStyle name="Accent3 152" xfId="4822" xr:uid="{00000000-0005-0000-0000-00003F100000}"/>
    <cellStyle name="Accent3 153" xfId="4823" xr:uid="{00000000-0005-0000-0000-000040100000}"/>
    <cellStyle name="Accent3 154" xfId="4824" xr:uid="{00000000-0005-0000-0000-000041100000}"/>
    <cellStyle name="Accent3 155" xfId="4825" xr:uid="{00000000-0005-0000-0000-000042100000}"/>
    <cellStyle name="Accent3 156" xfId="4826" xr:uid="{00000000-0005-0000-0000-000043100000}"/>
    <cellStyle name="Accent3 157" xfId="4827" xr:uid="{00000000-0005-0000-0000-000044100000}"/>
    <cellStyle name="Accent3 158" xfId="4828" xr:uid="{00000000-0005-0000-0000-000045100000}"/>
    <cellStyle name="Accent3 159" xfId="4829" xr:uid="{00000000-0005-0000-0000-000046100000}"/>
    <cellStyle name="Accent3 16" xfId="4830" xr:uid="{00000000-0005-0000-0000-000047100000}"/>
    <cellStyle name="Accent3 16 2" xfId="4831" xr:uid="{00000000-0005-0000-0000-000048100000}"/>
    <cellStyle name="Accent3 16 2 2" xfId="4832" xr:uid="{00000000-0005-0000-0000-000049100000}"/>
    <cellStyle name="Accent3 16 3" xfId="4833" xr:uid="{00000000-0005-0000-0000-00004A100000}"/>
    <cellStyle name="Accent3 160" xfId="4834" xr:uid="{00000000-0005-0000-0000-00004B100000}"/>
    <cellStyle name="Accent3 161" xfId="4835" xr:uid="{00000000-0005-0000-0000-00004C100000}"/>
    <cellStyle name="Accent3 162" xfId="4836" xr:uid="{00000000-0005-0000-0000-00004D100000}"/>
    <cellStyle name="Accent3 163" xfId="4837" xr:uid="{00000000-0005-0000-0000-00004E100000}"/>
    <cellStyle name="Accent3 164" xfId="4838" xr:uid="{00000000-0005-0000-0000-00004F100000}"/>
    <cellStyle name="Accent3 165" xfId="4839" xr:uid="{00000000-0005-0000-0000-000050100000}"/>
    <cellStyle name="Accent3 166" xfId="4840" xr:uid="{00000000-0005-0000-0000-000051100000}"/>
    <cellStyle name="Accent3 167" xfId="4841" xr:uid="{00000000-0005-0000-0000-000052100000}"/>
    <cellStyle name="Accent3 168" xfId="4842" xr:uid="{00000000-0005-0000-0000-000053100000}"/>
    <cellStyle name="Accent3 169" xfId="4843" xr:uid="{00000000-0005-0000-0000-000054100000}"/>
    <cellStyle name="Accent3 17" xfId="4844" xr:uid="{00000000-0005-0000-0000-000055100000}"/>
    <cellStyle name="Accent3 17 2" xfId="4845" xr:uid="{00000000-0005-0000-0000-000056100000}"/>
    <cellStyle name="Accent3 17 2 2" xfId="4846" xr:uid="{00000000-0005-0000-0000-000057100000}"/>
    <cellStyle name="Accent3 17 3" xfId="4847" xr:uid="{00000000-0005-0000-0000-000058100000}"/>
    <cellStyle name="Accent3 170" xfId="4848" xr:uid="{00000000-0005-0000-0000-000059100000}"/>
    <cellStyle name="Accent3 171" xfId="4849" xr:uid="{00000000-0005-0000-0000-00005A100000}"/>
    <cellStyle name="Accent3 172" xfId="4850" xr:uid="{00000000-0005-0000-0000-00005B100000}"/>
    <cellStyle name="Accent3 173" xfId="4851" xr:uid="{00000000-0005-0000-0000-00005C100000}"/>
    <cellStyle name="Accent3 174" xfId="4852" xr:uid="{00000000-0005-0000-0000-00005D100000}"/>
    <cellStyle name="Accent3 175" xfId="4853" xr:uid="{00000000-0005-0000-0000-00005E100000}"/>
    <cellStyle name="Accent3 176" xfId="4854" xr:uid="{00000000-0005-0000-0000-00005F100000}"/>
    <cellStyle name="Accent3 177" xfId="4855" xr:uid="{00000000-0005-0000-0000-000060100000}"/>
    <cellStyle name="Accent3 178" xfId="4856" xr:uid="{00000000-0005-0000-0000-000061100000}"/>
    <cellStyle name="Accent3 179" xfId="4857" xr:uid="{00000000-0005-0000-0000-000062100000}"/>
    <cellStyle name="Accent3 18" xfId="4858" xr:uid="{00000000-0005-0000-0000-000063100000}"/>
    <cellStyle name="Accent3 18 2" xfId="4859" xr:uid="{00000000-0005-0000-0000-000064100000}"/>
    <cellStyle name="Accent3 18 2 2" xfId="4860" xr:uid="{00000000-0005-0000-0000-000065100000}"/>
    <cellStyle name="Accent3 18 3" xfId="4861" xr:uid="{00000000-0005-0000-0000-000066100000}"/>
    <cellStyle name="Accent3 19" xfId="4862" xr:uid="{00000000-0005-0000-0000-000067100000}"/>
    <cellStyle name="Accent3 19 2" xfId="4863" xr:uid="{00000000-0005-0000-0000-000068100000}"/>
    <cellStyle name="Accent3 19 2 2" xfId="4864" xr:uid="{00000000-0005-0000-0000-000069100000}"/>
    <cellStyle name="Accent3 19 3" xfId="4865" xr:uid="{00000000-0005-0000-0000-00006A100000}"/>
    <cellStyle name="Accent3 2" xfId="4866" xr:uid="{00000000-0005-0000-0000-00006B100000}"/>
    <cellStyle name="Accent3 2 10" xfId="4867" xr:uid="{00000000-0005-0000-0000-00006C100000}"/>
    <cellStyle name="Accent3 2 10 2" xfId="4868" xr:uid="{00000000-0005-0000-0000-00006D100000}"/>
    <cellStyle name="Accent3 2 11" xfId="4869" xr:uid="{00000000-0005-0000-0000-00006E100000}"/>
    <cellStyle name="Accent3 2 12" xfId="4870" xr:uid="{00000000-0005-0000-0000-00006F100000}"/>
    <cellStyle name="Accent3 2 2" xfId="4871" xr:uid="{00000000-0005-0000-0000-000070100000}"/>
    <cellStyle name="Accent3 2 2 2" xfId="4872" xr:uid="{00000000-0005-0000-0000-000071100000}"/>
    <cellStyle name="Accent3 2 2 2 2" xfId="4873" xr:uid="{00000000-0005-0000-0000-000072100000}"/>
    <cellStyle name="Accent3 2 2 3" xfId="4874" xr:uid="{00000000-0005-0000-0000-000073100000}"/>
    <cellStyle name="Accent3 2 2 3 2" xfId="4875" xr:uid="{00000000-0005-0000-0000-000074100000}"/>
    <cellStyle name="Accent3 2 2 3 2 2" xfId="4876" xr:uid="{00000000-0005-0000-0000-000075100000}"/>
    <cellStyle name="Accent3 2 2 3 3" xfId="4877" xr:uid="{00000000-0005-0000-0000-000076100000}"/>
    <cellStyle name="Accent3 2 2 4" xfId="4878" xr:uid="{00000000-0005-0000-0000-000077100000}"/>
    <cellStyle name="Accent3 2 3" xfId="4879" xr:uid="{00000000-0005-0000-0000-000078100000}"/>
    <cellStyle name="Accent3 2 3 2" xfId="4880" xr:uid="{00000000-0005-0000-0000-000079100000}"/>
    <cellStyle name="Accent3 2 3 2 2" xfId="4881" xr:uid="{00000000-0005-0000-0000-00007A100000}"/>
    <cellStyle name="Accent3 2 3 3" xfId="4882" xr:uid="{00000000-0005-0000-0000-00007B100000}"/>
    <cellStyle name="Accent3 2 3 3 2" xfId="4883" xr:uid="{00000000-0005-0000-0000-00007C100000}"/>
    <cellStyle name="Accent3 2 3 3 2 2" xfId="4884" xr:uid="{00000000-0005-0000-0000-00007D100000}"/>
    <cellStyle name="Accent3 2 3 3 3" xfId="4885" xr:uid="{00000000-0005-0000-0000-00007E100000}"/>
    <cellStyle name="Accent3 2 3 4" xfId="4886" xr:uid="{00000000-0005-0000-0000-00007F100000}"/>
    <cellStyle name="Accent3 2 4" xfId="4887" xr:uid="{00000000-0005-0000-0000-000080100000}"/>
    <cellStyle name="Accent3 2 4 2" xfId="4888" xr:uid="{00000000-0005-0000-0000-000081100000}"/>
    <cellStyle name="Accent3 2 4 2 2" xfId="4889" xr:uid="{00000000-0005-0000-0000-000082100000}"/>
    <cellStyle name="Accent3 2 4 3" xfId="4890" xr:uid="{00000000-0005-0000-0000-000083100000}"/>
    <cellStyle name="Accent3 2 5" xfId="4891" xr:uid="{00000000-0005-0000-0000-000084100000}"/>
    <cellStyle name="Accent3 2 5 2" xfId="4892" xr:uid="{00000000-0005-0000-0000-000085100000}"/>
    <cellStyle name="Accent3 2 5 2 2" xfId="4893" xr:uid="{00000000-0005-0000-0000-000086100000}"/>
    <cellStyle name="Accent3 2 5 3" xfId="4894" xr:uid="{00000000-0005-0000-0000-000087100000}"/>
    <cellStyle name="Accent3 2 5 3 2" xfId="4895" xr:uid="{00000000-0005-0000-0000-000088100000}"/>
    <cellStyle name="Accent3 2 5 3 2 2" xfId="4896" xr:uid="{00000000-0005-0000-0000-000089100000}"/>
    <cellStyle name="Accent3 2 5 3 3" xfId="4897" xr:uid="{00000000-0005-0000-0000-00008A100000}"/>
    <cellStyle name="Accent3 2 5 4" xfId="4898" xr:uid="{00000000-0005-0000-0000-00008B100000}"/>
    <cellStyle name="Accent3 2 6" xfId="4899" xr:uid="{00000000-0005-0000-0000-00008C100000}"/>
    <cellStyle name="Accent3 2 6 2" xfId="4900" xr:uid="{00000000-0005-0000-0000-00008D100000}"/>
    <cellStyle name="Accent3 2 6 2 2" xfId="4901" xr:uid="{00000000-0005-0000-0000-00008E100000}"/>
    <cellStyle name="Accent3 2 6 3" xfId="4902" xr:uid="{00000000-0005-0000-0000-00008F100000}"/>
    <cellStyle name="Accent3 2 6 3 2" xfId="4903" xr:uid="{00000000-0005-0000-0000-000090100000}"/>
    <cellStyle name="Accent3 2 6 4" xfId="4904" xr:uid="{00000000-0005-0000-0000-000091100000}"/>
    <cellStyle name="Accent3 2 7" xfId="4905" xr:uid="{00000000-0005-0000-0000-000092100000}"/>
    <cellStyle name="Accent3 2 7 2" xfId="4906" xr:uid="{00000000-0005-0000-0000-000093100000}"/>
    <cellStyle name="Accent3 2 8" xfId="4907" xr:uid="{00000000-0005-0000-0000-000094100000}"/>
    <cellStyle name="Accent3 2 8 2" xfId="4908" xr:uid="{00000000-0005-0000-0000-000095100000}"/>
    <cellStyle name="Accent3 2 8 2 2" xfId="4909" xr:uid="{00000000-0005-0000-0000-000096100000}"/>
    <cellStyle name="Accent3 2 8 3" xfId="4910" xr:uid="{00000000-0005-0000-0000-000097100000}"/>
    <cellStyle name="Accent3 2 9" xfId="4911" xr:uid="{00000000-0005-0000-0000-000098100000}"/>
    <cellStyle name="Accent3 2 9 2" xfId="4912" xr:uid="{00000000-0005-0000-0000-000099100000}"/>
    <cellStyle name="Accent3 2 9 2 2" xfId="4913" xr:uid="{00000000-0005-0000-0000-00009A100000}"/>
    <cellStyle name="Accent3 2 9 3" xfId="4914" xr:uid="{00000000-0005-0000-0000-00009B100000}"/>
    <cellStyle name="Accent3 20" xfId="4915" xr:uid="{00000000-0005-0000-0000-00009C100000}"/>
    <cellStyle name="Accent3 20 2" xfId="4916" xr:uid="{00000000-0005-0000-0000-00009D100000}"/>
    <cellStyle name="Accent3 20 2 2" xfId="4917" xr:uid="{00000000-0005-0000-0000-00009E100000}"/>
    <cellStyle name="Accent3 20 3" xfId="4918" xr:uid="{00000000-0005-0000-0000-00009F100000}"/>
    <cellStyle name="Accent3 21" xfId="4919" xr:uid="{00000000-0005-0000-0000-0000A0100000}"/>
    <cellStyle name="Accent3 21 2" xfId="4920" xr:uid="{00000000-0005-0000-0000-0000A1100000}"/>
    <cellStyle name="Accent3 21 2 2" xfId="4921" xr:uid="{00000000-0005-0000-0000-0000A2100000}"/>
    <cellStyle name="Accent3 21 3" xfId="4922" xr:uid="{00000000-0005-0000-0000-0000A3100000}"/>
    <cellStyle name="Accent3 22" xfId="4923" xr:uid="{00000000-0005-0000-0000-0000A4100000}"/>
    <cellStyle name="Accent3 22 2" xfId="4924" xr:uid="{00000000-0005-0000-0000-0000A5100000}"/>
    <cellStyle name="Accent3 22 2 2" xfId="4925" xr:uid="{00000000-0005-0000-0000-0000A6100000}"/>
    <cellStyle name="Accent3 22 3" xfId="4926" xr:uid="{00000000-0005-0000-0000-0000A7100000}"/>
    <cellStyle name="Accent3 23" xfId="4927" xr:uid="{00000000-0005-0000-0000-0000A8100000}"/>
    <cellStyle name="Accent3 23 2" xfId="4928" xr:uid="{00000000-0005-0000-0000-0000A9100000}"/>
    <cellStyle name="Accent3 23 2 2" xfId="4929" xr:uid="{00000000-0005-0000-0000-0000AA100000}"/>
    <cellStyle name="Accent3 23 3" xfId="4930" xr:uid="{00000000-0005-0000-0000-0000AB100000}"/>
    <cellStyle name="Accent3 24" xfId="4931" xr:uid="{00000000-0005-0000-0000-0000AC100000}"/>
    <cellStyle name="Accent3 24 2" xfId="4932" xr:uid="{00000000-0005-0000-0000-0000AD100000}"/>
    <cellStyle name="Accent3 24 2 2" xfId="4933" xr:uid="{00000000-0005-0000-0000-0000AE100000}"/>
    <cellStyle name="Accent3 24 3" xfId="4934" xr:uid="{00000000-0005-0000-0000-0000AF100000}"/>
    <cellStyle name="Accent3 25" xfId="4935" xr:uid="{00000000-0005-0000-0000-0000B0100000}"/>
    <cellStyle name="Accent3 25 2" xfId="4936" xr:uid="{00000000-0005-0000-0000-0000B1100000}"/>
    <cellStyle name="Accent3 25 2 2" xfId="4937" xr:uid="{00000000-0005-0000-0000-0000B2100000}"/>
    <cellStyle name="Accent3 25 3" xfId="4938" xr:uid="{00000000-0005-0000-0000-0000B3100000}"/>
    <cellStyle name="Accent3 26" xfId="4939" xr:uid="{00000000-0005-0000-0000-0000B4100000}"/>
    <cellStyle name="Accent3 26 2" xfId="4940" xr:uid="{00000000-0005-0000-0000-0000B5100000}"/>
    <cellStyle name="Accent3 26 2 2" xfId="4941" xr:uid="{00000000-0005-0000-0000-0000B6100000}"/>
    <cellStyle name="Accent3 26 3" xfId="4942" xr:uid="{00000000-0005-0000-0000-0000B7100000}"/>
    <cellStyle name="Accent3 27" xfId="4943" xr:uid="{00000000-0005-0000-0000-0000B8100000}"/>
    <cellStyle name="Accent3 27 2" xfId="4944" xr:uid="{00000000-0005-0000-0000-0000B9100000}"/>
    <cellStyle name="Accent3 27 2 2" xfId="4945" xr:uid="{00000000-0005-0000-0000-0000BA100000}"/>
    <cellStyle name="Accent3 27 3" xfId="4946" xr:uid="{00000000-0005-0000-0000-0000BB100000}"/>
    <cellStyle name="Accent3 28" xfId="4947" xr:uid="{00000000-0005-0000-0000-0000BC100000}"/>
    <cellStyle name="Accent3 28 2" xfId="4948" xr:uid="{00000000-0005-0000-0000-0000BD100000}"/>
    <cellStyle name="Accent3 28 2 2" xfId="4949" xr:uid="{00000000-0005-0000-0000-0000BE100000}"/>
    <cellStyle name="Accent3 28 3" xfId="4950" xr:uid="{00000000-0005-0000-0000-0000BF100000}"/>
    <cellStyle name="Accent3 29" xfId="4951" xr:uid="{00000000-0005-0000-0000-0000C0100000}"/>
    <cellStyle name="Accent3 29 2" xfId="4952" xr:uid="{00000000-0005-0000-0000-0000C1100000}"/>
    <cellStyle name="Accent3 29 2 2" xfId="4953" xr:uid="{00000000-0005-0000-0000-0000C2100000}"/>
    <cellStyle name="Accent3 29 3" xfId="4954" xr:uid="{00000000-0005-0000-0000-0000C3100000}"/>
    <cellStyle name="Accent3 3" xfId="4955" xr:uid="{00000000-0005-0000-0000-0000C4100000}"/>
    <cellStyle name="Accent3 3 10" xfId="4956" xr:uid="{00000000-0005-0000-0000-0000C5100000}"/>
    <cellStyle name="Accent3 3 10 2" xfId="4957" xr:uid="{00000000-0005-0000-0000-0000C6100000}"/>
    <cellStyle name="Accent3 3 10 2 2" xfId="4958" xr:uid="{00000000-0005-0000-0000-0000C7100000}"/>
    <cellStyle name="Accent3 3 10 3" xfId="4959" xr:uid="{00000000-0005-0000-0000-0000C8100000}"/>
    <cellStyle name="Accent3 3 11" xfId="4960" xr:uid="{00000000-0005-0000-0000-0000C9100000}"/>
    <cellStyle name="Accent3 3 11 2" xfId="4961" xr:uid="{00000000-0005-0000-0000-0000CA100000}"/>
    <cellStyle name="Accent3 3 12" xfId="4962" xr:uid="{00000000-0005-0000-0000-0000CB100000}"/>
    <cellStyle name="Accent3 3 2" xfId="4963" xr:uid="{00000000-0005-0000-0000-0000CC100000}"/>
    <cellStyle name="Accent3 3 2 2" xfId="4964" xr:uid="{00000000-0005-0000-0000-0000CD100000}"/>
    <cellStyle name="Accent3 3 2 2 2" xfId="4965" xr:uid="{00000000-0005-0000-0000-0000CE100000}"/>
    <cellStyle name="Accent3 3 2 3" xfId="4966" xr:uid="{00000000-0005-0000-0000-0000CF100000}"/>
    <cellStyle name="Accent3 3 2 3 2" xfId="4967" xr:uid="{00000000-0005-0000-0000-0000D0100000}"/>
    <cellStyle name="Accent3 3 2 3 2 2" xfId="4968" xr:uid="{00000000-0005-0000-0000-0000D1100000}"/>
    <cellStyle name="Accent3 3 2 3 3" xfId="4969" xr:uid="{00000000-0005-0000-0000-0000D2100000}"/>
    <cellStyle name="Accent3 3 2 4" xfId="4970" xr:uid="{00000000-0005-0000-0000-0000D3100000}"/>
    <cellStyle name="Accent3 3 3" xfId="4971" xr:uid="{00000000-0005-0000-0000-0000D4100000}"/>
    <cellStyle name="Accent3 3 3 2" xfId="4972" xr:uid="{00000000-0005-0000-0000-0000D5100000}"/>
    <cellStyle name="Accent3 3 3 2 2" xfId="4973" xr:uid="{00000000-0005-0000-0000-0000D6100000}"/>
    <cellStyle name="Accent3 3 3 3" xfId="4974" xr:uid="{00000000-0005-0000-0000-0000D7100000}"/>
    <cellStyle name="Accent3 3 3 3 2" xfId="4975" xr:uid="{00000000-0005-0000-0000-0000D8100000}"/>
    <cellStyle name="Accent3 3 3 3 2 2" xfId="4976" xr:uid="{00000000-0005-0000-0000-0000D9100000}"/>
    <cellStyle name="Accent3 3 3 3 3" xfId="4977" xr:uid="{00000000-0005-0000-0000-0000DA100000}"/>
    <cellStyle name="Accent3 3 3 4" xfId="4978" xr:uid="{00000000-0005-0000-0000-0000DB100000}"/>
    <cellStyle name="Accent3 3 4" xfId="4979" xr:uid="{00000000-0005-0000-0000-0000DC100000}"/>
    <cellStyle name="Accent3 3 4 2" xfId="4980" xr:uid="{00000000-0005-0000-0000-0000DD100000}"/>
    <cellStyle name="Accent3 3 4 2 2" xfId="4981" xr:uid="{00000000-0005-0000-0000-0000DE100000}"/>
    <cellStyle name="Accent3 3 4 3" xfId="4982" xr:uid="{00000000-0005-0000-0000-0000DF100000}"/>
    <cellStyle name="Accent3 3 5" xfId="4983" xr:uid="{00000000-0005-0000-0000-0000E0100000}"/>
    <cellStyle name="Accent3 3 5 2" xfId="4984" xr:uid="{00000000-0005-0000-0000-0000E1100000}"/>
    <cellStyle name="Accent3 3 5 2 2" xfId="4985" xr:uid="{00000000-0005-0000-0000-0000E2100000}"/>
    <cellStyle name="Accent3 3 5 3" xfId="4986" xr:uid="{00000000-0005-0000-0000-0000E3100000}"/>
    <cellStyle name="Accent3 3 5 3 2" xfId="4987" xr:uid="{00000000-0005-0000-0000-0000E4100000}"/>
    <cellStyle name="Accent3 3 5 3 2 2" xfId="4988" xr:uid="{00000000-0005-0000-0000-0000E5100000}"/>
    <cellStyle name="Accent3 3 5 3 3" xfId="4989" xr:uid="{00000000-0005-0000-0000-0000E6100000}"/>
    <cellStyle name="Accent3 3 5 4" xfId="4990" xr:uid="{00000000-0005-0000-0000-0000E7100000}"/>
    <cellStyle name="Accent3 3 6" xfId="4991" xr:uid="{00000000-0005-0000-0000-0000E8100000}"/>
    <cellStyle name="Accent3 3 6 2" xfId="4992" xr:uid="{00000000-0005-0000-0000-0000E9100000}"/>
    <cellStyle name="Accent3 3 7" xfId="4993" xr:uid="{00000000-0005-0000-0000-0000EA100000}"/>
    <cellStyle name="Accent3 3 7 2" xfId="4994" xr:uid="{00000000-0005-0000-0000-0000EB100000}"/>
    <cellStyle name="Accent3 3 8" xfId="4995" xr:uid="{00000000-0005-0000-0000-0000EC100000}"/>
    <cellStyle name="Accent3 3 8 2" xfId="4996" xr:uid="{00000000-0005-0000-0000-0000ED100000}"/>
    <cellStyle name="Accent3 3 8 2 2" xfId="4997" xr:uid="{00000000-0005-0000-0000-0000EE100000}"/>
    <cellStyle name="Accent3 3 8 3" xfId="4998" xr:uid="{00000000-0005-0000-0000-0000EF100000}"/>
    <cellStyle name="Accent3 3 9" xfId="4999" xr:uid="{00000000-0005-0000-0000-0000F0100000}"/>
    <cellStyle name="Accent3 3 9 2" xfId="5000" xr:uid="{00000000-0005-0000-0000-0000F1100000}"/>
    <cellStyle name="Accent3 3 9 2 2" xfId="5001" xr:uid="{00000000-0005-0000-0000-0000F2100000}"/>
    <cellStyle name="Accent3 3 9 3" xfId="5002" xr:uid="{00000000-0005-0000-0000-0000F3100000}"/>
    <cellStyle name="Accent3 30" xfId="5003" xr:uid="{00000000-0005-0000-0000-0000F4100000}"/>
    <cellStyle name="Accent3 30 2" xfId="5004" xr:uid="{00000000-0005-0000-0000-0000F5100000}"/>
    <cellStyle name="Accent3 30 2 2" xfId="5005" xr:uid="{00000000-0005-0000-0000-0000F6100000}"/>
    <cellStyle name="Accent3 30 3" xfId="5006" xr:uid="{00000000-0005-0000-0000-0000F7100000}"/>
    <cellStyle name="Accent3 31" xfId="5007" xr:uid="{00000000-0005-0000-0000-0000F8100000}"/>
    <cellStyle name="Accent3 31 2" xfId="5008" xr:uid="{00000000-0005-0000-0000-0000F9100000}"/>
    <cellStyle name="Accent3 31 2 2" xfId="5009" xr:uid="{00000000-0005-0000-0000-0000FA100000}"/>
    <cellStyle name="Accent3 31 3" xfId="5010" xr:uid="{00000000-0005-0000-0000-0000FB100000}"/>
    <cellStyle name="Accent3 32" xfId="5011" xr:uid="{00000000-0005-0000-0000-0000FC100000}"/>
    <cellStyle name="Accent3 32 2" xfId="5012" xr:uid="{00000000-0005-0000-0000-0000FD100000}"/>
    <cellStyle name="Accent3 32 2 2" xfId="5013" xr:uid="{00000000-0005-0000-0000-0000FE100000}"/>
    <cellStyle name="Accent3 32 3" xfId="5014" xr:uid="{00000000-0005-0000-0000-0000FF100000}"/>
    <cellStyle name="Accent3 33" xfId="5015" xr:uid="{00000000-0005-0000-0000-000000110000}"/>
    <cellStyle name="Accent3 33 2" xfId="5016" xr:uid="{00000000-0005-0000-0000-000001110000}"/>
    <cellStyle name="Accent3 33 2 2" xfId="5017" xr:uid="{00000000-0005-0000-0000-000002110000}"/>
    <cellStyle name="Accent3 33 3" xfId="5018" xr:uid="{00000000-0005-0000-0000-000003110000}"/>
    <cellStyle name="Accent3 34" xfId="5019" xr:uid="{00000000-0005-0000-0000-000004110000}"/>
    <cellStyle name="Accent3 34 2" xfId="5020" xr:uid="{00000000-0005-0000-0000-000005110000}"/>
    <cellStyle name="Accent3 34 2 2" xfId="5021" xr:uid="{00000000-0005-0000-0000-000006110000}"/>
    <cellStyle name="Accent3 34 3" xfId="5022" xr:uid="{00000000-0005-0000-0000-000007110000}"/>
    <cellStyle name="Accent3 35" xfId="5023" xr:uid="{00000000-0005-0000-0000-000008110000}"/>
    <cellStyle name="Accent3 35 2" xfId="5024" xr:uid="{00000000-0005-0000-0000-000009110000}"/>
    <cellStyle name="Accent3 35 2 2" xfId="5025" xr:uid="{00000000-0005-0000-0000-00000A110000}"/>
    <cellStyle name="Accent3 35 3" xfId="5026" xr:uid="{00000000-0005-0000-0000-00000B110000}"/>
    <cellStyle name="Accent3 36" xfId="5027" xr:uid="{00000000-0005-0000-0000-00000C110000}"/>
    <cellStyle name="Accent3 36 2" xfId="5028" xr:uid="{00000000-0005-0000-0000-00000D110000}"/>
    <cellStyle name="Accent3 36 2 2" xfId="5029" xr:uid="{00000000-0005-0000-0000-00000E110000}"/>
    <cellStyle name="Accent3 36 3" xfId="5030" xr:uid="{00000000-0005-0000-0000-00000F110000}"/>
    <cellStyle name="Accent3 37" xfId="5031" xr:uid="{00000000-0005-0000-0000-000010110000}"/>
    <cellStyle name="Accent3 37 2" xfId="5032" xr:uid="{00000000-0005-0000-0000-000011110000}"/>
    <cellStyle name="Accent3 37 2 2" xfId="5033" xr:uid="{00000000-0005-0000-0000-000012110000}"/>
    <cellStyle name="Accent3 37 3" xfId="5034" xr:uid="{00000000-0005-0000-0000-000013110000}"/>
    <cellStyle name="Accent3 38" xfId="5035" xr:uid="{00000000-0005-0000-0000-000014110000}"/>
    <cellStyle name="Accent3 38 2" xfId="5036" xr:uid="{00000000-0005-0000-0000-000015110000}"/>
    <cellStyle name="Accent3 38 2 2" xfId="5037" xr:uid="{00000000-0005-0000-0000-000016110000}"/>
    <cellStyle name="Accent3 38 3" xfId="5038" xr:uid="{00000000-0005-0000-0000-000017110000}"/>
    <cellStyle name="Accent3 39" xfId="5039" xr:uid="{00000000-0005-0000-0000-000018110000}"/>
    <cellStyle name="Accent3 39 2" xfId="5040" xr:uid="{00000000-0005-0000-0000-000019110000}"/>
    <cellStyle name="Accent3 39 2 2" xfId="5041" xr:uid="{00000000-0005-0000-0000-00001A110000}"/>
    <cellStyle name="Accent3 39 3" xfId="5042" xr:uid="{00000000-0005-0000-0000-00001B110000}"/>
    <cellStyle name="Accent3 4" xfId="5043" xr:uid="{00000000-0005-0000-0000-00001C110000}"/>
    <cellStyle name="Accent3 4 2" xfId="5044" xr:uid="{00000000-0005-0000-0000-00001D110000}"/>
    <cellStyle name="Accent3 4 2 2" xfId="5045" xr:uid="{00000000-0005-0000-0000-00001E110000}"/>
    <cellStyle name="Accent3 4 2 2 2" xfId="5046" xr:uid="{00000000-0005-0000-0000-00001F110000}"/>
    <cellStyle name="Accent3 4 2 3" xfId="5047" xr:uid="{00000000-0005-0000-0000-000020110000}"/>
    <cellStyle name="Accent3 4 2 3 2" xfId="5048" xr:uid="{00000000-0005-0000-0000-000021110000}"/>
    <cellStyle name="Accent3 4 2 3 2 2" xfId="5049" xr:uid="{00000000-0005-0000-0000-000022110000}"/>
    <cellStyle name="Accent3 4 2 3 3" xfId="5050" xr:uid="{00000000-0005-0000-0000-000023110000}"/>
    <cellStyle name="Accent3 4 2 4" xfId="5051" xr:uid="{00000000-0005-0000-0000-000024110000}"/>
    <cellStyle name="Accent3 4 3" xfId="5052" xr:uid="{00000000-0005-0000-0000-000025110000}"/>
    <cellStyle name="Accent3 4 3 2" xfId="5053" xr:uid="{00000000-0005-0000-0000-000026110000}"/>
    <cellStyle name="Accent3 4 3 2 2" xfId="5054" xr:uid="{00000000-0005-0000-0000-000027110000}"/>
    <cellStyle name="Accent3 4 3 3" xfId="5055" xr:uid="{00000000-0005-0000-0000-000028110000}"/>
    <cellStyle name="Accent3 4 3 3 2" xfId="5056" xr:uid="{00000000-0005-0000-0000-000029110000}"/>
    <cellStyle name="Accent3 4 3 3 2 2" xfId="5057" xr:uid="{00000000-0005-0000-0000-00002A110000}"/>
    <cellStyle name="Accent3 4 3 3 3" xfId="5058" xr:uid="{00000000-0005-0000-0000-00002B110000}"/>
    <cellStyle name="Accent3 4 3 4" xfId="5059" xr:uid="{00000000-0005-0000-0000-00002C110000}"/>
    <cellStyle name="Accent3 4 4" xfId="5060" xr:uid="{00000000-0005-0000-0000-00002D110000}"/>
    <cellStyle name="Accent3 4 4 2" xfId="5061" xr:uid="{00000000-0005-0000-0000-00002E110000}"/>
    <cellStyle name="Accent3 4 4 2 2" xfId="5062" xr:uid="{00000000-0005-0000-0000-00002F110000}"/>
    <cellStyle name="Accent3 4 4 3" xfId="5063" xr:uid="{00000000-0005-0000-0000-000030110000}"/>
    <cellStyle name="Accent3 4 5" xfId="5064" xr:uid="{00000000-0005-0000-0000-000031110000}"/>
    <cellStyle name="Accent3 4 5 2" xfId="5065" xr:uid="{00000000-0005-0000-0000-000032110000}"/>
    <cellStyle name="Accent3 4 6" xfId="5066" xr:uid="{00000000-0005-0000-0000-000033110000}"/>
    <cellStyle name="Accent3 4 6 2" xfId="5067" xr:uid="{00000000-0005-0000-0000-000034110000}"/>
    <cellStyle name="Accent3 4 6 2 2" xfId="5068" xr:uid="{00000000-0005-0000-0000-000035110000}"/>
    <cellStyle name="Accent3 4 6 3" xfId="5069" xr:uid="{00000000-0005-0000-0000-000036110000}"/>
    <cellStyle name="Accent3 4 7" xfId="5070" xr:uid="{00000000-0005-0000-0000-000037110000}"/>
    <cellStyle name="Accent3 4 7 2" xfId="5071" xr:uid="{00000000-0005-0000-0000-000038110000}"/>
    <cellStyle name="Accent3 4 7 2 2" xfId="5072" xr:uid="{00000000-0005-0000-0000-000039110000}"/>
    <cellStyle name="Accent3 4 7 3" xfId="5073" xr:uid="{00000000-0005-0000-0000-00003A110000}"/>
    <cellStyle name="Accent3 4 8" xfId="5074" xr:uid="{00000000-0005-0000-0000-00003B110000}"/>
    <cellStyle name="Accent3 40" xfId="5075" xr:uid="{00000000-0005-0000-0000-00003C110000}"/>
    <cellStyle name="Accent3 40 2" xfId="5076" xr:uid="{00000000-0005-0000-0000-00003D110000}"/>
    <cellStyle name="Accent3 40 2 2" xfId="5077" xr:uid="{00000000-0005-0000-0000-00003E110000}"/>
    <cellStyle name="Accent3 40 3" xfId="5078" xr:uid="{00000000-0005-0000-0000-00003F110000}"/>
    <cellStyle name="Accent3 41" xfId="5079" xr:uid="{00000000-0005-0000-0000-000040110000}"/>
    <cellStyle name="Accent3 41 2" xfId="5080" xr:uid="{00000000-0005-0000-0000-000041110000}"/>
    <cellStyle name="Accent3 41 2 2" xfId="5081" xr:uid="{00000000-0005-0000-0000-000042110000}"/>
    <cellStyle name="Accent3 41 3" xfId="5082" xr:uid="{00000000-0005-0000-0000-000043110000}"/>
    <cellStyle name="Accent3 42" xfId="5083" xr:uid="{00000000-0005-0000-0000-000044110000}"/>
    <cellStyle name="Accent3 42 2" xfId="5084" xr:uid="{00000000-0005-0000-0000-000045110000}"/>
    <cellStyle name="Accent3 42 2 2" xfId="5085" xr:uid="{00000000-0005-0000-0000-000046110000}"/>
    <cellStyle name="Accent3 42 3" xfId="5086" xr:uid="{00000000-0005-0000-0000-000047110000}"/>
    <cellStyle name="Accent3 43" xfId="5087" xr:uid="{00000000-0005-0000-0000-000048110000}"/>
    <cellStyle name="Accent3 43 2" xfId="5088" xr:uid="{00000000-0005-0000-0000-000049110000}"/>
    <cellStyle name="Accent3 43 2 2" xfId="5089" xr:uid="{00000000-0005-0000-0000-00004A110000}"/>
    <cellStyle name="Accent3 43 3" xfId="5090" xr:uid="{00000000-0005-0000-0000-00004B110000}"/>
    <cellStyle name="Accent3 44" xfId="5091" xr:uid="{00000000-0005-0000-0000-00004C110000}"/>
    <cellStyle name="Accent3 44 2" xfId="5092" xr:uid="{00000000-0005-0000-0000-00004D110000}"/>
    <cellStyle name="Accent3 44 2 2" xfId="5093" xr:uid="{00000000-0005-0000-0000-00004E110000}"/>
    <cellStyle name="Accent3 44 3" xfId="5094" xr:uid="{00000000-0005-0000-0000-00004F110000}"/>
    <cellStyle name="Accent3 45" xfId="5095" xr:uid="{00000000-0005-0000-0000-000050110000}"/>
    <cellStyle name="Accent3 45 2" xfId="5096" xr:uid="{00000000-0005-0000-0000-000051110000}"/>
    <cellStyle name="Accent3 45 2 2" xfId="5097" xr:uid="{00000000-0005-0000-0000-000052110000}"/>
    <cellStyle name="Accent3 45 3" xfId="5098" xr:uid="{00000000-0005-0000-0000-000053110000}"/>
    <cellStyle name="Accent3 46" xfId="5099" xr:uid="{00000000-0005-0000-0000-000054110000}"/>
    <cellStyle name="Accent3 46 2" xfId="5100" xr:uid="{00000000-0005-0000-0000-000055110000}"/>
    <cellStyle name="Accent3 46 2 2" xfId="5101" xr:uid="{00000000-0005-0000-0000-000056110000}"/>
    <cellStyle name="Accent3 46 3" xfId="5102" xr:uid="{00000000-0005-0000-0000-000057110000}"/>
    <cellStyle name="Accent3 47" xfId="5103" xr:uid="{00000000-0005-0000-0000-000058110000}"/>
    <cellStyle name="Accent3 47 2" xfId="5104" xr:uid="{00000000-0005-0000-0000-000059110000}"/>
    <cellStyle name="Accent3 47 2 2" xfId="5105" xr:uid="{00000000-0005-0000-0000-00005A110000}"/>
    <cellStyle name="Accent3 47 3" xfId="5106" xr:uid="{00000000-0005-0000-0000-00005B110000}"/>
    <cellStyle name="Accent3 48" xfId="5107" xr:uid="{00000000-0005-0000-0000-00005C110000}"/>
    <cellStyle name="Accent3 48 2" xfId="5108" xr:uid="{00000000-0005-0000-0000-00005D110000}"/>
    <cellStyle name="Accent3 48 2 2" xfId="5109" xr:uid="{00000000-0005-0000-0000-00005E110000}"/>
    <cellStyle name="Accent3 48 3" xfId="5110" xr:uid="{00000000-0005-0000-0000-00005F110000}"/>
    <cellStyle name="Accent3 48 3 2" xfId="5111" xr:uid="{00000000-0005-0000-0000-000060110000}"/>
    <cellStyle name="Accent3 48 3 2 2" xfId="5112" xr:uid="{00000000-0005-0000-0000-000061110000}"/>
    <cellStyle name="Accent3 48 3 3" xfId="5113" xr:uid="{00000000-0005-0000-0000-000062110000}"/>
    <cellStyle name="Accent3 48 4" xfId="5114" xr:uid="{00000000-0005-0000-0000-000063110000}"/>
    <cellStyle name="Accent3 49" xfId="5115" xr:uid="{00000000-0005-0000-0000-000064110000}"/>
    <cellStyle name="Accent3 49 2" xfId="5116" xr:uid="{00000000-0005-0000-0000-000065110000}"/>
    <cellStyle name="Accent3 49 2 2" xfId="5117" xr:uid="{00000000-0005-0000-0000-000066110000}"/>
    <cellStyle name="Accent3 49 3" xfId="5118" xr:uid="{00000000-0005-0000-0000-000067110000}"/>
    <cellStyle name="Accent3 49 3 2" xfId="5119" xr:uid="{00000000-0005-0000-0000-000068110000}"/>
    <cellStyle name="Accent3 49 3 2 2" xfId="5120" xr:uid="{00000000-0005-0000-0000-000069110000}"/>
    <cellStyle name="Accent3 49 3 3" xfId="5121" xr:uid="{00000000-0005-0000-0000-00006A110000}"/>
    <cellStyle name="Accent3 49 4" xfId="5122" xr:uid="{00000000-0005-0000-0000-00006B110000}"/>
    <cellStyle name="Accent3 5" xfId="5123" xr:uid="{00000000-0005-0000-0000-00006C110000}"/>
    <cellStyle name="Accent3 5 2" xfId="5124" xr:uid="{00000000-0005-0000-0000-00006D110000}"/>
    <cellStyle name="Accent3 5 2 2" xfId="5125" xr:uid="{00000000-0005-0000-0000-00006E110000}"/>
    <cellStyle name="Accent3 5 2 2 2" xfId="5126" xr:uid="{00000000-0005-0000-0000-00006F110000}"/>
    <cellStyle name="Accent3 5 2 3" xfId="5127" xr:uid="{00000000-0005-0000-0000-000070110000}"/>
    <cellStyle name="Accent3 5 2 3 2" xfId="5128" xr:uid="{00000000-0005-0000-0000-000071110000}"/>
    <cellStyle name="Accent3 5 2 3 2 2" xfId="5129" xr:uid="{00000000-0005-0000-0000-000072110000}"/>
    <cellStyle name="Accent3 5 2 3 3" xfId="5130" xr:uid="{00000000-0005-0000-0000-000073110000}"/>
    <cellStyle name="Accent3 5 2 4" xfId="5131" xr:uid="{00000000-0005-0000-0000-000074110000}"/>
    <cellStyle name="Accent3 5 3" xfId="5132" xr:uid="{00000000-0005-0000-0000-000075110000}"/>
    <cellStyle name="Accent3 5 3 2" xfId="5133" xr:uid="{00000000-0005-0000-0000-000076110000}"/>
    <cellStyle name="Accent3 5 3 2 2" xfId="5134" xr:uid="{00000000-0005-0000-0000-000077110000}"/>
    <cellStyle name="Accent3 5 3 3" xfId="5135" xr:uid="{00000000-0005-0000-0000-000078110000}"/>
    <cellStyle name="Accent3 5 3 3 2" xfId="5136" xr:uid="{00000000-0005-0000-0000-000079110000}"/>
    <cellStyle name="Accent3 5 3 3 2 2" xfId="5137" xr:uid="{00000000-0005-0000-0000-00007A110000}"/>
    <cellStyle name="Accent3 5 3 3 3" xfId="5138" xr:uid="{00000000-0005-0000-0000-00007B110000}"/>
    <cellStyle name="Accent3 5 3 4" xfId="5139" xr:uid="{00000000-0005-0000-0000-00007C110000}"/>
    <cellStyle name="Accent3 5 4" xfId="5140" xr:uid="{00000000-0005-0000-0000-00007D110000}"/>
    <cellStyle name="Accent3 5 4 2" xfId="5141" xr:uid="{00000000-0005-0000-0000-00007E110000}"/>
    <cellStyle name="Accent3 5 5" xfId="5142" xr:uid="{00000000-0005-0000-0000-00007F110000}"/>
    <cellStyle name="Accent3 5 5 2" xfId="5143" xr:uid="{00000000-0005-0000-0000-000080110000}"/>
    <cellStyle name="Accent3 5 5 2 2" xfId="5144" xr:uid="{00000000-0005-0000-0000-000081110000}"/>
    <cellStyle name="Accent3 5 5 3" xfId="5145" xr:uid="{00000000-0005-0000-0000-000082110000}"/>
    <cellStyle name="Accent3 5 6" xfId="5146" xr:uid="{00000000-0005-0000-0000-000083110000}"/>
    <cellStyle name="Accent3 5 6 2" xfId="5147" xr:uid="{00000000-0005-0000-0000-000084110000}"/>
    <cellStyle name="Accent3 5 7" xfId="5148" xr:uid="{00000000-0005-0000-0000-000085110000}"/>
    <cellStyle name="Accent3 50" xfId="5149" xr:uid="{00000000-0005-0000-0000-000086110000}"/>
    <cellStyle name="Accent3 50 2" xfId="5150" xr:uid="{00000000-0005-0000-0000-000087110000}"/>
    <cellStyle name="Accent3 50 2 2" xfId="5151" xr:uid="{00000000-0005-0000-0000-000088110000}"/>
    <cellStyle name="Accent3 50 3" xfId="5152" xr:uid="{00000000-0005-0000-0000-000089110000}"/>
    <cellStyle name="Accent3 50 3 2" xfId="5153" xr:uid="{00000000-0005-0000-0000-00008A110000}"/>
    <cellStyle name="Accent3 50 3 2 2" xfId="5154" xr:uid="{00000000-0005-0000-0000-00008B110000}"/>
    <cellStyle name="Accent3 50 3 3" xfId="5155" xr:uid="{00000000-0005-0000-0000-00008C110000}"/>
    <cellStyle name="Accent3 50 4" xfId="5156" xr:uid="{00000000-0005-0000-0000-00008D110000}"/>
    <cellStyle name="Accent3 51" xfId="5157" xr:uid="{00000000-0005-0000-0000-00008E110000}"/>
    <cellStyle name="Accent3 51 2" xfId="5158" xr:uid="{00000000-0005-0000-0000-00008F110000}"/>
    <cellStyle name="Accent3 51 2 2" xfId="5159" xr:uid="{00000000-0005-0000-0000-000090110000}"/>
    <cellStyle name="Accent3 51 3" xfId="5160" xr:uid="{00000000-0005-0000-0000-000091110000}"/>
    <cellStyle name="Accent3 51 3 2" xfId="5161" xr:uid="{00000000-0005-0000-0000-000092110000}"/>
    <cellStyle name="Accent3 51 3 2 2" xfId="5162" xr:uid="{00000000-0005-0000-0000-000093110000}"/>
    <cellStyle name="Accent3 51 3 3" xfId="5163" xr:uid="{00000000-0005-0000-0000-000094110000}"/>
    <cellStyle name="Accent3 51 4" xfId="5164" xr:uid="{00000000-0005-0000-0000-000095110000}"/>
    <cellStyle name="Accent3 52" xfId="5165" xr:uid="{00000000-0005-0000-0000-000096110000}"/>
    <cellStyle name="Accent3 52 2" xfId="5166" xr:uid="{00000000-0005-0000-0000-000097110000}"/>
    <cellStyle name="Accent3 52 2 2" xfId="5167" xr:uid="{00000000-0005-0000-0000-000098110000}"/>
    <cellStyle name="Accent3 52 3" xfId="5168" xr:uid="{00000000-0005-0000-0000-000099110000}"/>
    <cellStyle name="Accent3 53" xfId="5169" xr:uid="{00000000-0005-0000-0000-00009A110000}"/>
    <cellStyle name="Accent3 53 2" xfId="5170" xr:uid="{00000000-0005-0000-0000-00009B110000}"/>
    <cellStyle name="Accent3 53 2 2" xfId="5171" xr:uid="{00000000-0005-0000-0000-00009C110000}"/>
    <cellStyle name="Accent3 53 3" xfId="5172" xr:uid="{00000000-0005-0000-0000-00009D110000}"/>
    <cellStyle name="Accent3 54" xfId="5173" xr:uid="{00000000-0005-0000-0000-00009E110000}"/>
    <cellStyle name="Accent3 54 2" xfId="5174" xr:uid="{00000000-0005-0000-0000-00009F110000}"/>
    <cellStyle name="Accent3 54 2 2" xfId="5175" xr:uid="{00000000-0005-0000-0000-0000A0110000}"/>
    <cellStyle name="Accent3 54 3" xfId="5176" xr:uid="{00000000-0005-0000-0000-0000A1110000}"/>
    <cellStyle name="Accent3 55" xfId="5177" xr:uid="{00000000-0005-0000-0000-0000A2110000}"/>
    <cellStyle name="Accent3 55 2" xfId="5178" xr:uid="{00000000-0005-0000-0000-0000A3110000}"/>
    <cellStyle name="Accent3 55 2 2" xfId="5179" xr:uid="{00000000-0005-0000-0000-0000A4110000}"/>
    <cellStyle name="Accent3 55 3" xfId="5180" xr:uid="{00000000-0005-0000-0000-0000A5110000}"/>
    <cellStyle name="Accent3 56" xfId="5181" xr:uid="{00000000-0005-0000-0000-0000A6110000}"/>
    <cellStyle name="Accent3 56 2" xfId="5182" xr:uid="{00000000-0005-0000-0000-0000A7110000}"/>
    <cellStyle name="Accent3 56 2 2" xfId="5183" xr:uid="{00000000-0005-0000-0000-0000A8110000}"/>
    <cellStyle name="Accent3 56 3" xfId="5184" xr:uid="{00000000-0005-0000-0000-0000A9110000}"/>
    <cellStyle name="Accent3 57" xfId="5185" xr:uid="{00000000-0005-0000-0000-0000AA110000}"/>
    <cellStyle name="Accent3 57 2" xfId="5186" xr:uid="{00000000-0005-0000-0000-0000AB110000}"/>
    <cellStyle name="Accent3 57 2 2" xfId="5187" xr:uid="{00000000-0005-0000-0000-0000AC110000}"/>
    <cellStyle name="Accent3 57 3" xfId="5188" xr:uid="{00000000-0005-0000-0000-0000AD110000}"/>
    <cellStyle name="Accent3 58" xfId="5189" xr:uid="{00000000-0005-0000-0000-0000AE110000}"/>
    <cellStyle name="Accent3 58 2" xfId="5190" xr:uid="{00000000-0005-0000-0000-0000AF110000}"/>
    <cellStyle name="Accent3 58 2 2" xfId="5191" xr:uid="{00000000-0005-0000-0000-0000B0110000}"/>
    <cellStyle name="Accent3 58 3" xfId="5192" xr:uid="{00000000-0005-0000-0000-0000B1110000}"/>
    <cellStyle name="Accent3 58 3 2" xfId="5193" xr:uid="{00000000-0005-0000-0000-0000B2110000}"/>
    <cellStyle name="Accent3 58 3 2 2" xfId="5194" xr:uid="{00000000-0005-0000-0000-0000B3110000}"/>
    <cellStyle name="Accent3 58 3 3" xfId="5195" xr:uid="{00000000-0005-0000-0000-0000B4110000}"/>
    <cellStyle name="Accent3 58 4" xfId="5196" xr:uid="{00000000-0005-0000-0000-0000B5110000}"/>
    <cellStyle name="Accent3 59" xfId="5197" xr:uid="{00000000-0005-0000-0000-0000B6110000}"/>
    <cellStyle name="Accent3 59 2" xfId="5198" xr:uid="{00000000-0005-0000-0000-0000B7110000}"/>
    <cellStyle name="Accent3 59 2 2" xfId="5199" xr:uid="{00000000-0005-0000-0000-0000B8110000}"/>
    <cellStyle name="Accent3 59 3" xfId="5200" xr:uid="{00000000-0005-0000-0000-0000B9110000}"/>
    <cellStyle name="Accent3 59 3 2" xfId="5201" xr:uid="{00000000-0005-0000-0000-0000BA110000}"/>
    <cellStyle name="Accent3 59 3 2 2" xfId="5202" xr:uid="{00000000-0005-0000-0000-0000BB110000}"/>
    <cellStyle name="Accent3 59 3 3" xfId="5203" xr:uid="{00000000-0005-0000-0000-0000BC110000}"/>
    <cellStyle name="Accent3 59 4" xfId="5204" xr:uid="{00000000-0005-0000-0000-0000BD110000}"/>
    <cellStyle name="Accent3 6" xfId="5205" xr:uid="{00000000-0005-0000-0000-0000BE110000}"/>
    <cellStyle name="Accent3 6 2" xfId="5206" xr:uid="{00000000-0005-0000-0000-0000BF110000}"/>
    <cellStyle name="Accent3 6 2 2" xfId="5207" xr:uid="{00000000-0005-0000-0000-0000C0110000}"/>
    <cellStyle name="Accent3 6 2 2 2" xfId="5208" xr:uid="{00000000-0005-0000-0000-0000C1110000}"/>
    <cellStyle name="Accent3 6 2 3" xfId="5209" xr:uid="{00000000-0005-0000-0000-0000C2110000}"/>
    <cellStyle name="Accent3 6 2 3 2" xfId="5210" xr:uid="{00000000-0005-0000-0000-0000C3110000}"/>
    <cellStyle name="Accent3 6 2 3 2 2" xfId="5211" xr:uid="{00000000-0005-0000-0000-0000C4110000}"/>
    <cellStyle name="Accent3 6 2 3 3" xfId="5212" xr:uid="{00000000-0005-0000-0000-0000C5110000}"/>
    <cellStyle name="Accent3 6 2 4" xfId="5213" xr:uid="{00000000-0005-0000-0000-0000C6110000}"/>
    <cellStyle name="Accent3 6 3" xfId="5214" xr:uid="{00000000-0005-0000-0000-0000C7110000}"/>
    <cellStyle name="Accent3 6 3 2" xfId="5215" xr:uid="{00000000-0005-0000-0000-0000C8110000}"/>
    <cellStyle name="Accent3 6 4" xfId="5216" xr:uid="{00000000-0005-0000-0000-0000C9110000}"/>
    <cellStyle name="Accent3 6 4 2" xfId="5217" xr:uid="{00000000-0005-0000-0000-0000CA110000}"/>
    <cellStyle name="Accent3 6 4 2 2" xfId="5218" xr:uid="{00000000-0005-0000-0000-0000CB110000}"/>
    <cellStyle name="Accent3 6 4 3" xfId="5219" xr:uid="{00000000-0005-0000-0000-0000CC110000}"/>
    <cellStyle name="Accent3 6 5" xfId="5220" xr:uid="{00000000-0005-0000-0000-0000CD110000}"/>
    <cellStyle name="Accent3 60" xfId="5221" xr:uid="{00000000-0005-0000-0000-0000CE110000}"/>
    <cellStyle name="Accent3 60 2" xfId="5222" xr:uid="{00000000-0005-0000-0000-0000CF110000}"/>
    <cellStyle name="Accent3 60 2 2" xfId="5223" xr:uid="{00000000-0005-0000-0000-0000D0110000}"/>
    <cellStyle name="Accent3 60 3" xfId="5224" xr:uid="{00000000-0005-0000-0000-0000D1110000}"/>
    <cellStyle name="Accent3 60 3 2" xfId="5225" xr:uid="{00000000-0005-0000-0000-0000D2110000}"/>
    <cellStyle name="Accent3 60 3 2 2" xfId="5226" xr:uid="{00000000-0005-0000-0000-0000D3110000}"/>
    <cellStyle name="Accent3 60 3 3" xfId="5227" xr:uid="{00000000-0005-0000-0000-0000D4110000}"/>
    <cellStyle name="Accent3 60 4" xfId="5228" xr:uid="{00000000-0005-0000-0000-0000D5110000}"/>
    <cellStyle name="Accent3 61" xfId="5229" xr:uid="{00000000-0005-0000-0000-0000D6110000}"/>
    <cellStyle name="Accent3 61 2" xfId="5230" xr:uid="{00000000-0005-0000-0000-0000D7110000}"/>
    <cellStyle name="Accent3 61 2 2" xfId="5231" xr:uid="{00000000-0005-0000-0000-0000D8110000}"/>
    <cellStyle name="Accent3 61 3" xfId="5232" xr:uid="{00000000-0005-0000-0000-0000D9110000}"/>
    <cellStyle name="Accent3 61 3 2" xfId="5233" xr:uid="{00000000-0005-0000-0000-0000DA110000}"/>
    <cellStyle name="Accent3 61 3 2 2" xfId="5234" xr:uid="{00000000-0005-0000-0000-0000DB110000}"/>
    <cellStyle name="Accent3 61 3 3" xfId="5235" xr:uid="{00000000-0005-0000-0000-0000DC110000}"/>
    <cellStyle name="Accent3 61 4" xfId="5236" xr:uid="{00000000-0005-0000-0000-0000DD110000}"/>
    <cellStyle name="Accent3 62" xfId="5237" xr:uid="{00000000-0005-0000-0000-0000DE110000}"/>
    <cellStyle name="Accent3 62 2" xfId="5238" xr:uid="{00000000-0005-0000-0000-0000DF110000}"/>
    <cellStyle name="Accent3 62 2 2" xfId="5239" xr:uid="{00000000-0005-0000-0000-0000E0110000}"/>
    <cellStyle name="Accent3 62 3" xfId="5240" xr:uid="{00000000-0005-0000-0000-0000E1110000}"/>
    <cellStyle name="Accent3 62 3 2" xfId="5241" xr:uid="{00000000-0005-0000-0000-0000E2110000}"/>
    <cellStyle name="Accent3 62 3 2 2" xfId="5242" xr:uid="{00000000-0005-0000-0000-0000E3110000}"/>
    <cellStyle name="Accent3 62 3 3" xfId="5243" xr:uid="{00000000-0005-0000-0000-0000E4110000}"/>
    <cellStyle name="Accent3 62 4" xfId="5244" xr:uid="{00000000-0005-0000-0000-0000E5110000}"/>
    <cellStyle name="Accent3 63" xfId="5245" xr:uid="{00000000-0005-0000-0000-0000E6110000}"/>
    <cellStyle name="Accent3 63 2" xfId="5246" xr:uid="{00000000-0005-0000-0000-0000E7110000}"/>
    <cellStyle name="Accent3 63 2 2" xfId="5247" xr:uid="{00000000-0005-0000-0000-0000E8110000}"/>
    <cellStyle name="Accent3 63 3" xfId="5248" xr:uid="{00000000-0005-0000-0000-0000E9110000}"/>
    <cellStyle name="Accent3 63 3 2" xfId="5249" xr:uid="{00000000-0005-0000-0000-0000EA110000}"/>
    <cellStyle name="Accent3 63 3 2 2" xfId="5250" xr:uid="{00000000-0005-0000-0000-0000EB110000}"/>
    <cellStyle name="Accent3 63 3 3" xfId="5251" xr:uid="{00000000-0005-0000-0000-0000EC110000}"/>
    <cellStyle name="Accent3 63 4" xfId="5252" xr:uid="{00000000-0005-0000-0000-0000ED110000}"/>
    <cellStyle name="Accent3 64" xfId="5253" xr:uid="{00000000-0005-0000-0000-0000EE110000}"/>
    <cellStyle name="Accent3 64 2" xfId="5254" xr:uid="{00000000-0005-0000-0000-0000EF110000}"/>
    <cellStyle name="Accent3 64 2 2" xfId="5255" xr:uid="{00000000-0005-0000-0000-0000F0110000}"/>
    <cellStyle name="Accent3 64 3" xfId="5256" xr:uid="{00000000-0005-0000-0000-0000F1110000}"/>
    <cellStyle name="Accent3 64 3 2" xfId="5257" xr:uid="{00000000-0005-0000-0000-0000F2110000}"/>
    <cellStyle name="Accent3 64 3 2 2" xfId="5258" xr:uid="{00000000-0005-0000-0000-0000F3110000}"/>
    <cellStyle name="Accent3 64 3 3" xfId="5259" xr:uid="{00000000-0005-0000-0000-0000F4110000}"/>
    <cellStyle name="Accent3 64 4" xfId="5260" xr:uid="{00000000-0005-0000-0000-0000F5110000}"/>
    <cellStyle name="Accent3 65" xfId="5261" xr:uid="{00000000-0005-0000-0000-0000F6110000}"/>
    <cellStyle name="Accent3 65 2" xfId="5262" xr:uid="{00000000-0005-0000-0000-0000F7110000}"/>
    <cellStyle name="Accent3 65 2 2" xfId="5263" xr:uid="{00000000-0005-0000-0000-0000F8110000}"/>
    <cellStyle name="Accent3 65 3" xfId="5264" xr:uid="{00000000-0005-0000-0000-0000F9110000}"/>
    <cellStyle name="Accent3 65 3 2" xfId="5265" xr:uid="{00000000-0005-0000-0000-0000FA110000}"/>
    <cellStyle name="Accent3 65 3 2 2" xfId="5266" xr:uid="{00000000-0005-0000-0000-0000FB110000}"/>
    <cellStyle name="Accent3 65 3 3" xfId="5267" xr:uid="{00000000-0005-0000-0000-0000FC110000}"/>
    <cellStyle name="Accent3 65 4" xfId="5268" xr:uid="{00000000-0005-0000-0000-0000FD110000}"/>
    <cellStyle name="Accent3 66" xfId="5269" xr:uid="{00000000-0005-0000-0000-0000FE110000}"/>
    <cellStyle name="Accent3 66 2" xfId="5270" xr:uid="{00000000-0005-0000-0000-0000FF110000}"/>
    <cellStyle name="Accent3 66 2 2" xfId="5271" xr:uid="{00000000-0005-0000-0000-000000120000}"/>
    <cellStyle name="Accent3 66 3" xfId="5272" xr:uid="{00000000-0005-0000-0000-000001120000}"/>
    <cellStyle name="Accent3 66 3 2" xfId="5273" xr:uid="{00000000-0005-0000-0000-000002120000}"/>
    <cellStyle name="Accent3 66 3 2 2" xfId="5274" xr:uid="{00000000-0005-0000-0000-000003120000}"/>
    <cellStyle name="Accent3 66 3 3" xfId="5275" xr:uid="{00000000-0005-0000-0000-000004120000}"/>
    <cellStyle name="Accent3 66 4" xfId="5276" xr:uid="{00000000-0005-0000-0000-000005120000}"/>
    <cellStyle name="Accent3 67" xfId="5277" xr:uid="{00000000-0005-0000-0000-000006120000}"/>
    <cellStyle name="Accent3 67 2" xfId="5278" xr:uid="{00000000-0005-0000-0000-000007120000}"/>
    <cellStyle name="Accent3 67 2 2" xfId="5279" xr:uid="{00000000-0005-0000-0000-000008120000}"/>
    <cellStyle name="Accent3 67 3" xfId="5280" xr:uid="{00000000-0005-0000-0000-000009120000}"/>
    <cellStyle name="Accent3 67 3 2" xfId="5281" xr:uid="{00000000-0005-0000-0000-00000A120000}"/>
    <cellStyle name="Accent3 67 3 2 2" xfId="5282" xr:uid="{00000000-0005-0000-0000-00000B120000}"/>
    <cellStyle name="Accent3 67 3 3" xfId="5283" xr:uid="{00000000-0005-0000-0000-00000C120000}"/>
    <cellStyle name="Accent3 67 4" xfId="5284" xr:uid="{00000000-0005-0000-0000-00000D120000}"/>
    <cellStyle name="Accent3 68" xfId="5285" xr:uid="{00000000-0005-0000-0000-00000E120000}"/>
    <cellStyle name="Accent3 68 2" xfId="5286" xr:uid="{00000000-0005-0000-0000-00000F120000}"/>
    <cellStyle name="Accent3 68 2 2" xfId="5287" xr:uid="{00000000-0005-0000-0000-000010120000}"/>
    <cellStyle name="Accent3 68 3" xfId="5288" xr:uid="{00000000-0005-0000-0000-000011120000}"/>
    <cellStyle name="Accent3 68 3 2" xfId="5289" xr:uid="{00000000-0005-0000-0000-000012120000}"/>
    <cellStyle name="Accent3 68 3 2 2" xfId="5290" xr:uid="{00000000-0005-0000-0000-000013120000}"/>
    <cellStyle name="Accent3 68 3 3" xfId="5291" xr:uid="{00000000-0005-0000-0000-000014120000}"/>
    <cellStyle name="Accent3 68 4" xfId="5292" xr:uid="{00000000-0005-0000-0000-000015120000}"/>
    <cellStyle name="Accent3 69" xfId="5293" xr:uid="{00000000-0005-0000-0000-000016120000}"/>
    <cellStyle name="Accent3 69 2" xfId="5294" xr:uid="{00000000-0005-0000-0000-000017120000}"/>
    <cellStyle name="Accent3 69 2 2" xfId="5295" xr:uid="{00000000-0005-0000-0000-000018120000}"/>
    <cellStyle name="Accent3 69 3" xfId="5296" xr:uid="{00000000-0005-0000-0000-000019120000}"/>
    <cellStyle name="Accent3 69 3 2" xfId="5297" xr:uid="{00000000-0005-0000-0000-00001A120000}"/>
    <cellStyle name="Accent3 69 3 2 2" xfId="5298" xr:uid="{00000000-0005-0000-0000-00001B120000}"/>
    <cellStyle name="Accent3 69 3 3" xfId="5299" xr:uid="{00000000-0005-0000-0000-00001C120000}"/>
    <cellStyle name="Accent3 69 4" xfId="5300" xr:uid="{00000000-0005-0000-0000-00001D120000}"/>
    <cellStyle name="Accent3 7" xfId="5301" xr:uid="{00000000-0005-0000-0000-00001E120000}"/>
    <cellStyle name="Accent3 7 2" xfId="5302" xr:uid="{00000000-0005-0000-0000-00001F120000}"/>
    <cellStyle name="Accent3 7 2 2" xfId="5303" xr:uid="{00000000-0005-0000-0000-000020120000}"/>
    <cellStyle name="Accent3 7 2 2 2" xfId="5304" xr:uid="{00000000-0005-0000-0000-000021120000}"/>
    <cellStyle name="Accent3 7 2 3" xfId="5305" xr:uid="{00000000-0005-0000-0000-000022120000}"/>
    <cellStyle name="Accent3 7 2 3 2" xfId="5306" xr:uid="{00000000-0005-0000-0000-000023120000}"/>
    <cellStyle name="Accent3 7 2 3 2 2" xfId="5307" xr:uid="{00000000-0005-0000-0000-000024120000}"/>
    <cellStyle name="Accent3 7 2 3 3" xfId="5308" xr:uid="{00000000-0005-0000-0000-000025120000}"/>
    <cellStyle name="Accent3 7 2 4" xfId="5309" xr:uid="{00000000-0005-0000-0000-000026120000}"/>
    <cellStyle name="Accent3 7 3" xfId="5310" xr:uid="{00000000-0005-0000-0000-000027120000}"/>
    <cellStyle name="Accent3 7 3 2" xfId="5311" xr:uid="{00000000-0005-0000-0000-000028120000}"/>
    <cellStyle name="Accent3 7 4" xfId="5312" xr:uid="{00000000-0005-0000-0000-000029120000}"/>
    <cellStyle name="Accent3 7 4 2" xfId="5313" xr:uid="{00000000-0005-0000-0000-00002A120000}"/>
    <cellStyle name="Accent3 7 4 2 2" xfId="5314" xr:uid="{00000000-0005-0000-0000-00002B120000}"/>
    <cellStyle name="Accent3 7 4 3" xfId="5315" xr:uid="{00000000-0005-0000-0000-00002C120000}"/>
    <cellStyle name="Accent3 7 5" xfId="5316" xr:uid="{00000000-0005-0000-0000-00002D120000}"/>
    <cellStyle name="Accent3 70" xfId="5317" xr:uid="{00000000-0005-0000-0000-00002E120000}"/>
    <cellStyle name="Accent3 70 2" xfId="5318" xr:uid="{00000000-0005-0000-0000-00002F120000}"/>
    <cellStyle name="Accent3 70 2 2" xfId="5319" xr:uid="{00000000-0005-0000-0000-000030120000}"/>
    <cellStyle name="Accent3 70 3" xfId="5320" xr:uid="{00000000-0005-0000-0000-000031120000}"/>
    <cellStyle name="Accent3 70 3 2" xfId="5321" xr:uid="{00000000-0005-0000-0000-000032120000}"/>
    <cellStyle name="Accent3 70 3 2 2" xfId="5322" xr:uid="{00000000-0005-0000-0000-000033120000}"/>
    <cellStyle name="Accent3 70 3 3" xfId="5323" xr:uid="{00000000-0005-0000-0000-000034120000}"/>
    <cellStyle name="Accent3 70 4" xfId="5324" xr:uid="{00000000-0005-0000-0000-000035120000}"/>
    <cellStyle name="Accent3 71" xfId="5325" xr:uid="{00000000-0005-0000-0000-000036120000}"/>
    <cellStyle name="Accent3 71 2" xfId="5326" xr:uid="{00000000-0005-0000-0000-000037120000}"/>
    <cellStyle name="Accent3 71 2 2" xfId="5327" xr:uid="{00000000-0005-0000-0000-000038120000}"/>
    <cellStyle name="Accent3 71 3" xfId="5328" xr:uid="{00000000-0005-0000-0000-000039120000}"/>
    <cellStyle name="Accent3 71 3 2" xfId="5329" xr:uid="{00000000-0005-0000-0000-00003A120000}"/>
    <cellStyle name="Accent3 71 3 2 2" xfId="5330" xr:uid="{00000000-0005-0000-0000-00003B120000}"/>
    <cellStyle name="Accent3 71 3 3" xfId="5331" xr:uid="{00000000-0005-0000-0000-00003C120000}"/>
    <cellStyle name="Accent3 71 4" xfId="5332" xr:uid="{00000000-0005-0000-0000-00003D120000}"/>
    <cellStyle name="Accent3 72" xfId="5333" xr:uid="{00000000-0005-0000-0000-00003E120000}"/>
    <cellStyle name="Accent3 72 2" xfId="5334" xr:uid="{00000000-0005-0000-0000-00003F120000}"/>
    <cellStyle name="Accent3 72 2 2" xfId="5335" xr:uid="{00000000-0005-0000-0000-000040120000}"/>
    <cellStyle name="Accent3 72 3" xfId="5336" xr:uid="{00000000-0005-0000-0000-000041120000}"/>
    <cellStyle name="Accent3 72 3 2" xfId="5337" xr:uid="{00000000-0005-0000-0000-000042120000}"/>
    <cellStyle name="Accent3 72 3 2 2" xfId="5338" xr:uid="{00000000-0005-0000-0000-000043120000}"/>
    <cellStyle name="Accent3 72 3 3" xfId="5339" xr:uid="{00000000-0005-0000-0000-000044120000}"/>
    <cellStyle name="Accent3 72 4" xfId="5340" xr:uid="{00000000-0005-0000-0000-000045120000}"/>
    <cellStyle name="Accent3 73" xfId="5341" xr:uid="{00000000-0005-0000-0000-000046120000}"/>
    <cellStyle name="Accent3 73 2" xfId="5342" xr:uid="{00000000-0005-0000-0000-000047120000}"/>
    <cellStyle name="Accent3 73 2 2" xfId="5343" xr:uid="{00000000-0005-0000-0000-000048120000}"/>
    <cellStyle name="Accent3 73 3" xfId="5344" xr:uid="{00000000-0005-0000-0000-000049120000}"/>
    <cellStyle name="Accent3 73 3 2" xfId="5345" xr:uid="{00000000-0005-0000-0000-00004A120000}"/>
    <cellStyle name="Accent3 73 3 2 2" xfId="5346" xr:uid="{00000000-0005-0000-0000-00004B120000}"/>
    <cellStyle name="Accent3 73 3 3" xfId="5347" xr:uid="{00000000-0005-0000-0000-00004C120000}"/>
    <cellStyle name="Accent3 73 4" xfId="5348" xr:uid="{00000000-0005-0000-0000-00004D120000}"/>
    <cellStyle name="Accent3 74" xfId="5349" xr:uid="{00000000-0005-0000-0000-00004E120000}"/>
    <cellStyle name="Accent3 74 2" xfId="5350" xr:uid="{00000000-0005-0000-0000-00004F120000}"/>
    <cellStyle name="Accent3 74 2 2" xfId="5351" xr:uid="{00000000-0005-0000-0000-000050120000}"/>
    <cellStyle name="Accent3 74 3" xfId="5352" xr:uid="{00000000-0005-0000-0000-000051120000}"/>
    <cellStyle name="Accent3 74 3 2" xfId="5353" xr:uid="{00000000-0005-0000-0000-000052120000}"/>
    <cellStyle name="Accent3 74 3 2 2" xfId="5354" xr:uid="{00000000-0005-0000-0000-000053120000}"/>
    <cellStyle name="Accent3 74 3 3" xfId="5355" xr:uid="{00000000-0005-0000-0000-000054120000}"/>
    <cellStyle name="Accent3 74 4" xfId="5356" xr:uid="{00000000-0005-0000-0000-000055120000}"/>
    <cellStyle name="Accent3 75" xfId="5357" xr:uid="{00000000-0005-0000-0000-000056120000}"/>
    <cellStyle name="Accent3 75 2" xfId="5358" xr:uid="{00000000-0005-0000-0000-000057120000}"/>
    <cellStyle name="Accent3 75 2 2" xfId="5359" xr:uid="{00000000-0005-0000-0000-000058120000}"/>
    <cellStyle name="Accent3 75 3" xfId="5360" xr:uid="{00000000-0005-0000-0000-000059120000}"/>
    <cellStyle name="Accent3 75 3 2" xfId="5361" xr:uid="{00000000-0005-0000-0000-00005A120000}"/>
    <cellStyle name="Accent3 75 3 2 2" xfId="5362" xr:uid="{00000000-0005-0000-0000-00005B120000}"/>
    <cellStyle name="Accent3 75 3 3" xfId="5363" xr:uid="{00000000-0005-0000-0000-00005C120000}"/>
    <cellStyle name="Accent3 75 4" xfId="5364" xr:uid="{00000000-0005-0000-0000-00005D120000}"/>
    <cellStyle name="Accent3 76" xfId="5365" xr:uid="{00000000-0005-0000-0000-00005E120000}"/>
    <cellStyle name="Accent3 76 2" xfId="5366" xr:uid="{00000000-0005-0000-0000-00005F120000}"/>
    <cellStyle name="Accent3 76 2 2" xfId="5367" xr:uid="{00000000-0005-0000-0000-000060120000}"/>
    <cellStyle name="Accent3 76 3" xfId="5368" xr:uid="{00000000-0005-0000-0000-000061120000}"/>
    <cellStyle name="Accent3 76 3 2" xfId="5369" xr:uid="{00000000-0005-0000-0000-000062120000}"/>
    <cellStyle name="Accent3 76 3 2 2" xfId="5370" xr:uid="{00000000-0005-0000-0000-000063120000}"/>
    <cellStyle name="Accent3 76 3 3" xfId="5371" xr:uid="{00000000-0005-0000-0000-000064120000}"/>
    <cellStyle name="Accent3 76 4" xfId="5372" xr:uid="{00000000-0005-0000-0000-000065120000}"/>
    <cellStyle name="Accent3 77" xfId="5373" xr:uid="{00000000-0005-0000-0000-000066120000}"/>
    <cellStyle name="Accent3 77 2" xfId="5374" xr:uid="{00000000-0005-0000-0000-000067120000}"/>
    <cellStyle name="Accent3 77 2 2" xfId="5375" xr:uid="{00000000-0005-0000-0000-000068120000}"/>
    <cellStyle name="Accent3 77 3" xfId="5376" xr:uid="{00000000-0005-0000-0000-000069120000}"/>
    <cellStyle name="Accent3 77 3 2" xfId="5377" xr:uid="{00000000-0005-0000-0000-00006A120000}"/>
    <cellStyle name="Accent3 77 3 2 2" xfId="5378" xr:uid="{00000000-0005-0000-0000-00006B120000}"/>
    <cellStyle name="Accent3 77 3 3" xfId="5379" xr:uid="{00000000-0005-0000-0000-00006C120000}"/>
    <cellStyle name="Accent3 77 4" xfId="5380" xr:uid="{00000000-0005-0000-0000-00006D120000}"/>
    <cellStyle name="Accent3 78" xfId="5381" xr:uid="{00000000-0005-0000-0000-00006E120000}"/>
    <cellStyle name="Accent3 78 2" xfId="5382" xr:uid="{00000000-0005-0000-0000-00006F120000}"/>
    <cellStyle name="Accent3 78 2 2" xfId="5383" xr:uid="{00000000-0005-0000-0000-000070120000}"/>
    <cellStyle name="Accent3 78 3" xfId="5384" xr:uid="{00000000-0005-0000-0000-000071120000}"/>
    <cellStyle name="Accent3 78 3 2" xfId="5385" xr:uid="{00000000-0005-0000-0000-000072120000}"/>
    <cellStyle name="Accent3 78 3 2 2" xfId="5386" xr:uid="{00000000-0005-0000-0000-000073120000}"/>
    <cellStyle name="Accent3 78 3 3" xfId="5387" xr:uid="{00000000-0005-0000-0000-000074120000}"/>
    <cellStyle name="Accent3 78 4" xfId="5388" xr:uid="{00000000-0005-0000-0000-000075120000}"/>
    <cellStyle name="Accent3 79" xfId="5389" xr:uid="{00000000-0005-0000-0000-000076120000}"/>
    <cellStyle name="Accent3 79 2" xfId="5390" xr:uid="{00000000-0005-0000-0000-000077120000}"/>
    <cellStyle name="Accent3 79 2 2" xfId="5391" xr:uid="{00000000-0005-0000-0000-000078120000}"/>
    <cellStyle name="Accent3 79 3" xfId="5392" xr:uid="{00000000-0005-0000-0000-000079120000}"/>
    <cellStyle name="Accent3 79 3 2" xfId="5393" xr:uid="{00000000-0005-0000-0000-00007A120000}"/>
    <cellStyle name="Accent3 79 3 2 2" xfId="5394" xr:uid="{00000000-0005-0000-0000-00007B120000}"/>
    <cellStyle name="Accent3 79 3 3" xfId="5395" xr:uid="{00000000-0005-0000-0000-00007C120000}"/>
    <cellStyle name="Accent3 79 4" xfId="5396" xr:uid="{00000000-0005-0000-0000-00007D120000}"/>
    <cellStyle name="Accent3 8" xfId="5397" xr:uid="{00000000-0005-0000-0000-00007E120000}"/>
    <cellStyle name="Accent3 8 2" xfId="5398" xr:uid="{00000000-0005-0000-0000-00007F120000}"/>
    <cellStyle name="Accent3 8 2 2" xfId="5399" xr:uid="{00000000-0005-0000-0000-000080120000}"/>
    <cellStyle name="Accent3 8 3" xfId="5400" xr:uid="{00000000-0005-0000-0000-000081120000}"/>
    <cellStyle name="Accent3 80" xfId="5401" xr:uid="{00000000-0005-0000-0000-000082120000}"/>
    <cellStyle name="Accent3 80 2" xfId="5402" xr:uid="{00000000-0005-0000-0000-000083120000}"/>
    <cellStyle name="Accent3 80 2 2" xfId="5403" xr:uid="{00000000-0005-0000-0000-000084120000}"/>
    <cellStyle name="Accent3 80 3" xfId="5404" xr:uid="{00000000-0005-0000-0000-000085120000}"/>
    <cellStyle name="Accent3 80 3 2" xfId="5405" xr:uid="{00000000-0005-0000-0000-000086120000}"/>
    <cellStyle name="Accent3 80 3 2 2" xfId="5406" xr:uid="{00000000-0005-0000-0000-000087120000}"/>
    <cellStyle name="Accent3 80 3 3" xfId="5407" xr:uid="{00000000-0005-0000-0000-000088120000}"/>
    <cellStyle name="Accent3 80 4" xfId="5408" xr:uid="{00000000-0005-0000-0000-000089120000}"/>
    <cellStyle name="Accent3 81" xfId="5409" xr:uid="{00000000-0005-0000-0000-00008A120000}"/>
    <cellStyle name="Accent3 81 2" xfId="5410" xr:uid="{00000000-0005-0000-0000-00008B120000}"/>
    <cellStyle name="Accent3 81 2 2" xfId="5411" xr:uid="{00000000-0005-0000-0000-00008C120000}"/>
    <cellStyle name="Accent3 81 3" xfId="5412" xr:uid="{00000000-0005-0000-0000-00008D120000}"/>
    <cellStyle name="Accent3 81 3 2" xfId="5413" xr:uid="{00000000-0005-0000-0000-00008E120000}"/>
    <cellStyle name="Accent3 81 3 2 2" xfId="5414" xr:uid="{00000000-0005-0000-0000-00008F120000}"/>
    <cellStyle name="Accent3 81 3 3" xfId="5415" xr:uid="{00000000-0005-0000-0000-000090120000}"/>
    <cellStyle name="Accent3 81 4" xfId="5416" xr:uid="{00000000-0005-0000-0000-000091120000}"/>
    <cellStyle name="Accent3 82" xfId="5417" xr:uid="{00000000-0005-0000-0000-000092120000}"/>
    <cellStyle name="Accent3 82 2" xfId="5418" xr:uid="{00000000-0005-0000-0000-000093120000}"/>
    <cellStyle name="Accent3 82 2 2" xfId="5419" xr:uid="{00000000-0005-0000-0000-000094120000}"/>
    <cellStyle name="Accent3 82 3" xfId="5420" xr:uid="{00000000-0005-0000-0000-000095120000}"/>
    <cellStyle name="Accent3 82 3 2" xfId="5421" xr:uid="{00000000-0005-0000-0000-000096120000}"/>
    <cellStyle name="Accent3 82 3 2 2" xfId="5422" xr:uid="{00000000-0005-0000-0000-000097120000}"/>
    <cellStyle name="Accent3 82 3 3" xfId="5423" xr:uid="{00000000-0005-0000-0000-000098120000}"/>
    <cellStyle name="Accent3 82 4" xfId="5424" xr:uid="{00000000-0005-0000-0000-000099120000}"/>
    <cellStyle name="Accent3 83" xfId="5425" xr:uid="{00000000-0005-0000-0000-00009A120000}"/>
    <cellStyle name="Accent3 83 2" xfId="5426" xr:uid="{00000000-0005-0000-0000-00009B120000}"/>
    <cellStyle name="Accent3 83 2 2" xfId="5427" xr:uid="{00000000-0005-0000-0000-00009C120000}"/>
    <cellStyle name="Accent3 83 3" xfId="5428" xr:uid="{00000000-0005-0000-0000-00009D120000}"/>
    <cellStyle name="Accent3 83 3 2" xfId="5429" xr:uid="{00000000-0005-0000-0000-00009E120000}"/>
    <cellStyle name="Accent3 83 3 2 2" xfId="5430" xr:uid="{00000000-0005-0000-0000-00009F120000}"/>
    <cellStyle name="Accent3 83 3 3" xfId="5431" xr:uid="{00000000-0005-0000-0000-0000A0120000}"/>
    <cellStyle name="Accent3 83 4" xfId="5432" xr:uid="{00000000-0005-0000-0000-0000A1120000}"/>
    <cellStyle name="Accent3 84" xfId="5433" xr:uid="{00000000-0005-0000-0000-0000A2120000}"/>
    <cellStyle name="Accent3 84 2" xfId="5434" xr:uid="{00000000-0005-0000-0000-0000A3120000}"/>
    <cellStyle name="Accent3 84 2 2" xfId="5435" xr:uid="{00000000-0005-0000-0000-0000A4120000}"/>
    <cellStyle name="Accent3 84 3" xfId="5436" xr:uid="{00000000-0005-0000-0000-0000A5120000}"/>
    <cellStyle name="Accent3 85" xfId="5437" xr:uid="{00000000-0005-0000-0000-0000A6120000}"/>
    <cellStyle name="Accent3 85 2" xfId="5438" xr:uid="{00000000-0005-0000-0000-0000A7120000}"/>
    <cellStyle name="Accent3 85 2 2" xfId="5439" xr:uid="{00000000-0005-0000-0000-0000A8120000}"/>
    <cellStyle name="Accent3 85 3" xfId="5440" xr:uid="{00000000-0005-0000-0000-0000A9120000}"/>
    <cellStyle name="Accent3 86" xfId="5441" xr:uid="{00000000-0005-0000-0000-0000AA120000}"/>
    <cellStyle name="Accent3 86 2" xfId="5442" xr:uid="{00000000-0005-0000-0000-0000AB120000}"/>
    <cellStyle name="Accent3 86 2 2" xfId="5443" xr:uid="{00000000-0005-0000-0000-0000AC120000}"/>
    <cellStyle name="Accent3 86 3" xfId="5444" xr:uid="{00000000-0005-0000-0000-0000AD120000}"/>
    <cellStyle name="Accent3 87" xfId="5445" xr:uid="{00000000-0005-0000-0000-0000AE120000}"/>
    <cellStyle name="Accent3 87 2" xfId="5446" xr:uid="{00000000-0005-0000-0000-0000AF120000}"/>
    <cellStyle name="Accent3 87 2 2" xfId="5447" xr:uid="{00000000-0005-0000-0000-0000B0120000}"/>
    <cellStyle name="Accent3 87 3" xfId="5448" xr:uid="{00000000-0005-0000-0000-0000B1120000}"/>
    <cellStyle name="Accent3 88" xfId="5449" xr:uid="{00000000-0005-0000-0000-0000B2120000}"/>
    <cellStyle name="Accent3 88 2" xfId="5450" xr:uid="{00000000-0005-0000-0000-0000B3120000}"/>
    <cellStyle name="Accent3 88 2 2" xfId="5451" xr:uid="{00000000-0005-0000-0000-0000B4120000}"/>
    <cellStyle name="Accent3 88 3" xfId="5452" xr:uid="{00000000-0005-0000-0000-0000B5120000}"/>
    <cellStyle name="Accent3 89" xfId="5453" xr:uid="{00000000-0005-0000-0000-0000B6120000}"/>
    <cellStyle name="Accent3 89 2" xfId="5454" xr:uid="{00000000-0005-0000-0000-0000B7120000}"/>
    <cellStyle name="Accent3 89 2 2" xfId="5455" xr:uid="{00000000-0005-0000-0000-0000B8120000}"/>
    <cellStyle name="Accent3 89 3" xfId="5456" xr:uid="{00000000-0005-0000-0000-0000B9120000}"/>
    <cellStyle name="Accent3 9" xfId="5457" xr:uid="{00000000-0005-0000-0000-0000BA120000}"/>
    <cellStyle name="Accent3 9 2" xfId="5458" xr:uid="{00000000-0005-0000-0000-0000BB120000}"/>
    <cellStyle name="Accent3 9 2 2" xfId="5459" xr:uid="{00000000-0005-0000-0000-0000BC120000}"/>
    <cellStyle name="Accent3 9 3" xfId="5460" xr:uid="{00000000-0005-0000-0000-0000BD120000}"/>
    <cellStyle name="Accent3 90" xfId="5461" xr:uid="{00000000-0005-0000-0000-0000BE120000}"/>
    <cellStyle name="Accent3 90 2" xfId="5462" xr:uid="{00000000-0005-0000-0000-0000BF120000}"/>
    <cellStyle name="Accent3 90 2 2" xfId="5463" xr:uid="{00000000-0005-0000-0000-0000C0120000}"/>
    <cellStyle name="Accent3 90 3" xfId="5464" xr:uid="{00000000-0005-0000-0000-0000C1120000}"/>
    <cellStyle name="Accent3 91" xfId="5465" xr:uid="{00000000-0005-0000-0000-0000C2120000}"/>
    <cellStyle name="Accent3 91 2" xfId="5466" xr:uid="{00000000-0005-0000-0000-0000C3120000}"/>
    <cellStyle name="Accent3 91 2 2" xfId="5467" xr:uid="{00000000-0005-0000-0000-0000C4120000}"/>
    <cellStyle name="Accent3 91 3" xfId="5468" xr:uid="{00000000-0005-0000-0000-0000C5120000}"/>
    <cellStyle name="Accent3 92" xfId="5469" xr:uid="{00000000-0005-0000-0000-0000C6120000}"/>
    <cellStyle name="Accent3 92 2" xfId="5470" xr:uid="{00000000-0005-0000-0000-0000C7120000}"/>
    <cellStyle name="Accent3 92 2 2" xfId="5471" xr:uid="{00000000-0005-0000-0000-0000C8120000}"/>
    <cellStyle name="Accent3 92 3" xfId="5472" xr:uid="{00000000-0005-0000-0000-0000C9120000}"/>
    <cellStyle name="Accent3 93" xfId="5473" xr:uid="{00000000-0005-0000-0000-0000CA120000}"/>
    <cellStyle name="Accent3 93 2" xfId="5474" xr:uid="{00000000-0005-0000-0000-0000CB120000}"/>
    <cellStyle name="Accent3 93 2 2" xfId="5475" xr:uid="{00000000-0005-0000-0000-0000CC120000}"/>
    <cellStyle name="Accent3 93 3" xfId="5476" xr:uid="{00000000-0005-0000-0000-0000CD120000}"/>
    <cellStyle name="Accent3 94" xfId="5477" xr:uid="{00000000-0005-0000-0000-0000CE120000}"/>
    <cellStyle name="Accent3 94 2" xfId="5478" xr:uid="{00000000-0005-0000-0000-0000CF120000}"/>
    <cellStyle name="Accent3 94 2 2" xfId="5479" xr:uid="{00000000-0005-0000-0000-0000D0120000}"/>
    <cellStyle name="Accent3 94 3" xfId="5480" xr:uid="{00000000-0005-0000-0000-0000D1120000}"/>
    <cellStyle name="Accent3 95" xfId="5481" xr:uid="{00000000-0005-0000-0000-0000D2120000}"/>
    <cellStyle name="Accent3 95 2" xfId="5482" xr:uid="{00000000-0005-0000-0000-0000D3120000}"/>
    <cellStyle name="Accent3 95 2 2" xfId="5483" xr:uid="{00000000-0005-0000-0000-0000D4120000}"/>
    <cellStyle name="Accent3 95 3" xfId="5484" xr:uid="{00000000-0005-0000-0000-0000D5120000}"/>
    <cellStyle name="Accent3 96" xfId="5485" xr:uid="{00000000-0005-0000-0000-0000D6120000}"/>
    <cellStyle name="Accent3 96 2" xfId="5486" xr:uid="{00000000-0005-0000-0000-0000D7120000}"/>
    <cellStyle name="Accent3 96 2 2" xfId="5487" xr:uid="{00000000-0005-0000-0000-0000D8120000}"/>
    <cellStyle name="Accent3 96 3" xfId="5488" xr:uid="{00000000-0005-0000-0000-0000D9120000}"/>
    <cellStyle name="Accent3 97" xfId="5489" xr:uid="{00000000-0005-0000-0000-0000DA120000}"/>
    <cellStyle name="Accent3 97 2" xfId="5490" xr:uid="{00000000-0005-0000-0000-0000DB120000}"/>
    <cellStyle name="Accent3 97 2 2" xfId="5491" xr:uid="{00000000-0005-0000-0000-0000DC120000}"/>
    <cellStyle name="Accent3 97 3" xfId="5492" xr:uid="{00000000-0005-0000-0000-0000DD120000}"/>
    <cellStyle name="Accent3 98" xfId="5493" xr:uid="{00000000-0005-0000-0000-0000DE120000}"/>
    <cellStyle name="Accent3 98 2" xfId="5494" xr:uid="{00000000-0005-0000-0000-0000DF120000}"/>
    <cellStyle name="Accent3 98 2 2" xfId="5495" xr:uid="{00000000-0005-0000-0000-0000E0120000}"/>
    <cellStyle name="Accent3 98 3" xfId="5496" xr:uid="{00000000-0005-0000-0000-0000E1120000}"/>
    <cellStyle name="Accent3 99" xfId="5497" xr:uid="{00000000-0005-0000-0000-0000E2120000}"/>
    <cellStyle name="Accent3 99 2" xfId="5498" xr:uid="{00000000-0005-0000-0000-0000E3120000}"/>
    <cellStyle name="Accent3 99 2 2" xfId="5499" xr:uid="{00000000-0005-0000-0000-0000E4120000}"/>
    <cellStyle name="Accent3 99 3" xfId="5500" xr:uid="{00000000-0005-0000-0000-0000E5120000}"/>
    <cellStyle name="Accent4 - 20%" xfId="10" xr:uid="{00000000-0005-0000-0000-0000E6120000}"/>
    <cellStyle name="Accent4 - 20% 10" xfId="5501" xr:uid="{00000000-0005-0000-0000-0000E7120000}"/>
    <cellStyle name="Accent4 - 20% 11" xfId="5502" xr:uid="{00000000-0005-0000-0000-0000E8120000}"/>
    <cellStyle name="Accent4 - 20% 2" xfId="5503" xr:uid="{00000000-0005-0000-0000-0000E9120000}"/>
    <cellStyle name="Accent4 - 20% 2 2" xfId="5504" xr:uid="{00000000-0005-0000-0000-0000EA120000}"/>
    <cellStyle name="Accent4 - 20% 2 2 2" xfId="5505" xr:uid="{00000000-0005-0000-0000-0000EB120000}"/>
    <cellStyle name="Accent4 - 20% 2 2 2 2" xfId="5506" xr:uid="{00000000-0005-0000-0000-0000EC120000}"/>
    <cellStyle name="Accent4 - 20% 2 2 3" xfId="5507" xr:uid="{00000000-0005-0000-0000-0000ED120000}"/>
    <cellStyle name="Accent4 - 20% 2 3" xfId="5508" xr:uid="{00000000-0005-0000-0000-0000EE120000}"/>
    <cellStyle name="Accent4 - 20% 2 3 2" xfId="5509" xr:uid="{00000000-0005-0000-0000-0000EF120000}"/>
    <cellStyle name="Accent4 - 20% 2 3 2 2" xfId="5510" xr:uid="{00000000-0005-0000-0000-0000F0120000}"/>
    <cellStyle name="Accent4 - 20% 2 3 2 2 2" xfId="5511" xr:uid="{00000000-0005-0000-0000-0000F1120000}"/>
    <cellStyle name="Accent4 - 20% 2 3 2 3" xfId="5512" xr:uid="{00000000-0005-0000-0000-0000F2120000}"/>
    <cellStyle name="Accent4 - 20% 2 3 3" xfId="5513" xr:uid="{00000000-0005-0000-0000-0000F3120000}"/>
    <cellStyle name="Accent4 - 20% 2 3 3 2" xfId="5514" xr:uid="{00000000-0005-0000-0000-0000F4120000}"/>
    <cellStyle name="Accent4 - 20% 2 3 4" xfId="5515" xr:uid="{00000000-0005-0000-0000-0000F5120000}"/>
    <cellStyle name="Accent4 - 20% 2 4" xfId="5516" xr:uid="{00000000-0005-0000-0000-0000F6120000}"/>
    <cellStyle name="Accent4 - 20% 2 4 2" xfId="5517" xr:uid="{00000000-0005-0000-0000-0000F7120000}"/>
    <cellStyle name="Accent4 - 20% 2 4 2 2" xfId="5518" xr:uid="{00000000-0005-0000-0000-0000F8120000}"/>
    <cellStyle name="Accent4 - 20% 2 4 2 2 2" xfId="5519" xr:uid="{00000000-0005-0000-0000-0000F9120000}"/>
    <cellStyle name="Accent4 - 20% 2 4 2 3" xfId="5520" xr:uid="{00000000-0005-0000-0000-0000FA120000}"/>
    <cellStyle name="Accent4 - 20% 2 4 3" xfId="5521" xr:uid="{00000000-0005-0000-0000-0000FB120000}"/>
    <cellStyle name="Accent4 - 20% 2 4 3 2" xfId="5522" xr:uid="{00000000-0005-0000-0000-0000FC120000}"/>
    <cellStyle name="Accent4 - 20% 2 4 4" xfId="5523" xr:uid="{00000000-0005-0000-0000-0000FD120000}"/>
    <cellStyle name="Accent4 - 20% 2 5" xfId="5524" xr:uid="{00000000-0005-0000-0000-0000FE120000}"/>
    <cellStyle name="Accent4 - 20% 2 5 2" xfId="5525" xr:uid="{00000000-0005-0000-0000-0000FF120000}"/>
    <cellStyle name="Accent4 - 20% 2 6" xfId="5526" xr:uid="{00000000-0005-0000-0000-000000130000}"/>
    <cellStyle name="Accent4 - 20% 2 6 2" xfId="5527" xr:uid="{00000000-0005-0000-0000-000001130000}"/>
    <cellStyle name="Accent4 - 20% 2 7" xfId="5528" xr:uid="{00000000-0005-0000-0000-000002130000}"/>
    <cellStyle name="Accent4 - 20% 3" xfId="5529" xr:uid="{00000000-0005-0000-0000-000003130000}"/>
    <cellStyle name="Accent4 - 20% 3 2" xfId="5530" xr:uid="{00000000-0005-0000-0000-000004130000}"/>
    <cellStyle name="Accent4 - 20% 3 2 2" xfId="5531" xr:uid="{00000000-0005-0000-0000-000005130000}"/>
    <cellStyle name="Accent4 - 20% 3 2 2 2" xfId="5532" xr:uid="{00000000-0005-0000-0000-000006130000}"/>
    <cellStyle name="Accent4 - 20% 3 2 3" xfId="5533" xr:uid="{00000000-0005-0000-0000-000007130000}"/>
    <cellStyle name="Accent4 - 20% 3 3" xfId="5534" xr:uid="{00000000-0005-0000-0000-000008130000}"/>
    <cellStyle name="Accent4 - 20% 3 3 2" xfId="5535" xr:uid="{00000000-0005-0000-0000-000009130000}"/>
    <cellStyle name="Accent4 - 20% 3 4" xfId="5536" xr:uid="{00000000-0005-0000-0000-00000A130000}"/>
    <cellStyle name="Accent4 - 20% 4" xfId="5537" xr:uid="{00000000-0005-0000-0000-00000B130000}"/>
    <cellStyle name="Accent4 - 20% 4 2" xfId="5538" xr:uid="{00000000-0005-0000-0000-00000C130000}"/>
    <cellStyle name="Accent4 - 20% 4 2 2" xfId="5539" xr:uid="{00000000-0005-0000-0000-00000D130000}"/>
    <cellStyle name="Accent4 - 20% 4 3" xfId="5540" xr:uid="{00000000-0005-0000-0000-00000E130000}"/>
    <cellStyle name="Accent4 - 20% 5" xfId="5541" xr:uid="{00000000-0005-0000-0000-00000F130000}"/>
    <cellStyle name="Accent4 - 20% 5 2" xfId="5542" xr:uid="{00000000-0005-0000-0000-000010130000}"/>
    <cellStyle name="Accent4 - 20% 5 2 2" xfId="5543" xr:uid="{00000000-0005-0000-0000-000011130000}"/>
    <cellStyle name="Accent4 - 20% 5 3" xfId="5544" xr:uid="{00000000-0005-0000-0000-000012130000}"/>
    <cellStyle name="Accent4 - 20% 6" xfId="5545" xr:uid="{00000000-0005-0000-0000-000013130000}"/>
    <cellStyle name="Accent4 - 20% 6 2" xfId="5546" xr:uid="{00000000-0005-0000-0000-000014130000}"/>
    <cellStyle name="Accent4 - 20% 7" xfId="5547" xr:uid="{00000000-0005-0000-0000-000015130000}"/>
    <cellStyle name="Accent4 - 20% 7 2" xfId="5548" xr:uid="{00000000-0005-0000-0000-000016130000}"/>
    <cellStyle name="Accent4 - 20% 8" xfId="5549" xr:uid="{00000000-0005-0000-0000-000017130000}"/>
    <cellStyle name="Accent4 - 20% 8 2" xfId="5550" xr:uid="{00000000-0005-0000-0000-000018130000}"/>
    <cellStyle name="Accent4 - 20% 9" xfId="5551" xr:uid="{00000000-0005-0000-0000-000019130000}"/>
    <cellStyle name="Accent4 - 20% 9 2" xfId="5552" xr:uid="{00000000-0005-0000-0000-00001A130000}"/>
    <cellStyle name="Accent4 - 40%" xfId="11" xr:uid="{00000000-0005-0000-0000-00001B130000}"/>
    <cellStyle name="Accent4 - 40% 10" xfId="5553" xr:uid="{00000000-0005-0000-0000-00001C130000}"/>
    <cellStyle name="Accent4 - 40% 11" xfId="5554" xr:uid="{00000000-0005-0000-0000-00001D130000}"/>
    <cellStyle name="Accent4 - 40% 2" xfId="5555" xr:uid="{00000000-0005-0000-0000-00001E130000}"/>
    <cellStyle name="Accent4 - 40% 2 2" xfId="5556" xr:uid="{00000000-0005-0000-0000-00001F130000}"/>
    <cellStyle name="Accent4 - 40% 2 2 2" xfId="5557" xr:uid="{00000000-0005-0000-0000-000020130000}"/>
    <cellStyle name="Accent4 - 40% 2 2 2 2" xfId="5558" xr:uid="{00000000-0005-0000-0000-000021130000}"/>
    <cellStyle name="Accent4 - 40% 2 2 3" xfId="5559" xr:uid="{00000000-0005-0000-0000-000022130000}"/>
    <cellStyle name="Accent4 - 40% 2 3" xfId="5560" xr:uid="{00000000-0005-0000-0000-000023130000}"/>
    <cellStyle name="Accent4 - 40% 2 3 2" xfId="5561" xr:uid="{00000000-0005-0000-0000-000024130000}"/>
    <cellStyle name="Accent4 - 40% 2 3 2 2" xfId="5562" xr:uid="{00000000-0005-0000-0000-000025130000}"/>
    <cellStyle name="Accent4 - 40% 2 3 2 2 2" xfId="5563" xr:uid="{00000000-0005-0000-0000-000026130000}"/>
    <cellStyle name="Accent4 - 40% 2 3 2 3" xfId="5564" xr:uid="{00000000-0005-0000-0000-000027130000}"/>
    <cellStyle name="Accent4 - 40% 2 3 3" xfId="5565" xr:uid="{00000000-0005-0000-0000-000028130000}"/>
    <cellStyle name="Accent4 - 40% 2 3 3 2" xfId="5566" xr:uid="{00000000-0005-0000-0000-000029130000}"/>
    <cellStyle name="Accent4 - 40% 2 3 4" xfId="5567" xr:uid="{00000000-0005-0000-0000-00002A130000}"/>
    <cellStyle name="Accent4 - 40% 2 4" xfId="5568" xr:uid="{00000000-0005-0000-0000-00002B130000}"/>
    <cellStyle name="Accent4 - 40% 2 4 2" xfId="5569" xr:uid="{00000000-0005-0000-0000-00002C130000}"/>
    <cellStyle name="Accent4 - 40% 2 4 2 2" xfId="5570" xr:uid="{00000000-0005-0000-0000-00002D130000}"/>
    <cellStyle name="Accent4 - 40% 2 4 2 2 2" xfId="5571" xr:uid="{00000000-0005-0000-0000-00002E130000}"/>
    <cellStyle name="Accent4 - 40% 2 4 2 3" xfId="5572" xr:uid="{00000000-0005-0000-0000-00002F130000}"/>
    <cellStyle name="Accent4 - 40% 2 4 3" xfId="5573" xr:uid="{00000000-0005-0000-0000-000030130000}"/>
    <cellStyle name="Accent4 - 40% 2 4 3 2" xfId="5574" xr:uid="{00000000-0005-0000-0000-000031130000}"/>
    <cellStyle name="Accent4 - 40% 2 4 4" xfId="5575" xr:uid="{00000000-0005-0000-0000-000032130000}"/>
    <cellStyle name="Accent4 - 40% 2 5" xfId="5576" xr:uid="{00000000-0005-0000-0000-000033130000}"/>
    <cellStyle name="Accent4 - 40% 2 5 2" xfId="5577" xr:uid="{00000000-0005-0000-0000-000034130000}"/>
    <cellStyle name="Accent4 - 40% 2 6" xfId="5578" xr:uid="{00000000-0005-0000-0000-000035130000}"/>
    <cellStyle name="Accent4 - 40% 2 6 2" xfId="5579" xr:uid="{00000000-0005-0000-0000-000036130000}"/>
    <cellStyle name="Accent4 - 40% 2 7" xfId="5580" xr:uid="{00000000-0005-0000-0000-000037130000}"/>
    <cellStyle name="Accent4 - 40% 3" xfId="5581" xr:uid="{00000000-0005-0000-0000-000038130000}"/>
    <cellStyle name="Accent4 - 40% 3 2" xfId="5582" xr:uid="{00000000-0005-0000-0000-000039130000}"/>
    <cellStyle name="Accent4 - 40% 3 2 2" xfId="5583" xr:uid="{00000000-0005-0000-0000-00003A130000}"/>
    <cellStyle name="Accent4 - 40% 3 2 2 2" xfId="5584" xr:uid="{00000000-0005-0000-0000-00003B130000}"/>
    <cellStyle name="Accent4 - 40% 3 2 3" xfId="5585" xr:uid="{00000000-0005-0000-0000-00003C130000}"/>
    <cellStyle name="Accent4 - 40% 3 3" xfId="5586" xr:uid="{00000000-0005-0000-0000-00003D130000}"/>
    <cellStyle name="Accent4 - 40% 3 3 2" xfId="5587" xr:uid="{00000000-0005-0000-0000-00003E130000}"/>
    <cellStyle name="Accent4 - 40% 3 4" xfId="5588" xr:uid="{00000000-0005-0000-0000-00003F130000}"/>
    <cellStyle name="Accent4 - 40% 4" xfId="5589" xr:uid="{00000000-0005-0000-0000-000040130000}"/>
    <cellStyle name="Accent4 - 40% 4 2" xfId="5590" xr:uid="{00000000-0005-0000-0000-000041130000}"/>
    <cellStyle name="Accent4 - 40% 4 2 2" xfId="5591" xr:uid="{00000000-0005-0000-0000-000042130000}"/>
    <cellStyle name="Accent4 - 40% 4 3" xfId="5592" xr:uid="{00000000-0005-0000-0000-000043130000}"/>
    <cellStyle name="Accent4 - 40% 5" xfId="5593" xr:uid="{00000000-0005-0000-0000-000044130000}"/>
    <cellStyle name="Accent4 - 40% 5 2" xfId="5594" xr:uid="{00000000-0005-0000-0000-000045130000}"/>
    <cellStyle name="Accent4 - 40% 5 2 2" xfId="5595" xr:uid="{00000000-0005-0000-0000-000046130000}"/>
    <cellStyle name="Accent4 - 40% 5 3" xfId="5596" xr:uid="{00000000-0005-0000-0000-000047130000}"/>
    <cellStyle name="Accent4 - 40% 6" xfId="5597" xr:uid="{00000000-0005-0000-0000-000048130000}"/>
    <cellStyle name="Accent4 - 40% 6 2" xfId="5598" xr:uid="{00000000-0005-0000-0000-000049130000}"/>
    <cellStyle name="Accent4 - 40% 7" xfId="5599" xr:uid="{00000000-0005-0000-0000-00004A130000}"/>
    <cellStyle name="Accent4 - 40% 7 2" xfId="5600" xr:uid="{00000000-0005-0000-0000-00004B130000}"/>
    <cellStyle name="Accent4 - 40% 8" xfId="5601" xr:uid="{00000000-0005-0000-0000-00004C130000}"/>
    <cellStyle name="Accent4 - 40% 8 2" xfId="5602" xr:uid="{00000000-0005-0000-0000-00004D130000}"/>
    <cellStyle name="Accent4 - 40% 9" xfId="5603" xr:uid="{00000000-0005-0000-0000-00004E130000}"/>
    <cellStyle name="Accent4 - 40% 9 2" xfId="5604" xr:uid="{00000000-0005-0000-0000-00004F130000}"/>
    <cellStyle name="Accent4 - 60%" xfId="12" xr:uid="{00000000-0005-0000-0000-000050130000}"/>
    <cellStyle name="Accent4 - 60% 10" xfId="5605" xr:uid="{00000000-0005-0000-0000-000051130000}"/>
    <cellStyle name="Accent4 - 60% 2" xfId="5606" xr:uid="{00000000-0005-0000-0000-000052130000}"/>
    <cellStyle name="Accent4 - 60% 2 2" xfId="5607" xr:uid="{00000000-0005-0000-0000-000053130000}"/>
    <cellStyle name="Accent4 - 60% 2 2 2" xfId="5608" xr:uid="{00000000-0005-0000-0000-000054130000}"/>
    <cellStyle name="Accent4 - 60% 2 3" xfId="5609" xr:uid="{00000000-0005-0000-0000-000055130000}"/>
    <cellStyle name="Accent4 - 60% 2 3 2" xfId="5610" xr:uid="{00000000-0005-0000-0000-000056130000}"/>
    <cellStyle name="Accent4 - 60% 2 3 2 2" xfId="5611" xr:uid="{00000000-0005-0000-0000-000057130000}"/>
    <cellStyle name="Accent4 - 60% 2 3 3" xfId="5612" xr:uid="{00000000-0005-0000-0000-000058130000}"/>
    <cellStyle name="Accent4 - 60% 2 4" xfId="5613" xr:uid="{00000000-0005-0000-0000-000059130000}"/>
    <cellStyle name="Accent4 - 60% 2 4 2" xfId="5614" xr:uid="{00000000-0005-0000-0000-00005A130000}"/>
    <cellStyle name="Accent4 - 60% 2 4 2 2" xfId="5615" xr:uid="{00000000-0005-0000-0000-00005B130000}"/>
    <cellStyle name="Accent4 - 60% 2 4 3" xfId="5616" xr:uid="{00000000-0005-0000-0000-00005C130000}"/>
    <cellStyle name="Accent4 - 60% 2 5" xfId="5617" xr:uid="{00000000-0005-0000-0000-00005D130000}"/>
    <cellStyle name="Accent4 - 60% 3" xfId="5618" xr:uid="{00000000-0005-0000-0000-00005E130000}"/>
    <cellStyle name="Accent4 - 60% 3 2" xfId="5619" xr:uid="{00000000-0005-0000-0000-00005F130000}"/>
    <cellStyle name="Accent4 - 60% 3 2 2" xfId="5620" xr:uid="{00000000-0005-0000-0000-000060130000}"/>
    <cellStyle name="Accent4 - 60% 3 3" xfId="5621" xr:uid="{00000000-0005-0000-0000-000061130000}"/>
    <cellStyle name="Accent4 - 60% 4" xfId="5622" xr:uid="{00000000-0005-0000-0000-000062130000}"/>
    <cellStyle name="Accent4 - 60% 4 2" xfId="5623" xr:uid="{00000000-0005-0000-0000-000063130000}"/>
    <cellStyle name="Accent4 - 60% 5" xfId="5624" xr:uid="{00000000-0005-0000-0000-000064130000}"/>
    <cellStyle name="Accent4 - 60% 5 2" xfId="5625" xr:uid="{00000000-0005-0000-0000-000065130000}"/>
    <cellStyle name="Accent4 - 60% 6" xfId="5626" xr:uid="{00000000-0005-0000-0000-000066130000}"/>
    <cellStyle name="Accent4 - 60% 6 2" xfId="5627" xr:uid="{00000000-0005-0000-0000-000067130000}"/>
    <cellStyle name="Accent4 - 60% 6 2 2" xfId="5628" xr:uid="{00000000-0005-0000-0000-000068130000}"/>
    <cellStyle name="Accent4 - 60% 6 3" xfId="5629" xr:uid="{00000000-0005-0000-0000-000069130000}"/>
    <cellStyle name="Accent4 - 60% 7" xfId="5630" xr:uid="{00000000-0005-0000-0000-00006A130000}"/>
    <cellStyle name="Accent4 - 60% 7 2" xfId="5631" xr:uid="{00000000-0005-0000-0000-00006B130000}"/>
    <cellStyle name="Accent4 - 60% 8" xfId="5632" xr:uid="{00000000-0005-0000-0000-00006C130000}"/>
    <cellStyle name="Accent4 - 60% 8 2" xfId="5633" xr:uid="{00000000-0005-0000-0000-00006D130000}"/>
    <cellStyle name="Accent4 - 60% 9" xfId="5634" xr:uid="{00000000-0005-0000-0000-00006E130000}"/>
    <cellStyle name="Accent4 10" xfId="5635" xr:uid="{00000000-0005-0000-0000-00006F130000}"/>
    <cellStyle name="Accent4 10 2" xfId="5636" xr:uid="{00000000-0005-0000-0000-000070130000}"/>
    <cellStyle name="Accent4 10 2 2" xfId="5637" xr:uid="{00000000-0005-0000-0000-000071130000}"/>
    <cellStyle name="Accent4 10 3" xfId="5638" xr:uid="{00000000-0005-0000-0000-000072130000}"/>
    <cellStyle name="Accent4 100" xfId="5639" xr:uid="{00000000-0005-0000-0000-000073130000}"/>
    <cellStyle name="Accent4 100 2" xfId="5640" xr:uid="{00000000-0005-0000-0000-000074130000}"/>
    <cellStyle name="Accent4 100 2 2" xfId="5641" xr:uid="{00000000-0005-0000-0000-000075130000}"/>
    <cellStyle name="Accent4 100 3" xfId="5642" xr:uid="{00000000-0005-0000-0000-000076130000}"/>
    <cellStyle name="Accent4 101" xfId="5643" xr:uid="{00000000-0005-0000-0000-000077130000}"/>
    <cellStyle name="Accent4 101 2" xfId="5644" xr:uid="{00000000-0005-0000-0000-000078130000}"/>
    <cellStyle name="Accent4 101 2 2" xfId="5645" xr:uid="{00000000-0005-0000-0000-000079130000}"/>
    <cellStyle name="Accent4 101 3" xfId="5646" xr:uid="{00000000-0005-0000-0000-00007A130000}"/>
    <cellStyle name="Accent4 102" xfId="5647" xr:uid="{00000000-0005-0000-0000-00007B130000}"/>
    <cellStyle name="Accent4 102 2" xfId="5648" xr:uid="{00000000-0005-0000-0000-00007C130000}"/>
    <cellStyle name="Accent4 103" xfId="5649" xr:uid="{00000000-0005-0000-0000-00007D130000}"/>
    <cellStyle name="Accent4 103 2" xfId="5650" xr:uid="{00000000-0005-0000-0000-00007E130000}"/>
    <cellStyle name="Accent4 104" xfId="5651" xr:uid="{00000000-0005-0000-0000-00007F130000}"/>
    <cellStyle name="Accent4 104 2" xfId="5652" xr:uid="{00000000-0005-0000-0000-000080130000}"/>
    <cellStyle name="Accent4 104 2 2" xfId="5653" xr:uid="{00000000-0005-0000-0000-000081130000}"/>
    <cellStyle name="Accent4 104 3" xfId="5654" xr:uid="{00000000-0005-0000-0000-000082130000}"/>
    <cellStyle name="Accent4 105" xfId="5655" xr:uid="{00000000-0005-0000-0000-000083130000}"/>
    <cellStyle name="Accent4 105 2" xfId="5656" xr:uid="{00000000-0005-0000-0000-000084130000}"/>
    <cellStyle name="Accent4 105 2 2" xfId="5657" xr:uid="{00000000-0005-0000-0000-000085130000}"/>
    <cellStyle name="Accent4 105 3" xfId="5658" xr:uid="{00000000-0005-0000-0000-000086130000}"/>
    <cellStyle name="Accent4 106" xfId="5659" xr:uid="{00000000-0005-0000-0000-000087130000}"/>
    <cellStyle name="Accent4 106 2" xfId="5660" xr:uid="{00000000-0005-0000-0000-000088130000}"/>
    <cellStyle name="Accent4 106 2 2" xfId="5661" xr:uid="{00000000-0005-0000-0000-000089130000}"/>
    <cellStyle name="Accent4 106 3" xfId="5662" xr:uid="{00000000-0005-0000-0000-00008A130000}"/>
    <cellStyle name="Accent4 107" xfId="5663" xr:uid="{00000000-0005-0000-0000-00008B130000}"/>
    <cellStyle name="Accent4 107 2" xfId="5664" xr:uid="{00000000-0005-0000-0000-00008C130000}"/>
    <cellStyle name="Accent4 107 2 2" xfId="5665" xr:uid="{00000000-0005-0000-0000-00008D130000}"/>
    <cellStyle name="Accent4 107 3" xfId="5666" xr:uid="{00000000-0005-0000-0000-00008E130000}"/>
    <cellStyle name="Accent4 108" xfId="5667" xr:uid="{00000000-0005-0000-0000-00008F130000}"/>
    <cellStyle name="Accent4 108 2" xfId="5668" xr:uid="{00000000-0005-0000-0000-000090130000}"/>
    <cellStyle name="Accent4 108 2 2" xfId="5669" xr:uid="{00000000-0005-0000-0000-000091130000}"/>
    <cellStyle name="Accent4 108 3" xfId="5670" xr:uid="{00000000-0005-0000-0000-000092130000}"/>
    <cellStyle name="Accent4 109" xfId="5671" xr:uid="{00000000-0005-0000-0000-000093130000}"/>
    <cellStyle name="Accent4 109 2" xfId="5672" xr:uid="{00000000-0005-0000-0000-000094130000}"/>
    <cellStyle name="Accent4 109 2 2" xfId="5673" xr:uid="{00000000-0005-0000-0000-000095130000}"/>
    <cellStyle name="Accent4 109 3" xfId="5674" xr:uid="{00000000-0005-0000-0000-000096130000}"/>
    <cellStyle name="Accent4 11" xfId="5675" xr:uid="{00000000-0005-0000-0000-000097130000}"/>
    <cellStyle name="Accent4 11 2" xfId="5676" xr:uid="{00000000-0005-0000-0000-000098130000}"/>
    <cellStyle name="Accent4 11 2 2" xfId="5677" xr:uid="{00000000-0005-0000-0000-000099130000}"/>
    <cellStyle name="Accent4 11 3" xfId="5678" xr:uid="{00000000-0005-0000-0000-00009A130000}"/>
    <cellStyle name="Accent4 110" xfId="5679" xr:uid="{00000000-0005-0000-0000-00009B130000}"/>
    <cellStyle name="Accent4 110 2" xfId="5680" xr:uid="{00000000-0005-0000-0000-00009C130000}"/>
    <cellStyle name="Accent4 110 2 2" xfId="5681" xr:uid="{00000000-0005-0000-0000-00009D130000}"/>
    <cellStyle name="Accent4 110 3" xfId="5682" xr:uid="{00000000-0005-0000-0000-00009E130000}"/>
    <cellStyle name="Accent4 111" xfId="5683" xr:uid="{00000000-0005-0000-0000-00009F130000}"/>
    <cellStyle name="Accent4 111 2" xfId="5684" xr:uid="{00000000-0005-0000-0000-0000A0130000}"/>
    <cellStyle name="Accent4 111 2 2" xfId="5685" xr:uid="{00000000-0005-0000-0000-0000A1130000}"/>
    <cellStyle name="Accent4 111 3" xfId="5686" xr:uid="{00000000-0005-0000-0000-0000A2130000}"/>
    <cellStyle name="Accent4 112" xfId="5687" xr:uid="{00000000-0005-0000-0000-0000A3130000}"/>
    <cellStyle name="Accent4 112 2" xfId="5688" xr:uid="{00000000-0005-0000-0000-0000A4130000}"/>
    <cellStyle name="Accent4 112 2 2" xfId="5689" xr:uid="{00000000-0005-0000-0000-0000A5130000}"/>
    <cellStyle name="Accent4 112 3" xfId="5690" xr:uid="{00000000-0005-0000-0000-0000A6130000}"/>
    <cellStyle name="Accent4 113" xfId="5691" xr:uid="{00000000-0005-0000-0000-0000A7130000}"/>
    <cellStyle name="Accent4 113 2" xfId="5692" xr:uid="{00000000-0005-0000-0000-0000A8130000}"/>
    <cellStyle name="Accent4 113 2 2" xfId="5693" xr:uid="{00000000-0005-0000-0000-0000A9130000}"/>
    <cellStyle name="Accent4 113 3" xfId="5694" xr:uid="{00000000-0005-0000-0000-0000AA130000}"/>
    <cellStyle name="Accent4 114" xfId="5695" xr:uid="{00000000-0005-0000-0000-0000AB130000}"/>
    <cellStyle name="Accent4 114 2" xfId="5696" xr:uid="{00000000-0005-0000-0000-0000AC130000}"/>
    <cellStyle name="Accent4 115" xfId="5697" xr:uid="{00000000-0005-0000-0000-0000AD130000}"/>
    <cellStyle name="Accent4 115 2" xfId="5698" xr:uid="{00000000-0005-0000-0000-0000AE130000}"/>
    <cellStyle name="Accent4 116" xfId="5699" xr:uid="{00000000-0005-0000-0000-0000AF130000}"/>
    <cellStyle name="Accent4 116 2" xfId="5700" xr:uid="{00000000-0005-0000-0000-0000B0130000}"/>
    <cellStyle name="Accent4 117" xfId="5701" xr:uid="{00000000-0005-0000-0000-0000B1130000}"/>
    <cellStyle name="Accent4 117 2" xfId="5702" xr:uid="{00000000-0005-0000-0000-0000B2130000}"/>
    <cellStyle name="Accent4 118" xfId="5703" xr:uid="{00000000-0005-0000-0000-0000B3130000}"/>
    <cellStyle name="Accent4 118 2" xfId="5704" xr:uid="{00000000-0005-0000-0000-0000B4130000}"/>
    <cellStyle name="Accent4 119" xfId="5705" xr:uid="{00000000-0005-0000-0000-0000B5130000}"/>
    <cellStyle name="Accent4 119 2" xfId="5706" xr:uid="{00000000-0005-0000-0000-0000B6130000}"/>
    <cellStyle name="Accent4 12" xfId="5707" xr:uid="{00000000-0005-0000-0000-0000B7130000}"/>
    <cellStyle name="Accent4 12 2" xfId="5708" xr:uid="{00000000-0005-0000-0000-0000B8130000}"/>
    <cellStyle name="Accent4 12 2 2" xfId="5709" xr:uid="{00000000-0005-0000-0000-0000B9130000}"/>
    <cellStyle name="Accent4 12 3" xfId="5710" xr:uid="{00000000-0005-0000-0000-0000BA130000}"/>
    <cellStyle name="Accent4 120" xfId="5711" xr:uid="{00000000-0005-0000-0000-0000BB130000}"/>
    <cellStyle name="Accent4 120 2" xfId="5712" xr:uid="{00000000-0005-0000-0000-0000BC130000}"/>
    <cellStyle name="Accent4 121" xfId="5713" xr:uid="{00000000-0005-0000-0000-0000BD130000}"/>
    <cellStyle name="Accent4 121 2" xfId="5714" xr:uid="{00000000-0005-0000-0000-0000BE130000}"/>
    <cellStyle name="Accent4 122" xfId="5715" xr:uid="{00000000-0005-0000-0000-0000BF130000}"/>
    <cellStyle name="Accent4 122 2" xfId="5716" xr:uid="{00000000-0005-0000-0000-0000C0130000}"/>
    <cellStyle name="Accent4 123" xfId="5717" xr:uid="{00000000-0005-0000-0000-0000C1130000}"/>
    <cellStyle name="Accent4 123 2" xfId="5718" xr:uid="{00000000-0005-0000-0000-0000C2130000}"/>
    <cellStyle name="Accent4 124" xfId="5719" xr:uid="{00000000-0005-0000-0000-0000C3130000}"/>
    <cellStyle name="Accent4 124 2" xfId="5720" xr:uid="{00000000-0005-0000-0000-0000C4130000}"/>
    <cellStyle name="Accent4 125" xfId="5721" xr:uid="{00000000-0005-0000-0000-0000C5130000}"/>
    <cellStyle name="Accent4 125 2" xfId="5722" xr:uid="{00000000-0005-0000-0000-0000C6130000}"/>
    <cellStyle name="Accent4 126" xfId="5723" xr:uid="{00000000-0005-0000-0000-0000C7130000}"/>
    <cellStyle name="Accent4 127" xfId="5724" xr:uid="{00000000-0005-0000-0000-0000C8130000}"/>
    <cellStyle name="Accent4 128" xfId="5725" xr:uid="{00000000-0005-0000-0000-0000C9130000}"/>
    <cellStyle name="Accent4 129" xfId="5726" xr:uid="{00000000-0005-0000-0000-0000CA130000}"/>
    <cellStyle name="Accent4 13" xfId="5727" xr:uid="{00000000-0005-0000-0000-0000CB130000}"/>
    <cellStyle name="Accent4 13 2" xfId="5728" xr:uid="{00000000-0005-0000-0000-0000CC130000}"/>
    <cellStyle name="Accent4 13 2 2" xfId="5729" xr:uid="{00000000-0005-0000-0000-0000CD130000}"/>
    <cellStyle name="Accent4 13 3" xfId="5730" xr:uid="{00000000-0005-0000-0000-0000CE130000}"/>
    <cellStyle name="Accent4 130" xfId="5731" xr:uid="{00000000-0005-0000-0000-0000CF130000}"/>
    <cellStyle name="Accent4 131" xfId="5732" xr:uid="{00000000-0005-0000-0000-0000D0130000}"/>
    <cellStyle name="Accent4 132" xfId="5733" xr:uid="{00000000-0005-0000-0000-0000D1130000}"/>
    <cellStyle name="Accent4 133" xfId="5734" xr:uid="{00000000-0005-0000-0000-0000D2130000}"/>
    <cellStyle name="Accent4 134" xfId="5735" xr:uid="{00000000-0005-0000-0000-0000D3130000}"/>
    <cellStyle name="Accent4 135" xfId="5736" xr:uid="{00000000-0005-0000-0000-0000D4130000}"/>
    <cellStyle name="Accent4 136" xfId="5737" xr:uid="{00000000-0005-0000-0000-0000D5130000}"/>
    <cellStyle name="Accent4 137" xfId="5738" xr:uid="{00000000-0005-0000-0000-0000D6130000}"/>
    <cellStyle name="Accent4 138" xfId="5739" xr:uid="{00000000-0005-0000-0000-0000D7130000}"/>
    <cellStyle name="Accent4 139" xfId="5740" xr:uid="{00000000-0005-0000-0000-0000D8130000}"/>
    <cellStyle name="Accent4 14" xfId="5741" xr:uid="{00000000-0005-0000-0000-0000D9130000}"/>
    <cellStyle name="Accent4 14 2" xfId="5742" xr:uid="{00000000-0005-0000-0000-0000DA130000}"/>
    <cellStyle name="Accent4 14 2 2" xfId="5743" xr:uid="{00000000-0005-0000-0000-0000DB130000}"/>
    <cellStyle name="Accent4 14 3" xfId="5744" xr:uid="{00000000-0005-0000-0000-0000DC130000}"/>
    <cellStyle name="Accent4 140" xfId="5745" xr:uid="{00000000-0005-0000-0000-0000DD130000}"/>
    <cellStyle name="Accent4 141" xfId="5746" xr:uid="{00000000-0005-0000-0000-0000DE130000}"/>
    <cellStyle name="Accent4 142" xfId="5747" xr:uid="{00000000-0005-0000-0000-0000DF130000}"/>
    <cellStyle name="Accent4 143" xfId="5748" xr:uid="{00000000-0005-0000-0000-0000E0130000}"/>
    <cellStyle name="Accent4 144" xfId="5749" xr:uid="{00000000-0005-0000-0000-0000E1130000}"/>
    <cellStyle name="Accent4 145" xfId="5750" xr:uid="{00000000-0005-0000-0000-0000E2130000}"/>
    <cellStyle name="Accent4 146" xfId="5751" xr:uid="{00000000-0005-0000-0000-0000E3130000}"/>
    <cellStyle name="Accent4 147" xfId="5752" xr:uid="{00000000-0005-0000-0000-0000E4130000}"/>
    <cellStyle name="Accent4 148" xfId="5753" xr:uid="{00000000-0005-0000-0000-0000E5130000}"/>
    <cellStyle name="Accent4 149" xfId="5754" xr:uid="{00000000-0005-0000-0000-0000E6130000}"/>
    <cellStyle name="Accent4 15" xfId="5755" xr:uid="{00000000-0005-0000-0000-0000E7130000}"/>
    <cellStyle name="Accent4 15 2" xfId="5756" xr:uid="{00000000-0005-0000-0000-0000E8130000}"/>
    <cellStyle name="Accent4 15 2 2" xfId="5757" xr:uid="{00000000-0005-0000-0000-0000E9130000}"/>
    <cellStyle name="Accent4 15 3" xfId="5758" xr:uid="{00000000-0005-0000-0000-0000EA130000}"/>
    <cellStyle name="Accent4 150" xfId="5759" xr:uid="{00000000-0005-0000-0000-0000EB130000}"/>
    <cellStyle name="Accent4 151" xfId="5760" xr:uid="{00000000-0005-0000-0000-0000EC130000}"/>
    <cellStyle name="Accent4 152" xfId="5761" xr:uid="{00000000-0005-0000-0000-0000ED130000}"/>
    <cellStyle name="Accent4 153" xfId="5762" xr:uid="{00000000-0005-0000-0000-0000EE130000}"/>
    <cellStyle name="Accent4 154" xfId="5763" xr:uid="{00000000-0005-0000-0000-0000EF130000}"/>
    <cellStyle name="Accent4 155" xfId="5764" xr:uid="{00000000-0005-0000-0000-0000F0130000}"/>
    <cellStyle name="Accent4 156" xfId="5765" xr:uid="{00000000-0005-0000-0000-0000F1130000}"/>
    <cellStyle name="Accent4 157" xfId="5766" xr:uid="{00000000-0005-0000-0000-0000F2130000}"/>
    <cellStyle name="Accent4 158" xfId="5767" xr:uid="{00000000-0005-0000-0000-0000F3130000}"/>
    <cellStyle name="Accent4 159" xfId="5768" xr:uid="{00000000-0005-0000-0000-0000F4130000}"/>
    <cellStyle name="Accent4 16" xfId="5769" xr:uid="{00000000-0005-0000-0000-0000F5130000}"/>
    <cellStyle name="Accent4 16 2" xfId="5770" xr:uid="{00000000-0005-0000-0000-0000F6130000}"/>
    <cellStyle name="Accent4 16 2 2" xfId="5771" xr:uid="{00000000-0005-0000-0000-0000F7130000}"/>
    <cellStyle name="Accent4 16 3" xfId="5772" xr:uid="{00000000-0005-0000-0000-0000F8130000}"/>
    <cellStyle name="Accent4 160" xfId="5773" xr:uid="{00000000-0005-0000-0000-0000F9130000}"/>
    <cellStyle name="Accent4 161" xfId="5774" xr:uid="{00000000-0005-0000-0000-0000FA130000}"/>
    <cellStyle name="Accent4 162" xfId="5775" xr:uid="{00000000-0005-0000-0000-0000FB130000}"/>
    <cellStyle name="Accent4 163" xfId="5776" xr:uid="{00000000-0005-0000-0000-0000FC130000}"/>
    <cellStyle name="Accent4 164" xfId="5777" xr:uid="{00000000-0005-0000-0000-0000FD130000}"/>
    <cellStyle name="Accent4 165" xfId="5778" xr:uid="{00000000-0005-0000-0000-0000FE130000}"/>
    <cellStyle name="Accent4 166" xfId="5779" xr:uid="{00000000-0005-0000-0000-0000FF130000}"/>
    <cellStyle name="Accent4 167" xfId="5780" xr:uid="{00000000-0005-0000-0000-000000140000}"/>
    <cellStyle name="Accent4 168" xfId="5781" xr:uid="{00000000-0005-0000-0000-000001140000}"/>
    <cellStyle name="Accent4 169" xfId="5782" xr:uid="{00000000-0005-0000-0000-000002140000}"/>
    <cellStyle name="Accent4 17" xfId="5783" xr:uid="{00000000-0005-0000-0000-000003140000}"/>
    <cellStyle name="Accent4 17 2" xfId="5784" xr:uid="{00000000-0005-0000-0000-000004140000}"/>
    <cellStyle name="Accent4 17 2 2" xfId="5785" xr:uid="{00000000-0005-0000-0000-000005140000}"/>
    <cellStyle name="Accent4 17 3" xfId="5786" xr:uid="{00000000-0005-0000-0000-000006140000}"/>
    <cellStyle name="Accent4 170" xfId="5787" xr:uid="{00000000-0005-0000-0000-000007140000}"/>
    <cellStyle name="Accent4 171" xfId="5788" xr:uid="{00000000-0005-0000-0000-000008140000}"/>
    <cellStyle name="Accent4 172" xfId="5789" xr:uid="{00000000-0005-0000-0000-000009140000}"/>
    <cellStyle name="Accent4 173" xfId="5790" xr:uid="{00000000-0005-0000-0000-00000A140000}"/>
    <cellStyle name="Accent4 174" xfId="5791" xr:uid="{00000000-0005-0000-0000-00000B140000}"/>
    <cellStyle name="Accent4 175" xfId="5792" xr:uid="{00000000-0005-0000-0000-00000C140000}"/>
    <cellStyle name="Accent4 176" xfId="5793" xr:uid="{00000000-0005-0000-0000-00000D140000}"/>
    <cellStyle name="Accent4 177" xfId="5794" xr:uid="{00000000-0005-0000-0000-00000E140000}"/>
    <cellStyle name="Accent4 178" xfId="5795" xr:uid="{00000000-0005-0000-0000-00000F140000}"/>
    <cellStyle name="Accent4 179" xfId="5796" xr:uid="{00000000-0005-0000-0000-000010140000}"/>
    <cellStyle name="Accent4 18" xfId="5797" xr:uid="{00000000-0005-0000-0000-000011140000}"/>
    <cellStyle name="Accent4 18 2" xfId="5798" xr:uid="{00000000-0005-0000-0000-000012140000}"/>
    <cellStyle name="Accent4 18 2 2" xfId="5799" xr:uid="{00000000-0005-0000-0000-000013140000}"/>
    <cellStyle name="Accent4 18 3" xfId="5800" xr:uid="{00000000-0005-0000-0000-000014140000}"/>
    <cellStyle name="Accent4 19" xfId="5801" xr:uid="{00000000-0005-0000-0000-000015140000}"/>
    <cellStyle name="Accent4 19 2" xfId="5802" xr:uid="{00000000-0005-0000-0000-000016140000}"/>
    <cellStyle name="Accent4 19 2 2" xfId="5803" xr:uid="{00000000-0005-0000-0000-000017140000}"/>
    <cellStyle name="Accent4 19 3" xfId="5804" xr:uid="{00000000-0005-0000-0000-000018140000}"/>
    <cellStyle name="Accent4 2" xfId="5805" xr:uid="{00000000-0005-0000-0000-000019140000}"/>
    <cellStyle name="Accent4 2 10" xfId="5806" xr:uid="{00000000-0005-0000-0000-00001A140000}"/>
    <cellStyle name="Accent4 2 10 2" xfId="5807" xr:uid="{00000000-0005-0000-0000-00001B140000}"/>
    <cellStyle name="Accent4 2 11" xfId="5808" xr:uid="{00000000-0005-0000-0000-00001C140000}"/>
    <cellStyle name="Accent4 2 12" xfId="5809" xr:uid="{00000000-0005-0000-0000-00001D140000}"/>
    <cellStyle name="Accent4 2 2" xfId="5810" xr:uid="{00000000-0005-0000-0000-00001E140000}"/>
    <cellStyle name="Accent4 2 2 2" xfId="5811" xr:uid="{00000000-0005-0000-0000-00001F140000}"/>
    <cellStyle name="Accent4 2 2 2 2" xfId="5812" xr:uid="{00000000-0005-0000-0000-000020140000}"/>
    <cellStyle name="Accent4 2 2 3" xfId="5813" xr:uid="{00000000-0005-0000-0000-000021140000}"/>
    <cellStyle name="Accent4 2 2 3 2" xfId="5814" xr:uid="{00000000-0005-0000-0000-000022140000}"/>
    <cellStyle name="Accent4 2 2 3 2 2" xfId="5815" xr:uid="{00000000-0005-0000-0000-000023140000}"/>
    <cellStyle name="Accent4 2 2 3 3" xfId="5816" xr:uid="{00000000-0005-0000-0000-000024140000}"/>
    <cellStyle name="Accent4 2 2 4" xfId="5817" xr:uid="{00000000-0005-0000-0000-000025140000}"/>
    <cellStyle name="Accent4 2 3" xfId="5818" xr:uid="{00000000-0005-0000-0000-000026140000}"/>
    <cellStyle name="Accent4 2 3 2" xfId="5819" xr:uid="{00000000-0005-0000-0000-000027140000}"/>
    <cellStyle name="Accent4 2 3 2 2" xfId="5820" xr:uid="{00000000-0005-0000-0000-000028140000}"/>
    <cellStyle name="Accent4 2 3 3" xfId="5821" xr:uid="{00000000-0005-0000-0000-000029140000}"/>
    <cellStyle name="Accent4 2 3 3 2" xfId="5822" xr:uid="{00000000-0005-0000-0000-00002A140000}"/>
    <cellStyle name="Accent4 2 3 3 2 2" xfId="5823" xr:uid="{00000000-0005-0000-0000-00002B140000}"/>
    <cellStyle name="Accent4 2 3 3 3" xfId="5824" xr:uid="{00000000-0005-0000-0000-00002C140000}"/>
    <cellStyle name="Accent4 2 3 4" xfId="5825" xr:uid="{00000000-0005-0000-0000-00002D140000}"/>
    <cellStyle name="Accent4 2 4" xfId="5826" xr:uid="{00000000-0005-0000-0000-00002E140000}"/>
    <cellStyle name="Accent4 2 4 2" xfId="5827" xr:uid="{00000000-0005-0000-0000-00002F140000}"/>
    <cellStyle name="Accent4 2 4 2 2" xfId="5828" xr:uid="{00000000-0005-0000-0000-000030140000}"/>
    <cellStyle name="Accent4 2 4 3" xfId="5829" xr:uid="{00000000-0005-0000-0000-000031140000}"/>
    <cellStyle name="Accent4 2 5" xfId="5830" xr:uid="{00000000-0005-0000-0000-000032140000}"/>
    <cellStyle name="Accent4 2 5 2" xfId="5831" xr:uid="{00000000-0005-0000-0000-000033140000}"/>
    <cellStyle name="Accent4 2 5 2 2" xfId="5832" xr:uid="{00000000-0005-0000-0000-000034140000}"/>
    <cellStyle name="Accent4 2 5 3" xfId="5833" xr:uid="{00000000-0005-0000-0000-000035140000}"/>
    <cellStyle name="Accent4 2 5 3 2" xfId="5834" xr:uid="{00000000-0005-0000-0000-000036140000}"/>
    <cellStyle name="Accent4 2 5 3 2 2" xfId="5835" xr:uid="{00000000-0005-0000-0000-000037140000}"/>
    <cellStyle name="Accent4 2 5 3 3" xfId="5836" xr:uid="{00000000-0005-0000-0000-000038140000}"/>
    <cellStyle name="Accent4 2 5 4" xfId="5837" xr:uid="{00000000-0005-0000-0000-000039140000}"/>
    <cellStyle name="Accent4 2 6" xfId="5838" xr:uid="{00000000-0005-0000-0000-00003A140000}"/>
    <cellStyle name="Accent4 2 6 2" xfId="5839" xr:uid="{00000000-0005-0000-0000-00003B140000}"/>
    <cellStyle name="Accent4 2 6 2 2" xfId="5840" xr:uid="{00000000-0005-0000-0000-00003C140000}"/>
    <cellStyle name="Accent4 2 6 3" xfId="5841" xr:uid="{00000000-0005-0000-0000-00003D140000}"/>
    <cellStyle name="Accent4 2 6 3 2" xfId="5842" xr:uid="{00000000-0005-0000-0000-00003E140000}"/>
    <cellStyle name="Accent4 2 6 4" xfId="5843" xr:uid="{00000000-0005-0000-0000-00003F140000}"/>
    <cellStyle name="Accent4 2 7" xfId="5844" xr:uid="{00000000-0005-0000-0000-000040140000}"/>
    <cellStyle name="Accent4 2 7 2" xfId="5845" xr:uid="{00000000-0005-0000-0000-000041140000}"/>
    <cellStyle name="Accent4 2 8" xfId="5846" xr:uid="{00000000-0005-0000-0000-000042140000}"/>
    <cellStyle name="Accent4 2 8 2" xfId="5847" xr:uid="{00000000-0005-0000-0000-000043140000}"/>
    <cellStyle name="Accent4 2 8 2 2" xfId="5848" xr:uid="{00000000-0005-0000-0000-000044140000}"/>
    <cellStyle name="Accent4 2 8 3" xfId="5849" xr:uid="{00000000-0005-0000-0000-000045140000}"/>
    <cellStyle name="Accent4 2 9" xfId="5850" xr:uid="{00000000-0005-0000-0000-000046140000}"/>
    <cellStyle name="Accent4 2 9 2" xfId="5851" xr:uid="{00000000-0005-0000-0000-000047140000}"/>
    <cellStyle name="Accent4 2 9 2 2" xfId="5852" xr:uid="{00000000-0005-0000-0000-000048140000}"/>
    <cellStyle name="Accent4 2 9 3" xfId="5853" xr:uid="{00000000-0005-0000-0000-000049140000}"/>
    <cellStyle name="Accent4 20" xfId="5854" xr:uid="{00000000-0005-0000-0000-00004A140000}"/>
    <cellStyle name="Accent4 20 2" xfId="5855" xr:uid="{00000000-0005-0000-0000-00004B140000}"/>
    <cellStyle name="Accent4 20 2 2" xfId="5856" xr:uid="{00000000-0005-0000-0000-00004C140000}"/>
    <cellStyle name="Accent4 20 3" xfId="5857" xr:uid="{00000000-0005-0000-0000-00004D140000}"/>
    <cellStyle name="Accent4 21" xfId="5858" xr:uid="{00000000-0005-0000-0000-00004E140000}"/>
    <cellStyle name="Accent4 21 2" xfId="5859" xr:uid="{00000000-0005-0000-0000-00004F140000}"/>
    <cellStyle name="Accent4 21 2 2" xfId="5860" xr:uid="{00000000-0005-0000-0000-000050140000}"/>
    <cellStyle name="Accent4 21 3" xfId="5861" xr:uid="{00000000-0005-0000-0000-000051140000}"/>
    <cellStyle name="Accent4 22" xfId="5862" xr:uid="{00000000-0005-0000-0000-000052140000}"/>
    <cellStyle name="Accent4 22 2" xfId="5863" xr:uid="{00000000-0005-0000-0000-000053140000}"/>
    <cellStyle name="Accent4 22 2 2" xfId="5864" xr:uid="{00000000-0005-0000-0000-000054140000}"/>
    <cellStyle name="Accent4 22 3" xfId="5865" xr:uid="{00000000-0005-0000-0000-000055140000}"/>
    <cellStyle name="Accent4 23" xfId="5866" xr:uid="{00000000-0005-0000-0000-000056140000}"/>
    <cellStyle name="Accent4 23 2" xfId="5867" xr:uid="{00000000-0005-0000-0000-000057140000}"/>
    <cellStyle name="Accent4 23 2 2" xfId="5868" xr:uid="{00000000-0005-0000-0000-000058140000}"/>
    <cellStyle name="Accent4 23 3" xfId="5869" xr:uid="{00000000-0005-0000-0000-000059140000}"/>
    <cellStyle name="Accent4 24" xfId="5870" xr:uid="{00000000-0005-0000-0000-00005A140000}"/>
    <cellStyle name="Accent4 24 2" xfId="5871" xr:uid="{00000000-0005-0000-0000-00005B140000}"/>
    <cellStyle name="Accent4 24 2 2" xfId="5872" xr:uid="{00000000-0005-0000-0000-00005C140000}"/>
    <cellStyle name="Accent4 24 3" xfId="5873" xr:uid="{00000000-0005-0000-0000-00005D140000}"/>
    <cellStyle name="Accent4 25" xfId="5874" xr:uid="{00000000-0005-0000-0000-00005E140000}"/>
    <cellStyle name="Accent4 25 2" xfId="5875" xr:uid="{00000000-0005-0000-0000-00005F140000}"/>
    <cellStyle name="Accent4 25 2 2" xfId="5876" xr:uid="{00000000-0005-0000-0000-000060140000}"/>
    <cellStyle name="Accent4 25 3" xfId="5877" xr:uid="{00000000-0005-0000-0000-000061140000}"/>
    <cellStyle name="Accent4 26" xfId="5878" xr:uid="{00000000-0005-0000-0000-000062140000}"/>
    <cellStyle name="Accent4 26 2" xfId="5879" xr:uid="{00000000-0005-0000-0000-000063140000}"/>
    <cellStyle name="Accent4 26 2 2" xfId="5880" xr:uid="{00000000-0005-0000-0000-000064140000}"/>
    <cellStyle name="Accent4 26 3" xfId="5881" xr:uid="{00000000-0005-0000-0000-000065140000}"/>
    <cellStyle name="Accent4 27" xfId="5882" xr:uid="{00000000-0005-0000-0000-000066140000}"/>
    <cellStyle name="Accent4 27 2" xfId="5883" xr:uid="{00000000-0005-0000-0000-000067140000}"/>
    <cellStyle name="Accent4 27 2 2" xfId="5884" xr:uid="{00000000-0005-0000-0000-000068140000}"/>
    <cellStyle name="Accent4 27 3" xfId="5885" xr:uid="{00000000-0005-0000-0000-000069140000}"/>
    <cellStyle name="Accent4 28" xfId="5886" xr:uid="{00000000-0005-0000-0000-00006A140000}"/>
    <cellStyle name="Accent4 28 2" xfId="5887" xr:uid="{00000000-0005-0000-0000-00006B140000}"/>
    <cellStyle name="Accent4 28 2 2" xfId="5888" xr:uid="{00000000-0005-0000-0000-00006C140000}"/>
    <cellStyle name="Accent4 28 3" xfId="5889" xr:uid="{00000000-0005-0000-0000-00006D140000}"/>
    <cellStyle name="Accent4 29" xfId="5890" xr:uid="{00000000-0005-0000-0000-00006E140000}"/>
    <cellStyle name="Accent4 29 2" xfId="5891" xr:uid="{00000000-0005-0000-0000-00006F140000}"/>
    <cellStyle name="Accent4 29 2 2" xfId="5892" xr:uid="{00000000-0005-0000-0000-000070140000}"/>
    <cellStyle name="Accent4 29 3" xfId="5893" xr:uid="{00000000-0005-0000-0000-000071140000}"/>
    <cellStyle name="Accent4 3" xfId="5894" xr:uid="{00000000-0005-0000-0000-000072140000}"/>
    <cellStyle name="Accent4 3 10" xfId="5895" xr:uid="{00000000-0005-0000-0000-000073140000}"/>
    <cellStyle name="Accent4 3 10 2" xfId="5896" xr:uid="{00000000-0005-0000-0000-000074140000}"/>
    <cellStyle name="Accent4 3 10 2 2" xfId="5897" xr:uid="{00000000-0005-0000-0000-000075140000}"/>
    <cellStyle name="Accent4 3 10 3" xfId="5898" xr:uid="{00000000-0005-0000-0000-000076140000}"/>
    <cellStyle name="Accent4 3 11" xfId="5899" xr:uid="{00000000-0005-0000-0000-000077140000}"/>
    <cellStyle name="Accent4 3 11 2" xfId="5900" xr:uid="{00000000-0005-0000-0000-000078140000}"/>
    <cellStyle name="Accent4 3 12" xfId="5901" xr:uid="{00000000-0005-0000-0000-000079140000}"/>
    <cellStyle name="Accent4 3 2" xfId="5902" xr:uid="{00000000-0005-0000-0000-00007A140000}"/>
    <cellStyle name="Accent4 3 2 2" xfId="5903" xr:uid="{00000000-0005-0000-0000-00007B140000}"/>
    <cellStyle name="Accent4 3 2 2 2" xfId="5904" xr:uid="{00000000-0005-0000-0000-00007C140000}"/>
    <cellStyle name="Accent4 3 2 3" xfId="5905" xr:uid="{00000000-0005-0000-0000-00007D140000}"/>
    <cellStyle name="Accent4 3 2 3 2" xfId="5906" xr:uid="{00000000-0005-0000-0000-00007E140000}"/>
    <cellStyle name="Accent4 3 2 3 2 2" xfId="5907" xr:uid="{00000000-0005-0000-0000-00007F140000}"/>
    <cellStyle name="Accent4 3 2 3 3" xfId="5908" xr:uid="{00000000-0005-0000-0000-000080140000}"/>
    <cellStyle name="Accent4 3 2 4" xfId="5909" xr:uid="{00000000-0005-0000-0000-000081140000}"/>
    <cellStyle name="Accent4 3 3" xfId="5910" xr:uid="{00000000-0005-0000-0000-000082140000}"/>
    <cellStyle name="Accent4 3 3 2" xfId="5911" xr:uid="{00000000-0005-0000-0000-000083140000}"/>
    <cellStyle name="Accent4 3 3 2 2" xfId="5912" xr:uid="{00000000-0005-0000-0000-000084140000}"/>
    <cellStyle name="Accent4 3 3 3" xfId="5913" xr:uid="{00000000-0005-0000-0000-000085140000}"/>
    <cellStyle name="Accent4 3 3 3 2" xfId="5914" xr:uid="{00000000-0005-0000-0000-000086140000}"/>
    <cellStyle name="Accent4 3 3 3 2 2" xfId="5915" xr:uid="{00000000-0005-0000-0000-000087140000}"/>
    <cellStyle name="Accent4 3 3 3 3" xfId="5916" xr:uid="{00000000-0005-0000-0000-000088140000}"/>
    <cellStyle name="Accent4 3 3 4" xfId="5917" xr:uid="{00000000-0005-0000-0000-000089140000}"/>
    <cellStyle name="Accent4 3 4" xfId="5918" xr:uid="{00000000-0005-0000-0000-00008A140000}"/>
    <cellStyle name="Accent4 3 4 2" xfId="5919" xr:uid="{00000000-0005-0000-0000-00008B140000}"/>
    <cellStyle name="Accent4 3 4 2 2" xfId="5920" xr:uid="{00000000-0005-0000-0000-00008C140000}"/>
    <cellStyle name="Accent4 3 4 3" xfId="5921" xr:uid="{00000000-0005-0000-0000-00008D140000}"/>
    <cellStyle name="Accent4 3 5" xfId="5922" xr:uid="{00000000-0005-0000-0000-00008E140000}"/>
    <cellStyle name="Accent4 3 5 2" xfId="5923" xr:uid="{00000000-0005-0000-0000-00008F140000}"/>
    <cellStyle name="Accent4 3 5 2 2" xfId="5924" xr:uid="{00000000-0005-0000-0000-000090140000}"/>
    <cellStyle name="Accent4 3 5 3" xfId="5925" xr:uid="{00000000-0005-0000-0000-000091140000}"/>
    <cellStyle name="Accent4 3 5 3 2" xfId="5926" xr:uid="{00000000-0005-0000-0000-000092140000}"/>
    <cellStyle name="Accent4 3 5 3 2 2" xfId="5927" xr:uid="{00000000-0005-0000-0000-000093140000}"/>
    <cellStyle name="Accent4 3 5 3 3" xfId="5928" xr:uid="{00000000-0005-0000-0000-000094140000}"/>
    <cellStyle name="Accent4 3 5 4" xfId="5929" xr:uid="{00000000-0005-0000-0000-000095140000}"/>
    <cellStyle name="Accent4 3 6" xfId="5930" xr:uid="{00000000-0005-0000-0000-000096140000}"/>
    <cellStyle name="Accent4 3 6 2" xfId="5931" xr:uid="{00000000-0005-0000-0000-000097140000}"/>
    <cellStyle name="Accent4 3 7" xfId="5932" xr:uid="{00000000-0005-0000-0000-000098140000}"/>
    <cellStyle name="Accent4 3 7 2" xfId="5933" xr:uid="{00000000-0005-0000-0000-000099140000}"/>
    <cellStyle name="Accent4 3 8" xfId="5934" xr:uid="{00000000-0005-0000-0000-00009A140000}"/>
    <cellStyle name="Accent4 3 8 2" xfId="5935" xr:uid="{00000000-0005-0000-0000-00009B140000}"/>
    <cellStyle name="Accent4 3 8 2 2" xfId="5936" xr:uid="{00000000-0005-0000-0000-00009C140000}"/>
    <cellStyle name="Accent4 3 8 3" xfId="5937" xr:uid="{00000000-0005-0000-0000-00009D140000}"/>
    <cellStyle name="Accent4 3 9" xfId="5938" xr:uid="{00000000-0005-0000-0000-00009E140000}"/>
    <cellStyle name="Accent4 3 9 2" xfId="5939" xr:uid="{00000000-0005-0000-0000-00009F140000}"/>
    <cellStyle name="Accent4 3 9 2 2" xfId="5940" xr:uid="{00000000-0005-0000-0000-0000A0140000}"/>
    <cellStyle name="Accent4 3 9 3" xfId="5941" xr:uid="{00000000-0005-0000-0000-0000A1140000}"/>
    <cellStyle name="Accent4 30" xfId="5942" xr:uid="{00000000-0005-0000-0000-0000A2140000}"/>
    <cellStyle name="Accent4 30 2" xfId="5943" xr:uid="{00000000-0005-0000-0000-0000A3140000}"/>
    <cellStyle name="Accent4 30 2 2" xfId="5944" xr:uid="{00000000-0005-0000-0000-0000A4140000}"/>
    <cellStyle name="Accent4 30 3" xfId="5945" xr:uid="{00000000-0005-0000-0000-0000A5140000}"/>
    <cellStyle name="Accent4 31" xfId="5946" xr:uid="{00000000-0005-0000-0000-0000A6140000}"/>
    <cellStyle name="Accent4 31 2" xfId="5947" xr:uid="{00000000-0005-0000-0000-0000A7140000}"/>
    <cellStyle name="Accent4 31 2 2" xfId="5948" xr:uid="{00000000-0005-0000-0000-0000A8140000}"/>
    <cellStyle name="Accent4 31 3" xfId="5949" xr:uid="{00000000-0005-0000-0000-0000A9140000}"/>
    <cellStyle name="Accent4 32" xfId="5950" xr:uid="{00000000-0005-0000-0000-0000AA140000}"/>
    <cellStyle name="Accent4 32 2" xfId="5951" xr:uid="{00000000-0005-0000-0000-0000AB140000}"/>
    <cellStyle name="Accent4 32 2 2" xfId="5952" xr:uid="{00000000-0005-0000-0000-0000AC140000}"/>
    <cellStyle name="Accent4 32 3" xfId="5953" xr:uid="{00000000-0005-0000-0000-0000AD140000}"/>
    <cellStyle name="Accent4 33" xfId="5954" xr:uid="{00000000-0005-0000-0000-0000AE140000}"/>
    <cellStyle name="Accent4 33 2" xfId="5955" xr:uid="{00000000-0005-0000-0000-0000AF140000}"/>
    <cellStyle name="Accent4 33 2 2" xfId="5956" xr:uid="{00000000-0005-0000-0000-0000B0140000}"/>
    <cellStyle name="Accent4 33 3" xfId="5957" xr:uid="{00000000-0005-0000-0000-0000B1140000}"/>
    <cellStyle name="Accent4 34" xfId="5958" xr:uid="{00000000-0005-0000-0000-0000B2140000}"/>
    <cellStyle name="Accent4 34 2" xfId="5959" xr:uid="{00000000-0005-0000-0000-0000B3140000}"/>
    <cellStyle name="Accent4 34 2 2" xfId="5960" xr:uid="{00000000-0005-0000-0000-0000B4140000}"/>
    <cellStyle name="Accent4 34 3" xfId="5961" xr:uid="{00000000-0005-0000-0000-0000B5140000}"/>
    <cellStyle name="Accent4 35" xfId="5962" xr:uid="{00000000-0005-0000-0000-0000B6140000}"/>
    <cellStyle name="Accent4 35 2" xfId="5963" xr:uid="{00000000-0005-0000-0000-0000B7140000}"/>
    <cellStyle name="Accent4 35 2 2" xfId="5964" xr:uid="{00000000-0005-0000-0000-0000B8140000}"/>
    <cellStyle name="Accent4 35 3" xfId="5965" xr:uid="{00000000-0005-0000-0000-0000B9140000}"/>
    <cellStyle name="Accent4 36" xfId="5966" xr:uid="{00000000-0005-0000-0000-0000BA140000}"/>
    <cellStyle name="Accent4 36 2" xfId="5967" xr:uid="{00000000-0005-0000-0000-0000BB140000}"/>
    <cellStyle name="Accent4 36 2 2" xfId="5968" xr:uid="{00000000-0005-0000-0000-0000BC140000}"/>
    <cellStyle name="Accent4 36 3" xfId="5969" xr:uid="{00000000-0005-0000-0000-0000BD140000}"/>
    <cellStyle name="Accent4 37" xfId="5970" xr:uid="{00000000-0005-0000-0000-0000BE140000}"/>
    <cellStyle name="Accent4 37 2" xfId="5971" xr:uid="{00000000-0005-0000-0000-0000BF140000}"/>
    <cellStyle name="Accent4 37 2 2" xfId="5972" xr:uid="{00000000-0005-0000-0000-0000C0140000}"/>
    <cellStyle name="Accent4 37 3" xfId="5973" xr:uid="{00000000-0005-0000-0000-0000C1140000}"/>
    <cellStyle name="Accent4 38" xfId="5974" xr:uid="{00000000-0005-0000-0000-0000C2140000}"/>
    <cellStyle name="Accent4 38 2" xfId="5975" xr:uid="{00000000-0005-0000-0000-0000C3140000}"/>
    <cellStyle name="Accent4 38 2 2" xfId="5976" xr:uid="{00000000-0005-0000-0000-0000C4140000}"/>
    <cellStyle name="Accent4 38 3" xfId="5977" xr:uid="{00000000-0005-0000-0000-0000C5140000}"/>
    <cellStyle name="Accent4 39" xfId="5978" xr:uid="{00000000-0005-0000-0000-0000C6140000}"/>
    <cellStyle name="Accent4 39 2" xfId="5979" xr:uid="{00000000-0005-0000-0000-0000C7140000}"/>
    <cellStyle name="Accent4 39 2 2" xfId="5980" xr:uid="{00000000-0005-0000-0000-0000C8140000}"/>
    <cellStyle name="Accent4 39 3" xfId="5981" xr:uid="{00000000-0005-0000-0000-0000C9140000}"/>
    <cellStyle name="Accent4 4" xfId="5982" xr:uid="{00000000-0005-0000-0000-0000CA140000}"/>
    <cellStyle name="Accent4 4 2" xfId="5983" xr:uid="{00000000-0005-0000-0000-0000CB140000}"/>
    <cellStyle name="Accent4 4 2 2" xfId="5984" xr:uid="{00000000-0005-0000-0000-0000CC140000}"/>
    <cellStyle name="Accent4 4 2 2 2" xfId="5985" xr:uid="{00000000-0005-0000-0000-0000CD140000}"/>
    <cellStyle name="Accent4 4 2 3" xfId="5986" xr:uid="{00000000-0005-0000-0000-0000CE140000}"/>
    <cellStyle name="Accent4 4 2 3 2" xfId="5987" xr:uid="{00000000-0005-0000-0000-0000CF140000}"/>
    <cellStyle name="Accent4 4 2 3 2 2" xfId="5988" xr:uid="{00000000-0005-0000-0000-0000D0140000}"/>
    <cellStyle name="Accent4 4 2 3 3" xfId="5989" xr:uid="{00000000-0005-0000-0000-0000D1140000}"/>
    <cellStyle name="Accent4 4 2 4" xfId="5990" xr:uid="{00000000-0005-0000-0000-0000D2140000}"/>
    <cellStyle name="Accent4 4 3" xfId="5991" xr:uid="{00000000-0005-0000-0000-0000D3140000}"/>
    <cellStyle name="Accent4 4 3 2" xfId="5992" xr:uid="{00000000-0005-0000-0000-0000D4140000}"/>
    <cellStyle name="Accent4 4 3 2 2" xfId="5993" xr:uid="{00000000-0005-0000-0000-0000D5140000}"/>
    <cellStyle name="Accent4 4 3 3" xfId="5994" xr:uid="{00000000-0005-0000-0000-0000D6140000}"/>
    <cellStyle name="Accent4 4 3 3 2" xfId="5995" xr:uid="{00000000-0005-0000-0000-0000D7140000}"/>
    <cellStyle name="Accent4 4 3 3 2 2" xfId="5996" xr:uid="{00000000-0005-0000-0000-0000D8140000}"/>
    <cellStyle name="Accent4 4 3 3 3" xfId="5997" xr:uid="{00000000-0005-0000-0000-0000D9140000}"/>
    <cellStyle name="Accent4 4 3 4" xfId="5998" xr:uid="{00000000-0005-0000-0000-0000DA140000}"/>
    <cellStyle name="Accent4 4 4" xfId="5999" xr:uid="{00000000-0005-0000-0000-0000DB140000}"/>
    <cellStyle name="Accent4 4 4 2" xfId="6000" xr:uid="{00000000-0005-0000-0000-0000DC140000}"/>
    <cellStyle name="Accent4 4 4 2 2" xfId="6001" xr:uid="{00000000-0005-0000-0000-0000DD140000}"/>
    <cellStyle name="Accent4 4 4 3" xfId="6002" xr:uid="{00000000-0005-0000-0000-0000DE140000}"/>
    <cellStyle name="Accent4 4 5" xfId="6003" xr:uid="{00000000-0005-0000-0000-0000DF140000}"/>
    <cellStyle name="Accent4 4 5 2" xfId="6004" xr:uid="{00000000-0005-0000-0000-0000E0140000}"/>
    <cellStyle name="Accent4 4 6" xfId="6005" xr:uid="{00000000-0005-0000-0000-0000E1140000}"/>
    <cellStyle name="Accent4 4 6 2" xfId="6006" xr:uid="{00000000-0005-0000-0000-0000E2140000}"/>
    <cellStyle name="Accent4 4 6 2 2" xfId="6007" xr:uid="{00000000-0005-0000-0000-0000E3140000}"/>
    <cellStyle name="Accent4 4 6 3" xfId="6008" xr:uid="{00000000-0005-0000-0000-0000E4140000}"/>
    <cellStyle name="Accent4 4 7" xfId="6009" xr:uid="{00000000-0005-0000-0000-0000E5140000}"/>
    <cellStyle name="Accent4 4 7 2" xfId="6010" xr:uid="{00000000-0005-0000-0000-0000E6140000}"/>
    <cellStyle name="Accent4 4 7 2 2" xfId="6011" xr:uid="{00000000-0005-0000-0000-0000E7140000}"/>
    <cellStyle name="Accent4 4 7 3" xfId="6012" xr:uid="{00000000-0005-0000-0000-0000E8140000}"/>
    <cellStyle name="Accent4 4 8" xfId="6013" xr:uid="{00000000-0005-0000-0000-0000E9140000}"/>
    <cellStyle name="Accent4 40" xfId="6014" xr:uid="{00000000-0005-0000-0000-0000EA140000}"/>
    <cellStyle name="Accent4 40 2" xfId="6015" xr:uid="{00000000-0005-0000-0000-0000EB140000}"/>
    <cellStyle name="Accent4 40 2 2" xfId="6016" xr:uid="{00000000-0005-0000-0000-0000EC140000}"/>
    <cellStyle name="Accent4 40 3" xfId="6017" xr:uid="{00000000-0005-0000-0000-0000ED140000}"/>
    <cellStyle name="Accent4 41" xfId="6018" xr:uid="{00000000-0005-0000-0000-0000EE140000}"/>
    <cellStyle name="Accent4 41 2" xfId="6019" xr:uid="{00000000-0005-0000-0000-0000EF140000}"/>
    <cellStyle name="Accent4 41 2 2" xfId="6020" xr:uid="{00000000-0005-0000-0000-0000F0140000}"/>
    <cellStyle name="Accent4 41 3" xfId="6021" xr:uid="{00000000-0005-0000-0000-0000F1140000}"/>
    <cellStyle name="Accent4 42" xfId="6022" xr:uid="{00000000-0005-0000-0000-0000F2140000}"/>
    <cellStyle name="Accent4 42 2" xfId="6023" xr:uid="{00000000-0005-0000-0000-0000F3140000}"/>
    <cellStyle name="Accent4 42 2 2" xfId="6024" xr:uid="{00000000-0005-0000-0000-0000F4140000}"/>
    <cellStyle name="Accent4 42 3" xfId="6025" xr:uid="{00000000-0005-0000-0000-0000F5140000}"/>
    <cellStyle name="Accent4 43" xfId="6026" xr:uid="{00000000-0005-0000-0000-0000F6140000}"/>
    <cellStyle name="Accent4 43 2" xfId="6027" xr:uid="{00000000-0005-0000-0000-0000F7140000}"/>
    <cellStyle name="Accent4 43 2 2" xfId="6028" xr:uid="{00000000-0005-0000-0000-0000F8140000}"/>
    <cellStyle name="Accent4 43 3" xfId="6029" xr:uid="{00000000-0005-0000-0000-0000F9140000}"/>
    <cellStyle name="Accent4 44" xfId="6030" xr:uid="{00000000-0005-0000-0000-0000FA140000}"/>
    <cellStyle name="Accent4 44 2" xfId="6031" xr:uid="{00000000-0005-0000-0000-0000FB140000}"/>
    <cellStyle name="Accent4 44 2 2" xfId="6032" xr:uid="{00000000-0005-0000-0000-0000FC140000}"/>
    <cellStyle name="Accent4 44 3" xfId="6033" xr:uid="{00000000-0005-0000-0000-0000FD140000}"/>
    <cellStyle name="Accent4 45" xfId="6034" xr:uid="{00000000-0005-0000-0000-0000FE140000}"/>
    <cellStyle name="Accent4 45 2" xfId="6035" xr:uid="{00000000-0005-0000-0000-0000FF140000}"/>
    <cellStyle name="Accent4 45 2 2" xfId="6036" xr:uid="{00000000-0005-0000-0000-000000150000}"/>
    <cellStyle name="Accent4 45 3" xfId="6037" xr:uid="{00000000-0005-0000-0000-000001150000}"/>
    <cellStyle name="Accent4 46" xfId="6038" xr:uid="{00000000-0005-0000-0000-000002150000}"/>
    <cellStyle name="Accent4 46 2" xfId="6039" xr:uid="{00000000-0005-0000-0000-000003150000}"/>
    <cellStyle name="Accent4 46 2 2" xfId="6040" xr:uid="{00000000-0005-0000-0000-000004150000}"/>
    <cellStyle name="Accent4 46 3" xfId="6041" xr:uid="{00000000-0005-0000-0000-000005150000}"/>
    <cellStyle name="Accent4 47" xfId="6042" xr:uid="{00000000-0005-0000-0000-000006150000}"/>
    <cellStyle name="Accent4 47 2" xfId="6043" xr:uid="{00000000-0005-0000-0000-000007150000}"/>
    <cellStyle name="Accent4 47 2 2" xfId="6044" xr:uid="{00000000-0005-0000-0000-000008150000}"/>
    <cellStyle name="Accent4 47 3" xfId="6045" xr:uid="{00000000-0005-0000-0000-000009150000}"/>
    <cellStyle name="Accent4 48" xfId="6046" xr:uid="{00000000-0005-0000-0000-00000A150000}"/>
    <cellStyle name="Accent4 48 2" xfId="6047" xr:uid="{00000000-0005-0000-0000-00000B150000}"/>
    <cellStyle name="Accent4 48 2 2" xfId="6048" xr:uid="{00000000-0005-0000-0000-00000C150000}"/>
    <cellStyle name="Accent4 48 3" xfId="6049" xr:uid="{00000000-0005-0000-0000-00000D150000}"/>
    <cellStyle name="Accent4 48 3 2" xfId="6050" xr:uid="{00000000-0005-0000-0000-00000E150000}"/>
    <cellStyle name="Accent4 48 3 2 2" xfId="6051" xr:uid="{00000000-0005-0000-0000-00000F150000}"/>
    <cellStyle name="Accent4 48 3 3" xfId="6052" xr:uid="{00000000-0005-0000-0000-000010150000}"/>
    <cellStyle name="Accent4 48 4" xfId="6053" xr:uid="{00000000-0005-0000-0000-000011150000}"/>
    <cellStyle name="Accent4 49" xfId="6054" xr:uid="{00000000-0005-0000-0000-000012150000}"/>
    <cellStyle name="Accent4 49 2" xfId="6055" xr:uid="{00000000-0005-0000-0000-000013150000}"/>
    <cellStyle name="Accent4 49 2 2" xfId="6056" xr:uid="{00000000-0005-0000-0000-000014150000}"/>
    <cellStyle name="Accent4 49 3" xfId="6057" xr:uid="{00000000-0005-0000-0000-000015150000}"/>
    <cellStyle name="Accent4 49 3 2" xfId="6058" xr:uid="{00000000-0005-0000-0000-000016150000}"/>
    <cellStyle name="Accent4 49 3 2 2" xfId="6059" xr:uid="{00000000-0005-0000-0000-000017150000}"/>
    <cellStyle name="Accent4 49 3 3" xfId="6060" xr:uid="{00000000-0005-0000-0000-000018150000}"/>
    <cellStyle name="Accent4 49 4" xfId="6061" xr:uid="{00000000-0005-0000-0000-000019150000}"/>
    <cellStyle name="Accent4 5" xfId="6062" xr:uid="{00000000-0005-0000-0000-00001A150000}"/>
    <cellStyle name="Accent4 5 2" xfId="6063" xr:uid="{00000000-0005-0000-0000-00001B150000}"/>
    <cellStyle name="Accent4 5 2 2" xfId="6064" xr:uid="{00000000-0005-0000-0000-00001C150000}"/>
    <cellStyle name="Accent4 5 2 2 2" xfId="6065" xr:uid="{00000000-0005-0000-0000-00001D150000}"/>
    <cellStyle name="Accent4 5 2 3" xfId="6066" xr:uid="{00000000-0005-0000-0000-00001E150000}"/>
    <cellStyle name="Accent4 5 2 3 2" xfId="6067" xr:uid="{00000000-0005-0000-0000-00001F150000}"/>
    <cellStyle name="Accent4 5 2 3 2 2" xfId="6068" xr:uid="{00000000-0005-0000-0000-000020150000}"/>
    <cellStyle name="Accent4 5 2 3 3" xfId="6069" xr:uid="{00000000-0005-0000-0000-000021150000}"/>
    <cellStyle name="Accent4 5 2 4" xfId="6070" xr:uid="{00000000-0005-0000-0000-000022150000}"/>
    <cellStyle name="Accent4 5 3" xfId="6071" xr:uid="{00000000-0005-0000-0000-000023150000}"/>
    <cellStyle name="Accent4 5 3 2" xfId="6072" xr:uid="{00000000-0005-0000-0000-000024150000}"/>
    <cellStyle name="Accent4 5 3 2 2" xfId="6073" xr:uid="{00000000-0005-0000-0000-000025150000}"/>
    <cellStyle name="Accent4 5 3 3" xfId="6074" xr:uid="{00000000-0005-0000-0000-000026150000}"/>
    <cellStyle name="Accent4 5 3 3 2" xfId="6075" xr:uid="{00000000-0005-0000-0000-000027150000}"/>
    <cellStyle name="Accent4 5 3 3 2 2" xfId="6076" xr:uid="{00000000-0005-0000-0000-000028150000}"/>
    <cellStyle name="Accent4 5 3 3 3" xfId="6077" xr:uid="{00000000-0005-0000-0000-000029150000}"/>
    <cellStyle name="Accent4 5 3 4" xfId="6078" xr:uid="{00000000-0005-0000-0000-00002A150000}"/>
    <cellStyle name="Accent4 5 4" xfId="6079" xr:uid="{00000000-0005-0000-0000-00002B150000}"/>
    <cellStyle name="Accent4 5 4 2" xfId="6080" xr:uid="{00000000-0005-0000-0000-00002C150000}"/>
    <cellStyle name="Accent4 5 5" xfId="6081" xr:uid="{00000000-0005-0000-0000-00002D150000}"/>
    <cellStyle name="Accent4 5 5 2" xfId="6082" xr:uid="{00000000-0005-0000-0000-00002E150000}"/>
    <cellStyle name="Accent4 5 5 2 2" xfId="6083" xr:uid="{00000000-0005-0000-0000-00002F150000}"/>
    <cellStyle name="Accent4 5 5 3" xfId="6084" xr:uid="{00000000-0005-0000-0000-000030150000}"/>
    <cellStyle name="Accent4 5 6" xfId="6085" xr:uid="{00000000-0005-0000-0000-000031150000}"/>
    <cellStyle name="Accent4 5 6 2" xfId="6086" xr:uid="{00000000-0005-0000-0000-000032150000}"/>
    <cellStyle name="Accent4 5 7" xfId="6087" xr:uid="{00000000-0005-0000-0000-000033150000}"/>
    <cellStyle name="Accent4 50" xfId="6088" xr:uid="{00000000-0005-0000-0000-000034150000}"/>
    <cellStyle name="Accent4 50 2" xfId="6089" xr:uid="{00000000-0005-0000-0000-000035150000}"/>
    <cellStyle name="Accent4 50 2 2" xfId="6090" xr:uid="{00000000-0005-0000-0000-000036150000}"/>
    <cellStyle name="Accent4 50 3" xfId="6091" xr:uid="{00000000-0005-0000-0000-000037150000}"/>
    <cellStyle name="Accent4 50 3 2" xfId="6092" xr:uid="{00000000-0005-0000-0000-000038150000}"/>
    <cellStyle name="Accent4 50 3 2 2" xfId="6093" xr:uid="{00000000-0005-0000-0000-000039150000}"/>
    <cellStyle name="Accent4 50 3 3" xfId="6094" xr:uid="{00000000-0005-0000-0000-00003A150000}"/>
    <cellStyle name="Accent4 50 4" xfId="6095" xr:uid="{00000000-0005-0000-0000-00003B150000}"/>
    <cellStyle name="Accent4 51" xfId="6096" xr:uid="{00000000-0005-0000-0000-00003C150000}"/>
    <cellStyle name="Accent4 51 2" xfId="6097" xr:uid="{00000000-0005-0000-0000-00003D150000}"/>
    <cellStyle name="Accent4 51 2 2" xfId="6098" xr:uid="{00000000-0005-0000-0000-00003E150000}"/>
    <cellStyle name="Accent4 51 3" xfId="6099" xr:uid="{00000000-0005-0000-0000-00003F150000}"/>
    <cellStyle name="Accent4 51 3 2" xfId="6100" xr:uid="{00000000-0005-0000-0000-000040150000}"/>
    <cellStyle name="Accent4 51 3 2 2" xfId="6101" xr:uid="{00000000-0005-0000-0000-000041150000}"/>
    <cellStyle name="Accent4 51 3 3" xfId="6102" xr:uid="{00000000-0005-0000-0000-000042150000}"/>
    <cellStyle name="Accent4 51 4" xfId="6103" xr:uid="{00000000-0005-0000-0000-000043150000}"/>
    <cellStyle name="Accent4 52" xfId="6104" xr:uid="{00000000-0005-0000-0000-000044150000}"/>
    <cellStyle name="Accent4 52 2" xfId="6105" xr:uid="{00000000-0005-0000-0000-000045150000}"/>
    <cellStyle name="Accent4 52 2 2" xfId="6106" xr:uid="{00000000-0005-0000-0000-000046150000}"/>
    <cellStyle name="Accent4 52 3" xfId="6107" xr:uid="{00000000-0005-0000-0000-000047150000}"/>
    <cellStyle name="Accent4 53" xfId="6108" xr:uid="{00000000-0005-0000-0000-000048150000}"/>
    <cellStyle name="Accent4 53 2" xfId="6109" xr:uid="{00000000-0005-0000-0000-000049150000}"/>
    <cellStyle name="Accent4 53 2 2" xfId="6110" xr:uid="{00000000-0005-0000-0000-00004A150000}"/>
    <cellStyle name="Accent4 53 3" xfId="6111" xr:uid="{00000000-0005-0000-0000-00004B150000}"/>
    <cellStyle name="Accent4 54" xfId="6112" xr:uid="{00000000-0005-0000-0000-00004C150000}"/>
    <cellStyle name="Accent4 54 2" xfId="6113" xr:uid="{00000000-0005-0000-0000-00004D150000}"/>
    <cellStyle name="Accent4 54 2 2" xfId="6114" xr:uid="{00000000-0005-0000-0000-00004E150000}"/>
    <cellStyle name="Accent4 54 3" xfId="6115" xr:uid="{00000000-0005-0000-0000-00004F150000}"/>
    <cellStyle name="Accent4 55" xfId="6116" xr:uid="{00000000-0005-0000-0000-000050150000}"/>
    <cellStyle name="Accent4 55 2" xfId="6117" xr:uid="{00000000-0005-0000-0000-000051150000}"/>
    <cellStyle name="Accent4 55 2 2" xfId="6118" xr:uid="{00000000-0005-0000-0000-000052150000}"/>
    <cellStyle name="Accent4 55 3" xfId="6119" xr:uid="{00000000-0005-0000-0000-000053150000}"/>
    <cellStyle name="Accent4 56" xfId="6120" xr:uid="{00000000-0005-0000-0000-000054150000}"/>
    <cellStyle name="Accent4 56 2" xfId="6121" xr:uid="{00000000-0005-0000-0000-000055150000}"/>
    <cellStyle name="Accent4 56 2 2" xfId="6122" xr:uid="{00000000-0005-0000-0000-000056150000}"/>
    <cellStyle name="Accent4 56 3" xfId="6123" xr:uid="{00000000-0005-0000-0000-000057150000}"/>
    <cellStyle name="Accent4 57" xfId="6124" xr:uid="{00000000-0005-0000-0000-000058150000}"/>
    <cellStyle name="Accent4 57 2" xfId="6125" xr:uid="{00000000-0005-0000-0000-000059150000}"/>
    <cellStyle name="Accent4 57 2 2" xfId="6126" xr:uid="{00000000-0005-0000-0000-00005A150000}"/>
    <cellStyle name="Accent4 57 3" xfId="6127" xr:uid="{00000000-0005-0000-0000-00005B150000}"/>
    <cellStyle name="Accent4 58" xfId="6128" xr:uid="{00000000-0005-0000-0000-00005C150000}"/>
    <cellStyle name="Accent4 58 2" xfId="6129" xr:uid="{00000000-0005-0000-0000-00005D150000}"/>
    <cellStyle name="Accent4 58 2 2" xfId="6130" xr:uid="{00000000-0005-0000-0000-00005E150000}"/>
    <cellStyle name="Accent4 58 3" xfId="6131" xr:uid="{00000000-0005-0000-0000-00005F150000}"/>
    <cellStyle name="Accent4 58 3 2" xfId="6132" xr:uid="{00000000-0005-0000-0000-000060150000}"/>
    <cellStyle name="Accent4 58 3 2 2" xfId="6133" xr:uid="{00000000-0005-0000-0000-000061150000}"/>
    <cellStyle name="Accent4 58 3 3" xfId="6134" xr:uid="{00000000-0005-0000-0000-000062150000}"/>
    <cellStyle name="Accent4 58 4" xfId="6135" xr:uid="{00000000-0005-0000-0000-000063150000}"/>
    <cellStyle name="Accent4 59" xfId="6136" xr:uid="{00000000-0005-0000-0000-000064150000}"/>
    <cellStyle name="Accent4 59 2" xfId="6137" xr:uid="{00000000-0005-0000-0000-000065150000}"/>
    <cellStyle name="Accent4 59 2 2" xfId="6138" xr:uid="{00000000-0005-0000-0000-000066150000}"/>
    <cellStyle name="Accent4 59 3" xfId="6139" xr:uid="{00000000-0005-0000-0000-000067150000}"/>
    <cellStyle name="Accent4 59 3 2" xfId="6140" xr:uid="{00000000-0005-0000-0000-000068150000}"/>
    <cellStyle name="Accent4 59 3 2 2" xfId="6141" xr:uid="{00000000-0005-0000-0000-000069150000}"/>
    <cellStyle name="Accent4 59 3 3" xfId="6142" xr:uid="{00000000-0005-0000-0000-00006A150000}"/>
    <cellStyle name="Accent4 59 4" xfId="6143" xr:uid="{00000000-0005-0000-0000-00006B150000}"/>
    <cellStyle name="Accent4 6" xfId="6144" xr:uid="{00000000-0005-0000-0000-00006C150000}"/>
    <cellStyle name="Accent4 6 2" xfId="6145" xr:uid="{00000000-0005-0000-0000-00006D150000}"/>
    <cellStyle name="Accent4 6 2 2" xfId="6146" xr:uid="{00000000-0005-0000-0000-00006E150000}"/>
    <cellStyle name="Accent4 6 2 2 2" xfId="6147" xr:uid="{00000000-0005-0000-0000-00006F150000}"/>
    <cellStyle name="Accent4 6 2 3" xfId="6148" xr:uid="{00000000-0005-0000-0000-000070150000}"/>
    <cellStyle name="Accent4 6 2 3 2" xfId="6149" xr:uid="{00000000-0005-0000-0000-000071150000}"/>
    <cellStyle name="Accent4 6 2 3 2 2" xfId="6150" xr:uid="{00000000-0005-0000-0000-000072150000}"/>
    <cellStyle name="Accent4 6 2 3 3" xfId="6151" xr:uid="{00000000-0005-0000-0000-000073150000}"/>
    <cellStyle name="Accent4 6 2 4" xfId="6152" xr:uid="{00000000-0005-0000-0000-000074150000}"/>
    <cellStyle name="Accent4 6 3" xfId="6153" xr:uid="{00000000-0005-0000-0000-000075150000}"/>
    <cellStyle name="Accent4 6 3 2" xfId="6154" xr:uid="{00000000-0005-0000-0000-000076150000}"/>
    <cellStyle name="Accent4 6 4" xfId="6155" xr:uid="{00000000-0005-0000-0000-000077150000}"/>
    <cellStyle name="Accent4 6 4 2" xfId="6156" xr:uid="{00000000-0005-0000-0000-000078150000}"/>
    <cellStyle name="Accent4 6 4 2 2" xfId="6157" xr:uid="{00000000-0005-0000-0000-000079150000}"/>
    <cellStyle name="Accent4 6 4 3" xfId="6158" xr:uid="{00000000-0005-0000-0000-00007A150000}"/>
    <cellStyle name="Accent4 6 5" xfId="6159" xr:uid="{00000000-0005-0000-0000-00007B150000}"/>
    <cellStyle name="Accent4 60" xfId="6160" xr:uid="{00000000-0005-0000-0000-00007C150000}"/>
    <cellStyle name="Accent4 60 2" xfId="6161" xr:uid="{00000000-0005-0000-0000-00007D150000}"/>
    <cellStyle name="Accent4 60 2 2" xfId="6162" xr:uid="{00000000-0005-0000-0000-00007E150000}"/>
    <cellStyle name="Accent4 60 3" xfId="6163" xr:uid="{00000000-0005-0000-0000-00007F150000}"/>
    <cellStyle name="Accent4 60 3 2" xfId="6164" xr:uid="{00000000-0005-0000-0000-000080150000}"/>
    <cellStyle name="Accent4 60 3 2 2" xfId="6165" xr:uid="{00000000-0005-0000-0000-000081150000}"/>
    <cellStyle name="Accent4 60 3 3" xfId="6166" xr:uid="{00000000-0005-0000-0000-000082150000}"/>
    <cellStyle name="Accent4 60 4" xfId="6167" xr:uid="{00000000-0005-0000-0000-000083150000}"/>
    <cellStyle name="Accent4 61" xfId="6168" xr:uid="{00000000-0005-0000-0000-000084150000}"/>
    <cellStyle name="Accent4 61 2" xfId="6169" xr:uid="{00000000-0005-0000-0000-000085150000}"/>
    <cellStyle name="Accent4 61 2 2" xfId="6170" xr:uid="{00000000-0005-0000-0000-000086150000}"/>
    <cellStyle name="Accent4 61 3" xfId="6171" xr:uid="{00000000-0005-0000-0000-000087150000}"/>
    <cellStyle name="Accent4 61 3 2" xfId="6172" xr:uid="{00000000-0005-0000-0000-000088150000}"/>
    <cellStyle name="Accent4 61 3 2 2" xfId="6173" xr:uid="{00000000-0005-0000-0000-000089150000}"/>
    <cellStyle name="Accent4 61 3 3" xfId="6174" xr:uid="{00000000-0005-0000-0000-00008A150000}"/>
    <cellStyle name="Accent4 61 4" xfId="6175" xr:uid="{00000000-0005-0000-0000-00008B150000}"/>
    <cellStyle name="Accent4 62" xfId="6176" xr:uid="{00000000-0005-0000-0000-00008C150000}"/>
    <cellStyle name="Accent4 62 2" xfId="6177" xr:uid="{00000000-0005-0000-0000-00008D150000}"/>
    <cellStyle name="Accent4 62 2 2" xfId="6178" xr:uid="{00000000-0005-0000-0000-00008E150000}"/>
    <cellStyle name="Accent4 62 3" xfId="6179" xr:uid="{00000000-0005-0000-0000-00008F150000}"/>
    <cellStyle name="Accent4 62 3 2" xfId="6180" xr:uid="{00000000-0005-0000-0000-000090150000}"/>
    <cellStyle name="Accent4 62 3 2 2" xfId="6181" xr:uid="{00000000-0005-0000-0000-000091150000}"/>
    <cellStyle name="Accent4 62 3 3" xfId="6182" xr:uid="{00000000-0005-0000-0000-000092150000}"/>
    <cellStyle name="Accent4 62 4" xfId="6183" xr:uid="{00000000-0005-0000-0000-000093150000}"/>
    <cellStyle name="Accent4 63" xfId="6184" xr:uid="{00000000-0005-0000-0000-000094150000}"/>
    <cellStyle name="Accent4 63 2" xfId="6185" xr:uid="{00000000-0005-0000-0000-000095150000}"/>
    <cellStyle name="Accent4 63 2 2" xfId="6186" xr:uid="{00000000-0005-0000-0000-000096150000}"/>
    <cellStyle name="Accent4 63 3" xfId="6187" xr:uid="{00000000-0005-0000-0000-000097150000}"/>
    <cellStyle name="Accent4 63 3 2" xfId="6188" xr:uid="{00000000-0005-0000-0000-000098150000}"/>
    <cellStyle name="Accent4 63 3 2 2" xfId="6189" xr:uid="{00000000-0005-0000-0000-000099150000}"/>
    <cellStyle name="Accent4 63 3 3" xfId="6190" xr:uid="{00000000-0005-0000-0000-00009A150000}"/>
    <cellStyle name="Accent4 63 4" xfId="6191" xr:uid="{00000000-0005-0000-0000-00009B150000}"/>
    <cellStyle name="Accent4 64" xfId="6192" xr:uid="{00000000-0005-0000-0000-00009C150000}"/>
    <cellStyle name="Accent4 64 2" xfId="6193" xr:uid="{00000000-0005-0000-0000-00009D150000}"/>
    <cellStyle name="Accent4 64 2 2" xfId="6194" xr:uid="{00000000-0005-0000-0000-00009E150000}"/>
    <cellStyle name="Accent4 64 3" xfId="6195" xr:uid="{00000000-0005-0000-0000-00009F150000}"/>
    <cellStyle name="Accent4 64 3 2" xfId="6196" xr:uid="{00000000-0005-0000-0000-0000A0150000}"/>
    <cellStyle name="Accent4 64 3 2 2" xfId="6197" xr:uid="{00000000-0005-0000-0000-0000A1150000}"/>
    <cellStyle name="Accent4 64 3 3" xfId="6198" xr:uid="{00000000-0005-0000-0000-0000A2150000}"/>
    <cellStyle name="Accent4 64 4" xfId="6199" xr:uid="{00000000-0005-0000-0000-0000A3150000}"/>
    <cellStyle name="Accent4 65" xfId="6200" xr:uid="{00000000-0005-0000-0000-0000A4150000}"/>
    <cellStyle name="Accent4 65 2" xfId="6201" xr:uid="{00000000-0005-0000-0000-0000A5150000}"/>
    <cellStyle name="Accent4 65 2 2" xfId="6202" xr:uid="{00000000-0005-0000-0000-0000A6150000}"/>
    <cellStyle name="Accent4 65 3" xfId="6203" xr:uid="{00000000-0005-0000-0000-0000A7150000}"/>
    <cellStyle name="Accent4 65 3 2" xfId="6204" xr:uid="{00000000-0005-0000-0000-0000A8150000}"/>
    <cellStyle name="Accent4 65 3 2 2" xfId="6205" xr:uid="{00000000-0005-0000-0000-0000A9150000}"/>
    <cellStyle name="Accent4 65 3 3" xfId="6206" xr:uid="{00000000-0005-0000-0000-0000AA150000}"/>
    <cellStyle name="Accent4 65 4" xfId="6207" xr:uid="{00000000-0005-0000-0000-0000AB150000}"/>
    <cellStyle name="Accent4 66" xfId="6208" xr:uid="{00000000-0005-0000-0000-0000AC150000}"/>
    <cellStyle name="Accent4 66 2" xfId="6209" xr:uid="{00000000-0005-0000-0000-0000AD150000}"/>
    <cellStyle name="Accent4 66 2 2" xfId="6210" xr:uid="{00000000-0005-0000-0000-0000AE150000}"/>
    <cellStyle name="Accent4 66 3" xfId="6211" xr:uid="{00000000-0005-0000-0000-0000AF150000}"/>
    <cellStyle name="Accent4 66 3 2" xfId="6212" xr:uid="{00000000-0005-0000-0000-0000B0150000}"/>
    <cellStyle name="Accent4 66 3 2 2" xfId="6213" xr:uid="{00000000-0005-0000-0000-0000B1150000}"/>
    <cellStyle name="Accent4 66 3 3" xfId="6214" xr:uid="{00000000-0005-0000-0000-0000B2150000}"/>
    <cellStyle name="Accent4 66 4" xfId="6215" xr:uid="{00000000-0005-0000-0000-0000B3150000}"/>
    <cellStyle name="Accent4 67" xfId="6216" xr:uid="{00000000-0005-0000-0000-0000B4150000}"/>
    <cellStyle name="Accent4 67 2" xfId="6217" xr:uid="{00000000-0005-0000-0000-0000B5150000}"/>
    <cellStyle name="Accent4 67 2 2" xfId="6218" xr:uid="{00000000-0005-0000-0000-0000B6150000}"/>
    <cellStyle name="Accent4 67 3" xfId="6219" xr:uid="{00000000-0005-0000-0000-0000B7150000}"/>
    <cellStyle name="Accent4 67 3 2" xfId="6220" xr:uid="{00000000-0005-0000-0000-0000B8150000}"/>
    <cellStyle name="Accent4 67 3 2 2" xfId="6221" xr:uid="{00000000-0005-0000-0000-0000B9150000}"/>
    <cellStyle name="Accent4 67 3 3" xfId="6222" xr:uid="{00000000-0005-0000-0000-0000BA150000}"/>
    <cellStyle name="Accent4 67 4" xfId="6223" xr:uid="{00000000-0005-0000-0000-0000BB150000}"/>
    <cellStyle name="Accent4 68" xfId="6224" xr:uid="{00000000-0005-0000-0000-0000BC150000}"/>
    <cellStyle name="Accent4 68 2" xfId="6225" xr:uid="{00000000-0005-0000-0000-0000BD150000}"/>
    <cellStyle name="Accent4 68 2 2" xfId="6226" xr:uid="{00000000-0005-0000-0000-0000BE150000}"/>
    <cellStyle name="Accent4 68 3" xfId="6227" xr:uid="{00000000-0005-0000-0000-0000BF150000}"/>
    <cellStyle name="Accent4 68 3 2" xfId="6228" xr:uid="{00000000-0005-0000-0000-0000C0150000}"/>
    <cellStyle name="Accent4 68 3 2 2" xfId="6229" xr:uid="{00000000-0005-0000-0000-0000C1150000}"/>
    <cellStyle name="Accent4 68 3 3" xfId="6230" xr:uid="{00000000-0005-0000-0000-0000C2150000}"/>
    <cellStyle name="Accent4 68 4" xfId="6231" xr:uid="{00000000-0005-0000-0000-0000C3150000}"/>
    <cellStyle name="Accent4 69" xfId="6232" xr:uid="{00000000-0005-0000-0000-0000C4150000}"/>
    <cellStyle name="Accent4 69 2" xfId="6233" xr:uid="{00000000-0005-0000-0000-0000C5150000}"/>
    <cellStyle name="Accent4 69 2 2" xfId="6234" xr:uid="{00000000-0005-0000-0000-0000C6150000}"/>
    <cellStyle name="Accent4 69 3" xfId="6235" xr:uid="{00000000-0005-0000-0000-0000C7150000}"/>
    <cellStyle name="Accent4 69 3 2" xfId="6236" xr:uid="{00000000-0005-0000-0000-0000C8150000}"/>
    <cellStyle name="Accent4 69 3 2 2" xfId="6237" xr:uid="{00000000-0005-0000-0000-0000C9150000}"/>
    <cellStyle name="Accent4 69 3 3" xfId="6238" xr:uid="{00000000-0005-0000-0000-0000CA150000}"/>
    <cellStyle name="Accent4 69 4" xfId="6239" xr:uid="{00000000-0005-0000-0000-0000CB150000}"/>
    <cellStyle name="Accent4 7" xfId="6240" xr:uid="{00000000-0005-0000-0000-0000CC150000}"/>
    <cellStyle name="Accent4 7 2" xfId="6241" xr:uid="{00000000-0005-0000-0000-0000CD150000}"/>
    <cellStyle name="Accent4 7 2 2" xfId="6242" xr:uid="{00000000-0005-0000-0000-0000CE150000}"/>
    <cellStyle name="Accent4 7 2 2 2" xfId="6243" xr:uid="{00000000-0005-0000-0000-0000CF150000}"/>
    <cellStyle name="Accent4 7 2 3" xfId="6244" xr:uid="{00000000-0005-0000-0000-0000D0150000}"/>
    <cellStyle name="Accent4 7 2 3 2" xfId="6245" xr:uid="{00000000-0005-0000-0000-0000D1150000}"/>
    <cellStyle name="Accent4 7 2 3 2 2" xfId="6246" xr:uid="{00000000-0005-0000-0000-0000D2150000}"/>
    <cellStyle name="Accent4 7 2 3 3" xfId="6247" xr:uid="{00000000-0005-0000-0000-0000D3150000}"/>
    <cellStyle name="Accent4 7 2 4" xfId="6248" xr:uid="{00000000-0005-0000-0000-0000D4150000}"/>
    <cellStyle name="Accent4 7 3" xfId="6249" xr:uid="{00000000-0005-0000-0000-0000D5150000}"/>
    <cellStyle name="Accent4 7 3 2" xfId="6250" xr:uid="{00000000-0005-0000-0000-0000D6150000}"/>
    <cellStyle name="Accent4 7 4" xfId="6251" xr:uid="{00000000-0005-0000-0000-0000D7150000}"/>
    <cellStyle name="Accent4 7 4 2" xfId="6252" xr:uid="{00000000-0005-0000-0000-0000D8150000}"/>
    <cellStyle name="Accent4 7 4 2 2" xfId="6253" xr:uid="{00000000-0005-0000-0000-0000D9150000}"/>
    <cellStyle name="Accent4 7 4 3" xfId="6254" xr:uid="{00000000-0005-0000-0000-0000DA150000}"/>
    <cellStyle name="Accent4 7 5" xfId="6255" xr:uid="{00000000-0005-0000-0000-0000DB150000}"/>
    <cellStyle name="Accent4 70" xfId="6256" xr:uid="{00000000-0005-0000-0000-0000DC150000}"/>
    <cellStyle name="Accent4 70 2" xfId="6257" xr:uid="{00000000-0005-0000-0000-0000DD150000}"/>
    <cellStyle name="Accent4 70 2 2" xfId="6258" xr:uid="{00000000-0005-0000-0000-0000DE150000}"/>
    <cellStyle name="Accent4 70 3" xfId="6259" xr:uid="{00000000-0005-0000-0000-0000DF150000}"/>
    <cellStyle name="Accent4 70 3 2" xfId="6260" xr:uid="{00000000-0005-0000-0000-0000E0150000}"/>
    <cellStyle name="Accent4 70 3 2 2" xfId="6261" xr:uid="{00000000-0005-0000-0000-0000E1150000}"/>
    <cellStyle name="Accent4 70 3 3" xfId="6262" xr:uid="{00000000-0005-0000-0000-0000E2150000}"/>
    <cellStyle name="Accent4 70 4" xfId="6263" xr:uid="{00000000-0005-0000-0000-0000E3150000}"/>
    <cellStyle name="Accent4 71" xfId="6264" xr:uid="{00000000-0005-0000-0000-0000E4150000}"/>
    <cellStyle name="Accent4 71 2" xfId="6265" xr:uid="{00000000-0005-0000-0000-0000E5150000}"/>
    <cellStyle name="Accent4 71 2 2" xfId="6266" xr:uid="{00000000-0005-0000-0000-0000E6150000}"/>
    <cellStyle name="Accent4 71 3" xfId="6267" xr:uid="{00000000-0005-0000-0000-0000E7150000}"/>
    <cellStyle name="Accent4 71 3 2" xfId="6268" xr:uid="{00000000-0005-0000-0000-0000E8150000}"/>
    <cellStyle name="Accent4 71 3 2 2" xfId="6269" xr:uid="{00000000-0005-0000-0000-0000E9150000}"/>
    <cellStyle name="Accent4 71 3 3" xfId="6270" xr:uid="{00000000-0005-0000-0000-0000EA150000}"/>
    <cellStyle name="Accent4 71 4" xfId="6271" xr:uid="{00000000-0005-0000-0000-0000EB150000}"/>
    <cellStyle name="Accent4 72" xfId="6272" xr:uid="{00000000-0005-0000-0000-0000EC150000}"/>
    <cellStyle name="Accent4 72 2" xfId="6273" xr:uid="{00000000-0005-0000-0000-0000ED150000}"/>
    <cellStyle name="Accent4 72 2 2" xfId="6274" xr:uid="{00000000-0005-0000-0000-0000EE150000}"/>
    <cellStyle name="Accent4 72 3" xfId="6275" xr:uid="{00000000-0005-0000-0000-0000EF150000}"/>
    <cellStyle name="Accent4 72 3 2" xfId="6276" xr:uid="{00000000-0005-0000-0000-0000F0150000}"/>
    <cellStyle name="Accent4 72 3 2 2" xfId="6277" xr:uid="{00000000-0005-0000-0000-0000F1150000}"/>
    <cellStyle name="Accent4 72 3 3" xfId="6278" xr:uid="{00000000-0005-0000-0000-0000F2150000}"/>
    <cellStyle name="Accent4 72 4" xfId="6279" xr:uid="{00000000-0005-0000-0000-0000F3150000}"/>
    <cellStyle name="Accent4 73" xfId="6280" xr:uid="{00000000-0005-0000-0000-0000F4150000}"/>
    <cellStyle name="Accent4 73 2" xfId="6281" xr:uid="{00000000-0005-0000-0000-0000F5150000}"/>
    <cellStyle name="Accent4 73 2 2" xfId="6282" xr:uid="{00000000-0005-0000-0000-0000F6150000}"/>
    <cellStyle name="Accent4 73 3" xfId="6283" xr:uid="{00000000-0005-0000-0000-0000F7150000}"/>
    <cellStyle name="Accent4 73 3 2" xfId="6284" xr:uid="{00000000-0005-0000-0000-0000F8150000}"/>
    <cellStyle name="Accent4 73 3 2 2" xfId="6285" xr:uid="{00000000-0005-0000-0000-0000F9150000}"/>
    <cellStyle name="Accent4 73 3 3" xfId="6286" xr:uid="{00000000-0005-0000-0000-0000FA150000}"/>
    <cellStyle name="Accent4 73 4" xfId="6287" xr:uid="{00000000-0005-0000-0000-0000FB150000}"/>
    <cellStyle name="Accent4 74" xfId="6288" xr:uid="{00000000-0005-0000-0000-0000FC150000}"/>
    <cellStyle name="Accent4 74 2" xfId="6289" xr:uid="{00000000-0005-0000-0000-0000FD150000}"/>
    <cellStyle name="Accent4 74 2 2" xfId="6290" xr:uid="{00000000-0005-0000-0000-0000FE150000}"/>
    <cellStyle name="Accent4 74 3" xfId="6291" xr:uid="{00000000-0005-0000-0000-0000FF150000}"/>
    <cellStyle name="Accent4 74 3 2" xfId="6292" xr:uid="{00000000-0005-0000-0000-000000160000}"/>
    <cellStyle name="Accent4 74 3 2 2" xfId="6293" xr:uid="{00000000-0005-0000-0000-000001160000}"/>
    <cellStyle name="Accent4 74 3 3" xfId="6294" xr:uid="{00000000-0005-0000-0000-000002160000}"/>
    <cellStyle name="Accent4 74 4" xfId="6295" xr:uid="{00000000-0005-0000-0000-000003160000}"/>
    <cellStyle name="Accent4 75" xfId="6296" xr:uid="{00000000-0005-0000-0000-000004160000}"/>
    <cellStyle name="Accent4 75 2" xfId="6297" xr:uid="{00000000-0005-0000-0000-000005160000}"/>
    <cellStyle name="Accent4 75 2 2" xfId="6298" xr:uid="{00000000-0005-0000-0000-000006160000}"/>
    <cellStyle name="Accent4 75 3" xfId="6299" xr:uid="{00000000-0005-0000-0000-000007160000}"/>
    <cellStyle name="Accent4 75 3 2" xfId="6300" xr:uid="{00000000-0005-0000-0000-000008160000}"/>
    <cellStyle name="Accent4 75 3 2 2" xfId="6301" xr:uid="{00000000-0005-0000-0000-000009160000}"/>
    <cellStyle name="Accent4 75 3 3" xfId="6302" xr:uid="{00000000-0005-0000-0000-00000A160000}"/>
    <cellStyle name="Accent4 75 4" xfId="6303" xr:uid="{00000000-0005-0000-0000-00000B160000}"/>
    <cellStyle name="Accent4 76" xfId="6304" xr:uid="{00000000-0005-0000-0000-00000C160000}"/>
    <cellStyle name="Accent4 76 2" xfId="6305" xr:uid="{00000000-0005-0000-0000-00000D160000}"/>
    <cellStyle name="Accent4 76 2 2" xfId="6306" xr:uid="{00000000-0005-0000-0000-00000E160000}"/>
    <cellStyle name="Accent4 76 3" xfId="6307" xr:uid="{00000000-0005-0000-0000-00000F160000}"/>
    <cellStyle name="Accent4 76 3 2" xfId="6308" xr:uid="{00000000-0005-0000-0000-000010160000}"/>
    <cellStyle name="Accent4 76 3 2 2" xfId="6309" xr:uid="{00000000-0005-0000-0000-000011160000}"/>
    <cellStyle name="Accent4 76 3 3" xfId="6310" xr:uid="{00000000-0005-0000-0000-000012160000}"/>
    <cellStyle name="Accent4 76 4" xfId="6311" xr:uid="{00000000-0005-0000-0000-000013160000}"/>
    <cellStyle name="Accent4 77" xfId="6312" xr:uid="{00000000-0005-0000-0000-000014160000}"/>
    <cellStyle name="Accent4 77 2" xfId="6313" xr:uid="{00000000-0005-0000-0000-000015160000}"/>
    <cellStyle name="Accent4 77 2 2" xfId="6314" xr:uid="{00000000-0005-0000-0000-000016160000}"/>
    <cellStyle name="Accent4 77 3" xfId="6315" xr:uid="{00000000-0005-0000-0000-000017160000}"/>
    <cellStyle name="Accent4 77 3 2" xfId="6316" xr:uid="{00000000-0005-0000-0000-000018160000}"/>
    <cellStyle name="Accent4 77 3 2 2" xfId="6317" xr:uid="{00000000-0005-0000-0000-000019160000}"/>
    <cellStyle name="Accent4 77 3 3" xfId="6318" xr:uid="{00000000-0005-0000-0000-00001A160000}"/>
    <cellStyle name="Accent4 77 4" xfId="6319" xr:uid="{00000000-0005-0000-0000-00001B160000}"/>
    <cellStyle name="Accent4 78" xfId="6320" xr:uid="{00000000-0005-0000-0000-00001C160000}"/>
    <cellStyle name="Accent4 78 2" xfId="6321" xr:uid="{00000000-0005-0000-0000-00001D160000}"/>
    <cellStyle name="Accent4 78 2 2" xfId="6322" xr:uid="{00000000-0005-0000-0000-00001E160000}"/>
    <cellStyle name="Accent4 78 3" xfId="6323" xr:uid="{00000000-0005-0000-0000-00001F160000}"/>
    <cellStyle name="Accent4 78 3 2" xfId="6324" xr:uid="{00000000-0005-0000-0000-000020160000}"/>
    <cellStyle name="Accent4 78 3 2 2" xfId="6325" xr:uid="{00000000-0005-0000-0000-000021160000}"/>
    <cellStyle name="Accent4 78 3 3" xfId="6326" xr:uid="{00000000-0005-0000-0000-000022160000}"/>
    <cellStyle name="Accent4 78 4" xfId="6327" xr:uid="{00000000-0005-0000-0000-000023160000}"/>
    <cellStyle name="Accent4 79" xfId="6328" xr:uid="{00000000-0005-0000-0000-000024160000}"/>
    <cellStyle name="Accent4 79 2" xfId="6329" xr:uid="{00000000-0005-0000-0000-000025160000}"/>
    <cellStyle name="Accent4 79 2 2" xfId="6330" xr:uid="{00000000-0005-0000-0000-000026160000}"/>
    <cellStyle name="Accent4 79 3" xfId="6331" xr:uid="{00000000-0005-0000-0000-000027160000}"/>
    <cellStyle name="Accent4 79 3 2" xfId="6332" xr:uid="{00000000-0005-0000-0000-000028160000}"/>
    <cellStyle name="Accent4 79 3 2 2" xfId="6333" xr:uid="{00000000-0005-0000-0000-000029160000}"/>
    <cellStyle name="Accent4 79 3 3" xfId="6334" xr:uid="{00000000-0005-0000-0000-00002A160000}"/>
    <cellStyle name="Accent4 79 4" xfId="6335" xr:uid="{00000000-0005-0000-0000-00002B160000}"/>
    <cellStyle name="Accent4 8" xfId="6336" xr:uid="{00000000-0005-0000-0000-00002C160000}"/>
    <cellStyle name="Accent4 8 2" xfId="6337" xr:uid="{00000000-0005-0000-0000-00002D160000}"/>
    <cellStyle name="Accent4 8 2 2" xfId="6338" xr:uid="{00000000-0005-0000-0000-00002E160000}"/>
    <cellStyle name="Accent4 8 3" xfId="6339" xr:uid="{00000000-0005-0000-0000-00002F160000}"/>
    <cellStyle name="Accent4 80" xfId="6340" xr:uid="{00000000-0005-0000-0000-000030160000}"/>
    <cellStyle name="Accent4 80 2" xfId="6341" xr:uid="{00000000-0005-0000-0000-000031160000}"/>
    <cellStyle name="Accent4 80 2 2" xfId="6342" xr:uid="{00000000-0005-0000-0000-000032160000}"/>
    <cellStyle name="Accent4 80 3" xfId="6343" xr:uid="{00000000-0005-0000-0000-000033160000}"/>
    <cellStyle name="Accent4 80 3 2" xfId="6344" xr:uid="{00000000-0005-0000-0000-000034160000}"/>
    <cellStyle name="Accent4 80 3 2 2" xfId="6345" xr:uid="{00000000-0005-0000-0000-000035160000}"/>
    <cellStyle name="Accent4 80 3 3" xfId="6346" xr:uid="{00000000-0005-0000-0000-000036160000}"/>
    <cellStyle name="Accent4 80 4" xfId="6347" xr:uid="{00000000-0005-0000-0000-000037160000}"/>
    <cellStyle name="Accent4 81" xfId="6348" xr:uid="{00000000-0005-0000-0000-000038160000}"/>
    <cellStyle name="Accent4 81 2" xfId="6349" xr:uid="{00000000-0005-0000-0000-000039160000}"/>
    <cellStyle name="Accent4 81 2 2" xfId="6350" xr:uid="{00000000-0005-0000-0000-00003A160000}"/>
    <cellStyle name="Accent4 81 3" xfId="6351" xr:uid="{00000000-0005-0000-0000-00003B160000}"/>
    <cellStyle name="Accent4 81 3 2" xfId="6352" xr:uid="{00000000-0005-0000-0000-00003C160000}"/>
    <cellStyle name="Accent4 81 3 2 2" xfId="6353" xr:uid="{00000000-0005-0000-0000-00003D160000}"/>
    <cellStyle name="Accent4 81 3 3" xfId="6354" xr:uid="{00000000-0005-0000-0000-00003E160000}"/>
    <cellStyle name="Accent4 81 4" xfId="6355" xr:uid="{00000000-0005-0000-0000-00003F160000}"/>
    <cellStyle name="Accent4 82" xfId="6356" xr:uid="{00000000-0005-0000-0000-000040160000}"/>
    <cellStyle name="Accent4 82 2" xfId="6357" xr:uid="{00000000-0005-0000-0000-000041160000}"/>
    <cellStyle name="Accent4 82 2 2" xfId="6358" xr:uid="{00000000-0005-0000-0000-000042160000}"/>
    <cellStyle name="Accent4 82 3" xfId="6359" xr:uid="{00000000-0005-0000-0000-000043160000}"/>
    <cellStyle name="Accent4 82 3 2" xfId="6360" xr:uid="{00000000-0005-0000-0000-000044160000}"/>
    <cellStyle name="Accent4 82 3 2 2" xfId="6361" xr:uid="{00000000-0005-0000-0000-000045160000}"/>
    <cellStyle name="Accent4 82 3 3" xfId="6362" xr:uid="{00000000-0005-0000-0000-000046160000}"/>
    <cellStyle name="Accent4 82 4" xfId="6363" xr:uid="{00000000-0005-0000-0000-000047160000}"/>
    <cellStyle name="Accent4 83" xfId="6364" xr:uid="{00000000-0005-0000-0000-000048160000}"/>
    <cellStyle name="Accent4 83 2" xfId="6365" xr:uid="{00000000-0005-0000-0000-000049160000}"/>
    <cellStyle name="Accent4 83 2 2" xfId="6366" xr:uid="{00000000-0005-0000-0000-00004A160000}"/>
    <cellStyle name="Accent4 83 3" xfId="6367" xr:uid="{00000000-0005-0000-0000-00004B160000}"/>
    <cellStyle name="Accent4 83 3 2" xfId="6368" xr:uid="{00000000-0005-0000-0000-00004C160000}"/>
    <cellStyle name="Accent4 83 3 2 2" xfId="6369" xr:uid="{00000000-0005-0000-0000-00004D160000}"/>
    <cellStyle name="Accent4 83 3 3" xfId="6370" xr:uid="{00000000-0005-0000-0000-00004E160000}"/>
    <cellStyle name="Accent4 83 4" xfId="6371" xr:uid="{00000000-0005-0000-0000-00004F160000}"/>
    <cellStyle name="Accent4 84" xfId="6372" xr:uid="{00000000-0005-0000-0000-000050160000}"/>
    <cellStyle name="Accent4 84 2" xfId="6373" xr:uid="{00000000-0005-0000-0000-000051160000}"/>
    <cellStyle name="Accent4 84 2 2" xfId="6374" xr:uid="{00000000-0005-0000-0000-000052160000}"/>
    <cellStyle name="Accent4 84 3" xfId="6375" xr:uid="{00000000-0005-0000-0000-000053160000}"/>
    <cellStyle name="Accent4 85" xfId="6376" xr:uid="{00000000-0005-0000-0000-000054160000}"/>
    <cellStyle name="Accent4 85 2" xfId="6377" xr:uid="{00000000-0005-0000-0000-000055160000}"/>
    <cellStyle name="Accent4 85 2 2" xfId="6378" xr:uid="{00000000-0005-0000-0000-000056160000}"/>
    <cellStyle name="Accent4 85 3" xfId="6379" xr:uid="{00000000-0005-0000-0000-000057160000}"/>
    <cellStyle name="Accent4 86" xfId="6380" xr:uid="{00000000-0005-0000-0000-000058160000}"/>
    <cellStyle name="Accent4 86 2" xfId="6381" xr:uid="{00000000-0005-0000-0000-000059160000}"/>
    <cellStyle name="Accent4 86 2 2" xfId="6382" xr:uid="{00000000-0005-0000-0000-00005A160000}"/>
    <cellStyle name="Accent4 86 3" xfId="6383" xr:uid="{00000000-0005-0000-0000-00005B160000}"/>
    <cellStyle name="Accent4 87" xfId="6384" xr:uid="{00000000-0005-0000-0000-00005C160000}"/>
    <cellStyle name="Accent4 87 2" xfId="6385" xr:uid="{00000000-0005-0000-0000-00005D160000}"/>
    <cellStyle name="Accent4 87 2 2" xfId="6386" xr:uid="{00000000-0005-0000-0000-00005E160000}"/>
    <cellStyle name="Accent4 87 3" xfId="6387" xr:uid="{00000000-0005-0000-0000-00005F160000}"/>
    <cellStyle name="Accent4 88" xfId="6388" xr:uid="{00000000-0005-0000-0000-000060160000}"/>
    <cellStyle name="Accent4 88 2" xfId="6389" xr:uid="{00000000-0005-0000-0000-000061160000}"/>
    <cellStyle name="Accent4 88 2 2" xfId="6390" xr:uid="{00000000-0005-0000-0000-000062160000}"/>
    <cellStyle name="Accent4 88 3" xfId="6391" xr:uid="{00000000-0005-0000-0000-000063160000}"/>
    <cellStyle name="Accent4 89" xfId="6392" xr:uid="{00000000-0005-0000-0000-000064160000}"/>
    <cellStyle name="Accent4 89 2" xfId="6393" xr:uid="{00000000-0005-0000-0000-000065160000}"/>
    <cellStyle name="Accent4 89 2 2" xfId="6394" xr:uid="{00000000-0005-0000-0000-000066160000}"/>
    <cellStyle name="Accent4 89 3" xfId="6395" xr:uid="{00000000-0005-0000-0000-000067160000}"/>
    <cellStyle name="Accent4 9" xfId="6396" xr:uid="{00000000-0005-0000-0000-000068160000}"/>
    <cellStyle name="Accent4 9 2" xfId="6397" xr:uid="{00000000-0005-0000-0000-000069160000}"/>
    <cellStyle name="Accent4 9 2 2" xfId="6398" xr:uid="{00000000-0005-0000-0000-00006A160000}"/>
    <cellStyle name="Accent4 9 3" xfId="6399" xr:uid="{00000000-0005-0000-0000-00006B160000}"/>
    <cellStyle name="Accent4 90" xfId="6400" xr:uid="{00000000-0005-0000-0000-00006C160000}"/>
    <cellStyle name="Accent4 90 2" xfId="6401" xr:uid="{00000000-0005-0000-0000-00006D160000}"/>
    <cellStyle name="Accent4 90 2 2" xfId="6402" xr:uid="{00000000-0005-0000-0000-00006E160000}"/>
    <cellStyle name="Accent4 90 3" xfId="6403" xr:uid="{00000000-0005-0000-0000-00006F160000}"/>
    <cellStyle name="Accent4 91" xfId="6404" xr:uid="{00000000-0005-0000-0000-000070160000}"/>
    <cellStyle name="Accent4 91 2" xfId="6405" xr:uid="{00000000-0005-0000-0000-000071160000}"/>
    <cellStyle name="Accent4 91 2 2" xfId="6406" xr:uid="{00000000-0005-0000-0000-000072160000}"/>
    <cellStyle name="Accent4 91 3" xfId="6407" xr:uid="{00000000-0005-0000-0000-000073160000}"/>
    <cellStyle name="Accent4 92" xfId="6408" xr:uid="{00000000-0005-0000-0000-000074160000}"/>
    <cellStyle name="Accent4 92 2" xfId="6409" xr:uid="{00000000-0005-0000-0000-000075160000}"/>
    <cellStyle name="Accent4 92 2 2" xfId="6410" xr:uid="{00000000-0005-0000-0000-000076160000}"/>
    <cellStyle name="Accent4 92 3" xfId="6411" xr:uid="{00000000-0005-0000-0000-000077160000}"/>
    <cellStyle name="Accent4 93" xfId="6412" xr:uid="{00000000-0005-0000-0000-000078160000}"/>
    <cellStyle name="Accent4 93 2" xfId="6413" xr:uid="{00000000-0005-0000-0000-000079160000}"/>
    <cellStyle name="Accent4 93 2 2" xfId="6414" xr:uid="{00000000-0005-0000-0000-00007A160000}"/>
    <cellStyle name="Accent4 93 3" xfId="6415" xr:uid="{00000000-0005-0000-0000-00007B160000}"/>
    <cellStyle name="Accent4 94" xfId="6416" xr:uid="{00000000-0005-0000-0000-00007C160000}"/>
    <cellStyle name="Accent4 94 2" xfId="6417" xr:uid="{00000000-0005-0000-0000-00007D160000}"/>
    <cellStyle name="Accent4 94 2 2" xfId="6418" xr:uid="{00000000-0005-0000-0000-00007E160000}"/>
    <cellStyle name="Accent4 94 3" xfId="6419" xr:uid="{00000000-0005-0000-0000-00007F160000}"/>
    <cellStyle name="Accent4 95" xfId="6420" xr:uid="{00000000-0005-0000-0000-000080160000}"/>
    <cellStyle name="Accent4 95 2" xfId="6421" xr:uid="{00000000-0005-0000-0000-000081160000}"/>
    <cellStyle name="Accent4 95 2 2" xfId="6422" xr:uid="{00000000-0005-0000-0000-000082160000}"/>
    <cellStyle name="Accent4 95 3" xfId="6423" xr:uid="{00000000-0005-0000-0000-000083160000}"/>
    <cellStyle name="Accent4 96" xfId="6424" xr:uid="{00000000-0005-0000-0000-000084160000}"/>
    <cellStyle name="Accent4 96 2" xfId="6425" xr:uid="{00000000-0005-0000-0000-000085160000}"/>
    <cellStyle name="Accent4 96 2 2" xfId="6426" xr:uid="{00000000-0005-0000-0000-000086160000}"/>
    <cellStyle name="Accent4 96 3" xfId="6427" xr:uid="{00000000-0005-0000-0000-000087160000}"/>
    <cellStyle name="Accent4 97" xfId="6428" xr:uid="{00000000-0005-0000-0000-000088160000}"/>
    <cellStyle name="Accent4 97 2" xfId="6429" xr:uid="{00000000-0005-0000-0000-000089160000}"/>
    <cellStyle name="Accent4 97 2 2" xfId="6430" xr:uid="{00000000-0005-0000-0000-00008A160000}"/>
    <cellStyle name="Accent4 97 3" xfId="6431" xr:uid="{00000000-0005-0000-0000-00008B160000}"/>
    <cellStyle name="Accent4 98" xfId="6432" xr:uid="{00000000-0005-0000-0000-00008C160000}"/>
    <cellStyle name="Accent4 98 2" xfId="6433" xr:uid="{00000000-0005-0000-0000-00008D160000}"/>
    <cellStyle name="Accent4 98 2 2" xfId="6434" xr:uid="{00000000-0005-0000-0000-00008E160000}"/>
    <cellStyle name="Accent4 98 3" xfId="6435" xr:uid="{00000000-0005-0000-0000-00008F160000}"/>
    <cellStyle name="Accent4 99" xfId="6436" xr:uid="{00000000-0005-0000-0000-000090160000}"/>
    <cellStyle name="Accent4 99 2" xfId="6437" xr:uid="{00000000-0005-0000-0000-000091160000}"/>
    <cellStyle name="Accent4 99 2 2" xfId="6438" xr:uid="{00000000-0005-0000-0000-000092160000}"/>
    <cellStyle name="Accent4 99 3" xfId="6439" xr:uid="{00000000-0005-0000-0000-000093160000}"/>
    <cellStyle name="Accent5 - 20%" xfId="13" xr:uid="{00000000-0005-0000-0000-000094160000}"/>
    <cellStyle name="Accent5 - 20% 10" xfId="6440" xr:uid="{00000000-0005-0000-0000-000095160000}"/>
    <cellStyle name="Accent5 - 20% 11" xfId="6441" xr:uid="{00000000-0005-0000-0000-000096160000}"/>
    <cellStyle name="Accent5 - 20% 2" xfId="6442" xr:uid="{00000000-0005-0000-0000-000097160000}"/>
    <cellStyle name="Accent5 - 20% 2 2" xfId="6443" xr:uid="{00000000-0005-0000-0000-000098160000}"/>
    <cellStyle name="Accent5 - 20% 2 2 2" xfId="6444" xr:uid="{00000000-0005-0000-0000-000099160000}"/>
    <cellStyle name="Accent5 - 20% 2 2 2 2" xfId="6445" xr:uid="{00000000-0005-0000-0000-00009A160000}"/>
    <cellStyle name="Accent5 - 20% 2 2 3" xfId="6446" xr:uid="{00000000-0005-0000-0000-00009B160000}"/>
    <cellStyle name="Accent5 - 20% 2 3" xfId="6447" xr:uid="{00000000-0005-0000-0000-00009C160000}"/>
    <cellStyle name="Accent5 - 20% 2 3 2" xfId="6448" xr:uid="{00000000-0005-0000-0000-00009D160000}"/>
    <cellStyle name="Accent5 - 20% 2 3 2 2" xfId="6449" xr:uid="{00000000-0005-0000-0000-00009E160000}"/>
    <cellStyle name="Accent5 - 20% 2 3 2 2 2" xfId="6450" xr:uid="{00000000-0005-0000-0000-00009F160000}"/>
    <cellStyle name="Accent5 - 20% 2 3 2 3" xfId="6451" xr:uid="{00000000-0005-0000-0000-0000A0160000}"/>
    <cellStyle name="Accent5 - 20% 2 3 3" xfId="6452" xr:uid="{00000000-0005-0000-0000-0000A1160000}"/>
    <cellStyle name="Accent5 - 20% 2 3 3 2" xfId="6453" xr:uid="{00000000-0005-0000-0000-0000A2160000}"/>
    <cellStyle name="Accent5 - 20% 2 3 4" xfId="6454" xr:uid="{00000000-0005-0000-0000-0000A3160000}"/>
    <cellStyle name="Accent5 - 20% 2 4" xfId="6455" xr:uid="{00000000-0005-0000-0000-0000A4160000}"/>
    <cellStyle name="Accent5 - 20% 2 4 2" xfId="6456" xr:uid="{00000000-0005-0000-0000-0000A5160000}"/>
    <cellStyle name="Accent5 - 20% 2 4 2 2" xfId="6457" xr:uid="{00000000-0005-0000-0000-0000A6160000}"/>
    <cellStyle name="Accent5 - 20% 2 4 2 2 2" xfId="6458" xr:uid="{00000000-0005-0000-0000-0000A7160000}"/>
    <cellStyle name="Accent5 - 20% 2 4 2 3" xfId="6459" xr:uid="{00000000-0005-0000-0000-0000A8160000}"/>
    <cellStyle name="Accent5 - 20% 2 4 3" xfId="6460" xr:uid="{00000000-0005-0000-0000-0000A9160000}"/>
    <cellStyle name="Accent5 - 20% 2 4 3 2" xfId="6461" xr:uid="{00000000-0005-0000-0000-0000AA160000}"/>
    <cellStyle name="Accent5 - 20% 2 4 4" xfId="6462" xr:uid="{00000000-0005-0000-0000-0000AB160000}"/>
    <cellStyle name="Accent5 - 20% 2 5" xfId="6463" xr:uid="{00000000-0005-0000-0000-0000AC160000}"/>
    <cellStyle name="Accent5 - 20% 2 5 2" xfId="6464" xr:uid="{00000000-0005-0000-0000-0000AD160000}"/>
    <cellStyle name="Accent5 - 20% 2 6" xfId="6465" xr:uid="{00000000-0005-0000-0000-0000AE160000}"/>
    <cellStyle name="Accent5 - 20% 2 6 2" xfId="6466" xr:uid="{00000000-0005-0000-0000-0000AF160000}"/>
    <cellStyle name="Accent5 - 20% 2 7" xfId="6467" xr:uid="{00000000-0005-0000-0000-0000B0160000}"/>
    <cellStyle name="Accent5 - 20% 3" xfId="6468" xr:uid="{00000000-0005-0000-0000-0000B1160000}"/>
    <cellStyle name="Accent5 - 20% 3 2" xfId="6469" xr:uid="{00000000-0005-0000-0000-0000B2160000}"/>
    <cellStyle name="Accent5 - 20% 3 2 2" xfId="6470" xr:uid="{00000000-0005-0000-0000-0000B3160000}"/>
    <cellStyle name="Accent5 - 20% 3 2 2 2" xfId="6471" xr:uid="{00000000-0005-0000-0000-0000B4160000}"/>
    <cellStyle name="Accent5 - 20% 3 2 3" xfId="6472" xr:uid="{00000000-0005-0000-0000-0000B5160000}"/>
    <cellStyle name="Accent5 - 20% 3 3" xfId="6473" xr:uid="{00000000-0005-0000-0000-0000B6160000}"/>
    <cellStyle name="Accent5 - 20% 3 3 2" xfId="6474" xr:uid="{00000000-0005-0000-0000-0000B7160000}"/>
    <cellStyle name="Accent5 - 20% 3 4" xfId="6475" xr:uid="{00000000-0005-0000-0000-0000B8160000}"/>
    <cellStyle name="Accent5 - 20% 4" xfId="6476" xr:uid="{00000000-0005-0000-0000-0000B9160000}"/>
    <cellStyle name="Accent5 - 20% 4 2" xfId="6477" xr:uid="{00000000-0005-0000-0000-0000BA160000}"/>
    <cellStyle name="Accent5 - 20% 4 2 2" xfId="6478" xr:uid="{00000000-0005-0000-0000-0000BB160000}"/>
    <cellStyle name="Accent5 - 20% 4 3" xfId="6479" xr:uid="{00000000-0005-0000-0000-0000BC160000}"/>
    <cellStyle name="Accent5 - 20% 5" xfId="6480" xr:uid="{00000000-0005-0000-0000-0000BD160000}"/>
    <cellStyle name="Accent5 - 20% 5 2" xfId="6481" xr:uid="{00000000-0005-0000-0000-0000BE160000}"/>
    <cellStyle name="Accent5 - 20% 5 2 2" xfId="6482" xr:uid="{00000000-0005-0000-0000-0000BF160000}"/>
    <cellStyle name="Accent5 - 20% 5 3" xfId="6483" xr:uid="{00000000-0005-0000-0000-0000C0160000}"/>
    <cellStyle name="Accent5 - 20% 6" xfId="6484" xr:uid="{00000000-0005-0000-0000-0000C1160000}"/>
    <cellStyle name="Accent5 - 20% 6 2" xfId="6485" xr:uid="{00000000-0005-0000-0000-0000C2160000}"/>
    <cellStyle name="Accent5 - 20% 7" xfId="6486" xr:uid="{00000000-0005-0000-0000-0000C3160000}"/>
    <cellStyle name="Accent5 - 20% 7 2" xfId="6487" xr:uid="{00000000-0005-0000-0000-0000C4160000}"/>
    <cellStyle name="Accent5 - 20% 8" xfId="6488" xr:uid="{00000000-0005-0000-0000-0000C5160000}"/>
    <cellStyle name="Accent5 - 20% 8 2" xfId="6489" xr:uid="{00000000-0005-0000-0000-0000C6160000}"/>
    <cellStyle name="Accent5 - 20% 9" xfId="6490" xr:uid="{00000000-0005-0000-0000-0000C7160000}"/>
    <cellStyle name="Accent5 - 20% 9 2" xfId="6491" xr:uid="{00000000-0005-0000-0000-0000C8160000}"/>
    <cellStyle name="Accent5 - 40%" xfId="14" xr:uid="{00000000-0005-0000-0000-0000C9160000}"/>
    <cellStyle name="Accent5 - 40% 2" xfId="6492" xr:uid="{00000000-0005-0000-0000-0000CA160000}"/>
    <cellStyle name="Accent5 - 40% 2 2" xfId="6493" xr:uid="{00000000-0005-0000-0000-0000CB160000}"/>
    <cellStyle name="Accent5 - 40% 2 2 2" xfId="6494" xr:uid="{00000000-0005-0000-0000-0000CC160000}"/>
    <cellStyle name="Accent5 - 40% 2 2 2 2" xfId="6495" xr:uid="{00000000-0005-0000-0000-0000CD160000}"/>
    <cellStyle name="Accent5 - 40% 2 2 3" xfId="6496" xr:uid="{00000000-0005-0000-0000-0000CE160000}"/>
    <cellStyle name="Accent5 - 40% 2 3" xfId="6497" xr:uid="{00000000-0005-0000-0000-0000CF160000}"/>
    <cellStyle name="Accent5 - 40% 2 3 2" xfId="6498" xr:uid="{00000000-0005-0000-0000-0000D0160000}"/>
    <cellStyle name="Accent5 - 40% 2 3 2 2" xfId="6499" xr:uid="{00000000-0005-0000-0000-0000D1160000}"/>
    <cellStyle name="Accent5 - 40% 2 3 2 2 2" xfId="6500" xr:uid="{00000000-0005-0000-0000-0000D2160000}"/>
    <cellStyle name="Accent5 - 40% 2 3 2 3" xfId="6501" xr:uid="{00000000-0005-0000-0000-0000D3160000}"/>
    <cellStyle name="Accent5 - 40% 2 3 3" xfId="6502" xr:uid="{00000000-0005-0000-0000-0000D4160000}"/>
    <cellStyle name="Accent5 - 40% 2 3 3 2" xfId="6503" xr:uid="{00000000-0005-0000-0000-0000D5160000}"/>
    <cellStyle name="Accent5 - 40% 2 3 4" xfId="6504" xr:uid="{00000000-0005-0000-0000-0000D6160000}"/>
    <cellStyle name="Accent5 - 40% 2 4" xfId="6505" xr:uid="{00000000-0005-0000-0000-0000D7160000}"/>
    <cellStyle name="Accent5 - 40% 2 4 2" xfId="6506" xr:uid="{00000000-0005-0000-0000-0000D8160000}"/>
    <cellStyle name="Accent5 - 40% 2 5" xfId="6507" xr:uid="{00000000-0005-0000-0000-0000D9160000}"/>
    <cellStyle name="Accent5 - 40% 2 5 2" xfId="6508" xr:uid="{00000000-0005-0000-0000-0000DA160000}"/>
    <cellStyle name="Accent5 - 40% 2 6" xfId="6509" xr:uid="{00000000-0005-0000-0000-0000DB160000}"/>
    <cellStyle name="Accent5 - 40% 3" xfId="6510" xr:uid="{00000000-0005-0000-0000-0000DC160000}"/>
    <cellStyle name="Accent5 - 40% 3 2" xfId="6511" xr:uid="{00000000-0005-0000-0000-0000DD160000}"/>
    <cellStyle name="Accent5 - 40% 3 2 2" xfId="6512" xr:uid="{00000000-0005-0000-0000-0000DE160000}"/>
    <cellStyle name="Accent5 - 40% 3 2 2 2" xfId="6513" xr:uid="{00000000-0005-0000-0000-0000DF160000}"/>
    <cellStyle name="Accent5 - 40% 3 2 3" xfId="6514" xr:uid="{00000000-0005-0000-0000-0000E0160000}"/>
    <cellStyle name="Accent5 - 40% 3 3" xfId="6515" xr:uid="{00000000-0005-0000-0000-0000E1160000}"/>
    <cellStyle name="Accent5 - 40% 3 3 2" xfId="6516" xr:uid="{00000000-0005-0000-0000-0000E2160000}"/>
    <cellStyle name="Accent5 - 40% 3 4" xfId="6517" xr:uid="{00000000-0005-0000-0000-0000E3160000}"/>
    <cellStyle name="Accent5 - 40% 4" xfId="6518" xr:uid="{00000000-0005-0000-0000-0000E4160000}"/>
    <cellStyle name="Accent5 - 40% 4 2" xfId="6519" xr:uid="{00000000-0005-0000-0000-0000E5160000}"/>
    <cellStyle name="Accent5 - 40% 4 2 2" xfId="6520" xr:uid="{00000000-0005-0000-0000-0000E6160000}"/>
    <cellStyle name="Accent5 - 40% 4 3" xfId="6521" xr:uid="{00000000-0005-0000-0000-0000E7160000}"/>
    <cellStyle name="Accent5 - 40% 5" xfId="6522" xr:uid="{00000000-0005-0000-0000-0000E8160000}"/>
    <cellStyle name="Accent5 - 40% 5 2" xfId="6523" xr:uid="{00000000-0005-0000-0000-0000E9160000}"/>
    <cellStyle name="Accent5 - 40% 6" xfId="6524" xr:uid="{00000000-0005-0000-0000-0000EA160000}"/>
    <cellStyle name="Accent5 - 40% 6 2" xfId="6525" xr:uid="{00000000-0005-0000-0000-0000EB160000}"/>
    <cellStyle name="Accent5 - 40% 7" xfId="6526" xr:uid="{00000000-0005-0000-0000-0000EC160000}"/>
    <cellStyle name="Accent5 - 40% 8" xfId="6527" xr:uid="{00000000-0005-0000-0000-0000ED160000}"/>
    <cellStyle name="Accent5 - 60%" xfId="15" xr:uid="{00000000-0005-0000-0000-0000EE160000}"/>
    <cellStyle name="Accent5 - 60% 10" xfId="6528" xr:uid="{00000000-0005-0000-0000-0000EF160000}"/>
    <cellStyle name="Accent5 - 60% 2" xfId="6529" xr:uid="{00000000-0005-0000-0000-0000F0160000}"/>
    <cellStyle name="Accent5 - 60% 2 2" xfId="6530" xr:uid="{00000000-0005-0000-0000-0000F1160000}"/>
    <cellStyle name="Accent5 - 60% 2 2 2" xfId="6531" xr:uid="{00000000-0005-0000-0000-0000F2160000}"/>
    <cellStyle name="Accent5 - 60% 2 3" xfId="6532" xr:uid="{00000000-0005-0000-0000-0000F3160000}"/>
    <cellStyle name="Accent5 - 60% 2 3 2" xfId="6533" xr:uid="{00000000-0005-0000-0000-0000F4160000}"/>
    <cellStyle name="Accent5 - 60% 2 3 2 2" xfId="6534" xr:uid="{00000000-0005-0000-0000-0000F5160000}"/>
    <cellStyle name="Accent5 - 60% 2 3 3" xfId="6535" xr:uid="{00000000-0005-0000-0000-0000F6160000}"/>
    <cellStyle name="Accent5 - 60% 2 4" xfId="6536" xr:uid="{00000000-0005-0000-0000-0000F7160000}"/>
    <cellStyle name="Accent5 - 60% 2 4 2" xfId="6537" xr:uid="{00000000-0005-0000-0000-0000F8160000}"/>
    <cellStyle name="Accent5 - 60% 2 4 2 2" xfId="6538" xr:uid="{00000000-0005-0000-0000-0000F9160000}"/>
    <cellStyle name="Accent5 - 60% 2 4 3" xfId="6539" xr:uid="{00000000-0005-0000-0000-0000FA160000}"/>
    <cellStyle name="Accent5 - 60% 2 5" xfId="6540" xr:uid="{00000000-0005-0000-0000-0000FB160000}"/>
    <cellStyle name="Accent5 - 60% 3" xfId="6541" xr:uid="{00000000-0005-0000-0000-0000FC160000}"/>
    <cellStyle name="Accent5 - 60% 3 2" xfId="6542" xr:uid="{00000000-0005-0000-0000-0000FD160000}"/>
    <cellStyle name="Accent5 - 60% 3 2 2" xfId="6543" xr:uid="{00000000-0005-0000-0000-0000FE160000}"/>
    <cellStyle name="Accent5 - 60% 3 3" xfId="6544" xr:uid="{00000000-0005-0000-0000-0000FF160000}"/>
    <cellStyle name="Accent5 - 60% 4" xfId="6545" xr:uid="{00000000-0005-0000-0000-000000170000}"/>
    <cellStyle name="Accent5 - 60% 4 2" xfId="6546" xr:uid="{00000000-0005-0000-0000-000001170000}"/>
    <cellStyle name="Accent5 - 60% 5" xfId="6547" xr:uid="{00000000-0005-0000-0000-000002170000}"/>
    <cellStyle name="Accent5 - 60% 5 2" xfId="6548" xr:uid="{00000000-0005-0000-0000-000003170000}"/>
    <cellStyle name="Accent5 - 60% 6" xfId="6549" xr:uid="{00000000-0005-0000-0000-000004170000}"/>
    <cellStyle name="Accent5 - 60% 6 2" xfId="6550" xr:uid="{00000000-0005-0000-0000-000005170000}"/>
    <cellStyle name="Accent5 - 60% 6 2 2" xfId="6551" xr:uid="{00000000-0005-0000-0000-000006170000}"/>
    <cellStyle name="Accent5 - 60% 6 3" xfId="6552" xr:uid="{00000000-0005-0000-0000-000007170000}"/>
    <cellStyle name="Accent5 - 60% 7" xfId="6553" xr:uid="{00000000-0005-0000-0000-000008170000}"/>
    <cellStyle name="Accent5 - 60% 7 2" xfId="6554" xr:uid="{00000000-0005-0000-0000-000009170000}"/>
    <cellStyle name="Accent5 - 60% 8" xfId="6555" xr:uid="{00000000-0005-0000-0000-00000A170000}"/>
    <cellStyle name="Accent5 - 60% 8 2" xfId="6556" xr:uid="{00000000-0005-0000-0000-00000B170000}"/>
    <cellStyle name="Accent5 - 60% 9" xfId="6557" xr:uid="{00000000-0005-0000-0000-00000C170000}"/>
    <cellStyle name="Accent5 10" xfId="6558" xr:uid="{00000000-0005-0000-0000-00000D170000}"/>
    <cellStyle name="Accent5 10 2" xfId="6559" xr:uid="{00000000-0005-0000-0000-00000E170000}"/>
    <cellStyle name="Accent5 10 2 2" xfId="6560" xr:uid="{00000000-0005-0000-0000-00000F170000}"/>
    <cellStyle name="Accent5 10 3" xfId="6561" xr:uid="{00000000-0005-0000-0000-000010170000}"/>
    <cellStyle name="Accent5 100" xfId="6562" xr:uid="{00000000-0005-0000-0000-000011170000}"/>
    <cellStyle name="Accent5 100 2" xfId="6563" xr:uid="{00000000-0005-0000-0000-000012170000}"/>
    <cellStyle name="Accent5 100 2 2" xfId="6564" xr:uid="{00000000-0005-0000-0000-000013170000}"/>
    <cellStyle name="Accent5 100 3" xfId="6565" xr:uid="{00000000-0005-0000-0000-000014170000}"/>
    <cellStyle name="Accent5 101" xfId="6566" xr:uid="{00000000-0005-0000-0000-000015170000}"/>
    <cellStyle name="Accent5 101 2" xfId="6567" xr:uid="{00000000-0005-0000-0000-000016170000}"/>
    <cellStyle name="Accent5 101 2 2" xfId="6568" xr:uid="{00000000-0005-0000-0000-000017170000}"/>
    <cellStyle name="Accent5 101 3" xfId="6569" xr:uid="{00000000-0005-0000-0000-000018170000}"/>
    <cellStyle name="Accent5 102" xfId="6570" xr:uid="{00000000-0005-0000-0000-000019170000}"/>
    <cellStyle name="Accent5 102 2" xfId="6571" xr:uid="{00000000-0005-0000-0000-00001A170000}"/>
    <cellStyle name="Accent5 103" xfId="6572" xr:uid="{00000000-0005-0000-0000-00001B170000}"/>
    <cellStyle name="Accent5 103 2" xfId="6573" xr:uid="{00000000-0005-0000-0000-00001C170000}"/>
    <cellStyle name="Accent5 104" xfId="6574" xr:uid="{00000000-0005-0000-0000-00001D170000}"/>
    <cellStyle name="Accent5 104 2" xfId="6575" xr:uid="{00000000-0005-0000-0000-00001E170000}"/>
    <cellStyle name="Accent5 104 2 2" xfId="6576" xr:uid="{00000000-0005-0000-0000-00001F170000}"/>
    <cellStyle name="Accent5 104 3" xfId="6577" xr:uid="{00000000-0005-0000-0000-000020170000}"/>
    <cellStyle name="Accent5 105" xfId="6578" xr:uid="{00000000-0005-0000-0000-000021170000}"/>
    <cellStyle name="Accent5 105 2" xfId="6579" xr:uid="{00000000-0005-0000-0000-000022170000}"/>
    <cellStyle name="Accent5 105 2 2" xfId="6580" xr:uid="{00000000-0005-0000-0000-000023170000}"/>
    <cellStyle name="Accent5 105 3" xfId="6581" xr:uid="{00000000-0005-0000-0000-000024170000}"/>
    <cellStyle name="Accent5 106" xfId="6582" xr:uid="{00000000-0005-0000-0000-000025170000}"/>
    <cellStyle name="Accent5 106 2" xfId="6583" xr:uid="{00000000-0005-0000-0000-000026170000}"/>
    <cellStyle name="Accent5 106 2 2" xfId="6584" xr:uid="{00000000-0005-0000-0000-000027170000}"/>
    <cellStyle name="Accent5 106 3" xfId="6585" xr:uid="{00000000-0005-0000-0000-000028170000}"/>
    <cellStyle name="Accent5 107" xfId="6586" xr:uid="{00000000-0005-0000-0000-000029170000}"/>
    <cellStyle name="Accent5 107 2" xfId="6587" xr:uid="{00000000-0005-0000-0000-00002A170000}"/>
    <cellStyle name="Accent5 107 2 2" xfId="6588" xr:uid="{00000000-0005-0000-0000-00002B170000}"/>
    <cellStyle name="Accent5 107 3" xfId="6589" xr:uid="{00000000-0005-0000-0000-00002C170000}"/>
    <cellStyle name="Accent5 108" xfId="6590" xr:uid="{00000000-0005-0000-0000-00002D170000}"/>
    <cellStyle name="Accent5 108 2" xfId="6591" xr:uid="{00000000-0005-0000-0000-00002E170000}"/>
    <cellStyle name="Accent5 108 2 2" xfId="6592" xr:uid="{00000000-0005-0000-0000-00002F170000}"/>
    <cellStyle name="Accent5 108 3" xfId="6593" xr:uid="{00000000-0005-0000-0000-000030170000}"/>
    <cellStyle name="Accent5 109" xfId="6594" xr:uid="{00000000-0005-0000-0000-000031170000}"/>
    <cellStyle name="Accent5 109 2" xfId="6595" xr:uid="{00000000-0005-0000-0000-000032170000}"/>
    <cellStyle name="Accent5 109 2 2" xfId="6596" xr:uid="{00000000-0005-0000-0000-000033170000}"/>
    <cellStyle name="Accent5 109 3" xfId="6597" xr:uid="{00000000-0005-0000-0000-000034170000}"/>
    <cellStyle name="Accent5 11" xfId="6598" xr:uid="{00000000-0005-0000-0000-000035170000}"/>
    <cellStyle name="Accent5 11 2" xfId="6599" xr:uid="{00000000-0005-0000-0000-000036170000}"/>
    <cellStyle name="Accent5 11 2 2" xfId="6600" xr:uid="{00000000-0005-0000-0000-000037170000}"/>
    <cellStyle name="Accent5 11 3" xfId="6601" xr:uid="{00000000-0005-0000-0000-000038170000}"/>
    <cellStyle name="Accent5 110" xfId="6602" xr:uid="{00000000-0005-0000-0000-000039170000}"/>
    <cellStyle name="Accent5 110 2" xfId="6603" xr:uid="{00000000-0005-0000-0000-00003A170000}"/>
    <cellStyle name="Accent5 110 2 2" xfId="6604" xr:uid="{00000000-0005-0000-0000-00003B170000}"/>
    <cellStyle name="Accent5 110 3" xfId="6605" xr:uid="{00000000-0005-0000-0000-00003C170000}"/>
    <cellStyle name="Accent5 111" xfId="6606" xr:uid="{00000000-0005-0000-0000-00003D170000}"/>
    <cellStyle name="Accent5 111 2" xfId="6607" xr:uid="{00000000-0005-0000-0000-00003E170000}"/>
    <cellStyle name="Accent5 111 2 2" xfId="6608" xr:uid="{00000000-0005-0000-0000-00003F170000}"/>
    <cellStyle name="Accent5 111 3" xfId="6609" xr:uid="{00000000-0005-0000-0000-000040170000}"/>
    <cellStyle name="Accent5 112" xfId="6610" xr:uid="{00000000-0005-0000-0000-000041170000}"/>
    <cellStyle name="Accent5 112 2" xfId="6611" xr:uid="{00000000-0005-0000-0000-000042170000}"/>
    <cellStyle name="Accent5 112 2 2" xfId="6612" xr:uid="{00000000-0005-0000-0000-000043170000}"/>
    <cellStyle name="Accent5 112 3" xfId="6613" xr:uid="{00000000-0005-0000-0000-000044170000}"/>
    <cellStyle name="Accent5 113" xfId="6614" xr:uid="{00000000-0005-0000-0000-000045170000}"/>
    <cellStyle name="Accent5 113 2" xfId="6615" xr:uid="{00000000-0005-0000-0000-000046170000}"/>
    <cellStyle name="Accent5 113 2 2" xfId="6616" xr:uid="{00000000-0005-0000-0000-000047170000}"/>
    <cellStyle name="Accent5 113 3" xfId="6617" xr:uid="{00000000-0005-0000-0000-000048170000}"/>
    <cellStyle name="Accent5 114" xfId="6618" xr:uid="{00000000-0005-0000-0000-000049170000}"/>
    <cellStyle name="Accent5 114 2" xfId="6619" xr:uid="{00000000-0005-0000-0000-00004A170000}"/>
    <cellStyle name="Accent5 115" xfId="6620" xr:uid="{00000000-0005-0000-0000-00004B170000}"/>
    <cellStyle name="Accent5 115 2" xfId="6621" xr:uid="{00000000-0005-0000-0000-00004C170000}"/>
    <cellStyle name="Accent5 116" xfId="6622" xr:uid="{00000000-0005-0000-0000-00004D170000}"/>
    <cellStyle name="Accent5 116 2" xfId="6623" xr:uid="{00000000-0005-0000-0000-00004E170000}"/>
    <cellStyle name="Accent5 117" xfId="6624" xr:uid="{00000000-0005-0000-0000-00004F170000}"/>
    <cellStyle name="Accent5 117 2" xfId="6625" xr:uid="{00000000-0005-0000-0000-000050170000}"/>
    <cellStyle name="Accent5 118" xfId="6626" xr:uid="{00000000-0005-0000-0000-000051170000}"/>
    <cellStyle name="Accent5 118 2" xfId="6627" xr:uid="{00000000-0005-0000-0000-000052170000}"/>
    <cellStyle name="Accent5 119" xfId="6628" xr:uid="{00000000-0005-0000-0000-000053170000}"/>
    <cellStyle name="Accent5 119 2" xfId="6629" xr:uid="{00000000-0005-0000-0000-000054170000}"/>
    <cellStyle name="Accent5 12" xfId="6630" xr:uid="{00000000-0005-0000-0000-000055170000}"/>
    <cellStyle name="Accent5 12 2" xfId="6631" xr:uid="{00000000-0005-0000-0000-000056170000}"/>
    <cellStyle name="Accent5 12 2 2" xfId="6632" xr:uid="{00000000-0005-0000-0000-000057170000}"/>
    <cellStyle name="Accent5 12 3" xfId="6633" xr:uid="{00000000-0005-0000-0000-000058170000}"/>
    <cellStyle name="Accent5 120" xfId="6634" xr:uid="{00000000-0005-0000-0000-000059170000}"/>
    <cellStyle name="Accent5 120 2" xfId="6635" xr:uid="{00000000-0005-0000-0000-00005A170000}"/>
    <cellStyle name="Accent5 121" xfId="6636" xr:uid="{00000000-0005-0000-0000-00005B170000}"/>
    <cellStyle name="Accent5 121 2" xfId="6637" xr:uid="{00000000-0005-0000-0000-00005C170000}"/>
    <cellStyle name="Accent5 122" xfId="6638" xr:uid="{00000000-0005-0000-0000-00005D170000}"/>
    <cellStyle name="Accent5 122 2" xfId="6639" xr:uid="{00000000-0005-0000-0000-00005E170000}"/>
    <cellStyle name="Accent5 123" xfId="6640" xr:uid="{00000000-0005-0000-0000-00005F170000}"/>
    <cellStyle name="Accent5 123 2" xfId="6641" xr:uid="{00000000-0005-0000-0000-000060170000}"/>
    <cellStyle name="Accent5 124" xfId="6642" xr:uid="{00000000-0005-0000-0000-000061170000}"/>
    <cellStyle name="Accent5 124 2" xfId="6643" xr:uid="{00000000-0005-0000-0000-000062170000}"/>
    <cellStyle name="Accent5 125" xfId="6644" xr:uid="{00000000-0005-0000-0000-000063170000}"/>
    <cellStyle name="Accent5 125 2" xfId="6645" xr:uid="{00000000-0005-0000-0000-000064170000}"/>
    <cellStyle name="Accent5 126" xfId="6646" xr:uid="{00000000-0005-0000-0000-000065170000}"/>
    <cellStyle name="Accent5 127" xfId="6647" xr:uid="{00000000-0005-0000-0000-000066170000}"/>
    <cellStyle name="Accent5 128" xfId="6648" xr:uid="{00000000-0005-0000-0000-000067170000}"/>
    <cellStyle name="Accent5 129" xfId="6649" xr:uid="{00000000-0005-0000-0000-000068170000}"/>
    <cellStyle name="Accent5 13" xfId="6650" xr:uid="{00000000-0005-0000-0000-000069170000}"/>
    <cellStyle name="Accent5 13 2" xfId="6651" xr:uid="{00000000-0005-0000-0000-00006A170000}"/>
    <cellStyle name="Accent5 13 2 2" xfId="6652" xr:uid="{00000000-0005-0000-0000-00006B170000}"/>
    <cellStyle name="Accent5 13 3" xfId="6653" xr:uid="{00000000-0005-0000-0000-00006C170000}"/>
    <cellStyle name="Accent5 130" xfId="6654" xr:uid="{00000000-0005-0000-0000-00006D170000}"/>
    <cellStyle name="Accent5 131" xfId="6655" xr:uid="{00000000-0005-0000-0000-00006E170000}"/>
    <cellStyle name="Accent5 132" xfId="6656" xr:uid="{00000000-0005-0000-0000-00006F170000}"/>
    <cellStyle name="Accent5 133" xfId="6657" xr:uid="{00000000-0005-0000-0000-000070170000}"/>
    <cellStyle name="Accent5 134" xfId="6658" xr:uid="{00000000-0005-0000-0000-000071170000}"/>
    <cellStyle name="Accent5 135" xfId="6659" xr:uid="{00000000-0005-0000-0000-000072170000}"/>
    <cellStyle name="Accent5 136" xfId="6660" xr:uid="{00000000-0005-0000-0000-000073170000}"/>
    <cellStyle name="Accent5 137" xfId="6661" xr:uid="{00000000-0005-0000-0000-000074170000}"/>
    <cellStyle name="Accent5 138" xfId="6662" xr:uid="{00000000-0005-0000-0000-000075170000}"/>
    <cellStyle name="Accent5 139" xfId="6663" xr:uid="{00000000-0005-0000-0000-000076170000}"/>
    <cellStyle name="Accent5 14" xfId="6664" xr:uid="{00000000-0005-0000-0000-000077170000}"/>
    <cellStyle name="Accent5 14 2" xfId="6665" xr:uid="{00000000-0005-0000-0000-000078170000}"/>
    <cellStyle name="Accent5 14 2 2" xfId="6666" xr:uid="{00000000-0005-0000-0000-000079170000}"/>
    <cellStyle name="Accent5 14 3" xfId="6667" xr:uid="{00000000-0005-0000-0000-00007A170000}"/>
    <cellStyle name="Accent5 140" xfId="6668" xr:uid="{00000000-0005-0000-0000-00007B170000}"/>
    <cellStyle name="Accent5 141" xfId="6669" xr:uid="{00000000-0005-0000-0000-00007C170000}"/>
    <cellStyle name="Accent5 142" xfId="6670" xr:uid="{00000000-0005-0000-0000-00007D170000}"/>
    <cellStyle name="Accent5 143" xfId="6671" xr:uid="{00000000-0005-0000-0000-00007E170000}"/>
    <cellStyle name="Accent5 144" xfId="6672" xr:uid="{00000000-0005-0000-0000-00007F170000}"/>
    <cellStyle name="Accent5 145" xfId="6673" xr:uid="{00000000-0005-0000-0000-000080170000}"/>
    <cellStyle name="Accent5 146" xfId="6674" xr:uid="{00000000-0005-0000-0000-000081170000}"/>
    <cellStyle name="Accent5 147" xfId="6675" xr:uid="{00000000-0005-0000-0000-000082170000}"/>
    <cellStyle name="Accent5 148" xfId="6676" xr:uid="{00000000-0005-0000-0000-000083170000}"/>
    <cellStyle name="Accent5 149" xfId="6677" xr:uid="{00000000-0005-0000-0000-000084170000}"/>
    <cellStyle name="Accent5 15" xfId="6678" xr:uid="{00000000-0005-0000-0000-000085170000}"/>
    <cellStyle name="Accent5 15 2" xfId="6679" xr:uid="{00000000-0005-0000-0000-000086170000}"/>
    <cellStyle name="Accent5 15 2 2" xfId="6680" xr:uid="{00000000-0005-0000-0000-000087170000}"/>
    <cellStyle name="Accent5 15 3" xfId="6681" xr:uid="{00000000-0005-0000-0000-000088170000}"/>
    <cellStyle name="Accent5 150" xfId="6682" xr:uid="{00000000-0005-0000-0000-000089170000}"/>
    <cellStyle name="Accent5 151" xfId="6683" xr:uid="{00000000-0005-0000-0000-00008A170000}"/>
    <cellStyle name="Accent5 152" xfId="6684" xr:uid="{00000000-0005-0000-0000-00008B170000}"/>
    <cellStyle name="Accent5 153" xfId="6685" xr:uid="{00000000-0005-0000-0000-00008C170000}"/>
    <cellStyle name="Accent5 154" xfId="6686" xr:uid="{00000000-0005-0000-0000-00008D170000}"/>
    <cellStyle name="Accent5 155" xfId="6687" xr:uid="{00000000-0005-0000-0000-00008E170000}"/>
    <cellStyle name="Accent5 156" xfId="6688" xr:uid="{00000000-0005-0000-0000-00008F170000}"/>
    <cellStyle name="Accent5 157" xfId="6689" xr:uid="{00000000-0005-0000-0000-000090170000}"/>
    <cellStyle name="Accent5 158" xfId="6690" xr:uid="{00000000-0005-0000-0000-000091170000}"/>
    <cellStyle name="Accent5 159" xfId="6691" xr:uid="{00000000-0005-0000-0000-000092170000}"/>
    <cellStyle name="Accent5 16" xfId="6692" xr:uid="{00000000-0005-0000-0000-000093170000}"/>
    <cellStyle name="Accent5 16 2" xfId="6693" xr:uid="{00000000-0005-0000-0000-000094170000}"/>
    <cellStyle name="Accent5 16 2 2" xfId="6694" xr:uid="{00000000-0005-0000-0000-000095170000}"/>
    <cellStyle name="Accent5 16 3" xfId="6695" xr:uid="{00000000-0005-0000-0000-000096170000}"/>
    <cellStyle name="Accent5 160" xfId="6696" xr:uid="{00000000-0005-0000-0000-000097170000}"/>
    <cellStyle name="Accent5 161" xfId="6697" xr:uid="{00000000-0005-0000-0000-000098170000}"/>
    <cellStyle name="Accent5 162" xfId="6698" xr:uid="{00000000-0005-0000-0000-000099170000}"/>
    <cellStyle name="Accent5 163" xfId="6699" xr:uid="{00000000-0005-0000-0000-00009A170000}"/>
    <cellStyle name="Accent5 164" xfId="6700" xr:uid="{00000000-0005-0000-0000-00009B170000}"/>
    <cellStyle name="Accent5 165" xfId="6701" xr:uid="{00000000-0005-0000-0000-00009C170000}"/>
    <cellStyle name="Accent5 166" xfId="6702" xr:uid="{00000000-0005-0000-0000-00009D170000}"/>
    <cellStyle name="Accent5 167" xfId="6703" xr:uid="{00000000-0005-0000-0000-00009E170000}"/>
    <cellStyle name="Accent5 168" xfId="6704" xr:uid="{00000000-0005-0000-0000-00009F170000}"/>
    <cellStyle name="Accent5 169" xfId="6705" xr:uid="{00000000-0005-0000-0000-0000A0170000}"/>
    <cellStyle name="Accent5 17" xfId="6706" xr:uid="{00000000-0005-0000-0000-0000A1170000}"/>
    <cellStyle name="Accent5 17 2" xfId="6707" xr:uid="{00000000-0005-0000-0000-0000A2170000}"/>
    <cellStyle name="Accent5 17 2 2" xfId="6708" xr:uid="{00000000-0005-0000-0000-0000A3170000}"/>
    <cellStyle name="Accent5 17 3" xfId="6709" xr:uid="{00000000-0005-0000-0000-0000A4170000}"/>
    <cellStyle name="Accent5 170" xfId="6710" xr:uid="{00000000-0005-0000-0000-0000A5170000}"/>
    <cellStyle name="Accent5 171" xfId="6711" xr:uid="{00000000-0005-0000-0000-0000A6170000}"/>
    <cellStyle name="Accent5 172" xfId="6712" xr:uid="{00000000-0005-0000-0000-0000A7170000}"/>
    <cellStyle name="Accent5 173" xfId="6713" xr:uid="{00000000-0005-0000-0000-0000A8170000}"/>
    <cellStyle name="Accent5 174" xfId="6714" xr:uid="{00000000-0005-0000-0000-0000A9170000}"/>
    <cellStyle name="Accent5 175" xfId="6715" xr:uid="{00000000-0005-0000-0000-0000AA170000}"/>
    <cellStyle name="Accent5 176" xfId="6716" xr:uid="{00000000-0005-0000-0000-0000AB170000}"/>
    <cellStyle name="Accent5 177" xfId="6717" xr:uid="{00000000-0005-0000-0000-0000AC170000}"/>
    <cellStyle name="Accent5 178" xfId="6718" xr:uid="{00000000-0005-0000-0000-0000AD170000}"/>
    <cellStyle name="Accent5 179" xfId="6719" xr:uid="{00000000-0005-0000-0000-0000AE170000}"/>
    <cellStyle name="Accent5 18" xfId="6720" xr:uid="{00000000-0005-0000-0000-0000AF170000}"/>
    <cellStyle name="Accent5 18 2" xfId="6721" xr:uid="{00000000-0005-0000-0000-0000B0170000}"/>
    <cellStyle name="Accent5 18 2 2" xfId="6722" xr:uid="{00000000-0005-0000-0000-0000B1170000}"/>
    <cellStyle name="Accent5 18 3" xfId="6723" xr:uid="{00000000-0005-0000-0000-0000B2170000}"/>
    <cellStyle name="Accent5 19" xfId="6724" xr:uid="{00000000-0005-0000-0000-0000B3170000}"/>
    <cellStyle name="Accent5 19 2" xfId="6725" xr:uid="{00000000-0005-0000-0000-0000B4170000}"/>
    <cellStyle name="Accent5 19 2 2" xfId="6726" xr:uid="{00000000-0005-0000-0000-0000B5170000}"/>
    <cellStyle name="Accent5 19 3" xfId="6727" xr:uid="{00000000-0005-0000-0000-0000B6170000}"/>
    <cellStyle name="Accent5 2" xfId="6728" xr:uid="{00000000-0005-0000-0000-0000B7170000}"/>
    <cellStyle name="Accent5 2 10" xfId="6729" xr:uid="{00000000-0005-0000-0000-0000B8170000}"/>
    <cellStyle name="Accent5 2 10 2" xfId="6730" xr:uid="{00000000-0005-0000-0000-0000B9170000}"/>
    <cellStyle name="Accent5 2 11" xfId="6731" xr:uid="{00000000-0005-0000-0000-0000BA170000}"/>
    <cellStyle name="Accent5 2 12" xfId="6732" xr:uid="{00000000-0005-0000-0000-0000BB170000}"/>
    <cellStyle name="Accent5 2 2" xfId="6733" xr:uid="{00000000-0005-0000-0000-0000BC170000}"/>
    <cellStyle name="Accent5 2 2 2" xfId="6734" xr:uid="{00000000-0005-0000-0000-0000BD170000}"/>
    <cellStyle name="Accent5 2 2 2 2" xfId="6735" xr:uid="{00000000-0005-0000-0000-0000BE170000}"/>
    <cellStyle name="Accent5 2 2 3" xfId="6736" xr:uid="{00000000-0005-0000-0000-0000BF170000}"/>
    <cellStyle name="Accent5 2 2 3 2" xfId="6737" xr:uid="{00000000-0005-0000-0000-0000C0170000}"/>
    <cellStyle name="Accent5 2 2 3 2 2" xfId="6738" xr:uid="{00000000-0005-0000-0000-0000C1170000}"/>
    <cellStyle name="Accent5 2 2 3 3" xfId="6739" xr:uid="{00000000-0005-0000-0000-0000C2170000}"/>
    <cellStyle name="Accent5 2 2 4" xfId="6740" xr:uid="{00000000-0005-0000-0000-0000C3170000}"/>
    <cellStyle name="Accent5 2 2 4 2" xfId="6741" xr:uid="{00000000-0005-0000-0000-0000C4170000}"/>
    <cellStyle name="Accent5 2 2 5" xfId="6742" xr:uid="{00000000-0005-0000-0000-0000C5170000}"/>
    <cellStyle name="Accent5 2 3" xfId="6743" xr:uid="{00000000-0005-0000-0000-0000C6170000}"/>
    <cellStyle name="Accent5 2 3 2" xfId="6744" xr:uid="{00000000-0005-0000-0000-0000C7170000}"/>
    <cellStyle name="Accent5 2 3 2 2" xfId="6745" xr:uid="{00000000-0005-0000-0000-0000C8170000}"/>
    <cellStyle name="Accent5 2 3 3" xfId="6746" xr:uid="{00000000-0005-0000-0000-0000C9170000}"/>
    <cellStyle name="Accent5 2 3 3 2" xfId="6747" xr:uid="{00000000-0005-0000-0000-0000CA170000}"/>
    <cellStyle name="Accent5 2 3 3 2 2" xfId="6748" xr:uid="{00000000-0005-0000-0000-0000CB170000}"/>
    <cellStyle name="Accent5 2 3 3 3" xfId="6749" xr:uid="{00000000-0005-0000-0000-0000CC170000}"/>
    <cellStyle name="Accent5 2 3 4" xfId="6750" xr:uid="{00000000-0005-0000-0000-0000CD170000}"/>
    <cellStyle name="Accent5 2 4" xfId="6751" xr:uid="{00000000-0005-0000-0000-0000CE170000}"/>
    <cellStyle name="Accent5 2 4 2" xfId="6752" xr:uid="{00000000-0005-0000-0000-0000CF170000}"/>
    <cellStyle name="Accent5 2 4 2 2" xfId="6753" xr:uid="{00000000-0005-0000-0000-0000D0170000}"/>
    <cellStyle name="Accent5 2 4 3" xfId="6754" xr:uid="{00000000-0005-0000-0000-0000D1170000}"/>
    <cellStyle name="Accent5 2 5" xfId="6755" xr:uid="{00000000-0005-0000-0000-0000D2170000}"/>
    <cellStyle name="Accent5 2 5 2" xfId="6756" xr:uid="{00000000-0005-0000-0000-0000D3170000}"/>
    <cellStyle name="Accent5 2 5 2 2" xfId="6757" xr:uid="{00000000-0005-0000-0000-0000D4170000}"/>
    <cellStyle name="Accent5 2 5 3" xfId="6758" xr:uid="{00000000-0005-0000-0000-0000D5170000}"/>
    <cellStyle name="Accent5 2 5 3 2" xfId="6759" xr:uid="{00000000-0005-0000-0000-0000D6170000}"/>
    <cellStyle name="Accent5 2 5 3 2 2" xfId="6760" xr:uid="{00000000-0005-0000-0000-0000D7170000}"/>
    <cellStyle name="Accent5 2 5 3 3" xfId="6761" xr:uid="{00000000-0005-0000-0000-0000D8170000}"/>
    <cellStyle name="Accent5 2 5 4" xfId="6762" xr:uid="{00000000-0005-0000-0000-0000D9170000}"/>
    <cellStyle name="Accent5 2 6" xfId="6763" xr:uid="{00000000-0005-0000-0000-0000DA170000}"/>
    <cellStyle name="Accent5 2 6 2" xfId="6764" xr:uid="{00000000-0005-0000-0000-0000DB170000}"/>
    <cellStyle name="Accent5 2 6 2 2" xfId="6765" xr:uid="{00000000-0005-0000-0000-0000DC170000}"/>
    <cellStyle name="Accent5 2 6 3" xfId="6766" xr:uid="{00000000-0005-0000-0000-0000DD170000}"/>
    <cellStyle name="Accent5 2 6 3 2" xfId="6767" xr:uid="{00000000-0005-0000-0000-0000DE170000}"/>
    <cellStyle name="Accent5 2 6 4" xfId="6768" xr:uid="{00000000-0005-0000-0000-0000DF170000}"/>
    <cellStyle name="Accent5 2 7" xfId="6769" xr:uid="{00000000-0005-0000-0000-0000E0170000}"/>
    <cellStyle name="Accent5 2 7 2" xfId="6770" xr:uid="{00000000-0005-0000-0000-0000E1170000}"/>
    <cellStyle name="Accent5 2 8" xfId="6771" xr:uid="{00000000-0005-0000-0000-0000E2170000}"/>
    <cellStyle name="Accent5 2 8 2" xfId="6772" xr:uid="{00000000-0005-0000-0000-0000E3170000}"/>
    <cellStyle name="Accent5 2 8 2 2" xfId="6773" xr:uid="{00000000-0005-0000-0000-0000E4170000}"/>
    <cellStyle name="Accent5 2 8 3" xfId="6774" xr:uid="{00000000-0005-0000-0000-0000E5170000}"/>
    <cellStyle name="Accent5 2 9" xfId="6775" xr:uid="{00000000-0005-0000-0000-0000E6170000}"/>
    <cellStyle name="Accent5 2 9 2" xfId="6776" xr:uid="{00000000-0005-0000-0000-0000E7170000}"/>
    <cellStyle name="Accent5 2 9 2 2" xfId="6777" xr:uid="{00000000-0005-0000-0000-0000E8170000}"/>
    <cellStyle name="Accent5 2 9 3" xfId="6778" xr:uid="{00000000-0005-0000-0000-0000E9170000}"/>
    <cellStyle name="Accent5 20" xfId="6779" xr:uid="{00000000-0005-0000-0000-0000EA170000}"/>
    <cellStyle name="Accent5 20 2" xfId="6780" xr:uid="{00000000-0005-0000-0000-0000EB170000}"/>
    <cellStyle name="Accent5 20 2 2" xfId="6781" xr:uid="{00000000-0005-0000-0000-0000EC170000}"/>
    <cellStyle name="Accent5 20 3" xfId="6782" xr:uid="{00000000-0005-0000-0000-0000ED170000}"/>
    <cellStyle name="Accent5 21" xfId="6783" xr:uid="{00000000-0005-0000-0000-0000EE170000}"/>
    <cellStyle name="Accent5 21 2" xfId="6784" xr:uid="{00000000-0005-0000-0000-0000EF170000}"/>
    <cellStyle name="Accent5 21 2 2" xfId="6785" xr:uid="{00000000-0005-0000-0000-0000F0170000}"/>
    <cellStyle name="Accent5 21 3" xfId="6786" xr:uid="{00000000-0005-0000-0000-0000F1170000}"/>
    <cellStyle name="Accent5 22" xfId="6787" xr:uid="{00000000-0005-0000-0000-0000F2170000}"/>
    <cellStyle name="Accent5 22 2" xfId="6788" xr:uid="{00000000-0005-0000-0000-0000F3170000}"/>
    <cellStyle name="Accent5 22 2 2" xfId="6789" xr:uid="{00000000-0005-0000-0000-0000F4170000}"/>
    <cellStyle name="Accent5 22 3" xfId="6790" xr:uid="{00000000-0005-0000-0000-0000F5170000}"/>
    <cellStyle name="Accent5 23" xfId="6791" xr:uid="{00000000-0005-0000-0000-0000F6170000}"/>
    <cellStyle name="Accent5 23 2" xfId="6792" xr:uid="{00000000-0005-0000-0000-0000F7170000}"/>
    <cellStyle name="Accent5 23 2 2" xfId="6793" xr:uid="{00000000-0005-0000-0000-0000F8170000}"/>
    <cellStyle name="Accent5 23 3" xfId="6794" xr:uid="{00000000-0005-0000-0000-0000F9170000}"/>
    <cellStyle name="Accent5 24" xfId="6795" xr:uid="{00000000-0005-0000-0000-0000FA170000}"/>
    <cellStyle name="Accent5 24 2" xfId="6796" xr:uid="{00000000-0005-0000-0000-0000FB170000}"/>
    <cellStyle name="Accent5 24 2 2" xfId="6797" xr:uid="{00000000-0005-0000-0000-0000FC170000}"/>
    <cellStyle name="Accent5 24 3" xfId="6798" xr:uid="{00000000-0005-0000-0000-0000FD170000}"/>
    <cellStyle name="Accent5 25" xfId="6799" xr:uid="{00000000-0005-0000-0000-0000FE170000}"/>
    <cellStyle name="Accent5 25 2" xfId="6800" xr:uid="{00000000-0005-0000-0000-0000FF170000}"/>
    <cellStyle name="Accent5 25 2 2" xfId="6801" xr:uid="{00000000-0005-0000-0000-000000180000}"/>
    <cellStyle name="Accent5 25 3" xfId="6802" xr:uid="{00000000-0005-0000-0000-000001180000}"/>
    <cellStyle name="Accent5 26" xfId="6803" xr:uid="{00000000-0005-0000-0000-000002180000}"/>
    <cellStyle name="Accent5 26 2" xfId="6804" xr:uid="{00000000-0005-0000-0000-000003180000}"/>
    <cellStyle name="Accent5 26 2 2" xfId="6805" xr:uid="{00000000-0005-0000-0000-000004180000}"/>
    <cellStyle name="Accent5 26 3" xfId="6806" xr:uid="{00000000-0005-0000-0000-000005180000}"/>
    <cellStyle name="Accent5 27" xfId="6807" xr:uid="{00000000-0005-0000-0000-000006180000}"/>
    <cellStyle name="Accent5 27 2" xfId="6808" xr:uid="{00000000-0005-0000-0000-000007180000}"/>
    <cellStyle name="Accent5 27 2 2" xfId="6809" xr:uid="{00000000-0005-0000-0000-000008180000}"/>
    <cellStyle name="Accent5 27 3" xfId="6810" xr:uid="{00000000-0005-0000-0000-000009180000}"/>
    <cellStyle name="Accent5 28" xfId="6811" xr:uid="{00000000-0005-0000-0000-00000A180000}"/>
    <cellStyle name="Accent5 28 2" xfId="6812" xr:uid="{00000000-0005-0000-0000-00000B180000}"/>
    <cellStyle name="Accent5 28 2 2" xfId="6813" xr:uid="{00000000-0005-0000-0000-00000C180000}"/>
    <cellStyle name="Accent5 28 3" xfId="6814" xr:uid="{00000000-0005-0000-0000-00000D180000}"/>
    <cellStyle name="Accent5 29" xfId="6815" xr:uid="{00000000-0005-0000-0000-00000E180000}"/>
    <cellStyle name="Accent5 29 2" xfId="6816" xr:uid="{00000000-0005-0000-0000-00000F180000}"/>
    <cellStyle name="Accent5 29 2 2" xfId="6817" xr:uid="{00000000-0005-0000-0000-000010180000}"/>
    <cellStyle name="Accent5 29 3" xfId="6818" xr:uid="{00000000-0005-0000-0000-000011180000}"/>
    <cellStyle name="Accent5 3" xfId="6819" xr:uid="{00000000-0005-0000-0000-000012180000}"/>
    <cellStyle name="Accent5 3 10" xfId="6820" xr:uid="{00000000-0005-0000-0000-000013180000}"/>
    <cellStyle name="Accent5 3 10 2" xfId="6821" xr:uid="{00000000-0005-0000-0000-000014180000}"/>
    <cellStyle name="Accent5 3 10 2 2" xfId="6822" xr:uid="{00000000-0005-0000-0000-000015180000}"/>
    <cellStyle name="Accent5 3 10 3" xfId="6823" xr:uid="{00000000-0005-0000-0000-000016180000}"/>
    <cellStyle name="Accent5 3 11" xfId="6824" xr:uid="{00000000-0005-0000-0000-000017180000}"/>
    <cellStyle name="Accent5 3 11 2" xfId="6825" xr:uid="{00000000-0005-0000-0000-000018180000}"/>
    <cellStyle name="Accent5 3 12" xfId="6826" xr:uid="{00000000-0005-0000-0000-000019180000}"/>
    <cellStyle name="Accent5 3 2" xfId="6827" xr:uid="{00000000-0005-0000-0000-00001A180000}"/>
    <cellStyle name="Accent5 3 2 2" xfId="6828" xr:uid="{00000000-0005-0000-0000-00001B180000}"/>
    <cellStyle name="Accent5 3 2 2 2" xfId="6829" xr:uid="{00000000-0005-0000-0000-00001C180000}"/>
    <cellStyle name="Accent5 3 2 3" xfId="6830" xr:uid="{00000000-0005-0000-0000-00001D180000}"/>
    <cellStyle name="Accent5 3 2 3 2" xfId="6831" xr:uid="{00000000-0005-0000-0000-00001E180000}"/>
    <cellStyle name="Accent5 3 2 3 2 2" xfId="6832" xr:uid="{00000000-0005-0000-0000-00001F180000}"/>
    <cellStyle name="Accent5 3 2 3 3" xfId="6833" xr:uid="{00000000-0005-0000-0000-000020180000}"/>
    <cellStyle name="Accent5 3 2 4" xfId="6834" xr:uid="{00000000-0005-0000-0000-000021180000}"/>
    <cellStyle name="Accent5 3 3" xfId="6835" xr:uid="{00000000-0005-0000-0000-000022180000}"/>
    <cellStyle name="Accent5 3 3 2" xfId="6836" xr:uid="{00000000-0005-0000-0000-000023180000}"/>
    <cellStyle name="Accent5 3 3 2 2" xfId="6837" xr:uid="{00000000-0005-0000-0000-000024180000}"/>
    <cellStyle name="Accent5 3 3 3" xfId="6838" xr:uid="{00000000-0005-0000-0000-000025180000}"/>
    <cellStyle name="Accent5 3 3 3 2" xfId="6839" xr:uid="{00000000-0005-0000-0000-000026180000}"/>
    <cellStyle name="Accent5 3 3 3 2 2" xfId="6840" xr:uid="{00000000-0005-0000-0000-000027180000}"/>
    <cellStyle name="Accent5 3 3 3 3" xfId="6841" xr:uid="{00000000-0005-0000-0000-000028180000}"/>
    <cellStyle name="Accent5 3 3 4" xfId="6842" xr:uid="{00000000-0005-0000-0000-000029180000}"/>
    <cellStyle name="Accent5 3 4" xfId="6843" xr:uid="{00000000-0005-0000-0000-00002A180000}"/>
    <cellStyle name="Accent5 3 4 2" xfId="6844" xr:uid="{00000000-0005-0000-0000-00002B180000}"/>
    <cellStyle name="Accent5 3 4 2 2" xfId="6845" xr:uid="{00000000-0005-0000-0000-00002C180000}"/>
    <cellStyle name="Accent5 3 4 3" xfId="6846" xr:uid="{00000000-0005-0000-0000-00002D180000}"/>
    <cellStyle name="Accent5 3 5" xfId="6847" xr:uid="{00000000-0005-0000-0000-00002E180000}"/>
    <cellStyle name="Accent5 3 5 2" xfId="6848" xr:uid="{00000000-0005-0000-0000-00002F180000}"/>
    <cellStyle name="Accent5 3 5 2 2" xfId="6849" xr:uid="{00000000-0005-0000-0000-000030180000}"/>
    <cellStyle name="Accent5 3 5 3" xfId="6850" xr:uid="{00000000-0005-0000-0000-000031180000}"/>
    <cellStyle name="Accent5 3 5 3 2" xfId="6851" xr:uid="{00000000-0005-0000-0000-000032180000}"/>
    <cellStyle name="Accent5 3 5 3 2 2" xfId="6852" xr:uid="{00000000-0005-0000-0000-000033180000}"/>
    <cellStyle name="Accent5 3 5 3 3" xfId="6853" xr:uid="{00000000-0005-0000-0000-000034180000}"/>
    <cellStyle name="Accent5 3 5 4" xfId="6854" xr:uid="{00000000-0005-0000-0000-000035180000}"/>
    <cellStyle name="Accent5 3 6" xfId="6855" xr:uid="{00000000-0005-0000-0000-000036180000}"/>
    <cellStyle name="Accent5 3 6 2" xfId="6856" xr:uid="{00000000-0005-0000-0000-000037180000}"/>
    <cellStyle name="Accent5 3 7" xfId="6857" xr:uid="{00000000-0005-0000-0000-000038180000}"/>
    <cellStyle name="Accent5 3 7 2" xfId="6858" xr:uid="{00000000-0005-0000-0000-000039180000}"/>
    <cellStyle name="Accent5 3 8" xfId="6859" xr:uid="{00000000-0005-0000-0000-00003A180000}"/>
    <cellStyle name="Accent5 3 8 2" xfId="6860" xr:uid="{00000000-0005-0000-0000-00003B180000}"/>
    <cellStyle name="Accent5 3 8 2 2" xfId="6861" xr:uid="{00000000-0005-0000-0000-00003C180000}"/>
    <cellStyle name="Accent5 3 8 3" xfId="6862" xr:uid="{00000000-0005-0000-0000-00003D180000}"/>
    <cellStyle name="Accent5 3 9" xfId="6863" xr:uid="{00000000-0005-0000-0000-00003E180000}"/>
    <cellStyle name="Accent5 3 9 2" xfId="6864" xr:uid="{00000000-0005-0000-0000-00003F180000}"/>
    <cellStyle name="Accent5 3 9 2 2" xfId="6865" xr:uid="{00000000-0005-0000-0000-000040180000}"/>
    <cellStyle name="Accent5 3 9 3" xfId="6866" xr:uid="{00000000-0005-0000-0000-000041180000}"/>
    <cellStyle name="Accent5 30" xfId="6867" xr:uid="{00000000-0005-0000-0000-000042180000}"/>
    <cellStyle name="Accent5 30 2" xfId="6868" xr:uid="{00000000-0005-0000-0000-000043180000}"/>
    <cellStyle name="Accent5 30 2 2" xfId="6869" xr:uid="{00000000-0005-0000-0000-000044180000}"/>
    <cellStyle name="Accent5 30 3" xfId="6870" xr:uid="{00000000-0005-0000-0000-000045180000}"/>
    <cellStyle name="Accent5 31" xfId="6871" xr:uid="{00000000-0005-0000-0000-000046180000}"/>
    <cellStyle name="Accent5 31 2" xfId="6872" xr:uid="{00000000-0005-0000-0000-000047180000}"/>
    <cellStyle name="Accent5 31 2 2" xfId="6873" xr:uid="{00000000-0005-0000-0000-000048180000}"/>
    <cellStyle name="Accent5 31 3" xfId="6874" xr:uid="{00000000-0005-0000-0000-000049180000}"/>
    <cellStyle name="Accent5 32" xfId="6875" xr:uid="{00000000-0005-0000-0000-00004A180000}"/>
    <cellStyle name="Accent5 32 2" xfId="6876" xr:uid="{00000000-0005-0000-0000-00004B180000}"/>
    <cellStyle name="Accent5 32 2 2" xfId="6877" xr:uid="{00000000-0005-0000-0000-00004C180000}"/>
    <cellStyle name="Accent5 32 3" xfId="6878" xr:uid="{00000000-0005-0000-0000-00004D180000}"/>
    <cellStyle name="Accent5 33" xfId="6879" xr:uid="{00000000-0005-0000-0000-00004E180000}"/>
    <cellStyle name="Accent5 33 2" xfId="6880" xr:uid="{00000000-0005-0000-0000-00004F180000}"/>
    <cellStyle name="Accent5 33 2 2" xfId="6881" xr:uid="{00000000-0005-0000-0000-000050180000}"/>
    <cellStyle name="Accent5 33 3" xfId="6882" xr:uid="{00000000-0005-0000-0000-000051180000}"/>
    <cellStyle name="Accent5 34" xfId="6883" xr:uid="{00000000-0005-0000-0000-000052180000}"/>
    <cellStyle name="Accent5 34 2" xfId="6884" xr:uid="{00000000-0005-0000-0000-000053180000}"/>
    <cellStyle name="Accent5 34 2 2" xfId="6885" xr:uid="{00000000-0005-0000-0000-000054180000}"/>
    <cellStyle name="Accent5 34 3" xfId="6886" xr:uid="{00000000-0005-0000-0000-000055180000}"/>
    <cellStyle name="Accent5 35" xfId="6887" xr:uid="{00000000-0005-0000-0000-000056180000}"/>
    <cellStyle name="Accent5 35 2" xfId="6888" xr:uid="{00000000-0005-0000-0000-000057180000}"/>
    <cellStyle name="Accent5 35 2 2" xfId="6889" xr:uid="{00000000-0005-0000-0000-000058180000}"/>
    <cellStyle name="Accent5 35 3" xfId="6890" xr:uid="{00000000-0005-0000-0000-000059180000}"/>
    <cellStyle name="Accent5 36" xfId="6891" xr:uid="{00000000-0005-0000-0000-00005A180000}"/>
    <cellStyle name="Accent5 36 2" xfId="6892" xr:uid="{00000000-0005-0000-0000-00005B180000}"/>
    <cellStyle name="Accent5 36 2 2" xfId="6893" xr:uid="{00000000-0005-0000-0000-00005C180000}"/>
    <cellStyle name="Accent5 36 3" xfId="6894" xr:uid="{00000000-0005-0000-0000-00005D180000}"/>
    <cellStyle name="Accent5 37" xfId="6895" xr:uid="{00000000-0005-0000-0000-00005E180000}"/>
    <cellStyle name="Accent5 37 2" xfId="6896" xr:uid="{00000000-0005-0000-0000-00005F180000}"/>
    <cellStyle name="Accent5 37 2 2" xfId="6897" xr:uid="{00000000-0005-0000-0000-000060180000}"/>
    <cellStyle name="Accent5 37 3" xfId="6898" xr:uid="{00000000-0005-0000-0000-000061180000}"/>
    <cellStyle name="Accent5 38" xfId="6899" xr:uid="{00000000-0005-0000-0000-000062180000}"/>
    <cellStyle name="Accent5 38 2" xfId="6900" xr:uid="{00000000-0005-0000-0000-000063180000}"/>
    <cellStyle name="Accent5 38 2 2" xfId="6901" xr:uid="{00000000-0005-0000-0000-000064180000}"/>
    <cellStyle name="Accent5 38 3" xfId="6902" xr:uid="{00000000-0005-0000-0000-000065180000}"/>
    <cellStyle name="Accent5 39" xfId="6903" xr:uid="{00000000-0005-0000-0000-000066180000}"/>
    <cellStyle name="Accent5 39 2" xfId="6904" xr:uid="{00000000-0005-0000-0000-000067180000}"/>
    <cellStyle name="Accent5 39 2 2" xfId="6905" xr:uid="{00000000-0005-0000-0000-000068180000}"/>
    <cellStyle name="Accent5 39 3" xfId="6906" xr:uid="{00000000-0005-0000-0000-000069180000}"/>
    <cellStyle name="Accent5 4" xfId="6907" xr:uid="{00000000-0005-0000-0000-00006A180000}"/>
    <cellStyle name="Accent5 4 2" xfId="6908" xr:uid="{00000000-0005-0000-0000-00006B180000}"/>
    <cellStyle name="Accent5 4 2 2" xfId="6909" xr:uid="{00000000-0005-0000-0000-00006C180000}"/>
    <cellStyle name="Accent5 4 2 2 2" xfId="6910" xr:uid="{00000000-0005-0000-0000-00006D180000}"/>
    <cellStyle name="Accent5 4 2 3" xfId="6911" xr:uid="{00000000-0005-0000-0000-00006E180000}"/>
    <cellStyle name="Accent5 4 2 3 2" xfId="6912" xr:uid="{00000000-0005-0000-0000-00006F180000}"/>
    <cellStyle name="Accent5 4 2 3 2 2" xfId="6913" xr:uid="{00000000-0005-0000-0000-000070180000}"/>
    <cellStyle name="Accent5 4 2 3 3" xfId="6914" xr:uid="{00000000-0005-0000-0000-000071180000}"/>
    <cellStyle name="Accent5 4 2 4" xfId="6915" xr:uid="{00000000-0005-0000-0000-000072180000}"/>
    <cellStyle name="Accent5 4 3" xfId="6916" xr:uid="{00000000-0005-0000-0000-000073180000}"/>
    <cellStyle name="Accent5 4 3 2" xfId="6917" xr:uid="{00000000-0005-0000-0000-000074180000}"/>
    <cellStyle name="Accent5 4 3 2 2" xfId="6918" xr:uid="{00000000-0005-0000-0000-000075180000}"/>
    <cellStyle name="Accent5 4 3 3" xfId="6919" xr:uid="{00000000-0005-0000-0000-000076180000}"/>
    <cellStyle name="Accent5 4 3 3 2" xfId="6920" xr:uid="{00000000-0005-0000-0000-000077180000}"/>
    <cellStyle name="Accent5 4 3 3 2 2" xfId="6921" xr:uid="{00000000-0005-0000-0000-000078180000}"/>
    <cellStyle name="Accent5 4 3 3 3" xfId="6922" xr:uid="{00000000-0005-0000-0000-000079180000}"/>
    <cellStyle name="Accent5 4 3 4" xfId="6923" xr:uid="{00000000-0005-0000-0000-00007A180000}"/>
    <cellStyle name="Accent5 4 4" xfId="6924" xr:uid="{00000000-0005-0000-0000-00007B180000}"/>
    <cellStyle name="Accent5 4 4 2" xfId="6925" xr:uid="{00000000-0005-0000-0000-00007C180000}"/>
    <cellStyle name="Accent5 4 4 2 2" xfId="6926" xr:uid="{00000000-0005-0000-0000-00007D180000}"/>
    <cellStyle name="Accent5 4 4 3" xfId="6927" xr:uid="{00000000-0005-0000-0000-00007E180000}"/>
    <cellStyle name="Accent5 4 5" xfId="6928" xr:uid="{00000000-0005-0000-0000-00007F180000}"/>
    <cellStyle name="Accent5 4 5 2" xfId="6929" xr:uid="{00000000-0005-0000-0000-000080180000}"/>
    <cellStyle name="Accent5 4 6" xfId="6930" xr:uid="{00000000-0005-0000-0000-000081180000}"/>
    <cellStyle name="Accent5 4 6 2" xfId="6931" xr:uid="{00000000-0005-0000-0000-000082180000}"/>
    <cellStyle name="Accent5 4 6 2 2" xfId="6932" xr:uid="{00000000-0005-0000-0000-000083180000}"/>
    <cellStyle name="Accent5 4 6 3" xfId="6933" xr:uid="{00000000-0005-0000-0000-000084180000}"/>
    <cellStyle name="Accent5 4 7" xfId="6934" xr:uid="{00000000-0005-0000-0000-000085180000}"/>
    <cellStyle name="Accent5 4 7 2" xfId="6935" xr:uid="{00000000-0005-0000-0000-000086180000}"/>
    <cellStyle name="Accent5 4 7 2 2" xfId="6936" xr:uid="{00000000-0005-0000-0000-000087180000}"/>
    <cellStyle name="Accent5 4 7 3" xfId="6937" xr:uid="{00000000-0005-0000-0000-000088180000}"/>
    <cellStyle name="Accent5 4 8" xfId="6938" xr:uid="{00000000-0005-0000-0000-000089180000}"/>
    <cellStyle name="Accent5 40" xfId="6939" xr:uid="{00000000-0005-0000-0000-00008A180000}"/>
    <cellStyle name="Accent5 40 2" xfId="6940" xr:uid="{00000000-0005-0000-0000-00008B180000}"/>
    <cellStyle name="Accent5 40 2 2" xfId="6941" xr:uid="{00000000-0005-0000-0000-00008C180000}"/>
    <cellStyle name="Accent5 40 3" xfId="6942" xr:uid="{00000000-0005-0000-0000-00008D180000}"/>
    <cellStyle name="Accent5 41" xfId="6943" xr:uid="{00000000-0005-0000-0000-00008E180000}"/>
    <cellStyle name="Accent5 41 2" xfId="6944" xr:uid="{00000000-0005-0000-0000-00008F180000}"/>
    <cellStyle name="Accent5 41 2 2" xfId="6945" xr:uid="{00000000-0005-0000-0000-000090180000}"/>
    <cellStyle name="Accent5 41 3" xfId="6946" xr:uid="{00000000-0005-0000-0000-000091180000}"/>
    <cellStyle name="Accent5 42" xfId="6947" xr:uid="{00000000-0005-0000-0000-000092180000}"/>
    <cellStyle name="Accent5 42 2" xfId="6948" xr:uid="{00000000-0005-0000-0000-000093180000}"/>
    <cellStyle name="Accent5 42 2 2" xfId="6949" xr:uid="{00000000-0005-0000-0000-000094180000}"/>
    <cellStyle name="Accent5 42 3" xfId="6950" xr:uid="{00000000-0005-0000-0000-000095180000}"/>
    <cellStyle name="Accent5 43" xfId="6951" xr:uid="{00000000-0005-0000-0000-000096180000}"/>
    <cellStyle name="Accent5 43 2" xfId="6952" xr:uid="{00000000-0005-0000-0000-000097180000}"/>
    <cellStyle name="Accent5 43 2 2" xfId="6953" xr:uid="{00000000-0005-0000-0000-000098180000}"/>
    <cellStyle name="Accent5 43 3" xfId="6954" xr:uid="{00000000-0005-0000-0000-000099180000}"/>
    <cellStyle name="Accent5 44" xfId="6955" xr:uid="{00000000-0005-0000-0000-00009A180000}"/>
    <cellStyle name="Accent5 44 2" xfId="6956" xr:uid="{00000000-0005-0000-0000-00009B180000}"/>
    <cellStyle name="Accent5 44 2 2" xfId="6957" xr:uid="{00000000-0005-0000-0000-00009C180000}"/>
    <cellStyle name="Accent5 44 3" xfId="6958" xr:uid="{00000000-0005-0000-0000-00009D180000}"/>
    <cellStyle name="Accent5 45" xfId="6959" xr:uid="{00000000-0005-0000-0000-00009E180000}"/>
    <cellStyle name="Accent5 45 2" xfId="6960" xr:uid="{00000000-0005-0000-0000-00009F180000}"/>
    <cellStyle name="Accent5 45 2 2" xfId="6961" xr:uid="{00000000-0005-0000-0000-0000A0180000}"/>
    <cellStyle name="Accent5 45 3" xfId="6962" xr:uid="{00000000-0005-0000-0000-0000A1180000}"/>
    <cellStyle name="Accent5 46" xfId="6963" xr:uid="{00000000-0005-0000-0000-0000A2180000}"/>
    <cellStyle name="Accent5 46 2" xfId="6964" xr:uid="{00000000-0005-0000-0000-0000A3180000}"/>
    <cellStyle name="Accent5 46 2 2" xfId="6965" xr:uid="{00000000-0005-0000-0000-0000A4180000}"/>
    <cellStyle name="Accent5 46 3" xfId="6966" xr:uid="{00000000-0005-0000-0000-0000A5180000}"/>
    <cellStyle name="Accent5 47" xfId="6967" xr:uid="{00000000-0005-0000-0000-0000A6180000}"/>
    <cellStyle name="Accent5 47 2" xfId="6968" xr:uid="{00000000-0005-0000-0000-0000A7180000}"/>
    <cellStyle name="Accent5 47 2 2" xfId="6969" xr:uid="{00000000-0005-0000-0000-0000A8180000}"/>
    <cellStyle name="Accent5 47 3" xfId="6970" xr:uid="{00000000-0005-0000-0000-0000A9180000}"/>
    <cellStyle name="Accent5 48" xfId="6971" xr:uid="{00000000-0005-0000-0000-0000AA180000}"/>
    <cellStyle name="Accent5 48 2" xfId="6972" xr:uid="{00000000-0005-0000-0000-0000AB180000}"/>
    <cellStyle name="Accent5 48 2 2" xfId="6973" xr:uid="{00000000-0005-0000-0000-0000AC180000}"/>
    <cellStyle name="Accent5 48 3" xfId="6974" xr:uid="{00000000-0005-0000-0000-0000AD180000}"/>
    <cellStyle name="Accent5 48 3 2" xfId="6975" xr:uid="{00000000-0005-0000-0000-0000AE180000}"/>
    <cellStyle name="Accent5 48 3 2 2" xfId="6976" xr:uid="{00000000-0005-0000-0000-0000AF180000}"/>
    <cellStyle name="Accent5 48 3 3" xfId="6977" xr:uid="{00000000-0005-0000-0000-0000B0180000}"/>
    <cellStyle name="Accent5 48 4" xfId="6978" xr:uid="{00000000-0005-0000-0000-0000B1180000}"/>
    <cellStyle name="Accent5 49" xfId="6979" xr:uid="{00000000-0005-0000-0000-0000B2180000}"/>
    <cellStyle name="Accent5 49 2" xfId="6980" xr:uid="{00000000-0005-0000-0000-0000B3180000}"/>
    <cellStyle name="Accent5 49 2 2" xfId="6981" xr:uid="{00000000-0005-0000-0000-0000B4180000}"/>
    <cellStyle name="Accent5 49 3" xfId="6982" xr:uid="{00000000-0005-0000-0000-0000B5180000}"/>
    <cellStyle name="Accent5 49 3 2" xfId="6983" xr:uid="{00000000-0005-0000-0000-0000B6180000}"/>
    <cellStyle name="Accent5 49 3 2 2" xfId="6984" xr:uid="{00000000-0005-0000-0000-0000B7180000}"/>
    <cellStyle name="Accent5 49 3 3" xfId="6985" xr:uid="{00000000-0005-0000-0000-0000B8180000}"/>
    <cellStyle name="Accent5 49 4" xfId="6986" xr:uid="{00000000-0005-0000-0000-0000B9180000}"/>
    <cellStyle name="Accent5 5" xfId="6987" xr:uid="{00000000-0005-0000-0000-0000BA180000}"/>
    <cellStyle name="Accent5 5 2" xfId="6988" xr:uid="{00000000-0005-0000-0000-0000BB180000}"/>
    <cellStyle name="Accent5 5 2 2" xfId="6989" xr:uid="{00000000-0005-0000-0000-0000BC180000}"/>
    <cellStyle name="Accent5 5 2 2 2" xfId="6990" xr:uid="{00000000-0005-0000-0000-0000BD180000}"/>
    <cellStyle name="Accent5 5 2 3" xfId="6991" xr:uid="{00000000-0005-0000-0000-0000BE180000}"/>
    <cellStyle name="Accent5 5 2 3 2" xfId="6992" xr:uid="{00000000-0005-0000-0000-0000BF180000}"/>
    <cellStyle name="Accent5 5 2 3 2 2" xfId="6993" xr:uid="{00000000-0005-0000-0000-0000C0180000}"/>
    <cellStyle name="Accent5 5 2 3 3" xfId="6994" xr:uid="{00000000-0005-0000-0000-0000C1180000}"/>
    <cellStyle name="Accent5 5 2 4" xfId="6995" xr:uid="{00000000-0005-0000-0000-0000C2180000}"/>
    <cellStyle name="Accent5 5 3" xfId="6996" xr:uid="{00000000-0005-0000-0000-0000C3180000}"/>
    <cellStyle name="Accent5 5 3 2" xfId="6997" xr:uid="{00000000-0005-0000-0000-0000C4180000}"/>
    <cellStyle name="Accent5 5 3 2 2" xfId="6998" xr:uid="{00000000-0005-0000-0000-0000C5180000}"/>
    <cellStyle name="Accent5 5 3 3" xfId="6999" xr:uid="{00000000-0005-0000-0000-0000C6180000}"/>
    <cellStyle name="Accent5 5 3 3 2" xfId="7000" xr:uid="{00000000-0005-0000-0000-0000C7180000}"/>
    <cellStyle name="Accent5 5 3 3 2 2" xfId="7001" xr:uid="{00000000-0005-0000-0000-0000C8180000}"/>
    <cellStyle name="Accent5 5 3 3 3" xfId="7002" xr:uid="{00000000-0005-0000-0000-0000C9180000}"/>
    <cellStyle name="Accent5 5 3 4" xfId="7003" xr:uid="{00000000-0005-0000-0000-0000CA180000}"/>
    <cellStyle name="Accent5 5 4" xfId="7004" xr:uid="{00000000-0005-0000-0000-0000CB180000}"/>
    <cellStyle name="Accent5 5 4 2" xfId="7005" xr:uid="{00000000-0005-0000-0000-0000CC180000}"/>
    <cellStyle name="Accent5 5 5" xfId="7006" xr:uid="{00000000-0005-0000-0000-0000CD180000}"/>
    <cellStyle name="Accent5 5 5 2" xfId="7007" xr:uid="{00000000-0005-0000-0000-0000CE180000}"/>
    <cellStyle name="Accent5 5 5 2 2" xfId="7008" xr:uid="{00000000-0005-0000-0000-0000CF180000}"/>
    <cellStyle name="Accent5 5 5 3" xfId="7009" xr:uid="{00000000-0005-0000-0000-0000D0180000}"/>
    <cellStyle name="Accent5 5 6" xfId="7010" xr:uid="{00000000-0005-0000-0000-0000D1180000}"/>
    <cellStyle name="Accent5 5 6 2" xfId="7011" xr:uid="{00000000-0005-0000-0000-0000D2180000}"/>
    <cellStyle name="Accent5 5 7" xfId="7012" xr:uid="{00000000-0005-0000-0000-0000D3180000}"/>
    <cellStyle name="Accent5 50" xfId="7013" xr:uid="{00000000-0005-0000-0000-0000D4180000}"/>
    <cellStyle name="Accent5 50 2" xfId="7014" xr:uid="{00000000-0005-0000-0000-0000D5180000}"/>
    <cellStyle name="Accent5 50 2 2" xfId="7015" xr:uid="{00000000-0005-0000-0000-0000D6180000}"/>
    <cellStyle name="Accent5 50 3" xfId="7016" xr:uid="{00000000-0005-0000-0000-0000D7180000}"/>
    <cellStyle name="Accent5 50 3 2" xfId="7017" xr:uid="{00000000-0005-0000-0000-0000D8180000}"/>
    <cellStyle name="Accent5 50 3 2 2" xfId="7018" xr:uid="{00000000-0005-0000-0000-0000D9180000}"/>
    <cellStyle name="Accent5 50 3 3" xfId="7019" xr:uid="{00000000-0005-0000-0000-0000DA180000}"/>
    <cellStyle name="Accent5 50 4" xfId="7020" xr:uid="{00000000-0005-0000-0000-0000DB180000}"/>
    <cellStyle name="Accent5 51" xfId="7021" xr:uid="{00000000-0005-0000-0000-0000DC180000}"/>
    <cellStyle name="Accent5 51 2" xfId="7022" xr:uid="{00000000-0005-0000-0000-0000DD180000}"/>
    <cellStyle name="Accent5 51 2 2" xfId="7023" xr:uid="{00000000-0005-0000-0000-0000DE180000}"/>
    <cellStyle name="Accent5 51 3" xfId="7024" xr:uid="{00000000-0005-0000-0000-0000DF180000}"/>
    <cellStyle name="Accent5 51 3 2" xfId="7025" xr:uid="{00000000-0005-0000-0000-0000E0180000}"/>
    <cellStyle name="Accent5 51 3 2 2" xfId="7026" xr:uid="{00000000-0005-0000-0000-0000E1180000}"/>
    <cellStyle name="Accent5 51 3 3" xfId="7027" xr:uid="{00000000-0005-0000-0000-0000E2180000}"/>
    <cellStyle name="Accent5 51 4" xfId="7028" xr:uid="{00000000-0005-0000-0000-0000E3180000}"/>
    <cellStyle name="Accent5 52" xfId="7029" xr:uid="{00000000-0005-0000-0000-0000E4180000}"/>
    <cellStyle name="Accent5 52 2" xfId="7030" xr:uid="{00000000-0005-0000-0000-0000E5180000}"/>
    <cellStyle name="Accent5 52 2 2" xfId="7031" xr:uid="{00000000-0005-0000-0000-0000E6180000}"/>
    <cellStyle name="Accent5 52 3" xfId="7032" xr:uid="{00000000-0005-0000-0000-0000E7180000}"/>
    <cellStyle name="Accent5 53" xfId="7033" xr:uid="{00000000-0005-0000-0000-0000E8180000}"/>
    <cellStyle name="Accent5 53 2" xfId="7034" xr:uid="{00000000-0005-0000-0000-0000E9180000}"/>
    <cellStyle name="Accent5 53 2 2" xfId="7035" xr:uid="{00000000-0005-0000-0000-0000EA180000}"/>
    <cellStyle name="Accent5 53 3" xfId="7036" xr:uid="{00000000-0005-0000-0000-0000EB180000}"/>
    <cellStyle name="Accent5 54" xfId="7037" xr:uid="{00000000-0005-0000-0000-0000EC180000}"/>
    <cellStyle name="Accent5 54 2" xfId="7038" xr:uid="{00000000-0005-0000-0000-0000ED180000}"/>
    <cellStyle name="Accent5 54 2 2" xfId="7039" xr:uid="{00000000-0005-0000-0000-0000EE180000}"/>
    <cellStyle name="Accent5 54 3" xfId="7040" xr:uid="{00000000-0005-0000-0000-0000EF180000}"/>
    <cellStyle name="Accent5 55" xfId="7041" xr:uid="{00000000-0005-0000-0000-0000F0180000}"/>
    <cellStyle name="Accent5 55 2" xfId="7042" xr:uid="{00000000-0005-0000-0000-0000F1180000}"/>
    <cellStyle name="Accent5 55 2 2" xfId="7043" xr:uid="{00000000-0005-0000-0000-0000F2180000}"/>
    <cellStyle name="Accent5 55 3" xfId="7044" xr:uid="{00000000-0005-0000-0000-0000F3180000}"/>
    <cellStyle name="Accent5 56" xfId="7045" xr:uid="{00000000-0005-0000-0000-0000F4180000}"/>
    <cellStyle name="Accent5 56 2" xfId="7046" xr:uid="{00000000-0005-0000-0000-0000F5180000}"/>
    <cellStyle name="Accent5 56 2 2" xfId="7047" xr:uid="{00000000-0005-0000-0000-0000F6180000}"/>
    <cellStyle name="Accent5 56 3" xfId="7048" xr:uid="{00000000-0005-0000-0000-0000F7180000}"/>
    <cellStyle name="Accent5 57" xfId="7049" xr:uid="{00000000-0005-0000-0000-0000F8180000}"/>
    <cellStyle name="Accent5 57 2" xfId="7050" xr:uid="{00000000-0005-0000-0000-0000F9180000}"/>
    <cellStyle name="Accent5 57 2 2" xfId="7051" xr:uid="{00000000-0005-0000-0000-0000FA180000}"/>
    <cellStyle name="Accent5 57 3" xfId="7052" xr:uid="{00000000-0005-0000-0000-0000FB180000}"/>
    <cellStyle name="Accent5 58" xfId="7053" xr:uid="{00000000-0005-0000-0000-0000FC180000}"/>
    <cellStyle name="Accent5 58 2" xfId="7054" xr:uid="{00000000-0005-0000-0000-0000FD180000}"/>
    <cellStyle name="Accent5 58 2 2" xfId="7055" xr:uid="{00000000-0005-0000-0000-0000FE180000}"/>
    <cellStyle name="Accent5 58 3" xfId="7056" xr:uid="{00000000-0005-0000-0000-0000FF180000}"/>
    <cellStyle name="Accent5 58 3 2" xfId="7057" xr:uid="{00000000-0005-0000-0000-000000190000}"/>
    <cellStyle name="Accent5 58 3 2 2" xfId="7058" xr:uid="{00000000-0005-0000-0000-000001190000}"/>
    <cellStyle name="Accent5 58 3 3" xfId="7059" xr:uid="{00000000-0005-0000-0000-000002190000}"/>
    <cellStyle name="Accent5 58 4" xfId="7060" xr:uid="{00000000-0005-0000-0000-000003190000}"/>
    <cellStyle name="Accent5 59" xfId="7061" xr:uid="{00000000-0005-0000-0000-000004190000}"/>
    <cellStyle name="Accent5 59 2" xfId="7062" xr:uid="{00000000-0005-0000-0000-000005190000}"/>
    <cellStyle name="Accent5 59 2 2" xfId="7063" xr:uid="{00000000-0005-0000-0000-000006190000}"/>
    <cellStyle name="Accent5 59 3" xfId="7064" xr:uid="{00000000-0005-0000-0000-000007190000}"/>
    <cellStyle name="Accent5 59 3 2" xfId="7065" xr:uid="{00000000-0005-0000-0000-000008190000}"/>
    <cellStyle name="Accent5 59 3 2 2" xfId="7066" xr:uid="{00000000-0005-0000-0000-000009190000}"/>
    <cellStyle name="Accent5 59 3 3" xfId="7067" xr:uid="{00000000-0005-0000-0000-00000A190000}"/>
    <cellStyle name="Accent5 59 4" xfId="7068" xr:uid="{00000000-0005-0000-0000-00000B190000}"/>
    <cellStyle name="Accent5 6" xfId="7069" xr:uid="{00000000-0005-0000-0000-00000C190000}"/>
    <cellStyle name="Accent5 6 2" xfId="7070" xr:uid="{00000000-0005-0000-0000-00000D190000}"/>
    <cellStyle name="Accent5 6 2 2" xfId="7071" xr:uid="{00000000-0005-0000-0000-00000E190000}"/>
    <cellStyle name="Accent5 6 2 2 2" xfId="7072" xr:uid="{00000000-0005-0000-0000-00000F190000}"/>
    <cellStyle name="Accent5 6 2 3" xfId="7073" xr:uid="{00000000-0005-0000-0000-000010190000}"/>
    <cellStyle name="Accent5 6 2 3 2" xfId="7074" xr:uid="{00000000-0005-0000-0000-000011190000}"/>
    <cellStyle name="Accent5 6 2 3 2 2" xfId="7075" xr:uid="{00000000-0005-0000-0000-000012190000}"/>
    <cellStyle name="Accent5 6 2 3 3" xfId="7076" xr:uid="{00000000-0005-0000-0000-000013190000}"/>
    <cellStyle name="Accent5 6 2 4" xfId="7077" xr:uid="{00000000-0005-0000-0000-000014190000}"/>
    <cellStyle name="Accent5 6 3" xfId="7078" xr:uid="{00000000-0005-0000-0000-000015190000}"/>
    <cellStyle name="Accent5 6 3 2" xfId="7079" xr:uid="{00000000-0005-0000-0000-000016190000}"/>
    <cellStyle name="Accent5 6 4" xfId="7080" xr:uid="{00000000-0005-0000-0000-000017190000}"/>
    <cellStyle name="Accent5 6 4 2" xfId="7081" xr:uid="{00000000-0005-0000-0000-000018190000}"/>
    <cellStyle name="Accent5 6 4 2 2" xfId="7082" xr:uid="{00000000-0005-0000-0000-000019190000}"/>
    <cellStyle name="Accent5 6 4 3" xfId="7083" xr:uid="{00000000-0005-0000-0000-00001A190000}"/>
    <cellStyle name="Accent5 6 5" xfId="7084" xr:uid="{00000000-0005-0000-0000-00001B190000}"/>
    <cellStyle name="Accent5 60" xfId="7085" xr:uid="{00000000-0005-0000-0000-00001C190000}"/>
    <cellStyle name="Accent5 60 2" xfId="7086" xr:uid="{00000000-0005-0000-0000-00001D190000}"/>
    <cellStyle name="Accent5 60 2 2" xfId="7087" xr:uid="{00000000-0005-0000-0000-00001E190000}"/>
    <cellStyle name="Accent5 60 3" xfId="7088" xr:uid="{00000000-0005-0000-0000-00001F190000}"/>
    <cellStyle name="Accent5 60 3 2" xfId="7089" xr:uid="{00000000-0005-0000-0000-000020190000}"/>
    <cellStyle name="Accent5 60 3 2 2" xfId="7090" xr:uid="{00000000-0005-0000-0000-000021190000}"/>
    <cellStyle name="Accent5 60 3 3" xfId="7091" xr:uid="{00000000-0005-0000-0000-000022190000}"/>
    <cellStyle name="Accent5 60 4" xfId="7092" xr:uid="{00000000-0005-0000-0000-000023190000}"/>
    <cellStyle name="Accent5 61" xfId="7093" xr:uid="{00000000-0005-0000-0000-000024190000}"/>
    <cellStyle name="Accent5 61 2" xfId="7094" xr:uid="{00000000-0005-0000-0000-000025190000}"/>
    <cellStyle name="Accent5 61 2 2" xfId="7095" xr:uid="{00000000-0005-0000-0000-000026190000}"/>
    <cellStyle name="Accent5 61 3" xfId="7096" xr:uid="{00000000-0005-0000-0000-000027190000}"/>
    <cellStyle name="Accent5 61 3 2" xfId="7097" xr:uid="{00000000-0005-0000-0000-000028190000}"/>
    <cellStyle name="Accent5 61 3 2 2" xfId="7098" xr:uid="{00000000-0005-0000-0000-000029190000}"/>
    <cellStyle name="Accent5 61 3 3" xfId="7099" xr:uid="{00000000-0005-0000-0000-00002A190000}"/>
    <cellStyle name="Accent5 61 4" xfId="7100" xr:uid="{00000000-0005-0000-0000-00002B190000}"/>
    <cellStyle name="Accent5 62" xfId="7101" xr:uid="{00000000-0005-0000-0000-00002C190000}"/>
    <cellStyle name="Accent5 62 2" xfId="7102" xr:uid="{00000000-0005-0000-0000-00002D190000}"/>
    <cellStyle name="Accent5 62 2 2" xfId="7103" xr:uid="{00000000-0005-0000-0000-00002E190000}"/>
    <cellStyle name="Accent5 62 3" xfId="7104" xr:uid="{00000000-0005-0000-0000-00002F190000}"/>
    <cellStyle name="Accent5 62 3 2" xfId="7105" xr:uid="{00000000-0005-0000-0000-000030190000}"/>
    <cellStyle name="Accent5 62 3 2 2" xfId="7106" xr:uid="{00000000-0005-0000-0000-000031190000}"/>
    <cellStyle name="Accent5 62 3 3" xfId="7107" xr:uid="{00000000-0005-0000-0000-000032190000}"/>
    <cellStyle name="Accent5 62 4" xfId="7108" xr:uid="{00000000-0005-0000-0000-000033190000}"/>
    <cellStyle name="Accent5 63" xfId="7109" xr:uid="{00000000-0005-0000-0000-000034190000}"/>
    <cellStyle name="Accent5 63 2" xfId="7110" xr:uid="{00000000-0005-0000-0000-000035190000}"/>
    <cellStyle name="Accent5 63 2 2" xfId="7111" xr:uid="{00000000-0005-0000-0000-000036190000}"/>
    <cellStyle name="Accent5 63 3" xfId="7112" xr:uid="{00000000-0005-0000-0000-000037190000}"/>
    <cellStyle name="Accent5 63 3 2" xfId="7113" xr:uid="{00000000-0005-0000-0000-000038190000}"/>
    <cellStyle name="Accent5 63 3 2 2" xfId="7114" xr:uid="{00000000-0005-0000-0000-000039190000}"/>
    <cellStyle name="Accent5 63 3 3" xfId="7115" xr:uid="{00000000-0005-0000-0000-00003A190000}"/>
    <cellStyle name="Accent5 63 4" xfId="7116" xr:uid="{00000000-0005-0000-0000-00003B190000}"/>
    <cellStyle name="Accent5 64" xfId="7117" xr:uid="{00000000-0005-0000-0000-00003C190000}"/>
    <cellStyle name="Accent5 64 2" xfId="7118" xr:uid="{00000000-0005-0000-0000-00003D190000}"/>
    <cellStyle name="Accent5 64 2 2" xfId="7119" xr:uid="{00000000-0005-0000-0000-00003E190000}"/>
    <cellStyle name="Accent5 64 3" xfId="7120" xr:uid="{00000000-0005-0000-0000-00003F190000}"/>
    <cellStyle name="Accent5 64 3 2" xfId="7121" xr:uid="{00000000-0005-0000-0000-000040190000}"/>
    <cellStyle name="Accent5 64 3 2 2" xfId="7122" xr:uid="{00000000-0005-0000-0000-000041190000}"/>
    <cellStyle name="Accent5 64 3 3" xfId="7123" xr:uid="{00000000-0005-0000-0000-000042190000}"/>
    <cellStyle name="Accent5 64 4" xfId="7124" xr:uid="{00000000-0005-0000-0000-000043190000}"/>
    <cellStyle name="Accent5 65" xfId="7125" xr:uid="{00000000-0005-0000-0000-000044190000}"/>
    <cellStyle name="Accent5 65 2" xfId="7126" xr:uid="{00000000-0005-0000-0000-000045190000}"/>
    <cellStyle name="Accent5 65 2 2" xfId="7127" xr:uid="{00000000-0005-0000-0000-000046190000}"/>
    <cellStyle name="Accent5 65 3" xfId="7128" xr:uid="{00000000-0005-0000-0000-000047190000}"/>
    <cellStyle name="Accent5 65 3 2" xfId="7129" xr:uid="{00000000-0005-0000-0000-000048190000}"/>
    <cellStyle name="Accent5 65 3 2 2" xfId="7130" xr:uid="{00000000-0005-0000-0000-000049190000}"/>
    <cellStyle name="Accent5 65 3 3" xfId="7131" xr:uid="{00000000-0005-0000-0000-00004A190000}"/>
    <cellStyle name="Accent5 65 4" xfId="7132" xr:uid="{00000000-0005-0000-0000-00004B190000}"/>
    <cellStyle name="Accent5 66" xfId="7133" xr:uid="{00000000-0005-0000-0000-00004C190000}"/>
    <cellStyle name="Accent5 66 2" xfId="7134" xr:uid="{00000000-0005-0000-0000-00004D190000}"/>
    <cellStyle name="Accent5 66 2 2" xfId="7135" xr:uid="{00000000-0005-0000-0000-00004E190000}"/>
    <cellStyle name="Accent5 66 3" xfId="7136" xr:uid="{00000000-0005-0000-0000-00004F190000}"/>
    <cellStyle name="Accent5 66 3 2" xfId="7137" xr:uid="{00000000-0005-0000-0000-000050190000}"/>
    <cellStyle name="Accent5 66 3 2 2" xfId="7138" xr:uid="{00000000-0005-0000-0000-000051190000}"/>
    <cellStyle name="Accent5 66 3 3" xfId="7139" xr:uid="{00000000-0005-0000-0000-000052190000}"/>
    <cellStyle name="Accent5 66 4" xfId="7140" xr:uid="{00000000-0005-0000-0000-000053190000}"/>
    <cellStyle name="Accent5 67" xfId="7141" xr:uid="{00000000-0005-0000-0000-000054190000}"/>
    <cellStyle name="Accent5 67 2" xfId="7142" xr:uid="{00000000-0005-0000-0000-000055190000}"/>
    <cellStyle name="Accent5 67 2 2" xfId="7143" xr:uid="{00000000-0005-0000-0000-000056190000}"/>
    <cellStyle name="Accent5 67 3" xfId="7144" xr:uid="{00000000-0005-0000-0000-000057190000}"/>
    <cellStyle name="Accent5 67 3 2" xfId="7145" xr:uid="{00000000-0005-0000-0000-000058190000}"/>
    <cellStyle name="Accent5 67 3 2 2" xfId="7146" xr:uid="{00000000-0005-0000-0000-000059190000}"/>
    <cellStyle name="Accent5 67 3 3" xfId="7147" xr:uid="{00000000-0005-0000-0000-00005A190000}"/>
    <cellStyle name="Accent5 67 4" xfId="7148" xr:uid="{00000000-0005-0000-0000-00005B190000}"/>
    <cellStyle name="Accent5 68" xfId="7149" xr:uid="{00000000-0005-0000-0000-00005C190000}"/>
    <cellStyle name="Accent5 68 2" xfId="7150" xr:uid="{00000000-0005-0000-0000-00005D190000}"/>
    <cellStyle name="Accent5 68 2 2" xfId="7151" xr:uid="{00000000-0005-0000-0000-00005E190000}"/>
    <cellStyle name="Accent5 68 3" xfId="7152" xr:uid="{00000000-0005-0000-0000-00005F190000}"/>
    <cellStyle name="Accent5 68 3 2" xfId="7153" xr:uid="{00000000-0005-0000-0000-000060190000}"/>
    <cellStyle name="Accent5 68 3 2 2" xfId="7154" xr:uid="{00000000-0005-0000-0000-000061190000}"/>
    <cellStyle name="Accent5 68 3 3" xfId="7155" xr:uid="{00000000-0005-0000-0000-000062190000}"/>
    <cellStyle name="Accent5 68 4" xfId="7156" xr:uid="{00000000-0005-0000-0000-000063190000}"/>
    <cellStyle name="Accent5 69" xfId="7157" xr:uid="{00000000-0005-0000-0000-000064190000}"/>
    <cellStyle name="Accent5 69 2" xfId="7158" xr:uid="{00000000-0005-0000-0000-000065190000}"/>
    <cellStyle name="Accent5 69 2 2" xfId="7159" xr:uid="{00000000-0005-0000-0000-000066190000}"/>
    <cellStyle name="Accent5 69 3" xfId="7160" xr:uid="{00000000-0005-0000-0000-000067190000}"/>
    <cellStyle name="Accent5 69 3 2" xfId="7161" xr:uid="{00000000-0005-0000-0000-000068190000}"/>
    <cellStyle name="Accent5 69 3 2 2" xfId="7162" xr:uid="{00000000-0005-0000-0000-000069190000}"/>
    <cellStyle name="Accent5 69 3 3" xfId="7163" xr:uid="{00000000-0005-0000-0000-00006A190000}"/>
    <cellStyle name="Accent5 69 4" xfId="7164" xr:uid="{00000000-0005-0000-0000-00006B190000}"/>
    <cellStyle name="Accent5 7" xfId="7165" xr:uid="{00000000-0005-0000-0000-00006C190000}"/>
    <cellStyle name="Accent5 7 2" xfId="7166" xr:uid="{00000000-0005-0000-0000-00006D190000}"/>
    <cellStyle name="Accent5 7 2 2" xfId="7167" xr:uid="{00000000-0005-0000-0000-00006E190000}"/>
    <cellStyle name="Accent5 7 2 2 2" xfId="7168" xr:uid="{00000000-0005-0000-0000-00006F190000}"/>
    <cellStyle name="Accent5 7 2 3" xfId="7169" xr:uid="{00000000-0005-0000-0000-000070190000}"/>
    <cellStyle name="Accent5 7 2 3 2" xfId="7170" xr:uid="{00000000-0005-0000-0000-000071190000}"/>
    <cellStyle name="Accent5 7 2 3 2 2" xfId="7171" xr:uid="{00000000-0005-0000-0000-000072190000}"/>
    <cellStyle name="Accent5 7 2 3 3" xfId="7172" xr:uid="{00000000-0005-0000-0000-000073190000}"/>
    <cellStyle name="Accent5 7 2 4" xfId="7173" xr:uid="{00000000-0005-0000-0000-000074190000}"/>
    <cellStyle name="Accent5 7 3" xfId="7174" xr:uid="{00000000-0005-0000-0000-000075190000}"/>
    <cellStyle name="Accent5 7 3 2" xfId="7175" xr:uid="{00000000-0005-0000-0000-000076190000}"/>
    <cellStyle name="Accent5 7 4" xfId="7176" xr:uid="{00000000-0005-0000-0000-000077190000}"/>
    <cellStyle name="Accent5 7 4 2" xfId="7177" xr:uid="{00000000-0005-0000-0000-000078190000}"/>
    <cellStyle name="Accent5 7 4 2 2" xfId="7178" xr:uid="{00000000-0005-0000-0000-000079190000}"/>
    <cellStyle name="Accent5 7 4 3" xfId="7179" xr:uid="{00000000-0005-0000-0000-00007A190000}"/>
    <cellStyle name="Accent5 7 5" xfId="7180" xr:uid="{00000000-0005-0000-0000-00007B190000}"/>
    <cellStyle name="Accent5 70" xfId="7181" xr:uid="{00000000-0005-0000-0000-00007C190000}"/>
    <cellStyle name="Accent5 70 2" xfId="7182" xr:uid="{00000000-0005-0000-0000-00007D190000}"/>
    <cellStyle name="Accent5 70 2 2" xfId="7183" xr:uid="{00000000-0005-0000-0000-00007E190000}"/>
    <cellStyle name="Accent5 70 3" xfId="7184" xr:uid="{00000000-0005-0000-0000-00007F190000}"/>
    <cellStyle name="Accent5 70 3 2" xfId="7185" xr:uid="{00000000-0005-0000-0000-000080190000}"/>
    <cellStyle name="Accent5 70 3 2 2" xfId="7186" xr:uid="{00000000-0005-0000-0000-000081190000}"/>
    <cellStyle name="Accent5 70 3 3" xfId="7187" xr:uid="{00000000-0005-0000-0000-000082190000}"/>
    <cellStyle name="Accent5 70 4" xfId="7188" xr:uid="{00000000-0005-0000-0000-000083190000}"/>
    <cellStyle name="Accent5 71" xfId="7189" xr:uid="{00000000-0005-0000-0000-000084190000}"/>
    <cellStyle name="Accent5 71 2" xfId="7190" xr:uid="{00000000-0005-0000-0000-000085190000}"/>
    <cellStyle name="Accent5 71 2 2" xfId="7191" xr:uid="{00000000-0005-0000-0000-000086190000}"/>
    <cellStyle name="Accent5 71 3" xfId="7192" xr:uid="{00000000-0005-0000-0000-000087190000}"/>
    <cellStyle name="Accent5 71 3 2" xfId="7193" xr:uid="{00000000-0005-0000-0000-000088190000}"/>
    <cellStyle name="Accent5 71 3 2 2" xfId="7194" xr:uid="{00000000-0005-0000-0000-000089190000}"/>
    <cellStyle name="Accent5 71 3 3" xfId="7195" xr:uid="{00000000-0005-0000-0000-00008A190000}"/>
    <cellStyle name="Accent5 71 4" xfId="7196" xr:uid="{00000000-0005-0000-0000-00008B190000}"/>
    <cellStyle name="Accent5 72" xfId="7197" xr:uid="{00000000-0005-0000-0000-00008C190000}"/>
    <cellStyle name="Accent5 72 2" xfId="7198" xr:uid="{00000000-0005-0000-0000-00008D190000}"/>
    <cellStyle name="Accent5 72 2 2" xfId="7199" xr:uid="{00000000-0005-0000-0000-00008E190000}"/>
    <cellStyle name="Accent5 72 3" xfId="7200" xr:uid="{00000000-0005-0000-0000-00008F190000}"/>
    <cellStyle name="Accent5 72 3 2" xfId="7201" xr:uid="{00000000-0005-0000-0000-000090190000}"/>
    <cellStyle name="Accent5 72 3 2 2" xfId="7202" xr:uid="{00000000-0005-0000-0000-000091190000}"/>
    <cellStyle name="Accent5 72 3 3" xfId="7203" xr:uid="{00000000-0005-0000-0000-000092190000}"/>
    <cellStyle name="Accent5 72 4" xfId="7204" xr:uid="{00000000-0005-0000-0000-000093190000}"/>
    <cellStyle name="Accent5 73" xfId="7205" xr:uid="{00000000-0005-0000-0000-000094190000}"/>
    <cellStyle name="Accent5 73 2" xfId="7206" xr:uid="{00000000-0005-0000-0000-000095190000}"/>
    <cellStyle name="Accent5 73 2 2" xfId="7207" xr:uid="{00000000-0005-0000-0000-000096190000}"/>
    <cellStyle name="Accent5 73 3" xfId="7208" xr:uid="{00000000-0005-0000-0000-000097190000}"/>
    <cellStyle name="Accent5 73 3 2" xfId="7209" xr:uid="{00000000-0005-0000-0000-000098190000}"/>
    <cellStyle name="Accent5 73 3 2 2" xfId="7210" xr:uid="{00000000-0005-0000-0000-000099190000}"/>
    <cellStyle name="Accent5 73 3 3" xfId="7211" xr:uid="{00000000-0005-0000-0000-00009A190000}"/>
    <cellStyle name="Accent5 73 4" xfId="7212" xr:uid="{00000000-0005-0000-0000-00009B190000}"/>
    <cellStyle name="Accent5 74" xfId="7213" xr:uid="{00000000-0005-0000-0000-00009C190000}"/>
    <cellStyle name="Accent5 74 2" xfId="7214" xr:uid="{00000000-0005-0000-0000-00009D190000}"/>
    <cellStyle name="Accent5 74 2 2" xfId="7215" xr:uid="{00000000-0005-0000-0000-00009E190000}"/>
    <cellStyle name="Accent5 74 3" xfId="7216" xr:uid="{00000000-0005-0000-0000-00009F190000}"/>
    <cellStyle name="Accent5 74 3 2" xfId="7217" xr:uid="{00000000-0005-0000-0000-0000A0190000}"/>
    <cellStyle name="Accent5 74 3 2 2" xfId="7218" xr:uid="{00000000-0005-0000-0000-0000A1190000}"/>
    <cellStyle name="Accent5 74 3 3" xfId="7219" xr:uid="{00000000-0005-0000-0000-0000A2190000}"/>
    <cellStyle name="Accent5 74 4" xfId="7220" xr:uid="{00000000-0005-0000-0000-0000A3190000}"/>
    <cellStyle name="Accent5 75" xfId="7221" xr:uid="{00000000-0005-0000-0000-0000A4190000}"/>
    <cellStyle name="Accent5 75 2" xfId="7222" xr:uid="{00000000-0005-0000-0000-0000A5190000}"/>
    <cellStyle name="Accent5 75 2 2" xfId="7223" xr:uid="{00000000-0005-0000-0000-0000A6190000}"/>
    <cellStyle name="Accent5 75 3" xfId="7224" xr:uid="{00000000-0005-0000-0000-0000A7190000}"/>
    <cellStyle name="Accent5 75 3 2" xfId="7225" xr:uid="{00000000-0005-0000-0000-0000A8190000}"/>
    <cellStyle name="Accent5 75 3 2 2" xfId="7226" xr:uid="{00000000-0005-0000-0000-0000A9190000}"/>
    <cellStyle name="Accent5 75 3 3" xfId="7227" xr:uid="{00000000-0005-0000-0000-0000AA190000}"/>
    <cellStyle name="Accent5 75 4" xfId="7228" xr:uid="{00000000-0005-0000-0000-0000AB190000}"/>
    <cellStyle name="Accent5 76" xfId="7229" xr:uid="{00000000-0005-0000-0000-0000AC190000}"/>
    <cellStyle name="Accent5 76 2" xfId="7230" xr:uid="{00000000-0005-0000-0000-0000AD190000}"/>
    <cellStyle name="Accent5 76 2 2" xfId="7231" xr:uid="{00000000-0005-0000-0000-0000AE190000}"/>
    <cellStyle name="Accent5 76 3" xfId="7232" xr:uid="{00000000-0005-0000-0000-0000AF190000}"/>
    <cellStyle name="Accent5 76 3 2" xfId="7233" xr:uid="{00000000-0005-0000-0000-0000B0190000}"/>
    <cellStyle name="Accent5 76 3 2 2" xfId="7234" xr:uid="{00000000-0005-0000-0000-0000B1190000}"/>
    <cellStyle name="Accent5 76 3 3" xfId="7235" xr:uid="{00000000-0005-0000-0000-0000B2190000}"/>
    <cellStyle name="Accent5 76 4" xfId="7236" xr:uid="{00000000-0005-0000-0000-0000B3190000}"/>
    <cellStyle name="Accent5 77" xfId="7237" xr:uid="{00000000-0005-0000-0000-0000B4190000}"/>
    <cellStyle name="Accent5 77 2" xfId="7238" xr:uid="{00000000-0005-0000-0000-0000B5190000}"/>
    <cellStyle name="Accent5 77 2 2" xfId="7239" xr:uid="{00000000-0005-0000-0000-0000B6190000}"/>
    <cellStyle name="Accent5 77 3" xfId="7240" xr:uid="{00000000-0005-0000-0000-0000B7190000}"/>
    <cellStyle name="Accent5 77 3 2" xfId="7241" xr:uid="{00000000-0005-0000-0000-0000B8190000}"/>
    <cellStyle name="Accent5 77 3 2 2" xfId="7242" xr:uid="{00000000-0005-0000-0000-0000B9190000}"/>
    <cellStyle name="Accent5 77 3 3" xfId="7243" xr:uid="{00000000-0005-0000-0000-0000BA190000}"/>
    <cellStyle name="Accent5 77 4" xfId="7244" xr:uid="{00000000-0005-0000-0000-0000BB190000}"/>
    <cellStyle name="Accent5 78" xfId="7245" xr:uid="{00000000-0005-0000-0000-0000BC190000}"/>
    <cellStyle name="Accent5 78 2" xfId="7246" xr:uid="{00000000-0005-0000-0000-0000BD190000}"/>
    <cellStyle name="Accent5 78 2 2" xfId="7247" xr:uid="{00000000-0005-0000-0000-0000BE190000}"/>
    <cellStyle name="Accent5 78 3" xfId="7248" xr:uid="{00000000-0005-0000-0000-0000BF190000}"/>
    <cellStyle name="Accent5 78 3 2" xfId="7249" xr:uid="{00000000-0005-0000-0000-0000C0190000}"/>
    <cellStyle name="Accent5 78 3 2 2" xfId="7250" xr:uid="{00000000-0005-0000-0000-0000C1190000}"/>
    <cellStyle name="Accent5 78 3 3" xfId="7251" xr:uid="{00000000-0005-0000-0000-0000C2190000}"/>
    <cellStyle name="Accent5 78 4" xfId="7252" xr:uid="{00000000-0005-0000-0000-0000C3190000}"/>
    <cellStyle name="Accent5 79" xfId="7253" xr:uid="{00000000-0005-0000-0000-0000C4190000}"/>
    <cellStyle name="Accent5 79 2" xfId="7254" xr:uid="{00000000-0005-0000-0000-0000C5190000}"/>
    <cellStyle name="Accent5 79 2 2" xfId="7255" xr:uid="{00000000-0005-0000-0000-0000C6190000}"/>
    <cellStyle name="Accent5 79 3" xfId="7256" xr:uid="{00000000-0005-0000-0000-0000C7190000}"/>
    <cellStyle name="Accent5 79 3 2" xfId="7257" xr:uid="{00000000-0005-0000-0000-0000C8190000}"/>
    <cellStyle name="Accent5 79 3 2 2" xfId="7258" xr:uid="{00000000-0005-0000-0000-0000C9190000}"/>
    <cellStyle name="Accent5 79 3 3" xfId="7259" xr:uid="{00000000-0005-0000-0000-0000CA190000}"/>
    <cellStyle name="Accent5 79 4" xfId="7260" xr:uid="{00000000-0005-0000-0000-0000CB190000}"/>
    <cellStyle name="Accent5 8" xfId="7261" xr:uid="{00000000-0005-0000-0000-0000CC190000}"/>
    <cellStyle name="Accent5 8 2" xfId="7262" xr:uid="{00000000-0005-0000-0000-0000CD190000}"/>
    <cellStyle name="Accent5 8 2 2" xfId="7263" xr:uid="{00000000-0005-0000-0000-0000CE190000}"/>
    <cellStyle name="Accent5 8 3" xfId="7264" xr:uid="{00000000-0005-0000-0000-0000CF190000}"/>
    <cellStyle name="Accent5 80" xfId="7265" xr:uid="{00000000-0005-0000-0000-0000D0190000}"/>
    <cellStyle name="Accent5 80 2" xfId="7266" xr:uid="{00000000-0005-0000-0000-0000D1190000}"/>
    <cellStyle name="Accent5 80 2 2" xfId="7267" xr:uid="{00000000-0005-0000-0000-0000D2190000}"/>
    <cellStyle name="Accent5 80 3" xfId="7268" xr:uid="{00000000-0005-0000-0000-0000D3190000}"/>
    <cellStyle name="Accent5 80 3 2" xfId="7269" xr:uid="{00000000-0005-0000-0000-0000D4190000}"/>
    <cellStyle name="Accent5 80 3 2 2" xfId="7270" xr:uid="{00000000-0005-0000-0000-0000D5190000}"/>
    <cellStyle name="Accent5 80 3 3" xfId="7271" xr:uid="{00000000-0005-0000-0000-0000D6190000}"/>
    <cellStyle name="Accent5 80 4" xfId="7272" xr:uid="{00000000-0005-0000-0000-0000D7190000}"/>
    <cellStyle name="Accent5 81" xfId="7273" xr:uid="{00000000-0005-0000-0000-0000D8190000}"/>
    <cellStyle name="Accent5 81 2" xfId="7274" xr:uid="{00000000-0005-0000-0000-0000D9190000}"/>
    <cellStyle name="Accent5 81 2 2" xfId="7275" xr:uid="{00000000-0005-0000-0000-0000DA190000}"/>
    <cellStyle name="Accent5 81 3" xfId="7276" xr:uid="{00000000-0005-0000-0000-0000DB190000}"/>
    <cellStyle name="Accent5 81 3 2" xfId="7277" xr:uid="{00000000-0005-0000-0000-0000DC190000}"/>
    <cellStyle name="Accent5 81 3 2 2" xfId="7278" xr:uid="{00000000-0005-0000-0000-0000DD190000}"/>
    <cellStyle name="Accent5 81 3 3" xfId="7279" xr:uid="{00000000-0005-0000-0000-0000DE190000}"/>
    <cellStyle name="Accent5 81 4" xfId="7280" xr:uid="{00000000-0005-0000-0000-0000DF190000}"/>
    <cellStyle name="Accent5 82" xfId="7281" xr:uid="{00000000-0005-0000-0000-0000E0190000}"/>
    <cellStyle name="Accent5 82 2" xfId="7282" xr:uid="{00000000-0005-0000-0000-0000E1190000}"/>
    <cellStyle name="Accent5 82 2 2" xfId="7283" xr:uid="{00000000-0005-0000-0000-0000E2190000}"/>
    <cellStyle name="Accent5 82 3" xfId="7284" xr:uid="{00000000-0005-0000-0000-0000E3190000}"/>
    <cellStyle name="Accent5 82 3 2" xfId="7285" xr:uid="{00000000-0005-0000-0000-0000E4190000}"/>
    <cellStyle name="Accent5 82 3 2 2" xfId="7286" xr:uid="{00000000-0005-0000-0000-0000E5190000}"/>
    <cellStyle name="Accent5 82 3 3" xfId="7287" xr:uid="{00000000-0005-0000-0000-0000E6190000}"/>
    <cellStyle name="Accent5 82 4" xfId="7288" xr:uid="{00000000-0005-0000-0000-0000E7190000}"/>
    <cellStyle name="Accent5 83" xfId="7289" xr:uid="{00000000-0005-0000-0000-0000E8190000}"/>
    <cellStyle name="Accent5 83 2" xfId="7290" xr:uid="{00000000-0005-0000-0000-0000E9190000}"/>
    <cellStyle name="Accent5 83 2 2" xfId="7291" xr:uid="{00000000-0005-0000-0000-0000EA190000}"/>
    <cellStyle name="Accent5 83 3" xfId="7292" xr:uid="{00000000-0005-0000-0000-0000EB190000}"/>
    <cellStyle name="Accent5 83 3 2" xfId="7293" xr:uid="{00000000-0005-0000-0000-0000EC190000}"/>
    <cellStyle name="Accent5 83 3 2 2" xfId="7294" xr:uid="{00000000-0005-0000-0000-0000ED190000}"/>
    <cellStyle name="Accent5 83 3 3" xfId="7295" xr:uid="{00000000-0005-0000-0000-0000EE190000}"/>
    <cellStyle name="Accent5 83 4" xfId="7296" xr:uid="{00000000-0005-0000-0000-0000EF190000}"/>
    <cellStyle name="Accent5 84" xfId="7297" xr:uid="{00000000-0005-0000-0000-0000F0190000}"/>
    <cellStyle name="Accent5 84 2" xfId="7298" xr:uid="{00000000-0005-0000-0000-0000F1190000}"/>
    <cellStyle name="Accent5 84 2 2" xfId="7299" xr:uid="{00000000-0005-0000-0000-0000F2190000}"/>
    <cellStyle name="Accent5 84 3" xfId="7300" xr:uid="{00000000-0005-0000-0000-0000F3190000}"/>
    <cellStyle name="Accent5 85" xfId="7301" xr:uid="{00000000-0005-0000-0000-0000F4190000}"/>
    <cellStyle name="Accent5 85 2" xfId="7302" xr:uid="{00000000-0005-0000-0000-0000F5190000}"/>
    <cellStyle name="Accent5 85 2 2" xfId="7303" xr:uid="{00000000-0005-0000-0000-0000F6190000}"/>
    <cellStyle name="Accent5 85 3" xfId="7304" xr:uid="{00000000-0005-0000-0000-0000F7190000}"/>
    <cellStyle name="Accent5 86" xfId="7305" xr:uid="{00000000-0005-0000-0000-0000F8190000}"/>
    <cellStyle name="Accent5 86 2" xfId="7306" xr:uid="{00000000-0005-0000-0000-0000F9190000}"/>
    <cellStyle name="Accent5 86 2 2" xfId="7307" xr:uid="{00000000-0005-0000-0000-0000FA190000}"/>
    <cellStyle name="Accent5 86 3" xfId="7308" xr:uid="{00000000-0005-0000-0000-0000FB190000}"/>
    <cellStyle name="Accent5 87" xfId="7309" xr:uid="{00000000-0005-0000-0000-0000FC190000}"/>
    <cellStyle name="Accent5 87 2" xfId="7310" xr:uid="{00000000-0005-0000-0000-0000FD190000}"/>
    <cellStyle name="Accent5 87 2 2" xfId="7311" xr:uid="{00000000-0005-0000-0000-0000FE190000}"/>
    <cellStyle name="Accent5 87 3" xfId="7312" xr:uid="{00000000-0005-0000-0000-0000FF190000}"/>
    <cellStyle name="Accent5 88" xfId="7313" xr:uid="{00000000-0005-0000-0000-0000001A0000}"/>
    <cellStyle name="Accent5 88 2" xfId="7314" xr:uid="{00000000-0005-0000-0000-0000011A0000}"/>
    <cellStyle name="Accent5 88 2 2" xfId="7315" xr:uid="{00000000-0005-0000-0000-0000021A0000}"/>
    <cellStyle name="Accent5 88 3" xfId="7316" xr:uid="{00000000-0005-0000-0000-0000031A0000}"/>
    <cellStyle name="Accent5 89" xfId="7317" xr:uid="{00000000-0005-0000-0000-0000041A0000}"/>
    <cellStyle name="Accent5 89 2" xfId="7318" xr:uid="{00000000-0005-0000-0000-0000051A0000}"/>
    <cellStyle name="Accent5 89 2 2" xfId="7319" xr:uid="{00000000-0005-0000-0000-0000061A0000}"/>
    <cellStyle name="Accent5 89 3" xfId="7320" xr:uid="{00000000-0005-0000-0000-0000071A0000}"/>
    <cellStyle name="Accent5 9" xfId="7321" xr:uid="{00000000-0005-0000-0000-0000081A0000}"/>
    <cellStyle name="Accent5 9 2" xfId="7322" xr:uid="{00000000-0005-0000-0000-0000091A0000}"/>
    <cellStyle name="Accent5 9 2 2" xfId="7323" xr:uid="{00000000-0005-0000-0000-00000A1A0000}"/>
    <cellStyle name="Accent5 9 3" xfId="7324" xr:uid="{00000000-0005-0000-0000-00000B1A0000}"/>
    <cellStyle name="Accent5 90" xfId="7325" xr:uid="{00000000-0005-0000-0000-00000C1A0000}"/>
    <cellStyle name="Accent5 90 2" xfId="7326" xr:uid="{00000000-0005-0000-0000-00000D1A0000}"/>
    <cellStyle name="Accent5 90 2 2" xfId="7327" xr:uid="{00000000-0005-0000-0000-00000E1A0000}"/>
    <cellStyle name="Accent5 90 3" xfId="7328" xr:uid="{00000000-0005-0000-0000-00000F1A0000}"/>
    <cellStyle name="Accent5 91" xfId="7329" xr:uid="{00000000-0005-0000-0000-0000101A0000}"/>
    <cellStyle name="Accent5 91 2" xfId="7330" xr:uid="{00000000-0005-0000-0000-0000111A0000}"/>
    <cellStyle name="Accent5 91 2 2" xfId="7331" xr:uid="{00000000-0005-0000-0000-0000121A0000}"/>
    <cellStyle name="Accent5 91 3" xfId="7332" xr:uid="{00000000-0005-0000-0000-0000131A0000}"/>
    <cellStyle name="Accent5 92" xfId="7333" xr:uid="{00000000-0005-0000-0000-0000141A0000}"/>
    <cellStyle name="Accent5 92 2" xfId="7334" xr:uid="{00000000-0005-0000-0000-0000151A0000}"/>
    <cellStyle name="Accent5 92 2 2" xfId="7335" xr:uid="{00000000-0005-0000-0000-0000161A0000}"/>
    <cellStyle name="Accent5 92 3" xfId="7336" xr:uid="{00000000-0005-0000-0000-0000171A0000}"/>
    <cellStyle name="Accent5 93" xfId="7337" xr:uid="{00000000-0005-0000-0000-0000181A0000}"/>
    <cellStyle name="Accent5 93 2" xfId="7338" xr:uid="{00000000-0005-0000-0000-0000191A0000}"/>
    <cellStyle name="Accent5 93 2 2" xfId="7339" xr:uid="{00000000-0005-0000-0000-00001A1A0000}"/>
    <cellStyle name="Accent5 93 3" xfId="7340" xr:uid="{00000000-0005-0000-0000-00001B1A0000}"/>
    <cellStyle name="Accent5 94" xfId="7341" xr:uid="{00000000-0005-0000-0000-00001C1A0000}"/>
    <cellStyle name="Accent5 94 2" xfId="7342" xr:uid="{00000000-0005-0000-0000-00001D1A0000}"/>
    <cellStyle name="Accent5 94 2 2" xfId="7343" xr:uid="{00000000-0005-0000-0000-00001E1A0000}"/>
    <cellStyle name="Accent5 94 3" xfId="7344" xr:uid="{00000000-0005-0000-0000-00001F1A0000}"/>
    <cellStyle name="Accent5 95" xfId="7345" xr:uid="{00000000-0005-0000-0000-0000201A0000}"/>
    <cellStyle name="Accent5 95 2" xfId="7346" xr:uid="{00000000-0005-0000-0000-0000211A0000}"/>
    <cellStyle name="Accent5 95 2 2" xfId="7347" xr:uid="{00000000-0005-0000-0000-0000221A0000}"/>
    <cellStyle name="Accent5 95 3" xfId="7348" xr:uid="{00000000-0005-0000-0000-0000231A0000}"/>
    <cellStyle name="Accent5 96" xfId="7349" xr:uid="{00000000-0005-0000-0000-0000241A0000}"/>
    <cellStyle name="Accent5 96 2" xfId="7350" xr:uid="{00000000-0005-0000-0000-0000251A0000}"/>
    <cellStyle name="Accent5 96 2 2" xfId="7351" xr:uid="{00000000-0005-0000-0000-0000261A0000}"/>
    <cellStyle name="Accent5 96 3" xfId="7352" xr:uid="{00000000-0005-0000-0000-0000271A0000}"/>
    <cellStyle name="Accent5 97" xfId="7353" xr:uid="{00000000-0005-0000-0000-0000281A0000}"/>
    <cellStyle name="Accent5 97 2" xfId="7354" xr:uid="{00000000-0005-0000-0000-0000291A0000}"/>
    <cellStyle name="Accent5 97 2 2" xfId="7355" xr:uid="{00000000-0005-0000-0000-00002A1A0000}"/>
    <cellStyle name="Accent5 97 3" xfId="7356" xr:uid="{00000000-0005-0000-0000-00002B1A0000}"/>
    <cellStyle name="Accent5 98" xfId="7357" xr:uid="{00000000-0005-0000-0000-00002C1A0000}"/>
    <cellStyle name="Accent5 98 2" xfId="7358" xr:uid="{00000000-0005-0000-0000-00002D1A0000}"/>
    <cellStyle name="Accent5 98 2 2" xfId="7359" xr:uid="{00000000-0005-0000-0000-00002E1A0000}"/>
    <cellStyle name="Accent5 98 3" xfId="7360" xr:uid="{00000000-0005-0000-0000-00002F1A0000}"/>
    <cellStyle name="Accent5 99" xfId="7361" xr:uid="{00000000-0005-0000-0000-0000301A0000}"/>
    <cellStyle name="Accent5 99 2" xfId="7362" xr:uid="{00000000-0005-0000-0000-0000311A0000}"/>
    <cellStyle name="Accent5 99 2 2" xfId="7363" xr:uid="{00000000-0005-0000-0000-0000321A0000}"/>
    <cellStyle name="Accent5 99 3" xfId="7364" xr:uid="{00000000-0005-0000-0000-0000331A0000}"/>
    <cellStyle name="Accent6 - 20%" xfId="16" xr:uid="{00000000-0005-0000-0000-0000341A0000}"/>
    <cellStyle name="Accent6 - 20% 2" xfId="7365" xr:uid="{00000000-0005-0000-0000-0000351A0000}"/>
    <cellStyle name="Accent6 - 20% 2 2" xfId="7366" xr:uid="{00000000-0005-0000-0000-0000361A0000}"/>
    <cellStyle name="Accent6 - 20% 2 2 2" xfId="7367" xr:uid="{00000000-0005-0000-0000-0000371A0000}"/>
    <cellStyle name="Accent6 - 20% 2 2 2 2" xfId="7368" xr:uid="{00000000-0005-0000-0000-0000381A0000}"/>
    <cellStyle name="Accent6 - 20% 2 2 3" xfId="7369" xr:uid="{00000000-0005-0000-0000-0000391A0000}"/>
    <cellStyle name="Accent6 - 20% 2 3" xfId="7370" xr:uid="{00000000-0005-0000-0000-00003A1A0000}"/>
    <cellStyle name="Accent6 - 20% 2 3 2" xfId="7371" xr:uid="{00000000-0005-0000-0000-00003B1A0000}"/>
    <cellStyle name="Accent6 - 20% 2 3 2 2" xfId="7372" xr:uid="{00000000-0005-0000-0000-00003C1A0000}"/>
    <cellStyle name="Accent6 - 20% 2 3 2 2 2" xfId="7373" xr:uid="{00000000-0005-0000-0000-00003D1A0000}"/>
    <cellStyle name="Accent6 - 20% 2 3 2 3" xfId="7374" xr:uid="{00000000-0005-0000-0000-00003E1A0000}"/>
    <cellStyle name="Accent6 - 20% 2 3 3" xfId="7375" xr:uid="{00000000-0005-0000-0000-00003F1A0000}"/>
    <cellStyle name="Accent6 - 20% 2 3 3 2" xfId="7376" xr:uid="{00000000-0005-0000-0000-0000401A0000}"/>
    <cellStyle name="Accent6 - 20% 2 3 4" xfId="7377" xr:uid="{00000000-0005-0000-0000-0000411A0000}"/>
    <cellStyle name="Accent6 - 20% 2 4" xfId="7378" xr:uid="{00000000-0005-0000-0000-0000421A0000}"/>
    <cellStyle name="Accent6 - 20% 2 4 2" xfId="7379" xr:uid="{00000000-0005-0000-0000-0000431A0000}"/>
    <cellStyle name="Accent6 - 20% 2 5" xfId="7380" xr:uid="{00000000-0005-0000-0000-0000441A0000}"/>
    <cellStyle name="Accent6 - 20% 2 5 2" xfId="7381" xr:uid="{00000000-0005-0000-0000-0000451A0000}"/>
    <cellStyle name="Accent6 - 20% 2 6" xfId="7382" xr:uid="{00000000-0005-0000-0000-0000461A0000}"/>
    <cellStyle name="Accent6 - 20% 3" xfId="7383" xr:uid="{00000000-0005-0000-0000-0000471A0000}"/>
    <cellStyle name="Accent6 - 20% 3 2" xfId="7384" xr:uid="{00000000-0005-0000-0000-0000481A0000}"/>
    <cellStyle name="Accent6 - 20% 3 2 2" xfId="7385" xr:uid="{00000000-0005-0000-0000-0000491A0000}"/>
    <cellStyle name="Accent6 - 20% 3 2 2 2" xfId="7386" xr:uid="{00000000-0005-0000-0000-00004A1A0000}"/>
    <cellStyle name="Accent6 - 20% 3 2 3" xfId="7387" xr:uid="{00000000-0005-0000-0000-00004B1A0000}"/>
    <cellStyle name="Accent6 - 20% 3 3" xfId="7388" xr:uid="{00000000-0005-0000-0000-00004C1A0000}"/>
    <cellStyle name="Accent6 - 20% 3 3 2" xfId="7389" xr:uid="{00000000-0005-0000-0000-00004D1A0000}"/>
    <cellStyle name="Accent6 - 20% 3 4" xfId="7390" xr:uid="{00000000-0005-0000-0000-00004E1A0000}"/>
    <cellStyle name="Accent6 - 20% 4" xfId="7391" xr:uid="{00000000-0005-0000-0000-00004F1A0000}"/>
    <cellStyle name="Accent6 - 20% 4 2" xfId="7392" xr:uid="{00000000-0005-0000-0000-0000501A0000}"/>
    <cellStyle name="Accent6 - 20% 4 2 2" xfId="7393" xr:uid="{00000000-0005-0000-0000-0000511A0000}"/>
    <cellStyle name="Accent6 - 20% 4 3" xfId="7394" xr:uid="{00000000-0005-0000-0000-0000521A0000}"/>
    <cellStyle name="Accent6 - 20% 5" xfId="7395" xr:uid="{00000000-0005-0000-0000-0000531A0000}"/>
    <cellStyle name="Accent6 - 20% 5 2" xfId="7396" xr:uid="{00000000-0005-0000-0000-0000541A0000}"/>
    <cellStyle name="Accent6 - 20% 6" xfId="7397" xr:uid="{00000000-0005-0000-0000-0000551A0000}"/>
    <cellStyle name="Accent6 - 20% 6 2" xfId="7398" xr:uid="{00000000-0005-0000-0000-0000561A0000}"/>
    <cellStyle name="Accent6 - 20% 7" xfId="7399" xr:uid="{00000000-0005-0000-0000-0000571A0000}"/>
    <cellStyle name="Accent6 - 20% 8" xfId="7400" xr:uid="{00000000-0005-0000-0000-0000581A0000}"/>
    <cellStyle name="Accent6 - 40%" xfId="17" xr:uid="{00000000-0005-0000-0000-0000591A0000}"/>
    <cellStyle name="Accent6 - 40% 10" xfId="7401" xr:uid="{00000000-0005-0000-0000-00005A1A0000}"/>
    <cellStyle name="Accent6 - 40% 11" xfId="7402" xr:uid="{00000000-0005-0000-0000-00005B1A0000}"/>
    <cellStyle name="Accent6 - 40% 2" xfId="7403" xr:uid="{00000000-0005-0000-0000-00005C1A0000}"/>
    <cellStyle name="Accent6 - 40% 2 2" xfId="7404" xr:uid="{00000000-0005-0000-0000-00005D1A0000}"/>
    <cellStyle name="Accent6 - 40% 2 2 2" xfId="7405" xr:uid="{00000000-0005-0000-0000-00005E1A0000}"/>
    <cellStyle name="Accent6 - 40% 2 2 2 2" xfId="7406" xr:uid="{00000000-0005-0000-0000-00005F1A0000}"/>
    <cellStyle name="Accent6 - 40% 2 2 3" xfId="7407" xr:uid="{00000000-0005-0000-0000-0000601A0000}"/>
    <cellStyle name="Accent6 - 40% 2 3" xfId="7408" xr:uid="{00000000-0005-0000-0000-0000611A0000}"/>
    <cellStyle name="Accent6 - 40% 2 3 2" xfId="7409" xr:uid="{00000000-0005-0000-0000-0000621A0000}"/>
    <cellStyle name="Accent6 - 40% 2 3 2 2" xfId="7410" xr:uid="{00000000-0005-0000-0000-0000631A0000}"/>
    <cellStyle name="Accent6 - 40% 2 3 2 2 2" xfId="7411" xr:uid="{00000000-0005-0000-0000-0000641A0000}"/>
    <cellStyle name="Accent6 - 40% 2 3 2 3" xfId="7412" xr:uid="{00000000-0005-0000-0000-0000651A0000}"/>
    <cellStyle name="Accent6 - 40% 2 3 3" xfId="7413" xr:uid="{00000000-0005-0000-0000-0000661A0000}"/>
    <cellStyle name="Accent6 - 40% 2 3 3 2" xfId="7414" xr:uid="{00000000-0005-0000-0000-0000671A0000}"/>
    <cellStyle name="Accent6 - 40% 2 3 4" xfId="7415" xr:uid="{00000000-0005-0000-0000-0000681A0000}"/>
    <cellStyle name="Accent6 - 40% 2 4" xfId="7416" xr:uid="{00000000-0005-0000-0000-0000691A0000}"/>
    <cellStyle name="Accent6 - 40% 2 4 2" xfId="7417" xr:uid="{00000000-0005-0000-0000-00006A1A0000}"/>
    <cellStyle name="Accent6 - 40% 2 4 2 2" xfId="7418" xr:uid="{00000000-0005-0000-0000-00006B1A0000}"/>
    <cellStyle name="Accent6 - 40% 2 4 2 2 2" xfId="7419" xr:uid="{00000000-0005-0000-0000-00006C1A0000}"/>
    <cellStyle name="Accent6 - 40% 2 4 2 3" xfId="7420" xr:uid="{00000000-0005-0000-0000-00006D1A0000}"/>
    <cellStyle name="Accent6 - 40% 2 4 3" xfId="7421" xr:uid="{00000000-0005-0000-0000-00006E1A0000}"/>
    <cellStyle name="Accent6 - 40% 2 4 3 2" xfId="7422" xr:uid="{00000000-0005-0000-0000-00006F1A0000}"/>
    <cellStyle name="Accent6 - 40% 2 4 4" xfId="7423" xr:uid="{00000000-0005-0000-0000-0000701A0000}"/>
    <cellStyle name="Accent6 - 40% 2 5" xfId="7424" xr:uid="{00000000-0005-0000-0000-0000711A0000}"/>
    <cellStyle name="Accent6 - 40% 2 5 2" xfId="7425" xr:uid="{00000000-0005-0000-0000-0000721A0000}"/>
    <cellStyle name="Accent6 - 40% 2 6" xfId="7426" xr:uid="{00000000-0005-0000-0000-0000731A0000}"/>
    <cellStyle name="Accent6 - 40% 2 6 2" xfId="7427" xr:uid="{00000000-0005-0000-0000-0000741A0000}"/>
    <cellStyle name="Accent6 - 40% 2 7" xfId="7428" xr:uid="{00000000-0005-0000-0000-0000751A0000}"/>
    <cellStyle name="Accent6 - 40% 3" xfId="7429" xr:uid="{00000000-0005-0000-0000-0000761A0000}"/>
    <cellStyle name="Accent6 - 40% 3 2" xfId="7430" xr:uid="{00000000-0005-0000-0000-0000771A0000}"/>
    <cellStyle name="Accent6 - 40% 3 2 2" xfId="7431" xr:uid="{00000000-0005-0000-0000-0000781A0000}"/>
    <cellStyle name="Accent6 - 40% 3 2 2 2" xfId="7432" xr:uid="{00000000-0005-0000-0000-0000791A0000}"/>
    <cellStyle name="Accent6 - 40% 3 2 3" xfId="7433" xr:uid="{00000000-0005-0000-0000-00007A1A0000}"/>
    <cellStyle name="Accent6 - 40% 3 3" xfId="7434" xr:uid="{00000000-0005-0000-0000-00007B1A0000}"/>
    <cellStyle name="Accent6 - 40% 3 3 2" xfId="7435" xr:uid="{00000000-0005-0000-0000-00007C1A0000}"/>
    <cellStyle name="Accent6 - 40% 3 4" xfId="7436" xr:uid="{00000000-0005-0000-0000-00007D1A0000}"/>
    <cellStyle name="Accent6 - 40% 4" xfId="7437" xr:uid="{00000000-0005-0000-0000-00007E1A0000}"/>
    <cellStyle name="Accent6 - 40% 4 2" xfId="7438" xr:uid="{00000000-0005-0000-0000-00007F1A0000}"/>
    <cellStyle name="Accent6 - 40% 4 2 2" xfId="7439" xr:uid="{00000000-0005-0000-0000-0000801A0000}"/>
    <cellStyle name="Accent6 - 40% 4 3" xfId="7440" xr:uid="{00000000-0005-0000-0000-0000811A0000}"/>
    <cellStyle name="Accent6 - 40% 5" xfId="7441" xr:uid="{00000000-0005-0000-0000-0000821A0000}"/>
    <cellStyle name="Accent6 - 40% 5 2" xfId="7442" xr:uid="{00000000-0005-0000-0000-0000831A0000}"/>
    <cellStyle name="Accent6 - 40% 5 2 2" xfId="7443" xr:uid="{00000000-0005-0000-0000-0000841A0000}"/>
    <cellStyle name="Accent6 - 40% 5 3" xfId="7444" xr:uid="{00000000-0005-0000-0000-0000851A0000}"/>
    <cellStyle name="Accent6 - 40% 6" xfId="7445" xr:uid="{00000000-0005-0000-0000-0000861A0000}"/>
    <cellStyle name="Accent6 - 40% 6 2" xfId="7446" xr:uid="{00000000-0005-0000-0000-0000871A0000}"/>
    <cellStyle name="Accent6 - 40% 7" xfId="7447" xr:uid="{00000000-0005-0000-0000-0000881A0000}"/>
    <cellStyle name="Accent6 - 40% 7 2" xfId="7448" xr:uid="{00000000-0005-0000-0000-0000891A0000}"/>
    <cellStyle name="Accent6 - 40% 8" xfId="7449" xr:uid="{00000000-0005-0000-0000-00008A1A0000}"/>
    <cellStyle name="Accent6 - 40% 8 2" xfId="7450" xr:uid="{00000000-0005-0000-0000-00008B1A0000}"/>
    <cellStyle name="Accent6 - 40% 9" xfId="7451" xr:uid="{00000000-0005-0000-0000-00008C1A0000}"/>
    <cellStyle name="Accent6 - 40% 9 2" xfId="7452" xr:uid="{00000000-0005-0000-0000-00008D1A0000}"/>
    <cellStyle name="Accent6 - 60%" xfId="18" xr:uid="{00000000-0005-0000-0000-00008E1A0000}"/>
    <cellStyle name="Accent6 - 60% 10" xfId="7453" xr:uid="{00000000-0005-0000-0000-00008F1A0000}"/>
    <cellStyle name="Accent6 - 60% 2" xfId="7454" xr:uid="{00000000-0005-0000-0000-0000901A0000}"/>
    <cellStyle name="Accent6 - 60% 2 2" xfId="7455" xr:uid="{00000000-0005-0000-0000-0000911A0000}"/>
    <cellStyle name="Accent6 - 60% 2 2 2" xfId="7456" xr:uid="{00000000-0005-0000-0000-0000921A0000}"/>
    <cellStyle name="Accent6 - 60% 2 3" xfId="7457" xr:uid="{00000000-0005-0000-0000-0000931A0000}"/>
    <cellStyle name="Accent6 - 60% 2 3 2" xfId="7458" xr:uid="{00000000-0005-0000-0000-0000941A0000}"/>
    <cellStyle name="Accent6 - 60% 2 3 2 2" xfId="7459" xr:uid="{00000000-0005-0000-0000-0000951A0000}"/>
    <cellStyle name="Accent6 - 60% 2 3 3" xfId="7460" xr:uid="{00000000-0005-0000-0000-0000961A0000}"/>
    <cellStyle name="Accent6 - 60% 2 4" xfId="7461" xr:uid="{00000000-0005-0000-0000-0000971A0000}"/>
    <cellStyle name="Accent6 - 60% 2 4 2" xfId="7462" xr:uid="{00000000-0005-0000-0000-0000981A0000}"/>
    <cellStyle name="Accent6 - 60% 2 4 2 2" xfId="7463" xr:uid="{00000000-0005-0000-0000-0000991A0000}"/>
    <cellStyle name="Accent6 - 60% 2 4 3" xfId="7464" xr:uid="{00000000-0005-0000-0000-00009A1A0000}"/>
    <cellStyle name="Accent6 - 60% 2 5" xfId="7465" xr:uid="{00000000-0005-0000-0000-00009B1A0000}"/>
    <cellStyle name="Accent6 - 60% 3" xfId="7466" xr:uid="{00000000-0005-0000-0000-00009C1A0000}"/>
    <cellStyle name="Accent6 - 60% 3 2" xfId="7467" xr:uid="{00000000-0005-0000-0000-00009D1A0000}"/>
    <cellStyle name="Accent6 - 60% 3 2 2" xfId="7468" xr:uid="{00000000-0005-0000-0000-00009E1A0000}"/>
    <cellStyle name="Accent6 - 60% 3 3" xfId="7469" xr:uid="{00000000-0005-0000-0000-00009F1A0000}"/>
    <cellStyle name="Accent6 - 60% 4" xfId="7470" xr:uid="{00000000-0005-0000-0000-0000A01A0000}"/>
    <cellStyle name="Accent6 - 60% 4 2" xfId="7471" xr:uid="{00000000-0005-0000-0000-0000A11A0000}"/>
    <cellStyle name="Accent6 - 60% 5" xfId="7472" xr:uid="{00000000-0005-0000-0000-0000A21A0000}"/>
    <cellStyle name="Accent6 - 60% 5 2" xfId="7473" xr:uid="{00000000-0005-0000-0000-0000A31A0000}"/>
    <cellStyle name="Accent6 - 60% 6" xfId="7474" xr:uid="{00000000-0005-0000-0000-0000A41A0000}"/>
    <cellStyle name="Accent6 - 60% 6 2" xfId="7475" xr:uid="{00000000-0005-0000-0000-0000A51A0000}"/>
    <cellStyle name="Accent6 - 60% 6 2 2" xfId="7476" xr:uid="{00000000-0005-0000-0000-0000A61A0000}"/>
    <cellStyle name="Accent6 - 60% 6 3" xfId="7477" xr:uid="{00000000-0005-0000-0000-0000A71A0000}"/>
    <cellStyle name="Accent6 - 60% 7" xfId="7478" xr:uid="{00000000-0005-0000-0000-0000A81A0000}"/>
    <cellStyle name="Accent6 - 60% 7 2" xfId="7479" xr:uid="{00000000-0005-0000-0000-0000A91A0000}"/>
    <cellStyle name="Accent6 - 60% 8" xfId="7480" xr:uid="{00000000-0005-0000-0000-0000AA1A0000}"/>
    <cellStyle name="Accent6 - 60% 8 2" xfId="7481" xr:uid="{00000000-0005-0000-0000-0000AB1A0000}"/>
    <cellStyle name="Accent6 - 60% 9" xfId="7482" xr:uid="{00000000-0005-0000-0000-0000AC1A0000}"/>
    <cellStyle name="Accent6 10" xfId="7483" xr:uid="{00000000-0005-0000-0000-0000AD1A0000}"/>
    <cellStyle name="Accent6 10 2" xfId="7484" xr:uid="{00000000-0005-0000-0000-0000AE1A0000}"/>
    <cellStyle name="Accent6 10 2 2" xfId="7485" xr:uid="{00000000-0005-0000-0000-0000AF1A0000}"/>
    <cellStyle name="Accent6 10 3" xfId="7486" xr:uid="{00000000-0005-0000-0000-0000B01A0000}"/>
    <cellStyle name="Accent6 100" xfId="7487" xr:uid="{00000000-0005-0000-0000-0000B11A0000}"/>
    <cellStyle name="Accent6 100 2" xfId="7488" xr:uid="{00000000-0005-0000-0000-0000B21A0000}"/>
    <cellStyle name="Accent6 100 2 2" xfId="7489" xr:uid="{00000000-0005-0000-0000-0000B31A0000}"/>
    <cellStyle name="Accent6 100 3" xfId="7490" xr:uid="{00000000-0005-0000-0000-0000B41A0000}"/>
    <cellStyle name="Accent6 101" xfId="7491" xr:uid="{00000000-0005-0000-0000-0000B51A0000}"/>
    <cellStyle name="Accent6 101 2" xfId="7492" xr:uid="{00000000-0005-0000-0000-0000B61A0000}"/>
    <cellStyle name="Accent6 101 2 2" xfId="7493" xr:uid="{00000000-0005-0000-0000-0000B71A0000}"/>
    <cellStyle name="Accent6 101 3" xfId="7494" xr:uid="{00000000-0005-0000-0000-0000B81A0000}"/>
    <cellStyle name="Accent6 102" xfId="7495" xr:uid="{00000000-0005-0000-0000-0000B91A0000}"/>
    <cellStyle name="Accent6 102 2" xfId="7496" xr:uid="{00000000-0005-0000-0000-0000BA1A0000}"/>
    <cellStyle name="Accent6 103" xfId="7497" xr:uid="{00000000-0005-0000-0000-0000BB1A0000}"/>
    <cellStyle name="Accent6 103 2" xfId="7498" xr:uid="{00000000-0005-0000-0000-0000BC1A0000}"/>
    <cellStyle name="Accent6 104" xfId="7499" xr:uid="{00000000-0005-0000-0000-0000BD1A0000}"/>
    <cellStyle name="Accent6 104 2" xfId="7500" xr:uid="{00000000-0005-0000-0000-0000BE1A0000}"/>
    <cellStyle name="Accent6 104 2 2" xfId="7501" xr:uid="{00000000-0005-0000-0000-0000BF1A0000}"/>
    <cellStyle name="Accent6 104 3" xfId="7502" xr:uid="{00000000-0005-0000-0000-0000C01A0000}"/>
    <cellStyle name="Accent6 105" xfId="7503" xr:uid="{00000000-0005-0000-0000-0000C11A0000}"/>
    <cellStyle name="Accent6 105 2" xfId="7504" xr:uid="{00000000-0005-0000-0000-0000C21A0000}"/>
    <cellStyle name="Accent6 105 2 2" xfId="7505" xr:uid="{00000000-0005-0000-0000-0000C31A0000}"/>
    <cellStyle name="Accent6 105 3" xfId="7506" xr:uid="{00000000-0005-0000-0000-0000C41A0000}"/>
    <cellStyle name="Accent6 106" xfId="7507" xr:uid="{00000000-0005-0000-0000-0000C51A0000}"/>
    <cellStyle name="Accent6 106 2" xfId="7508" xr:uid="{00000000-0005-0000-0000-0000C61A0000}"/>
    <cellStyle name="Accent6 106 2 2" xfId="7509" xr:uid="{00000000-0005-0000-0000-0000C71A0000}"/>
    <cellStyle name="Accent6 106 3" xfId="7510" xr:uid="{00000000-0005-0000-0000-0000C81A0000}"/>
    <cellStyle name="Accent6 107" xfId="7511" xr:uid="{00000000-0005-0000-0000-0000C91A0000}"/>
    <cellStyle name="Accent6 107 2" xfId="7512" xr:uid="{00000000-0005-0000-0000-0000CA1A0000}"/>
    <cellStyle name="Accent6 107 2 2" xfId="7513" xr:uid="{00000000-0005-0000-0000-0000CB1A0000}"/>
    <cellStyle name="Accent6 107 3" xfId="7514" xr:uid="{00000000-0005-0000-0000-0000CC1A0000}"/>
    <cellStyle name="Accent6 108" xfId="7515" xr:uid="{00000000-0005-0000-0000-0000CD1A0000}"/>
    <cellStyle name="Accent6 108 2" xfId="7516" xr:uid="{00000000-0005-0000-0000-0000CE1A0000}"/>
    <cellStyle name="Accent6 108 2 2" xfId="7517" xr:uid="{00000000-0005-0000-0000-0000CF1A0000}"/>
    <cellStyle name="Accent6 108 3" xfId="7518" xr:uid="{00000000-0005-0000-0000-0000D01A0000}"/>
    <cellStyle name="Accent6 109" xfId="7519" xr:uid="{00000000-0005-0000-0000-0000D11A0000}"/>
    <cellStyle name="Accent6 109 2" xfId="7520" xr:uid="{00000000-0005-0000-0000-0000D21A0000}"/>
    <cellStyle name="Accent6 109 2 2" xfId="7521" xr:uid="{00000000-0005-0000-0000-0000D31A0000}"/>
    <cellStyle name="Accent6 109 3" xfId="7522" xr:uid="{00000000-0005-0000-0000-0000D41A0000}"/>
    <cellStyle name="Accent6 11" xfId="7523" xr:uid="{00000000-0005-0000-0000-0000D51A0000}"/>
    <cellStyle name="Accent6 11 2" xfId="7524" xr:uid="{00000000-0005-0000-0000-0000D61A0000}"/>
    <cellStyle name="Accent6 11 2 2" xfId="7525" xr:uid="{00000000-0005-0000-0000-0000D71A0000}"/>
    <cellStyle name="Accent6 11 3" xfId="7526" xr:uid="{00000000-0005-0000-0000-0000D81A0000}"/>
    <cellStyle name="Accent6 110" xfId="7527" xr:uid="{00000000-0005-0000-0000-0000D91A0000}"/>
    <cellStyle name="Accent6 110 2" xfId="7528" xr:uid="{00000000-0005-0000-0000-0000DA1A0000}"/>
    <cellStyle name="Accent6 110 2 2" xfId="7529" xr:uid="{00000000-0005-0000-0000-0000DB1A0000}"/>
    <cellStyle name="Accent6 110 3" xfId="7530" xr:uid="{00000000-0005-0000-0000-0000DC1A0000}"/>
    <cellStyle name="Accent6 111" xfId="7531" xr:uid="{00000000-0005-0000-0000-0000DD1A0000}"/>
    <cellStyle name="Accent6 111 2" xfId="7532" xr:uid="{00000000-0005-0000-0000-0000DE1A0000}"/>
    <cellStyle name="Accent6 111 2 2" xfId="7533" xr:uid="{00000000-0005-0000-0000-0000DF1A0000}"/>
    <cellStyle name="Accent6 111 3" xfId="7534" xr:uid="{00000000-0005-0000-0000-0000E01A0000}"/>
    <cellStyle name="Accent6 112" xfId="7535" xr:uid="{00000000-0005-0000-0000-0000E11A0000}"/>
    <cellStyle name="Accent6 112 2" xfId="7536" xr:uid="{00000000-0005-0000-0000-0000E21A0000}"/>
    <cellStyle name="Accent6 112 2 2" xfId="7537" xr:uid="{00000000-0005-0000-0000-0000E31A0000}"/>
    <cellStyle name="Accent6 112 3" xfId="7538" xr:uid="{00000000-0005-0000-0000-0000E41A0000}"/>
    <cellStyle name="Accent6 113" xfId="7539" xr:uid="{00000000-0005-0000-0000-0000E51A0000}"/>
    <cellStyle name="Accent6 113 2" xfId="7540" xr:uid="{00000000-0005-0000-0000-0000E61A0000}"/>
    <cellStyle name="Accent6 113 2 2" xfId="7541" xr:uid="{00000000-0005-0000-0000-0000E71A0000}"/>
    <cellStyle name="Accent6 113 3" xfId="7542" xr:uid="{00000000-0005-0000-0000-0000E81A0000}"/>
    <cellStyle name="Accent6 114" xfId="7543" xr:uid="{00000000-0005-0000-0000-0000E91A0000}"/>
    <cellStyle name="Accent6 114 2" xfId="7544" xr:uid="{00000000-0005-0000-0000-0000EA1A0000}"/>
    <cellStyle name="Accent6 115" xfId="7545" xr:uid="{00000000-0005-0000-0000-0000EB1A0000}"/>
    <cellStyle name="Accent6 115 2" xfId="7546" xr:uid="{00000000-0005-0000-0000-0000EC1A0000}"/>
    <cellStyle name="Accent6 116" xfId="7547" xr:uid="{00000000-0005-0000-0000-0000ED1A0000}"/>
    <cellStyle name="Accent6 116 2" xfId="7548" xr:uid="{00000000-0005-0000-0000-0000EE1A0000}"/>
    <cellStyle name="Accent6 117" xfId="7549" xr:uid="{00000000-0005-0000-0000-0000EF1A0000}"/>
    <cellStyle name="Accent6 117 2" xfId="7550" xr:uid="{00000000-0005-0000-0000-0000F01A0000}"/>
    <cellStyle name="Accent6 118" xfId="7551" xr:uid="{00000000-0005-0000-0000-0000F11A0000}"/>
    <cellStyle name="Accent6 118 2" xfId="7552" xr:uid="{00000000-0005-0000-0000-0000F21A0000}"/>
    <cellStyle name="Accent6 119" xfId="7553" xr:uid="{00000000-0005-0000-0000-0000F31A0000}"/>
    <cellStyle name="Accent6 119 2" xfId="7554" xr:uid="{00000000-0005-0000-0000-0000F41A0000}"/>
    <cellStyle name="Accent6 12" xfId="7555" xr:uid="{00000000-0005-0000-0000-0000F51A0000}"/>
    <cellStyle name="Accent6 12 2" xfId="7556" xr:uid="{00000000-0005-0000-0000-0000F61A0000}"/>
    <cellStyle name="Accent6 12 2 2" xfId="7557" xr:uid="{00000000-0005-0000-0000-0000F71A0000}"/>
    <cellStyle name="Accent6 12 3" xfId="7558" xr:uid="{00000000-0005-0000-0000-0000F81A0000}"/>
    <cellStyle name="Accent6 120" xfId="7559" xr:uid="{00000000-0005-0000-0000-0000F91A0000}"/>
    <cellStyle name="Accent6 120 2" xfId="7560" xr:uid="{00000000-0005-0000-0000-0000FA1A0000}"/>
    <cellStyle name="Accent6 121" xfId="7561" xr:uid="{00000000-0005-0000-0000-0000FB1A0000}"/>
    <cellStyle name="Accent6 121 2" xfId="7562" xr:uid="{00000000-0005-0000-0000-0000FC1A0000}"/>
    <cellStyle name="Accent6 122" xfId="7563" xr:uid="{00000000-0005-0000-0000-0000FD1A0000}"/>
    <cellStyle name="Accent6 122 2" xfId="7564" xr:uid="{00000000-0005-0000-0000-0000FE1A0000}"/>
    <cellStyle name="Accent6 123" xfId="7565" xr:uid="{00000000-0005-0000-0000-0000FF1A0000}"/>
    <cellStyle name="Accent6 123 2" xfId="7566" xr:uid="{00000000-0005-0000-0000-0000001B0000}"/>
    <cellStyle name="Accent6 124" xfId="7567" xr:uid="{00000000-0005-0000-0000-0000011B0000}"/>
    <cellStyle name="Accent6 124 2" xfId="7568" xr:uid="{00000000-0005-0000-0000-0000021B0000}"/>
    <cellStyle name="Accent6 125" xfId="7569" xr:uid="{00000000-0005-0000-0000-0000031B0000}"/>
    <cellStyle name="Accent6 125 2" xfId="7570" xr:uid="{00000000-0005-0000-0000-0000041B0000}"/>
    <cellStyle name="Accent6 126" xfId="7571" xr:uid="{00000000-0005-0000-0000-0000051B0000}"/>
    <cellStyle name="Accent6 127" xfId="7572" xr:uid="{00000000-0005-0000-0000-0000061B0000}"/>
    <cellStyle name="Accent6 128" xfId="7573" xr:uid="{00000000-0005-0000-0000-0000071B0000}"/>
    <cellStyle name="Accent6 129" xfId="7574" xr:uid="{00000000-0005-0000-0000-0000081B0000}"/>
    <cellStyle name="Accent6 13" xfId="7575" xr:uid="{00000000-0005-0000-0000-0000091B0000}"/>
    <cellStyle name="Accent6 13 2" xfId="7576" xr:uid="{00000000-0005-0000-0000-00000A1B0000}"/>
    <cellStyle name="Accent6 13 2 2" xfId="7577" xr:uid="{00000000-0005-0000-0000-00000B1B0000}"/>
    <cellStyle name="Accent6 13 3" xfId="7578" xr:uid="{00000000-0005-0000-0000-00000C1B0000}"/>
    <cellStyle name="Accent6 130" xfId="7579" xr:uid="{00000000-0005-0000-0000-00000D1B0000}"/>
    <cellStyle name="Accent6 131" xfId="7580" xr:uid="{00000000-0005-0000-0000-00000E1B0000}"/>
    <cellStyle name="Accent6 132" xfId="7581" xr:uid="{00000000-0005-0000-0000-00000F1B0000}"/>
    <cellStyle name="Accent6 133" xfId="7582" xr:uid="{00000000-0005-0000-0000-0000101B0000}"/>
    <cellStyle name="Accent6 134" xfId="7583" xr:uid="{00000000-0005-0000-0000-0000111B0000}"/>
    <cellStyle name="Accent6 135" xfId="7584" xr:uid="{00000000-0005-0000-0000-0000121B0000}"/>
    <cellStyle name="Accent6 136" xfId="7585" xr:uid="{00000000-0005-0000-0000-0000131B0000}"/>
    <cellStyle name="Accent6 137" xfId="7586" xr:uid="{00000000-0005-0000-0000-0000141B0000}"/>
    <cellStyle name="Accent6 138" xfId="7587" xr:uid="{00000000-0005-0000-0000-0000151B0000}"/>
    <cellStyle name="Accent6 139" xfId="7588" xr:uid="{00000000-0005-0000-0000-0000161B0000}"/>
    <cellStyle name="Accent6 14" xfId="7589" xr:uid="{00000000-0005-0000-0000-0000171B0000}"/>
    <cellStyle name="Accent6 14 2" xfId="7590" xr:uid="{00000000-0005-0000-0000-0000181B0000}"/>
    <cellStyle name="Accent6 14 2 2" xfId="7591" xr:uid="{00000000-0005-0000-0000-0000191B0000}"/>
    <cellStyle name="Accent6 14 3" xfId="7592" xr:uid="{00000000-0005-0000-0000-00001A1B0000}"/>
    <cellStyle name="Accent6 140" xfId="7593" xr:uid="{00000000-0005-0000-0000-00001B1B0000}"/>
    <cellStyle name="Accent6 141" xfId="7594" xr:uid="{00000000-0005-0000-0000-00001C1B0000}"/>
    <cellStyle name="Accent6 142" xfId="7595" xr:uid="{00000000-0005-0000-0000-00001D1B0000}"/>
    <cellStyle name="Accent6 143" xfId="7596" xr:uid="{00000000-0005-0000-0000-00001E1B0000}"/>
    <cellStyle name="Accent6 144" xfId="7597" xr:uid="{00000000-0005-0000-0000-00001F1B0000}"/>
    <cellStyle name="Accent6 145" xfId="7598" xr:uid="{00000000-0005-0000-0000-0000201B0000}"/>
    <cellStyle name="Accent6 146" xfId="7599" xr:uid="{00000000-0005-0000-0000-0000211B0000}"/>
    <cellStyle name="Accent6 147" xfId="7600" xr:uid="{00000000-0005-0000-0000-0000221B0000}"/>
    <cellStyle name="Accent6 148" xfId="7601" xr:uid="{00000000-0005-0000-0000-0000231B0000}"/>
    <cellStyle name="Accent6 149" xfId="7602" xr:uid="{00000000-0005-0000-0000-0000241B0000}"/>
    <cellStyle name="Accent6 15" xfId="7603" xr:uid="{00000000-0005-0000-0000-0000251B0000}"/>
    <cellStyle name="Accent6 15 2" xfId="7604" xr:uid="{00000000-0005-0000-0000-0000261B0000}"/>
    <cellStyle name="Accent6 15 2 2" xfId="7605" xr:uid="{00000000-0005-0000-0000-0000271B0000}"/>
    <cellStyle name="Accent6 15 3" xfId="7606" xr:uid="{00000000-0005-0000-0000-0000281B0000}"/>
    <cellStyle name="Accent6 150" xfId="7607" xr:uid="{00000000-0005-0000-0000-0000291B0000}"/>
    <cellStyle name="Accent6 151" xfId="7608" xr:uid="{00000000-0005-0000-0000-00002A1B0000}"/>
    <cellStyle name="Accent6 152" xfId="7609" xr:uid="{00000000-0005-0000-0000-00002B1B0000}"/>
    <cellStyle name="Accent6 153" xfId="7610" xr:uid="{00000000-0005-0000-0000-00002C1B0000}"/>
    <cellStyle name="Accent6 154" xfId="7611" xr:uid="{00000000-0005-0000-0000-00002D1B0000}"/>
    <cellStyle name="Accent6 155" xfId="7612" xr:uid="{00000000-0005-0000-0000-00002E1B0000}"/>
    <cellStyle name="Accent6 156" xfId="7613" xr:uid="{00000000-0005-0000-0000-00002F1B0000}"/>
    <cellStyle name="Accent6 157" xfId="7614" xr:uid="{00000000-0005-0000-0000-0000301B0000}"/>
    <cellStyle name="Accent6 158" xfId="7615" xr:uid="{00000000-0005-0000-0000-0000311B0000}"/>
    <cellStyle name="Accent6 159" xfId="7616" xr:uid="{00000000-0005-0000-0000-0000321B0000}"/>
    <cellStyle name="Accent6 16" xfId="7617" xr:uid="{00000000-0005-0000-0000-0000331B0000}"/>
    <cellStyle name="Accent6 16 2" xfId="7618" xr:uid="{00000000-0005-0000-0000-0000341B0000}"/>
    <cellStyle name="Accent6 16 2 2" xfId="7619" xr:uid="{00000000-0005-0000-0000-0000351B0000}"/>
    <cellStyle name="Accent6 16 3" xfId="7620" xr:uid="{00000000-0005-0000-0000-0000361B0000}"/>
    <cellStyle name="Accent6 160" xfId="7621" xr:uid="{00000000-0005-0000-0000-0000371B0000}"/>
    <cellStyle name="Accent6 161" xfId="7622" xr:uid="{00000000-0005-0000-0000-0000381B0000}"/>
    <cellStyle name="Accent6 162" xfId="7623" xr:uid="{00000000-0005-0000-0000-0000391B0000}"/>
    <cellStyle name="Accent6 163" xfId="7624" xr:uid="{00000000-0005-0000-0000-00003A1B0000}"/>
    <cellStyle name="Accent6 164" xfId="7625" xr:uid="{00000000-0005-0000-0000-00003B1B0000}"/>
    <cellStyle name="Accent6 165" xfId="7626" xr:uid="{00000000-0005-0000-0000-00003C1B0000}"/>
    <cellStyle name="Accent6 166" xfId="7627" xr:uid="{00000000-0005-0000-0000-00003D1B0000}"/>
    <cellStyle name="Accent6 167" xfId="7628" xr:uid="{00000000-0005-0000-0000-00003E1B0000}"/>
    <cellStyle name="Accent6 168" xfId="7629" xr:uid="{00000000-0005-0000-0000-00003F1B0000}"/>
    <cellStyle name="Accent6 169" xfId="7630" xr:uid="{00000000-0005-0000-0000-0000401B0000}"/>
    <cellStyle name="Accent6 17" xfId="7631" xr:uid="{00000000-0005-0000-0000-0000411B0000}"/>
    <cellStyle name="Accent6 17 2" xfId="7632" xr:uid="{00000000-0005-0000-0000-0000421B0000}"/>
    <cellStyle name="Accent6 17 2 2" xfId="7633" xr:uid="{00000000-0005-0000-0000-0000431B0000}"/>
    <cellStyle name="Accent6 17 3" xfId="7634" xr:uid="{00000000-0005-0000-0000-0000441B0000}"/>
    <cellStyle name="Accent6 170" xfId="7635" xr:uid="{00000000-0005-0000-0000-0000451B0000}"/>
    <cellStyle name="Accent6 171" xfId="7636" xr:uid="{00000000-0005-0000-0000-0000461B0000}"/>
    <cellStyle name="Accent6 172" xfId="7637" xr:uid="{00000000-0005-0000-0000-0000471B0000}"/>
    <cellStyle name="Accent6 173" xfId="7638" xr:uid="{00000000-0005-0000-0000-0000481B0000}"/>
    <cellStyle name="Accent6 174" xfId="7639" xr:uid="{00000000-0005-0000-0000-0000491B0000}"/>
    <cellStyle name="Accent6 175" xfId="7640" xr:uid="{00000000-0005-0000-0000-00004A1B0000}"/>
    <cellStyle name="Accent6 176" xfId="7641" xr:uid="{00000000-0005-0000-0000-00004B1B0000}"/>
    <cellStyle name="Accent6 177" xfId="7642" xr:uid="{00000000-0005-0000-0000-00004C1B0000}"/>
    <cellStyle name="Accent6 178" xfId="7643" xr:uid="{00000000-0005-0000-0000-00004D1B0000}"/>
    <cellStyle name="Accent6 179" xfId="7644" xr:uid="{00000000-0005-0000-0000-00004E1B0000}"/>
    <cellStyle name="Accent6 18" xfId="7645" xr:uid="{00000000-0005-0000-0000-00004F1B0000}"/>
    <cellStyle name="Accent6 18 2" xfId="7646" xr:uid="{00000000-0005-0000-0000-0000501B0000}"/>
    <cellStyle name="Accent6 18 2 2" xfId="7647" xr:uid="{00000000-0005-0000-0000-0000511B0000}"/>
    <cellStyle name="Accent6 18 3" xfId="7648" xr:uid="{00000000-0005-0000-0000-0000521B0000}"/>
    <cellStyle name="Accent6 19" xfId="7649" xr:uid="{00000000-0005-0000-0000-0000531B0000}"/>
    <cellStyle name="Accent6 19 2" xfId="7650" xr:uid="{00000000-0005-0000-0000-0000541B0000}"/>
    <cellStyle name="Accent6 19 2 2" xfId="7651" xr:uid="{00000000-0005-0000-0000-0000551B0000}"/>
    <cellStyle name="Accent6 19 3" xfId="7652" xr:uid="{00000000-0005-0000-0000-0000561B0000}"/>
    <cellStyle name="Accent6 2" xfId="7653" xr:uid="{00000000-0005-0000-0000-0000571B0000}"/>
    <cellStyle name="Accent6 2 10" xfId="7654" xr:uid="{00000000-0005-0000-0000-0000581B0000}"/>
    <cellStyle name="Accent6 2 10 2" xfId="7655" xr:uid="{00000000-0005-0000-0000-0000591B0000}"/>
    <cellStyle name="Accent6 2 11" xfId="7656" xr:uid="{00000000-0005-0000-0000-00005A1B0000}"/>
    <cellStyle name="Accent6 2 12" xfId="7657" xr:uid="{00000000-0005-0000-0000-00005B1B0000}"/>
    <cellStyle name="Accent6 2 2" xfId="7658" xr:uid="{00000000-0005-0000-0000-00005C1B0000}"/>
    <cellStyle name="Accent6 2 2 2" xfId="7659" xr:uid="{00000000-0005-0000-0000-00005D1B0000}"/>
    <cellStyle name="Accent6 2 2 2 2" xfId="7660" xr:uid="{00000000-0005-0000-0000-00005E1B0000}"/>
    <cellStyle name="Accent6 2 2 3" xfId="7661" xr:uid="{00000000-0005-0000-0000-00005F1B0000}"/>
    <cellStyle name="Accent6 2 2 3 2" xfId="7662" xr:uid="{00000000-0005-0000-0000-0000601B0000}"/>
    <cellStyle name="Accent6 2 2 3 2 2" xfId="7663" xr:uid="{00000000-0005-0000-0000-0000611B0000}"/>
    <cellStyle name="Accent6 2 2 3 3" xfId="7664" xr:uid="{00000000-0005-0000-0000-0000621B0000}"/>
    <cellStyle name="Accent6 2 2 4" xfId="7665" xr:uid="{00000000-0005-0000-0000-0000631B0000}"/>
    <cellStyle name="Accent6 2 3" xfId="7666" xr:uid="{00000000-0005-0000-0000-0000641B0000}"/>
    <cellStyle name="Accent6 2 3 2" xfId="7667" xr:uid="{00000000-0005-0000-0000-0000651B0000}"/>
    <cellStyle name="Accent6 2 3 2 2" xfId="7668" xr:uid="{00000000-0005-0000-0000-0000661B0000}"/>
    <cellStyle name="Accent6 2 3 3" xfId="7669" xr:uid="{00000000-0005-0000-0000-0000671B0000}"/>
    <cellStyle name="Accent6 2 3 3 2" xfId="7670" xr:uid="{00000000-0005-0000-0000-0000681B0000}"/>
    <cellStyle name="Accent6 2 3 3 2 2" xfId="7671" xr:uid="{00000000-0005-0000-0000-0000691B0000}"/>
    <cellStyle name="Accent6 2 3 3 3" xfId="7672" xr:uid="{00000000-0005-0000-0000-00006A1B0000}"/>
    <cellStyle name="Accent6 2 3 4" xfId="7673" xr:uid="{00000000-0005-0000-0000-00006B1B0000}"/>
    <cellStyle name="Accent6 2 4" xfId="7674" xr:uid="{00000000-0005-0000-0000-00006C1B0000}"/>
    <cellStyle name="Accent6 2 4 2" xfId="7675" xr:uid="{00000000-0005-0000-0000-00006D1B0000}"/>
    <cellStyle name="Accent6 2 4 2 2" xfId="7676" xr:uid="{00000000-0005-0000-0000-00006E1B0000}"/>
    <cellStyle name="Accent6 2 4 3" xfId="7677" xr:uid="{00000000-0005-0000-0000-00006F1B0000}"/>
    <cellStyle name="Accent6 2 5" xfId="7678" xr:uid="{00000000-0005-0000-0000-0000701B0000}"/>
    <cellStyle name="Accent6 2 5 2" xfId="7679" xr:uid="{00000000-0005-0000-0000-0000711B0000}"/>
    <cellStyle name="Accent6 2 5 2 2" xfId="7680" xr:uid="{00000000-0005-0000-0000-0000721B0000}"/>
    <cellStyle name="Accent6 2 5 3" xfId="7681" xr:uid="{00000000-0005-0000-0000-0000731B0000}"/>
    <cellStyle name="Accent6 2 5 3 2" xfId="7682" xr:uid="{00000000-0005-0000-0000-0000741B0000}"/>
    <cellStyle name="Accent6 2 5 3 2 2" xfId="7683" xr:uid="{00000000-0005-0000-0000-0000751B0000}"/>
    <cellStyle name="Accent6 2 5 3 3" xfId="7684" xr:uid="{00000000-0005-0000-0000-0000761B0000}"/>
    <cellStyle name="Accent6 2 5 4" xfId="7685" xr:uid="{00000000-0005-0000-0000-0000771B0000}"/>
    <cellStyle name="Accent6 2 6" xfId="7686" xr:uid="{00000000-0005-0000-0000-0000781B0000}"/>
    <cellStyle name="Accent6 2 6 2" xfId="7687" xr:uid="{00000000-0005-0000-0000-0000791B0000}"/>
    <cellStyle name="Accent6 2 6 2 2" xfId="7688" xr:uid="{00000000-0005-0000-0000-00007A1B0000}"/>
    <cellStyle name="Accent6 2 6 3" xfId="7689" xr:uid="{00000000-0005-0000-0000-00007B1B0000}"/>
    <cellStyle name="Accent6 2 6 3 2" xfId="7690" xr:uid="{00000000-0005-0000-0000-00007C1B0000}"/>
    <cellStyle name="Accent6 2 6 4" xfId="7691" xr:uid="{00000000-0005-0000-0000-00007D1B0000}"/>
    <cellStyle name="Accent6 2 7" xfId="7692" xr:uid="{00000000-0005-0000-0000-00007E1B0000}"/>
    <cellStyle name="Accent6 2 7 2" xfId="7693" xr:uid="{00000000-0005-0000-0000-00007F1B0000}"/>
    <cellStyle name="Accent6 2 8" xfId="7694" xr:uid="{00000000-0005-0000-0000-0000801B0000}"/>
    <cellStyle name="Accent6 2 8 2" xfId="7695" xr:uid="{00000000-0005-0000-0000-0000811B0000}"/>
    <cellStyle name="Accent6 2 8 2 2" xfId="7696" xr:uid="{00000000-0005-0000-0000-0000821B0000}"/>
    <cellStyle name="Accent6 2 8 3" xfId="7697" xr:uid="{00000000-0005-0000-0000-0000831B0000}"/>
    <cellStyle name="Accent6 2 9" xfId="7698" xr:uid="{00000000-0005-0000-0000-0000841B0000}"/>
    <cellStyle name="Accent6 2 9 2" xfId="7699" xr:uid="{00000000-0005-0000-0000-0000851B0000}"/>
    <cellStyle name="Accent6 2 9 2 2" xfId="7700" xr:uid="{00000000-0005-0000-0000-0000861B0000}"/>
    <cellStyle name="Accent6 2 9 3" xfId="7701" xr:uid="{00000000-0005-0000-0000-0000871B0000}"/>
    <cellStyle name="Accent6 20" xfId="7702" xr:uid="{00000000-0005-0000-0000-0000881B0000}"/>
    <cellStyle name="Accent6 20 2" xfId="7703" xr:uid="{00000000-0005-0000-0000-0000891B0000}"/>
    <cellStyle name="Accent6 20 2 2" xfId="7704" xr:uid="{00000000-0005-0000-0000-00008A1B0000}"/>
    <cellStyle name="Accent6 20 3" xfId="7705" xr:uid="{00000000-0005-0000-0000-00008B1B0000}"/>
    <cellStyle name="Accent6 21" xfId="7706" xr:uid="{00000000-0005-0000-0000-00008C1B0000}"/>
    <cellStyle name="Accent6 21 2" xfId="7707" xr:uid="{00000000-0005-0000-0000-00008D1B0000}"/>
    <cellStyle name="Accent6 21 2 2" xfId="7708" xr:uid="{00000000-0005-0000-0000-00008E1B0000}"/>
    <cellStyle name="Accent6 21 3" xfId="7709" xr:uid="{00000000-0005-0000-0000-00008F1B0000}"/>
    <cellStyle name="Accent6 22" xfId="7710" xr:uid="{00000000-0005-0000-0000-0000901B0000}"/>
    <cellStyle name="Accent6 22 2" xfId="7711" xr:uid="{00000000-0005-0000-0000-0000911B0000}"/>
    <cellStyle name="Accent6 22 2 2" xfId="7712" xr:uid="{00000000-0005-0000-0000-0000921B0000}"/>
    <cellStyle name="Accent6 22 3" xfId="7713" xr:uid="{00000000-0005-0000-0000-0000931B0000}"/>
    <cellStyle name="Accent6 23" xfId="7714" xr:uid="{00000000-0005-0000-0000-0000941B0000}"/>
    <cellStyle name="Accent6 23 2" xfId="7715" xr:uid="{00000000-0005-0000-0000-0000951B0000}"/>
    <cellStyle name="Accent6 23 2 2" xfId="7716" xr:uid="{00000000-0005-0000-0000-0000961B0000}"/>
    <cellStyle name="Accent6 23 3" xfId="7717" xr:uid="{00000000-0005-0000-0000-0000971B0000}"/>
    <cellStyle name="Accent6 24" xfId="7718" xr:uid="{00000000-0005-0000-0000-0000981B0000}"/>
    <cellStyle name="Accent6 24 2" xfId="7719" xr:uid="{00000000-0005-0000-0000-0000991B0000}"/>
    <cellStyle name="Accent6 24 2 2" xfId="7720" xr:uid="{00000000-0005-0000-0000-00009A1B0000}"/>
    <cellStyle name="Accent6 24 3" xfId="7721" xr:uid="{00000000-0005-0000-0000-00009B1B0000}"/>
    <cellStyle name="Accent6 25" xfId="7722" xr:uid="{00000000-0005-0000-0000-00009C1B0000}"/>
    <cellStyle name="Accent6 25 2" xfId="7723" xr:uid="{00000000-0005-0000-0000-00009D1B0000}"/>
    <cellStyle name="Accent6 25 2 2" xfId="7724" xr:uid="{00000000-0005-0000-0000-00009E1B0000}"/>
    <cellStyle name="Accent6 25 3" xfId="7725" xr:uid="{00000000-0005-0000-0000-00009F1B0000}"/>
    <cellStyle name="Accent6 26" xfId="7726" xr:uid="{00000000-0005-0000-0000-0000A01B0000}"/>
    <cellStyle name="Accent6 26 2" xfId="7727" xr:uid="{00000000-0005-0000-0000-0000A11B0000}"/>
    <cellStyle name="Accent6 26 2 2" xfId="7728" xr:uid="{00000000-0005-0000-0000-0000A21B0000}"/>
    <cellStyle name="Accent6 26 3" xfId="7729" xr:uid="{00000000-0005-0000-0000-0000A31B0000}"/>
    <cellStyle name="Accent6 27" xfId="7730" xr:uid="{00000000-0005-0000-0000-0000A41B0000}"/>
    <cellStyle name="Accent6 27 2" xfId="7731" xr:uid="{00000000-0005-0000-0000-0000A51B0000}"/>
    <cellStyle name="Accent6 27 2 2" xfId="7732" xr:uid="{00000000-0005-0000-0000-0000A61B0000}"/>
    <cellStyle name="Accent6 27 3" xfId="7733" xr:uid="{00000000-0005-0000-0000-0000A71B0000}"/>
    <cellStyle name="Accent6 28" xfId="7734" xr:uid="{00000000-0005-0000-0000-0000A81B0000}"/>
    <cellStyle name="Accent6 28 2" xfId="7735" xr:uid="{00000000-0005-0000-0000-0000A91B0000}"/>
    <cellStyle name="Accent6 28 2 2" xfId="7736" xr:uid="{00000000-0005-0000-0000-0000AA1B0000}"/>
    <cellStyle name="Accent6 28 3" xfId="7737" xr:uid="{00000000-0005-0000-0000-0000AB1B0000}"/>
    <cellStyle name="Accent6 29" xfId="7738" xr:uid="{00000000-0005-0000-0000-0000AC1B0000}"/>
    <cellStyle name="Accent6 29 2" xfId="7739" xr:uid="{00000000-0005-0000-0000-0000AD1B0000}"/>
    <cellStyle name="Accent6 29 2 2" xfId="7740" xr:uid="{00000000-0005-0000-0000-0000AE1B0000}"/>
    <cellStyle name="Accent6 29 3" xfId="7741" xr:uid="{00000000-0005-0000-0000-0000AF1B0000}"/>
    <cellStyle name="Accent6 3" xfId="7742" xr:uid="{00000000-0005-0000-0000-0000B01B0000}"/>
    <cellStyle name="Accent6 3 10" xfId="7743" xr:uid="{00000000-0005-0000-0000-0000B11B0000}"/>
    <cellStyle name="Accent6 3 10 2" xfId="7744" xr:uid="{00000000-0005-0000-0000-0000B21B0000}"/>
    <cellStyle name="Accent6 3 10 2 2" xfId="7745" xr:uid="{00000000-0005-0000-0000-0000B31B0000}"/>
    <cellStyle name="Accent6 3 10 3" xfId="7746" xr:uid="{00000000-0005-0000-0000-0000B41B0000}"/>
    <cellStyle name="Accent6 3 11" xfId="7747" xr:uid="{00000000-0005-0000-0000-0000B51B0000}"/>
    <cellStyle name="Accent6 3 11 2" xfId="7748" xr:uid="{00000000-0005-0000-0000-0000B61B0000}"/>
    <cellStyle name="Accent6 3 12" xfId="7749" xr:uid="{00000000-0005-0000-0000-0000B71B0000}"/>
    <cellStyle name="Accent6 3 2" xfId="7750" xr:uid="{00000000-0005-0000-0000-0000B81B0000}"/>
    <cellStyle name="Accent6 3 2 2" xfId="7751" xr:uid="{00000000-0005-0000-0000-0000B91B0000}"/>
    <cellStyle name="Accent6 3 2 2 2" xfId="7752" xr:uid="{00000000-0005-0000-0000-0000BA1B0000}"/>
    <cellStyle name="Accent6 3 2 3" xfId="7753" xr:uid="{00000000-0005-0000-0000-0000BB1B0000}"/>
    <cellStyle name="Accent6 3 2 3 2" xfId="7754" xr:uid="{00000000-0005-0000-0000-0000BC1B0000}"/>
    <cellStyle name="Accent6 3 2 3 2 2" xfId="7755" xr:uid="{00000000-0005-0000-0000-0000BD1B0000}"/>
    <cellStyle name="Accent6 3 2 3 3" xfId="7756" xr:uid="{00000000-0005-0000-0000-0000BE1B0000}"/>
    <cellStyle name="Accent6 3 2 4" xfId="7757" xr:uid="{00000000-0005-0000-0000-0000BF1B0000}"/>
    <cellStyle name="Accent6 3 3" xfId="7758" xr:uid="{00000000-0005-0000-0000-0000C01B0000}"/>
    <cellStyle name="Accent6 3 3 2" xfId="7759" xr:uid="{00000000-0005-0000-0000-0000C11B0000}"/>
    <cellStyle name="Accent6 3 3 2 2" xfId="7760" xr:uid="{00000000-0005-0000-0000-0000C21B0000}"/>
    <cellStyle name="Accent6 3 3 3" xfId="7761" xr:uid="{00000000-0005-0000-0000-0000C31B0000}"/>
    <cellStyle name="Accent6 3 3 3 2" xfId="7762" xr:uid="{00000000-0005-0000-0000-0000C41B0000}"/>
    <cellStyle name="Accent6 3 3 3 2 2" xfId="7763" xr:uid="{00000000-0005-0000-0000-0000C51B0000}"/>
    <cellStyle name="Accent6 3 3 3 3" xfId="7764" xr:uid="{00000000-0005-0000-0000-0000C61B0000}"/>
    <cellStyle name="Accent6 3 3 4" xfId="7765" xr:uid="{00000000-0005-0000-0000-0000C71B0000}"/>
    <cellStyle name="Accent6 3 4" xfId="7766" xr:uid="{00000000-0005-0000-0000-0000C81B0000}"/>
    <cellStyle name="Accent6 3 4 2" xfId="7767" xr:uid="{00000000-0005-0000-0000-0000C91B0000}"/>
    <cellStyle name="Accent6 3 4 2 2" xfId="7768" xr:uid="{00000000-0005-0000-0000-0000CA1B0000}"/>
    <cellStyle name="Accent6 3 4 3" xfId="7769" xr:uid="{00000000-0005-0000-0000-0000CB1B0000}"/>
    <cellStyle name="Accent6 3 5" xfId="7770" xr:uid="{00000000-0005-0000-0000-0000CC1B0000}"/>
    <cellStyle name="Accent6 3 5 2" xfId="7771" xr:uid="{00000000-0005-0000-0000-0000CD1B0000}"/>
    <cellStyle name="Accent6 3 5 2 2" xfId="7772" xr:uid="{00000000-0005-0000-0000-0000CE1B0000}"/>
    <cellStyle name="Accent6 3 5 3" xfId="7773" xr:uid="{00000000-0005-0000-0000-0000CF1B0000}"/>
    <cellStyle name="Accent6 3 5 3 2" xfId="7774" xr:uid="{00000000-0005-0000-0000-0000D01B0000}"/>
    <cellStyle name="Accent6 3 5 3 2 2" xfId="7775" xr:uid="{00000000-0005-0000-0000-0000D11B0000}"/>
    <cellStyle name="Accent6 3 5 3 3" xfId="7776" xr:uid="{00000000-0005-0000-0000-0000D21B0000}"/>
    <cellStyle name="Accent6 3 5 4" xfId="7777" xr:uid="{00000000-0005-0000-0000-0000D31B0000}"/>
    <cellStyle name="Accent6 3 6" xfId="7778" xr:uid="{00000000-0005-0000-0000-0000D41B0000}"/>
    <cellStyle name="Accent6 3 6 2" xfId="7779" xr:uid="{00000000-0005-0000-0000-0000D51B0000}"/>
    <cellStyle name="Accent6 3 7" xfId="7780" xr:uid="{00000000-0005-0000-0000-0000D61B0000}"/>
    <cellStyle name="Accent6 3 7 2" xfId="7781" xr:uid="{00000000-0005-0000-0000-0000D71B0000}"/>
    <cellStyle name="Accent6 3 8" xfId="7782" xr:uid="{00000000-0005-0000-0000-0000D81B0000}"/>
    <cellStyle name="Accent6 3 8 2" xfId="7783" xr:uid="{00000000-0005-0000-0000-0000D91B0000}"/>
    <cellStyle name="Accent6 3 8 2 2" xfId="7784" xr:uid="{00000000-0005-0000-0000-0000DA1B0000}"/>
    <cellStyle name="Accent6 3 8 3" xfId="7785" xr:uid="{00000000-0005-0000-0000-0000DB1B0000}"/>
    <cellStyle name="Accent6 3 9" xfId="7786" xr:uid="{00000000-0005-0000-0000-0000DC1B0000}"/>
    <cellStyle name="Accent6 3 9 2" xfId="7787" xr:uid="{00000000-0005-0000-0000-0000DD1B0000}"/>
    <cellStyle name="Accent6 3 9 2 2" xfId="7788" xr:uid="{00000000-0005-0000-0000-0000DE1B0000}"/>
    <cellStyle name="Accent6 3 9 3" xfId="7789" xr:uid="{00000000-0005-0000-0000-0000DF1B0000}"/>
    <cellStyle name="Accent6 30" xfId="7790" xr:uid="{00000000-0005-0000-0000-0000E01B0000}"/>
    <cellStyle name="Accent6 30 2" xfId="7791" xr:uid="{00000000-0005-0000-0000-0000E11B0000}"/>
    <cellStyle name="Accent6 30 2 2" xfId="7792" xr:uid="{00000000-0005-0000-0000-0000E21B0000}"/>
    <cellStyle name="Accent6 30 3" xfId="7793" xr:uid="{00000000-0005-0000-0000-0000E31B0000}"/>
    <cellStyle name="Accent6 31" xfId="7794" xr:uid="{00000000-0005-0000-0000-0000E41B0000}"/>
    <cellStyle name="Accent6 31 2" xfId="7795" xr:uid="{00000000-0005-0000-0000-0000E51B0000}"/>
    <cellStyle name="Accent6 31 2 2" xfId="7796" xr:uid="{00000000-0005-0000-0000-0000E61B0000}"/>
    <cellStyle name="Accent6 31 3" xfId="7797" xr:uid="{00000000-0005-0000-0000-0000E71B0000}"/>
    <cellStyle name="Accent6 32" xfId="7798" xr:uid="{00000000-0005-0000-0000-0000E81B0000}"/>
    <cellStyle name="Accent6 32 2" xfId="7799" xr:uid="{00000000-0005-0000-0000-0000E91B0000}"/>
    <cellStyle name="Accent6 32 2 2" xfId="7800" xr:uid="{00000000-0005-0000-0000-0000EA1B0000}"/>
    <cellStyle name="Accent6 32 3" xfId="7801" xr:uid="{00000000-0005-0000-0000-0000EB1B0000}"/>
    <cellStyle name="Accent6 33" xfId="7802" xr:uid="{00000000-0005-0000-0000-0000EC1B0000}"/>
    <cellStyle name="Accent6 33 2" xfId="7803" xr:uid="{00000000-0005-0000-0000-0000ED1B0000}"/>
    <cellStyle name="Accent6 33 2 2" xfId="7804" xr:uid="{00000000-0005-0000-0000-0000EE1B0000}"/>
    <cellStyle name="Accent6 33 3" xfId="7805" xr:uid="{00000000-0005-0000-0000-0000EF1B0000}"/>
    <cellStyle name="Accent6 34" xfId="7806" xr:uid="{00000000-0005-0000-0000-0000F01B0000}"/>
    <cellStyle name="Accent6 34 2" xfId="7807" xr:uid="{00000000-0005-0000-0000-0000F11B0000}"/>
    <cellStyle name="Accent6 34 2 2" xfId="7808" xr:uid="{00000000-0005-0000-0000-0000F21B0000}"/>
    <cellStyle name="Accent6 34 3" xfId="7809" xr:uid="{00000000-0005-0000-0000-0000F31B0000}"/>
    <cellStyle name="Accent6 35" xfId="7810" xr:uid="{00000000-0005-0000-0000-0000F41B0000}"/>
    <cellStyle name="Accent6 35 2" xfId="7811" xr:uid="{00000000-0005-0000-0000-0000F51B0000}"/>
    <cellStyle name="Accent6 35 2 2" xfId="7812" xr:uid="{00000000-0005-0000-0000-0000F61B0000}"/>
    <cellStyle name="Accent6 35 3" xfId="7813" xr:uid="{00000000-0005-0000-0000-0000F71B0000}"/>
    <cellStyle name="Accent6 36" xfId="7814" xr:uid="{00000000-0005-0000-0000-0000F81B0000}"/>
    <cellStyle name="Accent6 36 2" xfId="7815" xr:uid="{00000000-0005-0000-0000-0000F91B0000}"/>
    <cellStyle name="Accent6 36 2 2" xfId="7816" xr:uid="{00000000-0005-0000-0000-0000FA1B0000}"/>
    <cellStyle name="Accent6 36 3" xfId="7817" xr:uid="{00000000-0005-0000-0000-0000FB1B0000}"/>
    <cellStyle name="Accent6 37" xfId="7818" xr:uid="{00000000-0005-0000-0000-0000FC1B0000}"/>
    <cellStyle name="Accent6 37 2" xfId="7819" xr:uid="{00000000-0005-0000-0000-0000FD1B0000}"/>
    <cellStyle name="Accent6 37 2 2" xfId="7820" xr:uid="{00000000-0005-0000-0000-0000FE1B0000}"/>
    <cellStyle name="Accent6 37 3" xfId="7821" xr:uid="{00000000-0005-0000-0000-0000FF1B0000}"/>
    <cellStyle name="Accent6 38" xfId="7822" xr:uid="{00000000-0005-0000-0000-0000001C0000}"/>
    <cellStyle name="Accent6 38 2" xfId="7823" xr:uid="{00000000-0005-0000-0000-0000011C0000}"/>
    <cellStyle name="Accent6 38 2 2" xfId="7824" xr:uid="{00000000-0005-0000-0000-0000021C0000}"/>
    <cellStyle name="Accent6 38 3" xfId="7825" xr:uid="{00000000-0005-0000-0000-0000031C0000}"/>
    <cellStyle name="Accent6 39" xfId="7826" xr:uid="{00000000-0005-0000-0000-0000041C0000}"/>
    <cellStyle name="Accent6 39 2" xfId="7827" xr:uid="{00000000-0005-0000-0000-0000051C0000}"/>
    <cellStyle name="Accent6 39 2 2" xfId="7828" xr:uid="{00000000-0005-0000-0000-0000061C0000}"/>
    <cellStyle name="Accent6 39 3" xfId="7829" xr:uid="{00000000-0005-0000-0000-0000071C0000}"/>
    <cellStyle name="Accent6 4" xfId="7830" xr:uid="{00000000-0005-0000-0000-0000081C0000}"/>
    <cellStyle name="Accent6 4 2" xfId="7831" xr:uid="{00000000-0005-0000-0000-0000091C0000}"/>
    <cellStyle name="Accent6 4 2 2" xfId="7832" xr:uid="{00000000-0005-0000-0000-00000A1C0000}"/>
    <cellStyle name="Accent6 4 2 2 2" xfId="7833" xr:uid="{00000000-0005-0000-0000-00000B1C0000}"/>
    <cellStyle name="Accent6 4 2 3" xfId="7834" xr:uid="{00000000-0005-0000-0000-00000C1C0000}"/>
    <cellStyle name="Accent6 4 2 3 2" xfId="7835" xr:uid="{00000000-0005-0000-0000-00000D1C0000}"/>
    <cellStyle name="Accent6 4 2 3 2 2" xfId="7836" xr:uid="{00000000-0005-0000-0000-00000E1C0000}"/>
    <cellStyle name="Accent6 4 2 3 3" xfId="7837" xr:uid="{00000000-0005-0000-0000-00000F1C0000}"/>
    <cellStyle name="Accent6 4 2 4" xfId="7838" xr:uid="{00000000-0005-0000-0000-0000101C0000}"/>
    <cellStyle name="Accent6 4 3" xfId="7839" xr:uid="{00000000-0005-0000-0000-0000111C0000}"/>
    <cellStyle name="Accent6 4 3 2" xfId="7840" xr:uid="{00000000-0005-0000-0000-0000121C0000}"/>
    <cellStyle name="Accent6 4 3 2 2" xfId="7841" xr:uid="{00000000-0005-0000-0000-0000131C0000}"/>
    <cellStyle name="Accent6 4 3 3" xfId="7842" xr:uid="{00000000-0005-0000-0000-0000141C0000}"/>
    <cellStyle name="Accent6 4 3 3 2" xfId="7843" xr:uid="{00000000-0005-0000-0000-0000151C0000}"/>
    <cellStyle name="Accent6 4 3 3 2 2" xfId="7844" xr:uid="{00000000-0005-0000-0000-0000161C0000}"/>
    <cellStyle name="Accent6 4 3 3 3" xfId="7845" xr:uid="{00000000-0005-0000-0000-0000171C0000}"/>
    <cellStyle name="Accent6 4 3 4" xfId="7846" xr:uid="{00000000-0005-0000-0000-0000181C0000}"/>
    <cellStyle name="Accent6 4 4" xfId="7847" xr:uid="{00000000-0005-0000-0000-0000191C0000}"/>
    <cellStyle name="Accent6 4 4 2" xfId="7848" xr:uid="{00000000-0005-0000-0000-00001A1C0000}"/>
    <cellStyle name="Accent6 4 4 2 2" xfId="7849" xr:uid="{00000000-0005-0000-0000-00001B1C0000}"/>
    <cellStyle name="Accent6 4 4 3" xfId="7850" xr:uid="{00000000-0005-0000-0000-00001C1C0000}"/>
    <cellStyle name="Accent6 4 5" xfId="7851" xr:uid="{00000000-0005-0000-0000-00001D1C0000}"/>
    <cellStyle name="Accent6 4 5 2" xfId="7852" xr:uid="{00000000-0005-0000-0000-00001E1C0000}"/>
    <cellStyle name="Accent6 4 6" xfId="7853" xr:uid="{00000000-0005-0000-0000-00001F1C0000}"/>
    <cellStyle name="Accent6 4 6 2" xfId="7854" xr:uid="{00000000-0005-0000-0000-0000201C0000}"/>
    <cellStyle name="Accent6 4 6 2 2" xfId="7855" xr:uid="{00000000-0005-0000-0000-0000211C0000}"/>
    <cellStyle name="Accent6 4 6 3" xfId="7856" xr:uid="{00000000-0005-0000-0000-0000221C0000}"/>
    <cellStyle name="Accent6 4 7" xfId="7857" xr:uid="{00000000-0005-0000-0000-0000231C0000}"/>
    <cellStyle name="Accent6 4 7 2" xfId="7858" xr:uid="{00000000-0005-0000-0000-0000241C0000}"/>
    <cellStyle name="Accent6 4 7 2 2" xfId="7859" xr:uid="{00000000-0005-0000-0000-0000251C0000}"/>
    <cellStyle name="Accent6 4 7 3" xfId="7860" xr:uid="{00000000-0005-0000-0000-0000261C0000}"/>
    <cellStyle name="Accent6 4 8" xfId="7861" xr:uid="{00000000-0005-0000-0000-0000271C0000}"/>
    <cellStyle name="Accent6 40" xfId="7862" xr:uid="{00000000-0005-0000-0000-0000281C0000}"/>
    <cellStyle name="Accent6 40 2" xfId="7863" xr:uid="{00000000-0005-0000-0000-0000291C0000}"/>
    <cellStyle name="Accent6 40 2 2" xfId="7864" xr:uid="{00000000-0005-0000-0000-00002A1C0000}"/>
    <cellStyle name="Accent6 40 3" xfId="7865" xr:uid="{00000000-0005-0000-0000-00002B1C0000}"/>
    <cellStyle name="Accent6 41" xfId="7866" xr:uid="{00000000-0005-0000-0000-00002C1C0000}"/>
    <cellStyle name="Accent6 41 2" xfId="7867" xr:uid="{00000000-0005-0000-0000-00002D1C0000}"/>
    <cellStyle name="Accent6 41 2 2" xfId="7868" xr:uid="{00000000-0005-0000-0000-00002E1C0000}"/>
    <cellStyle name="Accent6 41 3" xfId="7869" xr:uid="{00000000-0005-0000-0000-00002F1C0000}"/>
    <cellStyle name="Accent6 42" xfId="7870" xr:uid="{00000000-0005-0000-0000-0000301C0000}"/>
    <cellStyle name="Accent6 42 2" xfId="7871" xr:uid="{00000000-0005-0000-0000-0000311C0000}"/>
    <cellStyle name="Accent6 42 2 2" xfId="7872" xr:uid="{00000000-0005-0000-0000-0000321C0000}"/>
    <cellStyle name="Accent6 42 3" xfId="7873" xr:uid="{00000000-0005-0000-0000-0000331C0000}"/>
    <cellStyle name="Accent6 43" xfId="7874" xr:uid="{00000000-0005-0000-0000-0000341C0000}"/>
    <cellStyle name="Accent6 43 2" xfId="7875" xr:uid="{00000000-0005-0000-0000-0000351C0000}"/>
    <cellStyle name="Accent6 43 2 2" xfId="7876" xr:uid="{00000000-0005-0000-0000-0000361C0000}"/>
    <cellStyle name="Accent6 43 3" xfId="7877" xr:uid="{00000000-0005-0000-0000-0000371C0000}"/>
    <cellStyle name="Accent6 44" xfId="7878" xr:uid="{00000000-0005-0000-0000-0000381C0000}"/>
    <cellStyle name="Accent6 44 2" xfId="7879" xr:uid="{00000000-0005-0000-0000-0000391C0000}"/>
    <cellStyle name="Accent6 44 2 2" xfId="7880" xr:uid="{00000000-0005-0000-0000-00003A1C0000}"/>
    <cellStyle name="Accent6 44 3" xfId="7881" xr:uid="{00000000-0005-0000-0000-00003B1C0000}"/>
    <cellStyle name="Accent6 45" xfId="7882" xr:uid="{00000000-0005-0000-0000-00003C1C0000}"/>
    <cellStyle name="Accent6 45 2" xfId="7883" xr:uid="{00000000-0005-0000-0000-00003D1C0000}"/>
    <cellStyle name="Accent6 45 2 2" xfId="7884" xr:uid="{00000000-0005-0000-0000-00003E1C0000}"/>
    <cellStyle name="Accent6 45 3" xfId="7885" xr:uid="{00000000-0005-0000-0000-00003F1C0000}"/>
    <cellStyle name="Accent6 46" xfId="7886" xr:uid="{00000000-0005-0000-0000-0000401C0000}"/>
    <cellStyle name="Accent6 46 2" xfId="7887" xr:uid="{00000000-0005-0000-0000-0000411C0000}"/>
    <cellStyle name="Accent6 46 2 2" xfId="7888" xr:uid="{00000000-0005-0000-0000-0000421C0000}"/>
    <cellStyle name="Accent6 46 3" xfId="7889" xr:uid="{00000000-0005-0000-0000-0000431C0000}"/>
    <cellStyle name="Accent6 47" xfId="7890" xr:uid="{00000000-0005-0000-0000-0000441C0000}"/>
    <cellStyle name="Accent6 47 2" xfId="7891" xr:uid="{00000000-0005-0000-0000-0000451C0000}"/>
    <cellStyle name="Accent6 47 2 2" xfId="7892" xr:uid="{00000000-0005-0000-0000-0000461C0000}"/>
    <cellStyle name="Accent6 47 3" xfId="7893" xr:uid="{00000000-0005-0000-0000-0000471C0000}"/>
    <cellStyle name="Accent6 48" xfId="7894" xr:uid="{00000000-0005-0000-0000-0000481C0000}"/>
    <cellStyle name="Accent6 48 2" xfId="7895" xr:uid="{00000000-0005-0000-0000-0000491C0000}"/>
    <cellStyle name="Accent6 48 2 2" xfId="7896" xr:uid="{00000000-0005-0000-0000-00004A1C0000}"/>
    <cellStyle name="Accent6 48 3" xfId="7897" xr:uid="{00000000-0005-0000-0000-00004B1C0000}"/>
    <cellStyle name="Accent6 48 3 2" xfId="7898" xr:uid="{00000000-0005-0000-0000-00004C1C0000}"/>
    <cellStyle name="Accent6 48 3 2 2" xfId="7899" xr:uid="{00000000-0005-0000-0000-00004D1C0000}"/>
    <cellStyle name="Accent6 48 3 3" xfId="7900" xr:uid="{00000000-0005-0000-0000-00004E1C0000}"/>
    <cellStyle name="Accent6 48 4" xfId="7901" xr:uid="{00000000-0005-0000-0000-00004F1C0000}"/>
    <cellStyle name="Accent6 49" xfId="7902" xr:uid="{00000000-0005-0000-0000-0000501C0000}"/>
    <cellStyle name="Accent6 49 2" xfId="7903" xr:uid="{00000000-0005-0000-0000-0000511C0000}"/>
    <cellStyle name="Accent6 49 2 2" xfId="7904" xr:uid="{00000000-0005-0000-0000-0000521C0000}"/>
    <cellStyle name="Accent6 49 3" xfId="7905" xr:uid="{00000000-0005-0000-0000-0000531C0000}"/>
    <cellStyle name="Accent6 49 3 2" xfId="7906" xr:uid="{00000000-0005-0000-0000-0000541C0000}"/>
    <cellStyle name="Accent6 49 3 2 2" xfId="7907" xr:uid="{00000000-0005-0000-0000-0000551C0000}"/>
    <cellStyle name="Accent6 49 3 3" xfId="7908" xr:uid="{00000000-0005-0000-0000-0000561C0000}"/>
    <cellStyle name="Accent6 49 4" xfId="7909" xr:uid="{00000000-0005-0000-0000-0000571C0000}"/>
    <cellStyle name="Accent6 5" xfId="7910" xr:uid="{00000000-0005-0000-0000-0000581C0000}"/>
    <cellStyle name="Accent6 5 2" xfId="7911" xr:uid="{00000000-0005-0000-0000-0000591C0000}"/>
    <cellStyle name="Accent6 5 2 2" xfId="7912" xr:uid="{00000000-0005-0000-0000-00005A1C0000}"/>
    <cellStyle name="Accent6 5 2 2 2" xfId="7913" xr:uid="{00000000-0005-0000-0000-00005B1C0000}"/>
    <cellStyle name="Accent6 5 2 3" xfId="7914" xr:uid="{00000000-0005-0000-0000-00005C1C0000}"/>
    <cellStyle name="Accent6 5 2 3 2" xfId="7915" xr:uid="{00000000-0005-0000-0000-00005D1C0000}"/>
    <cellStyle name="Accent6 5 2 3 2 2" xfId="7916" xr:uid="{00000000-0005-0000-0000-00005E1C0000}"/>
    <cellStyle name="Accent6 5 2 3 3" xfId="7917" xr:uid="{00000000-0005-0000-0000-00005F1C0000}"/>
    <cellStyle name="Accent6 5 2 4" xfId="7918" xr:uid="{00000000-0005-0000-0000-0000601C0000}"/>
    <cellStyle name="Accent6 5 3" xfId="7919" xr:uid="{00000000-0005-0000-0000-0000611C0000}"/>
    <cellStyle name="Accent6 5 3 2" xfId="7920" xr:uid="{00000000-0005-0000-0000-0000621C0000}"/>
    <cellStyle name="Accent6 5 3 2 2" xfId="7921" xr:uid="{00000000-0005-0000-0000-0000631C0000}"/>
    <cellStyle name="Accent6 5 3 3" xfId="7922" xr:uid="{00000000-0005-0000-0000-0000641C0000}"/>
    <cellStyle name="Accent6 5 3 3 2" xfId="7923" xr:uid="{00000000-0005-0000-0000-0000651C0000}"/>
    <cellStyle name="Accent6 5 3 3 2 2" xfId="7924" xr:uid="{00000000-0005-0000-0000-0000661C0000}"/>
    <cellStyle name="Accent6 5 3 3 3" xfId="7925" xr:uid="{00000000-0005-0000-0000-0000671C0000}"/>
    <cellStyle name="Accent6 5 3 4" xfId="7926" xr:uid="{00000000-0005-0000-0000-0000681C0000}"/>
    <cellStyle name="Accent6 5 4" xfId="7927" xr:uid="{00000000-0005-0000-0000-0000691C0000}"/>
    <cellStyle name="Accent6 5 4 2" xfId="7928" xr:uid="{00000000-0005-0000-0000-00006A1C0000}"/>
    <cellStyle name="Accent6 5 5" xfId="7929" xr:uid="{00000000-0005-0000-0000-00006B1C0000}"/>
    <cellStyle name="Accent6 5 5 2" xfId="7930" xr:uid="{00000000-0005-0000-0000-00006C1C0000}"/>
    <cellStyle name="Accent6 5 5 2 2" xfId="7931" xr:uid="{00000000-0005-0000-0000-00006D1C0000}"/>
    <cellStyle name="Accent6 5 5 3" xfId="7932" xr:uid="{00000000-0005-0000-0000-00006E1C0000}"/>
    <cellStyle name="Accent6 5 6" xfId="7933" xr:uid="{00000000-0005-0000-0000-00006F1C0000}"/>
    <cellStyle name="Accent6 5 6 2" xfId="7934" xr:uid="{00000000-0005-0000-0000-0000701C0000}"/>
    <cellStyle name="Accent6 5 7" xfId="7935" xr:uid="{00000000-0005-0000-0000-0000711C0000}"/>
    <cellStyle name="Accent6 50" xfId="7936" xr:uid="{00000000-0005-0000-0000-0000721C0000}"/>
    <cellStyle name="Accent6 50 2" xfId="7937" xr:uid="{00000000-0005-0000-0000-0000731C0000}"/>
    <cellStyle name="Accent6 50 2 2" xfId="7938" xr:uid="{00000000-0005-0000-0000-0000741C0000}"/>
    <cellStyle name="Accent6 50 3" xfId="7939" xr:uid="{00000000-0005-0000-0000-0000751C0000}"/>
    <cellStyle name="Accent6 50 3 2" xfId="7940" xr:uid="{00000000-0005-0000-0000-0000761C0000}"/>
    <cellStyle name="Accent6 50 3 2 2" xfId="7941" xr:uid="{00000000-0005-0000-0000-0000771C0000}"/>
    <cellStyle name="Accent6 50 3 3" xfId="7942" xr:uid="{00000000-0005-0000-0000-0000781C0000}"/>
    <cellStyle name="Accent6 50 4" xfId="7943" xr:uid="{00000000-0005-0000-0000-0000791C0000}"/>
    <cellStyle name="Accent6 51" xfId="7944" xr:uid="{00000000-0005-0000-0000-00007A1C0000}"/>
    <cellStyle name="Accent6 51 2" xfId="7945" xr:uid="{00000000-0005-0000-0000-00007B1C0000}"/>
    <cellStyle name="Accent6 51 2 2" xfId="7946" xr:uid="{00000000-0005-0000-0000-00007C1C0000}"/>
    <cellStyle name="Accent6 51 3" xfId="7947" xr:uid="{00000000-0005-0000-0000-00007D1C0000}"/>
    <cellStyle name="Accent6 51 3 2" xfId="7948" xr:uid="{00000000-0005-0000-0000-00007E1C0000}"/>
    <cellStyle name="Accent6 51 3 2 2" xfId="7949" xr:uid="{00000000-0005-0000-0000-00007F1C0000}"/>
    <cellStyle name="Accent6 51 3 3" xfId="7950" xr:uid="{00000000-0005-0000-0000-0000801C0000}"/>
    <cellStyle name="Accent6 51 4" xfId="7951" xr:uid="{00000000-0005-0000-0000-0000811C0000}"/>
    <cellStyle name="Accent6 52" xfId="7952" xr:uid="{00000000-0005-0000-0000-0000821C0000}"/>
    <cellStyle name="Accent6 52 2" xfId="7953" xr:uid="{00000000-0005-0000-0000-0000831C0000}"/>
    <cellStyle name="Accent6 52 2 2" xfId="7954" xr:uid="{00000000-0005-0000-0000-0000841C0000}"/>
    <cellStyle name="Accent6 52 3" xfId="7955" xr:uid="{00000000-0005-0000-0000-0000851C0000}"/>
    <cellStyle name="Accent6 53" xfId="7956" xr:uid="{00000000-0005-0000-0000-0000861C0000}"/>
    <cellStyle name="Accent6 53 2" xfId="7957" xr:uid="{00000000-0005-0000-0000-0000871C0000}"/>
    <cellStyle name="Accent6 53 2 2" xfId="7958" xr:uid="{00000000-0005-0000-0000-0000881C0000}"/>
    <cellStyle name="Accent6 53 3" xfId="7959" xr:uid="{00000000-0005-0000-0000-0000891C0000}"/>
    <cellStyle name="Accent6 54" xfId="7960" xr:uid="{00000000-0005-0000-0000-00008A1C0000}"/>
    <cellStyle name="Accent6 54 2" xfId="7961" xr:uid="{00000000-0005-0000-0000-00008B1C0000}"/>
    <cellStyle name="Accent6 54 2 2" xfId="7962" xr:uid="{00000000-0005-0000-0000-00008C1C0000}"/>
    <cellStyle name="Accent6 54 3" xfId="7963" xr:uid="{00000000-0005-0000-0000-00008D1C0000}"/>
    <cellStyle name="Accent6 55" xfId="7964" xr:uid="{00000000-0005-0000-0000-00008E1C0000}"/>
    <cellStyle name="Accent6 55 2" xfId="7965" xr:uid="{00000000-0005-0000-0000-00008F1C0000}"/>
    <cellStyle name="Accent6 55 2 2" xfId="7966" xr:uid="{00000000-0005-0000-0000-0000901C0000}"/>
    <cellStyle name="Accent6 55 3" xfId="7967" xr:uid="{00000000-0005-0000-0000-0000911C0000}"/>
    <cellStyle name="Accent6 56" xfId="7968" xr:uid="{00000000-0005-0000-0000-0000921C0000}"/>
    <cellStyle name="Accent6 56 2" xfId="7969" xr:uid="{00000000-0005-0000-0000-0000931C0000}"/>
    <cellStyle name="Accent6 56 2 2" xfId="7970" xr:uid="{00000000-0005-0000-0000-0000941C0000}"/>
    <cellStyle name="Accent6 56 3" xfId="7971" xr:uid="{00000000-0005-0000-0000-0000951C0000}"/>
    <cellStyle name="Accent6 57" xfId="7972" xr:uid="{00000000-0005-0000-0000-0000961C0000}"/>
    <cellStyle name="Accent6 57 2" xfId="7973" xr:uid="{00000000-0005-0000-0000-0000971C0000}"/>
    <cellStyle name="Accent6 57 2 2" xfId="7974" xr:uid="{00000000-0005-0000-0000-0000981C0000}"/>
    <cellStyle name="Accent6 57 3" xfId="7975" xr:uid="{00000000-0005-0000-0000-0000991C0000}"/>
    <cellStyle name="Accent6 58" xfId="7976" xr:uid="{00000000-0005-0000-0000-00009A1C0000}"/>
    <cellStyle name="Accent6 58 2" xfId="7977" xr:uid="{00000000-0005-0000-0000-00009B1C0000}"/>
    <cellStyle name="Accent6 58 2 2" xfId="7978" xr:uid="{00000000-0005-0000-0000-00009C1C0000}"/>
    <cellStyle name="Accent6 58 3" xfId="7979" xr:uid="{00000000-0005-0000-0000-00009D1C0000}"/>
    <cellStyle name="Accent6 58 3 2" xfId="7980" xr:uid="{00000000-0005-0000-0000-00009E1C0000}"/>
    <cellStyle name="Accent6 58 3 2 2" xfId="7981" xr:uid="{00000000-0005-0000-0000-00009F1C0000}"/>
    <cellStyle name="Accent6 58 3 3" xfId="7982" xr:uid="{00000000-0005-0000-0000-0000A01C0000}"/>
    <cellStyle name="Accent6 58 4" xfId="7983" xr:uid="{00000000-0005-0000-0000-0000A11C0000}"/>
    <cellStyle name="Accent6 59" xfId="7984" xr:uid="{00000000-0005-0000-0000-0000A21C0000}"/>
    <cellStyle name="Accent6 59 2" xfId="7985" xr:uid="{00000000-0005-0000-0000-0000A31C0000}"/>
    <cellStyle name="Accent6 59 2 2" xfId="7986" xr:uid="{00000000-0005-0000-0000-0000A41C0000}"/>
    <cellStyle name="Accent6 59 3" xfId="7987" xr:uid="{00000000-0005-0000-0000-0000A51C0000}"/>
    <cellStyle name="Accent6 59 3 2" xfId="7988" xr:uid="{00000000-0005-0000-0000-0000A61C0000}"/>
    <cellStyle name="Accent6 59 3 2 2" xfId="7989" xr:uid="{00000000-0005-0000-0000-0000A71C0000}"/>
    <cellStyle name="Accent6 59 3 3" xfId="7990" xr:uid="{00000000-0005-0000-0000-0000A81C0000}"/>
    <cellStyle name="Accent6 59 4" xfId="7991" xr:uid="{00000000-0005-0000-0000-0000A91C0000}"/>
    <cellStyle name="Accent6 6" xfId="7992" xr:uid="{00000000-0005-0000-0000-0000AA1C0000}"/>
    <cellStyle name="Accent6 6 2" xfId="7993" xr:uid="{00000000-0005-0000-0000-0000AB1C0000}"/>
    <cellStyle name="Accent6 6 2 2" xfId="7994" xr:uid="{00000000-0005-0000-0000-0000AC1C0000}"/>
    <cellStyle name="Accent6 6 2 2 2" xfId="7995" xr:uid="{00000000-0005-0000-0000-0000AD1C0000}"/>
    <cellStyle name="Accent6 6 2 3" xfId="7996" xr:uid="{00000000-0005-0000-0000-0000AE1C0000}"/>
    <cellStyle name="Accent6 6 2 3 2" xfId="7997" xr:uid="{00000000-0005-0000-0000-0000AF1C0000}"/>
    <cellStyle name="Accent6 6 2 3 2 2" xfId="7998" xr:uid="{00000000-0005-0000-0000-0000B01C0000}"/>
    <cellStyle name="Accent6 6 2 3 3" xfId="7999" xr:uid="{00000000-0005-0000-0000-0000B11C0000}"/>
    <cellStyle name="Accent6 6 2 4" xfId="8000" xr:uid="{00000000-0005-0000-0000-0000B21C0000}"/>
    <cellStyle name="Accent6 6 3" xfId="8001" xr:uid="{00000000-0005-0000-0000-0000B31C0000}"/>
    <cellStyle name="Accent6 6 3 2" xfId="8002" xr:uid="{00000000-0005-0000-0000-0000B41C0000}"/>
    <cellStyle name="Accent6 6 4" xfId="8003" xr:uid="{00000000-0005-0000-0000-0000B51C0000}"/>
    <cellStyle name="Accent6 6 4 2" xfId="8004" xr:uid="{00000000-0005-0000-0000-0000B61C0000}"/>
    <cellStyle name="Accent6 6 4 2 2" xfId="8005" xr:uid="{00000000-0005-0000-0000-0000B71C0000}"/>
    <cellStyle name="Accent6 6 4 3" xfId="8006" xr:uid="{00000000-0005-0000-0000-0000B81C0000}"/>
    <cellStyle name="Accent6 6 5" xfId="8007" xr:uid="{00000000-0005-0000-0000-0000B91C0000}"/>
    <cellStyle name="Accent6 60" xfId="8008" xr:uid="{00000000-0005-0000-0000-0000BA1C0000}"/>
    <cellStyle name="Accent6 60 2" xfId="8009" xr:uid="{00000000-0005-0000-0000-0000BB1C0000}"/>
    <cellStyle name="Accent6 60 2 2" xfId="8010" xr:uid="{00000000-0005-0000-0000-0000BC1C0000}"/>
    <cellStyle name="Accent6 60 3" xfId="8011" xr:uid="{00000000-0005-0000-0000-0000BD1C0000}"/>
    <cellStyle name="Accent6 60 3 2" xfId="8012" xr:uid="{00000000-0005-0000-0000-0000BE1C0000}"/>
    <cellStyle name="Accent6 60 3 2 2" xfId="8013" xr:uid="{00000000-0005-0000-0000-0000BF1C0000}"/>
    <cellStyle name="Accent6 60 3 3" xfId="8014" xr:uid="{00000000-0005-0000-0000-0000C01C0000}"/>
    <cellStyle name="Accent6 60 4" xfId="8015" xr:uid="{00000000-0005-0000-0000-0000C11C0000}"/>
    <cellStyle name="Accent6 61" xfId="8016" xr:uid="{00000000-0005-0000-0000-0000C21C0000}"/>
    <cellStyle name="Accent6 61 2" xfId="8017" xr:uid="{00000000-0005-0000-0000-0000C31C0000}"/>
    <cellStyle name="Accent6 61 2 2" xfId="8018" xr:uid="{00000000-0005-0000-0000-0000C41C0000}"/>
    <cellStyle name="Accent6 61 3" xfId="8019" xr:uid="{00000000-0005-0000-0000-0000C51C0000}"/>
    <cellStyle name="Accent6 61 3 2" xfId="8020" xr:uid="{00000000-0005-0000-0000-0000C61C0000}"/>
    <cellStyle name="Accent6 61 3 2 2" xfId="8021" xr:uid="{00000000-0005-0000-0000-0000C71C0000}"/>
    <cellStyle name="Accent6 61 3 3" xfId="8022" xr:uid="{00000000-0005-0000-0000-0000C81C0000}"/>
    <cellStyle name="Accent6 61 4" xfId="8023" xr:uid="{00000000-0005-0000-0000-0000C91C0000}"/>
    <cellStyle name="Accent6 62" xfId="8024" xr:uid="{00000000-0005-0000-0000-0000CA1C0000}"/>
    <cellStyle name="Accent6 62 2" xfId="8025" xr:uid="{00000000-0005-0000-0000-0000CB1C0000}"/>
    <cellStyle name="Accent6 62 2 2" xfId="8026" xr:uid="{00000000-0005-0000-0000-0000CC1C0000}"/>
    <cellStyle name="Accent6 62 3" xfId="8027" xr:uid="{00000000-0005-0000-0000-0000CD1C0000}"/>
    <cellStyle name="Accent6 62 3 2" xfId="8028" xr:uid="{00000000-0005-0000-0000-0000CE1C0000}"/>
    <cellStyle name="Accent6 62 3 2 2" xfId="8029" xr:uid="{00000000-0005-0000-0000-0000CF1C0000}"/>
    <cellStyle name="Accent6 62 3 3" xfId="8030" xr:uid="{00000000-0005-0000-0000-0000D01C0000}"/>
    <cellStyle name="Accent6 62 4" xfId="8031" xr:uid="{00000000-0005-0000-0000-0000D11C0000}"/>
    <cellStyle name="Accent6 63" xfId="8032" xr:uid="{00000000-0005-0000-0000-0000D21C0000}"/>
    <cellStyle name="Accent6 63 2" xfId="8033" xr:uid="{00000000-0005-0000-0000-0000D31C0000}"/>
    <cellStyle name="Accent6 63 2 2" xfId="8034" xr:uid="{00000000-0005-0000-0000-0000D41C0000}"/>
    <cellStyle name="Accent6 63 3" xfId="8035" xr:uid="{00000000-0005-0000-0000-0000D51C0000}"/>
    <cellStyle name="Accent6 63 3 2" xfId="8036" xr:uid="{00000000-0005-0000-0000-0000D61C0000}"/>
    <cellStyle name="Accent6 63 3 2 2" xfId="8037" xr:uid="{00000000-0005-0000-0000-0000D71C0000}"/>
    <cellStyle name="Accent6 63 3 3" xfId="8038" xr:uid="{00000000-0005-0000-0000-0000D81C0000}"/>
    <cellStyle name="Accent6 63 4" xfId="8039" xr:uid="{00000000-0005-0000-0000-0000D91C0000}"/>
    <cellStyle name="Accent6 64" xfId="8040" xr:uid="{00000000-0005-0000-0000-0000DA1C0000}"/>
    <cellStyle name="Accent6 64 2" xfId="8041" xr:uid="{00000000-0005-0000-0000-0000DB1C0000}"/>
    <cellStyle name="Accent6 64 2 2" xfId="8042" xr:uid="{00000000-0005-0000-0000-0000DC1C0000}"/>
    <cellStyle name="Accent6 64 3" xfId="8043" xr:uid="{00000000-0005-0000-0000-0000DD1C0000}"/>
    <cellStyle name="Accent6 64 3 2" xfId="8044" xr:uid="{00000000-0005-0000-0000-0000DE1C0000}"/>
    <cellStyle name="Accent6 64 3 2 2" xfId="8045" xr:uid="{00000000-0005-0000-0000-0000DF1C0000}"/>
    <cellStyle name="Accent6 64 3 3" xfId="8046" xr:uid="{00000000-0005-0000-0000-0000E01C0000}"/>
    <cellStyle name="Accent6 64 4" xfId="8047" xr:uid="{00000000-0005-0000-0000-0000E11C0000}"/>
    <cellStyle name="Accent6 65" xfId="8048" xr:uid="{00000000-0005-0000-0000-0000E21C0000}"/>
    <cellStyle name="Accent6 65 2" xfId="8049" xr:uid="{00000000-0005-0000-0000-0000E31C0000}"/>
    <cellStyle name="Accent6 65 2 2" xfId="8050" xr:uid="{00000000-0005-0000-0000-0000E41C0000}"/>
    <cellStyle name="Accent6 65 3" xfId="8051" xr:uid="{00000000-0005-0000-0000-0000E51C0000}"/>
    <cellStyle name="Accent6 65 3 2" xfId="8052" xr:uid="{00000000-0005-0000-0000-0000E61C0000}"/>
    <cellStyle name="Accent6 65 3 2 2" xfId="8053" xr:uid="{00000000-0005-0000-0000-0000E71C0000}"/>
    <cellStyle name="Accent6 65 3 3" xfId="8054" xr:uid="{00000000-0005-0000-0000-0000E81C0000}"/>
    <cellStyle name="Accent6 65 4" xfId="8055" xr:uid="{00000000-0005-0000-0000-0000E91C0000}"/>
    <cellStyle name="Accent6 66" xfId="8056" xr:uid="{00000000-0005-0000-0000-0000EA1C0000}"/>
    <cellStyle name="Accent6 66 2" xfId="8057" xr:uid="{00000000-0005-0000-0000-0000EB1C0000}"/>
    <cellStyle name="Accent6 66 2 2" xfId="8058" xr:uid="{00000000-0005-0000-0000-0000EC1C0000}"/>
    <cellStyle name="Accent6 66 3" xfId="8059" xr:uid="{00000000-0005-0000-0000-0000ED1C0000}"/>
    <cellStyle name="Accent6 66 3 2" xfId="8060" xr:uid="{00000000-0005-0000-0000-0000EE1C0000}"/>
    <cellStyle name="Accent6 66 3 2 2" xfId="8061" xr:uid="{00000000-0005-0000-0000-0000EF1C0000}"/>
    <cellStyle name="Accent6 66 3 3" xfId="8062" xr:uid="{00000000-0005-0000-0000-0000F01C0000}"/>
    <cellStyle name="Accent6 66 4" xfId="8063" xr:uid="{00000000-0005-0000-0000-0000F11C0000}"/>
    <cellStyle name="Accent6 67" xfId="8064" xr:uid="{00000000-0005-0000-0000-0000F21C0000}"/>
    <cellStyle name="Accent6 67 2" xfId="8065" xr:uid="{00000000-0005-0000-0000-0000F31C0000}"/>
    <cellStyle name="Accent6 67 2 2" xfId="8066" xr:uid="{00000000-0005-0000-0000-0000F41C0000}"/>
    <cellStyle name="Accent6 67 3" xfId="8067" xr:uid="{00000000-0005-0000-0000-0000F51C0000}"/>
    <cellStyle name="Accent6 67 3 2" xfId="8068" xr:uid="{00000000-0005-0000-0000-0000F61C0000}"/>
    <cellStyle name="Accent6 67 3 2 2" xfId="8069" xr:uid="{00000000-0005-0000-0000-0000F71C0000}"/>
    <cellStyle name="Accent6 67 3 3" xfId="8070" xr:uid="{00000000-0005-0000-0000-0000F81C0000}"/>
    <cellStyle name="Accent6 67 4" xfId="8071" xr:uid="{00000000-0005-0000-0000-0000F91C0000}"/>
    <cellStyle name="Accent6 68" xfId="8072" xr:uid="{00000000-0005-0000-0000-0000FA1C0000}"/>
    <cellStyle name="Accent6 68 2" xfId="8073" xr:uid="{00000000-0005-0000-0000-0000FB1C0000}"/>
    <cellStyle name="Accent6 68 2 2" xfId="8074" xr:uid="{00000000-0005-0000-0000-0000FC1C0000}"/>
    <cellStyle name="Accent6 68 3" xfId="8075" xr:uid="{00000000-0005-0000-0000-0000FD1C0000}"/>
    <cellStyle name="Accent6 68 3 2" xfId="8076" xr:uid="{00000000-0005-0000-0000-0000FE1C0000}"/>
    <cellStyle name="Accent6 68 3 2 2" xfId="8077" xr:uid="{00000000-0005-0000-0000-0000FF1C0000}"/>
    <cellStyle name="Accent6 68 3 3" xfId="8078" xr:uid="{00000000-0005-0000-0000-0000001D0000}"/>
    <cellStyle name="Accent6 68 4" xfId="8079" xr:uid="{00000000-0005-0000-0000-0000011D0000}"/>
    <cellStyle name="Accent6 69" xfId="8080" xr:uid="{00000000-0005-0000-0000-0000021D0000}"/>
    <cellStyle name="Accent6 69 2" xfId="8081" xr:uid="{00000000-0005-0000-0000-0000031D0000}"/>
    <cellStyle name="Accent6 69 2 2" xfId="8082" xr:uid="{00000000-0005-0000-0000-0000041D0000}"/>
    <cellStyle name="Accent6 69 3" xfId="8083" xr:uid="{00000000-0005-0000-0000-0000051D0000}"/>
    <cellStyle name="Accent6 69 3 2" xfId="8084" xr:uid="{00000000-0005-0000-0000-0000061D0000}"/>
    <cellStyle name="Accent6 69 3 2 2" xfId="8085" xr:uid="{00000000-0005-0000-0000-0000071D0000}"/>
    <cellStyle name="Accent6 69 3 3" xfId="8086" xr:uid="{00000000-0005-0000-0000-0000081D0000}"/>
    <cellStyle name="Accent6 69 4" xfId="8087" xr:uid="{00000000-0005-0000-0000-0000091D0000}"/>
    <cellStyle name="Accent6 7" xfId="8088" xr:uid="{00000000-0005-0000-0000-00000A1D0000}"/>
    <cellStyle name="Accent6 7 2" xfId="8089" xr:uid="{00000000-0005-0000-0000-00000B1D0000}"/>
    <cellStyle name="Accent6 7 2 2" xfId="8090" xr:uid="{00000000-0005-0000-0000-00000C1D0000}"/>
    <cellStyle name="Accent6 7 2 2 2" xfId="8091" xr:uid="{00000000-0005-0000-0000-00000D1D0000}"/>
    <cellStyle name="Accent6 7 2 3" xfId="8092" xr:uid="{00000000-0005-0000-0000-00000E1D0000}"/>
    <cellStyle name="Accent6 7 2 3 2" xfId="8093" xr:uid="{00000000-0005-0000-0000-00000F1D0000}"/>
    <cellStyle name="Accent6 7 2 3 2 2" xfId="8094" xr:uid="{00000000-0005-0000-0000-0000101D0000}"/>
    <cellStyle name="Accent6 7 2 3 3" xfId="8095" xr:uid="{00000000-0005-0000-0000-0000111D0000}"/>
    <cellStyle name="Accent6 7 2 4" xfId="8096" xr:uid="{00000000-0005-0000-0000-0000121D0000}"/>
    <cellStyle name="Accent6 7 3" xfId="8097" xr:uid="{00000000-0005-0000-0000-0000131D0000}"/>
    <cellStyle name="Accent6 7 3 2" xfId="8098" xr:uid="{00000000-0005-0000-0000-0000141D0000}"/>
    <cellStyle name="Accent6 7 4" xfId="8099" xr:uid="{00000000-0005-0000-0000-0000151D0000}"/>
    <cellStyle name="Accent6 7 4 2" xfId="8100" xr:uid="{00000000-0005-0000-0000-0000161D0000}"/>
    <cellStyle name="Accent6 7 4 2 2" xfId="8101" xr:uid="{00000000-0005-0000-0000-0000171D0000}"/>
    <cellStyle name="Accent6 7 4 3" xfId="8102" xr:uid="{00000000-0005-0000-0000-0000181D0000}"/>
    <cellStyle name="Accent6 7 5" xfId="8103" xr:uid="{00000000-0005-0000-0000-0000191D0000}"/>
    <cellStyle name="Accent6 70" xfId="8104" xr:uid="{00000000-0005-0000-0000-00001A1D0000}"/>
    <cellStyle name="Accent6 70 2" xfId="8105" xr:uid="{00000000-0005-0000-0000-00001B1D0000}"/>
    <cellStyle name="Accent6 70 2 2" xfId="8106" xr:uid="{00000000-0005-0000-0000-00001C1D0000}"/>
    <cellStyle name="Accent6 70 3" xfId="8107" xr:uid="{00000000-0005-0000-0000-00001D1D0000}"/>
    <cellStyle name="Accent6 70 3 2" xfId="8108" xr:uid="{00000000-0005-0000-0000-00001E1D0000}"/>
    <cellStyle name="Accent6 70 3 2 2" xfId="8109" xr:uid="{00000000-0005-0000-0000-00001F1D0000}"/>
    <cellStyle name="Accent6 70 3 3" xfId="8110" xr:uid="{00000000-0005-0000-0000-0000201D0000}"/>
    <cellStyle name="Accent6 70 4" xfId="8111" xr:uid="{00000000-0005-0000-0000-0000211D0000}"/>
    <cellStyle name="Accent6 71" xfId="8112" xr:uid="{00000000-0005-0000-0000-0000221D0000}"/>
    <cellStyle name="Accent6 71 2" xfId="8113" xr:uid="{00000000-0005-0000-0000-0000231D0000}"/>
    <cellStyle name="Accent6 71 2 2" xfId="8114" xr:uid="{00000000-0005-0000-0000-0000241D0000}"/>
    <cellStyle name="Accent6 71 3" xfId="8115" xr:uid="{00000000-0005-0000-0000-0000251D0000}"/>
    <cellStyle name="Accent6 71 3 2" xfId="8116" xr:uid="{00000000-0005-0000-0000-0000261D0000}"/>
    <cellStyle name="Accent6 71 3 2 2" xfId="8117" xr:uid="{00000000-0005-0000-0000-0000271D0000}"/>
    <cellStyle name="Accent6 71 3 3" xfId="8118" xr:uid="{00000000-0005-0000-0000-0000281D0000}"/>
    <cellStyle name="Accent6 71 4" xfId="8119" xr:uid="{00000000-0005-0000-0000-0000291D0000}"/>
    <cellStyle name="Accent6 72" xfId="8120" xr:uid="{00000000-0005-0000-0000-00002A1D0000}"/>
    <cellStyle name="Accent6 72 2" xfId="8121" xr:uid="{00000000-0005-0000-0000-00002B1D0000}"/>
    <cellStyle name="Accent6 72 2 2" xfId="8122" xr:uid="{00000000-0005-0000-0000-00002C1D0000}"/>
    <cellStyle name="Accent6 72 3" xfId="8123" xr:uid="{00000000-0005-0000-0000-00002D1D0000}"/>
    <cellStyle name="Accent6 72 3 2" xfId="8124" xr:uid="{00000000-0005-0000-0000-00002E1D0000}"/>
    <cellStyle name="Accent6 72 3 2 2" xfId="8125" xr:uid="{00000000-0005-0000-0000-00002F1D0000}"/>
    <cellStyle name="Accent6 72 3 3" xfId="8126" xr:uid="{00000000-0005-0000-0000-0000301D0000}"/>
    <cellStyle name="Accent6 72 4" xfId="8127" xr:uid="{00000000-0005-0000-0000-0000311D0000}"/>
    <cellStyle name="Accent6 73" xfId="8128" xr:uid="{00000000-0005-0000-0000-0000321D0000}"/>
    <cellStyle name="Accent6 73 2" xfId="8129" xr:uid="{00000000-0005-0000-0000-0000331D0000}"/>
    <cellStyle name="Accent6 73 2 2" xfId="8130" xr:uid="{00000000-0005-0000-0000-0000341D0000}"/>
    <cellStyle name="Accent6 73 3" xfId="8131" xr:uid="{00000000-0005-0000-0000-0000351D0000}"/>
    <cellStyle name="Accent6 73 3 2" xfId="8132" xr:uid="{00000000-0005-0000-0000-0000361D0000}"/>
    <cellStyle name="Accent6 73 3 2 2" xfId="8133" xr:uid="{00000000-0005-0000-0000-0000371D0000}"/>
    <cellStyle name="Accent6 73 3 3" xfId="8134" xr:uid="{00000000-0005-0000-0000-0000381D0000}"/>
    <cellStyle name="Accent6 73 4" xfId="8135" xr:uid="{00000000-0005-0000-0000-0000391D0000}"/>
    <cellStyle name="Accent6 74" xfId="8136" xr:uid="{00000000-0005-0000-0000-00003A1D0000}"/>
    <cellStyle name="Accent6 74 2" xfId="8137" xr:uid="{00000000-0005-0000-0000-00003B1D0000}"/>
    <cellStyle name="Accent6 74 2 2" xfId="8138" xr:uid="{00000000-0005-0000-0000-00003C1D0000}"/>
    <cellStyle name="Accent6 74 3" xfId="8139" xr:uid="{00000000-0005-0000-0000-00003D1D0000}"/>
    <cellStyle name="Accent6 74 3 2" xfId="8140" xr:uid="{00000000-0005-0000-0000-00003E1D0000}"/>
    <cellStyle name="Accent6 74 3 2 2" xfId="8141" xr:uid="{00000000-0005-0000-0000-00003F1D0000}"/>
    <cellStyle name="Accent6 74 3 3" xfId="8142" xr:uid="{00000000-0005-0000-0000-0000401D0000}"/>
    <cellStyle name="Accent6 74 4" xfId="8143" xr:uid="{00000000-0005-0000-0000-0000411D0000}"/>
    <cellStyle name="Accent6 75" xfId="8144" xr:uid="{00000000-0005-0000-0000-0000421D0000}"/>
    <cellStyle name="Accent6 75 2" xfId="8145" xr:uid="{00000000-0005-0000-0000-0000431D0000}"/>
    <cellStyle name="Accent6 75 2 2" xfId="8146" xr:uid="{00000000-0005-0000-0000-0000441D0000}"/>
    <cellStyle name="Accent6 75 3" xfId="8147" xr:uid="{00000000-0005-0000-0000-0000451D0000}"/>
    <cellStyle name="Accent6 75 3 2" xfId="8148" xr:uid="{00000000-0005-0000-0000-0000461D0000}"/>
    <cellStyle name="Accent6 75 3 2 2" xfId="8149" xr:uid="{00000000-0005-0000-0000-0000471D0000}"/>
    <cellStyle name="Accent6 75 3 3" xfId="8150" xr:uid="{00000000-0005-0000-0000-0000481D0000}"/>
    <cellStyle name="Accent6 75 4" xfId="8151" xr:uid="{00000000-0005-0000-0000-0000491D0000}"/>
    <cellStyle name="Accent6 76" xfId="8152" xr:uid="{00000000-0005-0000-0000-00004A1D0000}"/>
    <cellStyle name="Accent6 76 2" xfId="8153" xr:uid="{00000000-0005-0000-0000-00004B1D0000}"/>
    <cellStyle name="Accent6 76 2 2" xfId="8154" xr:uid="{00000000-0005-0000-0000-00004C1D0000}"/>
    <cellStyle name="Accent6 76 3" xfId="8155" xr:uid="{00000000-0005-0000-0000-00004D1D0000}"/>
    <cellStyle name="Accent6 76 3 2" xfId="8156" xr:uid="{00000000-0005-0000-0000-00004E1D0000}"/>
    <cellStyle name="Accent6 76 3 2 2" xfId="8157" xr:uid="{00000000-0005-0000-0000-00004F1D0000}"/>
    <cellStyle name="Accent6 76 3 3" xfId="8158" xr:uid="{00000000-0005-0000-0000-0000501D0000}"/>
    <cellStyle name="Accent6 76 4" xfId="8159" xr:uid="{00000000-0005-0000-0000-0000511D0000}"/>
    <cellStyle name="Accent6 77" xfId="8160" xr:uid="{00000000-0005-0000-0000-0000521D0000}"/>
    <cellStyle name="Accent6 77 2" xfId="8161" xr:uid="{00000000-0005-0000-0000-0000531D0000}"/>
    <cellStyle name="Accent6 77 2 2" xfId="8162" xr:uid="{00000000-0005-0000-0000-0000541D0000}"/>
    <cellStyle name="Accent6 77 3" xfId="8163" xr:uid="{00000000-0005-0000-0000-0000551D0000}"/>
    <cellStyle name="Accent6 77 3 2" xfId="8164" xr:uid="{00000000-0005-0000-0000-0000561D0000}"/>
    <cellStyle name="Accent6 77 3 2 2" xfId="8165" xr:uid="{00000000-0005-0000-0000-0000571D0000}"/>
    <cellStyle name="Accent6 77 3 3" xfId="8166" xr:uid="{00000000-0005-0000-0000-0000581D0000}"/>
    <cellStyle name="Accent6 77 4" xfId="8167" xr:uid="{00000000-0005-0000-0000-0000591D0000}"/>
    <cellStyle name="Accent6 78" xfId="8168" xr:uid="{00000000-0005-0000-0000-00005A1D0000}"/>
    <cellStyle name="Accent6 78 2" xfId="8169" xr:uid="{00000000-0005-0000-0000-00005B1D0000}"/>
    <cellStyle name="Accent6 78 2 2" xfId="8170" xr:uid="{00000000-0005-0000-0000-00005C1D0000}"/>
    <cellStyle name="Accent6 78 3" xfId="8171" xr:uid="{00000000-0005-0000-0000-00005D1D0000}"/>
    <cellStyle name="Accent6 78 3 2" xfId="8172" xr:uid="{00000000-0005-0000-0000-00005E1D0000}"/>
    <cellStyle name="Accent6 78 3 2 2" xfId="8173" xr:uid="{00000000-0005-0000-0000-00005F1D0000}"/>
    <cellStyle name="Accent6 78 3 3" xfId="8174" xr:uid="{00000000-0005-0000-0000-0000601D0000}"/>
    <cellStyle name="Accent6 78 4" xfId="8175" xr:uid="{00000000-0005-0000-0000-0000611D0000}"/>
    <cellStyle name="Accent6 79" xfId="8176" xr:uid="{00000000-0005-0000-0000-0000621D0000}"/>
    <cellStyle name="Accent6 79 2" xfId="8177" xr:uid="{00000000-0005-0000-0000-0000631D0000}"/>
    <cellStyle name="Accent6 79 2 2" xfId="8178" xr:uid="{00000000-0005-0000-0000-0000641D0000}"/>
    <cellStyle name="Accent6 79 3" xfId="8179" xr:uid="{00000000-0005-0000-0000-0000651D0000}"/>
    <cellStyle name="Accent6 79 3 2" xfId="8180" xr:uid="{00000000-0005-0000-0000-0000661D0000}"/>
    <cellStyle name="Accent6 79 3 2 2" xfId="8181" xr:uid="{00000000-0005-0000-0000-0000671D0000}"/>
    <cellStyle name="Accent6 79 3 3" xfId="8182" xr:uid="{00000000-0005-0000-0000-0000681D0000}"/>
    <cellStyle name="Accent6 79 4" xfId="8183" xr:uid="{00000000-0005-0000-0000-0000691D0000}"/>
    <cellStyle name="Accent6 8" xfId="8184" xr:uid="{00000000-0005-0000-0000-00006A1D0000}"/>
    <cellStyle name="Accent6 8 2" xfId="8185" xr:uid="{00000000-0005-0000-0000-00006B1D0000}"/>
    <cellStyle name="Accent6 8 2 2" xfId="8186" xr:uid="{00000000-0005-0000-0000-00006C1D0000}"/>
    <cellStyle name="Accent6 8 3" xfId="8187" xr:uid="{00000000-0005-0000-0000-00006D1D0000}"/>
    <cellStyle name="Accent6 80" xfId="8188" xr:uid="{00000000-0005-0000-0000-00006E1D0000}"/>
    <cellStyle name="Accent6 80 2" xfId="8189" xr:uid="{00000000-0005-0000-0000-00006F1D0000}"/>
    <cellStyle name="Accent6 80 2 2" xfId="8190" xr:uid="{00000000-0005-0000-0000-0000701D0000}"/>
    <cellStyle name="Accent6 80 3" xfId="8191" xr:uid="{00000000-0005-0000-0000-0000711D0000}"/>
    <cellStyle name="Accent6 80 3 2" xfId="8192" xr:uid="{00000000-0005-0000-0000-0000721D0000}"/>
    <cellStyle name="Accent6 80 3 2 2" xfId="8193" xr:uid="{00000000-0005-0000-0000-0000731D0000}"/>
    <cellStyle name="Accent6 80 3 3" xfId="8194" xr:uid="{00000000-0005-0000-0000-0000741D0000}"/>
    <cellStyle name="Accent6 80 4" xfId="8195" xr:uid="{00000000-0005-0000-0000-0000751D0000}"/>
    <cellStyle name="Accent6 81" xfId="8196" xr:uid="{00000000-0005-0000-0000-0000761D0000}"/>
    <cellStyle name="Accent6 81 2" xfId="8197" xr:uid="{00000000-0005-0000-0000-0000771D0000}"/>
    <cellStyle name="Accent6 81 2 2" xfId="8198" xr:uid="{00000000-0005-0000-0000-0000781D0000}"/>
    <cellStyle name="Accent6 81 3" xfId="8199" xr:uid="{00000000-0005-0000-0000-0000791D0000}"/>
    <cellStyle name="Accent6 81 3 2" xfId="8200" xr:uid="{00000000-0005-0000-0000-00007A1D0000}"/>
    <cellStyle name="Accent6 81 3 2 2" xfId="8201" xr:uid="{00000000-0005-0000-0000-00007B1D0000}"/>
    <cellStyle name="Accent6 81 3 3" xfId="8202" xr:uid="{00000000-0005-0000-0000-00007C1D0000}"/>
    <cellStyle name="Accent6 81 4" xfId="8203" xr:uid="{00000000-0005-0000-0000-00007D1D0000}"/>
    <cellStyle name="Accent6 82" xfId="8204" xr:uid="{00000000-0005-0000-0000-00007E1D0000}"/>
    <cellStyle name="Accent6 82 2" xfId="8205" xr:uid="{00000000-0005-0000-0000-00007F1D0000}"/>
    <cellStyle name="Accent6 82 2 2" xfId="8206" xr:uid="{00000000-0005-0000-0000-0000801D0000}"/>
    <cellStyle name="Accent6 82 3" xfId="8207" xr:uid="{00000000-0005-0000-0000-0000811D0000}"/>
    <cellStyle name="Accent6 82 3 2" xfId="8208" xr:uid="{00000000-0005-0000-0000-0000821D0000}"/>
    <cellStyle name="Accent6 82 3 2 2" xfId="8209" xr:uid="{00000000-0005-0000-0000-0000831D0000}"/>
    <cellStyle name="Accent6 82 3 3" xfId="8210" xr:uid="{00000000-0005-0000-0000-0000841D0000}"/>
    <cellStyle name="Accent6 82 4" xfId="8211" xr:uid="{00000000-0005-0000-0000-0000851D0000}"/>
    <cellStyle name="Accent6 83" xfId="8212" xr:uid="{00000000-0005-0000-0000-0000861D0000}"/>
    <cellStyle name="Accent6 83 2" xfId="8213" xr:uid="{00000000-0005-0000-0000-0000871D0000}"/>
    <cellStyle name="Accent6 83 2 2" xfId="8214" xr:uid="{00000000-0005-0000-0000-0000881D0000}"/>
    <cellStyle name="Accent6 83 3" xfId="8215" xr:uid="{00000000-0005-0000-0000-0000891D0000}"/>
    <cellStyle name="Accent6 83 3 2" xfId="8216" xr:uid="{00000000-0005-0000-0000-00008A1D0000}"/>
    <cellStyle name="Accent6 83 3 2 2" xfId="8217" xr:uid="{00000000-0005-0000-0000-00008B1D0000}"/>
    <cellStyle name="Accent6 83 3 3" xfId="8218" xr:uid="{00000000-0005-0000-0000-00008C1D0000}"/>
    <cellStyle name="Accent6 83 4" xfId="8219" xr:uid="{00000000-0005-0000-0000-00008D1D0000}"/>
    <cellStyle name="Accent6 84" xfId="8220" xr:uid="{00000000-0005-0000-0000-00008E1D0000}"/>
    <cellStyle name="Accent6 84 2" xfId="8221" xr:uid="{00000000-0005-0000-0000-00008F1D0000}"/>
    <cellStyle name="Accent6 84 2 2" xfId="8222" xr:uid="{00000000-0005-0000-0000-0000901D0000}"/>
    <cellStyle name="Accent6 84 3" xfId="8223" xr:uid="{00000000-0005-0000-0000-0000911D0000}"/>
    <cellStyle name="Accent6 85" xfId="8224" xr:uid="{00000000-0005-0000-0000-0000921D0000}"/>
    <cellStyle name="Accent6 85 2" xfId="8225" xr:uid="{00000000-0005-0000-0000-0000931D0000}"/>
    <cellStyle name="Accent6 85 2 2" xfId="8226" xr:uid="{00000000-0005-0000-0000-0000941D0000}"/>
    <cellStyle name="Accent6 85 3" xfId="8227" xr:uid="{00000000-0005-0000-0000-0000951D0000}"/>
    <cellStyle name="Accent6 86" xfId="8228" xr:uid="{00000000-0005-0000-0000-0000961D0000}"/>
    <cellStyle name="Accent6 86 2" xfId="8229" xr:uid="{00000000-0005-0000-0000-0000971D0000}"/>
    <cellStyle name="Accent6 86 2 2" xfId="8230" xr:uid="{00000000-0005-0000-0000-0000981D0000}"/>
    <cellStyle name="Accent6 86 3" xfId="8231" xr:uid="{00000000-0005-0000-0000-0000991D0000}"/>
    <cellStyle name="Accent6 87" xfId="8232" xr:uid="{00000000-0005-0000-0000-00009A1D0000}"/>
    <cellStyle name="Accent6 87 2" xfId="8233" xr:uid="{00000000-0005-0000-0000-00009B1D0000}"/>
    <cellStyle name="Accent6 87 2 2" xfId="8234" xr:uid="{00000000-0005-0000-0000-00009C1D0000}"/>
    <cellStyle name="Accent6 87 3" xfId="8235" xr:uid="{00000000-0005-0000-0000-00009D1D0000}"/>
    <cellStyle name="Accent6 88" xfId="8236" xr:uid="{00000000-0005-0000-0000-00009E1D0000}"/>
    <cellStyle name="Accent6 88 2" xfId="8237" xr:uid="{00000000-0005-0000-0000-00009F1D0000}"/>
    <cellStyle name="Accent6 88 2 2" xfId="8238" xr:uid="{00000000-0005-0000-0000-0000A01D0000}"/>
    <cellStyle name="Accent6 88 3" xfId="8239" xr:uid="{00000000-0005-0000-0000-0000A11D0000}"/>
    <cellStyle name="Accent6 89" xfId="8240" xr:uid="{00000000-0005-0000-0000-0000A21D0000}"/>
    <cellStyle name="Accent6 89 2" xfId="8241" xr:uid="{00000000-0005-0000-0000-0000A31D0000}"/>
    <cellStyle name="Accent6 89 2 2" xfId="8242" xr:uid="{00000000-0005-0000-0000-0000A41D0000}"/>
    <cellStyle name="Accent6 89 3" xfId="8243" xr:uid="{00000000-0005-0000-0000-0000A51D0000}"/>
    <cellStyle name="Accent6 9" xfId="8244" xr:uid="{00000000-0005-0000-0000-0000A61D0000}"/>
    <cellStyle name="Accent6 9 2" xfId="8245" xr:uid="{00000000-0005-0000-0000-0000A71D0000}"/>
    <cellStyle name="Accent6 9 2 2" xfId="8246" xr:uid="{00000000-0005-0000-0000-0000A81D0000}"/>
    <cellStyle name="Accent6 9 3" xfId="8247" xr:uid="{00000000-0005-0000-0000-0000A91D0000}"/>
    <cellStyle name="Accent6 90" xfId="8248" xr:uid="{00000000-0005-0000-0000-0000AA1D0000}"/>
    <cellStyle name="Accent6 90 2" xfId="8249" xr:uid="{00000000-0005-0000-0000-0000AB1D0000}"/>
    <cellStyle name="Accent6 90 2 2" xfId="8250" xr:uid="{00000000-0005-0000-0000-0000AC1D0000}"/>
    <cellStyle name="Accent6 90 3" xfId="8251" xr:uid="{00000000-0005-0000-0000-0000AD1D0000}"/>
    <cellStyle name="Accent6 91" xfId="8252" xr:uid="{00000000-0005-0000-0000-0000AE1D0000}"/>
    <cellStyle name="Accent6 91 2" xfId="8253" xr:uid="{00000000-0005-0000-0000-0000AF1D0000}"/>
    <cellStyle name="Accent6 91 2 2" xfId="8254" xr:uid="{00000000-0005-0000-0000-0000B01D0000}"/>
    <cellStyle name="Accent6 91 3" xfId="8255" xr:uid="{00000000-0005-0000-0000-0000B11D0000}"/>
    <cellStyle name="Accent6 92" xfId="8256" xr:uid="{00000000-0005-0000-0000-0000B21D0000}"/>
    <cellStyle name="Accent6 92 2" xfId="8257" xr:uid="{00000000-0005-0000-0000-0000B31D0000}"/>
    <cellStyle name="Accent6 92 2 2" xfId="8258" xr:uid="{00000000-0005-0000-0000-0000B41D0000}"/>
    <cellStyle name="Accent6 92 3" xfId="8259" xr:uid="{00000000-0005-0000-0000-0000B51D0000}"/>
    <cellStyle name="Accent6 93" xfId="8260" xr:uid="{00000000-0005-0000-0000-0000B61D0000}"/>
    <cellStyle name="Accent6 93 2" xfId="8261" xr:uid="{00000000-0005-0000-0000-0000B71D0000}"/>
    <cellStyle name="Accent6 93 2 2" xfId="8262" xr:uid="{00000000-0005-0000-0000-0000B81D0000}"/>
    <cellStyle name="Accent6 93 3" xfId="8263" xr:uid="{00000000-0005-0000-0000-0000B91D0000}"/>
    <cellStyle name="Accent6 94" xfId="8264" xr:uid="{00000000-0005-0000-0000-0000BA1D0000}"/>
    <cellStyle name="Accent6 94 2" xfId="8265" xr:uid="{00000000-0005-0000-0000-0000BB1D0000}"/>
    <cellStyle name="Accent6 94 2 2" xfId="8266" xr:uid="{00000000-0005-0000-0000-0000BC1D0000}"/>
    <cellStyle name="Accent6 94 3" xfId="8267" xr:uid="{00000000-0005-0000-0000-0000BD1D0000}"/>
    <cellStyle name="Accent6 95" xfId="8268" xr:uid="{00000000-0005-0000-0000-0000BE1D0000}"/>
    <cellStyle name="Accent6 95 2" xfId="8269" xr:uid="{00000000-0005-0000-0000-0000BF1D0000}"/>
    <cellStyle name="Accent6 95 2 2" xfId="8270" xr:uid="{00000000-0005-0000-0000-0000C01D0000}"/>
    <cellStyle name="Accent6 95 3" xfId="8271" xr:uid="{00000000-0005-0000-0000-0000C11D0000}"/>
    <cellStyle name="Accent6 96" xfId="8272" xr:uid="{00000000-0005-0000-0000-0000C21D0000}"/>
    <cellStyle name="Accent6 96 2" xfId="8273" xr:uid="{00000000-0005-0000-0000-0000C31D0000}"/>
    <cellStyle name="Accent6 96 2 2" xfId="8274" xr:uid="{00000000-0005-0000-0000-0000C41D0000}"/>
    <cellStyle name="Accent6 96 3" xfId="8275" xr:uid="{00000000-0005-0000-0000-0000C51D0000}"/>
    <cellStyle name="Accent6 97" xfId="8276" xr:uid="{00000000-0005-0000-0000-0000C61D0000}"/>
    <cellStyle name="Accent6 97 2" xfId="8277" xr:uid="{00000000-0005-0000-0000-0000C71D0000}"/>
    <cellStyle name="Accent6 97 2 2" xfId="8278" xr:uid="{00000000-0005-0000-0000-0000C81D0000}"/>
    <cellStyle name="Accent6 97 3" xfId="8279" xr:uid="{00000000-0005-0000-0000-0000C91D0000}"/>
    <cellStyle name="Accent6 98" xfId="8280" xr:uid="{00000000-0005-0000-0000-0000CA1D0000}"/>
    <cellStyle name="Accent6 98 2" xfId="8281" xr:uid="{00000000-0005-0000-0000-0000CB1D0000}"/>
    <cellStyle name="Accent6 98 2 2" xfId="8282" xr:uid="{00000000-0005-0000-0000-0000CC1D0000}"/>
    <cellStyle name="Accent6 98 3" xfId="8283" xr:uid="{00000000-0005-0000-0000-0000CD1D0000}"/>
    <cellStyle name="Accent6 99" xfId="8284" xr:uid="{00000000-0005-0000-0000-0000CE1D0000}"/>
    <cellStyle name="Accent6 99 2" xfId="8285" xr:uid="{00000000-0005-0000-0000-0000CF1D0000}"/>
    <cellStyle name="Accent6 99 2 2" xfId="8286" xr:uid="{00000000-0005-0000-0000-0000D01D0000}"/>
    <cellStyle name="Accent6 99 3" xfId="8287" xr:uid="{00000000-0005-0000-0000-0000D11D0000}"/>
    <cellStyle name="active" xfId="8288" xr:uid="{00000000-0005-0000-0000-0000D21D0000}"/>
    <cellStyle name="active 2" xfId="8289" xr:uid="{00000000-0005-0000-0000-0000D31D0000}"/>
    <cellStyle name="active 2 2" xfId="8290" xr:uid="{00000000-0005-0000-0000-0000D41D0000}"/>
    <cellStyle name="active 2 2 2" xfId="8291" xr:uid="{00000000-0005-0000-0000-0000D51D0000}"/>
    <cellStyle name="active 2 3" xfId="8292" xr:uid="{00000000-0005-0000-0000-0000D61D0000}"/>
    <cellStyle name="active 2 3 2" xfId="8293" xr:uid="{00000000-0005-0000-0000-0000D71D0000}"/>
    <cellStyle name="active 2 3 2 2" xfId="8294" xr:uid="{00000000-0005-0000-0000-0000D81D0000}"/>
    <cellStyle name="active 2 3 3" xfId="8295" xr:uid="{00000000-0005-0000-0000-0000D91D0000}"/>
    <cellStyle name="active 2 4" xfId="8296" xr:uid="{00000000-0005-0000-0000-0000DA1D0000}"/>
    <cellStyle name="active 3" xfId="8297" xr:uid="{00000000-0005-0000-0000-0000DB1D0000}"/>
    <cellStyle name="active 3 2" xfId="8298" xr:uid="{00000000-0005-0000-0000-0000DC1D0000}"/>
    <cellStyle name="active 3 2 2" xfId="8299" xr:uid="{00000000-0005-0000-0000-0000DD1D0000}"/>
    <cellStyle name="active 3 3" xfId="8300" xr:uid="{00000000-0005-0000-0000-0000DE1D0000}"/>
    <cellStyle name="active 4" xfId="8301" xr:uid="{00000000-0005-0000-0000-0000DF1D0000}"/>
    <cellStyle name="active 4 2" xfId="8302" xr:uid="{00000000-0005-0000-0000-0000E01D0000}"/>
    <cellStyle name="active 5" xfId="8303" xr:uid="{00000000-0005-0000-0000-0000E11D0000}"/>
    <cellStyle name="active 5 2" xfId="8304" xr:uid="{00000000-0005-0000-0000-0000E21D0000}"/>
    <cellStyle name="active 6" xfId="8305" xr:uid="{00000000-0005-0000-0000-0000E31D0000}"/>
    <cellStyle name="Actual Date" xfId="8306" xr:uid="{00000000-0005-0000-0000-0000E41D0000}"/>
    <cellStyle name="Actual Date 2" xfId="8307" xr:uid="{00000000-0005-0000-0000-0000E51D0000}"/>
    <cellStyle name="Actual Date 2 2" xfId="8308" xr:uid="{00000000-0005-0000-0000-0000E61D0000}"/>
    <cellStyle name="args.style" xfId="8309" xr:uid="{00000000-0005-0000-0000-0000E71D0000}"/>
    <cellStyle name="args.style 2" xfId="8310" xr:uid="{00000000-0005-0000-0000-0000E81D0000}"/>
    <cellStyle name="args.style 2 2" xfId="8311" xr:uid="{00000000-0005-0000-0000-0000E91D0000}"/>
    <cellStyle name="args.style 2 2 2" xfId="8312" xr:uid="{00000000-0005-0000-0000-0000EA1D0000}"/>
    <cellStyle name="args.style 2 3" xfId="8313" xr:uid="{00000000-0005-0000-0000-0000EB1D0000}"/>
    <cellStyle name="args.style 2 3 2" xfId="8314" xr:uid="{00000000-0005-0000-0000-0000EC1D0000}"/>
    <cellStyle name="args.style 2 3 2 2" xfId="8315" xr:uid="{00000000-0005-0000-0000-0000ED1D0000}"/>
    <cellStyle name="args.style 2 3 3" xfId="8316" xr:uid="{00000000-0005-0000-0000-0000EE1D0000}"/>
    <cellStyle name="args.style 2 4" xfId="8317" xr:uid="{00000000-0005-0000-0000-0000EF1D0000}"/>
    <cellStyle name="args.style 3" xfId="8318" xr:uid="{00000000-0005-0000-0000-0000F01D0000}"/>
    <cellStyle name="args.style 3 2" xfId="8319" xr:uid="{00000000-0005-0000-0000-0000F11D0000}"/>
    <cellStyle name="args.style 3 2 2" xfId="8320" xr:uid="{00000000-0005-0000-0000-0000F21D0000}"/>
    <cellStyle name="args.style 3 3" xfId="8321" xr:uid="{00000000-0005-0000-0000-0000F31D0000}"/>
    <cellStyle name="args.style 4" xfId="8322" xr:uid="{00000000-0005-0000-0000-0000F41D0000}"/>
    <cellStyle name="args.style 4 2" xfId="8323" xr:uid="{00000000-0005-0000-0000-0000F51D0000}"/>
    <cellStyle name="args.style 4 2 2" xfId="8324" xr:uid="{00000000-0005-0000-0000-0000F61D0000}"/>
    <cellStyle name="args.style 4 3" xfId="8325" xr:uid="{00000000-0005-0000-0000-0000F71D0000}"/>
    <cellStyle name="args.style 5" xfId="8326" xr:uid="{00000000-0005-0000-0000-0000F81D0000}"/>
    <cellStyle name="args.style 5 2" xfId="8327" xr:uid="{00000000-0005-0000-0000-0000F91D0000}"/>
    <cellStyle name="args.style 6" xfId="8328" xr:uid="{00000000-0005-0000-0000-0000FA1D0000}"/>
    <cellStyle name="args.style 6 2" xfId="8329" xr:uid="{00000000-0005-0000-0000-0000FB1D0000}"/>
    <cellStyle name="args.style 7" xfId="8330" xr:uid="{00000000-0005-0000-0000-0000FC1D0000}"/>
    <cellStyle name="Bad 2" xfId="8331" xr:uid="{00000000-0005-0000-0000-0000FD1D0000}"/>
    <cellStyle name="Bad 2 10" xfId="8332" xr:uid="{00000000-0005-0000-0000-0000FE1D0000}"/>
    <cellStyle name="Bad 2 10 2" xfId="8333" xr:uid="{00000000-0005-0000-0000-0000FF1D0000}"/>
    <cellStyle name="Bad 2 11" xfId="8334" xr:uid="{00000000-0005-0000-0000-0000001E0000}"/>
    <cellStyle name="Bad 2 12" xfId="8335" xr:uid="{00000000-0005-0000-0000-0000011E0000}"/>
    <cellStyle name="Bad 2 2" xfId="8336" xr:uid="{00000000-0005-0000-0000-0000021E0000}"/>
    <cellStyle name="Bad 2 2 2" xfId="8337" xr:uid="{00000000-0005-0000-0000-0000031E0000}"/>
    <cellStyle name="Bad 2 2 2 2" xfId="8338" xr:uid="{00000000-0005-0000-0000-0000041E0000}"/>
    <cellStyle name="Bad 2 2 3" xfId="8339" xr:uid="{00000000-0005-0000-0000-0000051E0000}"/>
    <cellStyle name="Bad 2 2 3 2" xfId="8340" xr:uid="{00000000-0005-0000-0000-0000061E0000}"/>
    <cellStyle name="Bad 2 2 3 2 2" xfId="8341" xr:uid="{00000000-0005-0000-0000-0000071E0000}"/>
    <cellStyle name="Bad 2 2 3 3" xfId="8342" xr:uid="{00000000-0005-0000-0000-0000081E0000}"/>
    <cellStyle name="Bad 2 2 4" xfId="8343" xr:uid="{00000000-0005-0000-0000-0000091E0000}"/>
    <cellStyle name="Bad 2 2 4 2" xfId="8344" xr:uid="{00000000-0005-0000-0000-00000A1E0000}"/>
    <cellStyle name="Bad 2 2 5" xfId="8345" xr:uid="{00000000-0005-0000-0000-00000B1E0000}"/>
    <cellStyle name="Bad 2 3" xfId="8346" xr:uid="{00000000-0005-0000-0000-00000C1E0000}"/>
    <cellStyle name="Bad 2 3 2" xfId="8347" xr:uid="{00000000-0005-0000-0000-00000D1E0000}"/>
    <cellStyle name="Bad 2 3 2 2" xfId="8348" xr:uid="{00000000-0005-0000-0000-00000E1E0000}"/>
    <cellStyle name="Bad 2 3 3" xfId="8349" xr:uid="{00000000-0005-0000-0000-00000F1E0000}"/>
    <cellStyle name="Bad 2 3 3 2" xfId="8350" xr:uid="{00000000-0005-0000-0000-0000101E0000}"/>
    <cellStyle name="Bad 2 3 3 2 2" xfId="8351" xr:uid="{00000000-0005-0000-0000-0000111E0000}"/>
    <cellStyle name="Bad 2 3 3 3" xfId="8352" xr:uid="{00000000-0005-0000-0000-0000121E0000}"/>
    <cellStyle name="Bad 2 3 4" xfId="8353" xr:uid="{00000000-0005-0000-0000-0000131E0000}"/>
    <cellStyle name="Bad 2 4" xfId="8354" xr:uid="{00000000-0005-0000-0000-0000141E0000}"/>
    <cellStyle name="Bad 2 4 2" xfId="8355" xr:uid="{00000000-0005-0000-0000-0000151E0000}"/>
    <cellStyle name="Bad 2 4 2 2" xfId="8356" xr:uid="{00000000-0005-0000-0000-0000161E0000}"/>
    <cellStyle name="Bad 2 4 3" xfId="8357" xr:uid="{00000000-0005-0000-0000-0000171E0000}"/>
    <cellStyle name="Bad 2 5" xfId="8358" xr:uid="{00000000-0005-0000-0000-0000181E0000}"/>
    <cellStyle name="Bad 2 5 2" xfId="8359" xr:uid="{00000000-0005-0000-0000-0000191E0000}"/>
    <cellStyle name="Bad 2 5 2 2" xfId="8360" xr:uid="{00000000-0005-0000-0000-00001A1E0000}"/>
    <cellStyle name="Bad 2 5 3" xfId="8361" xr:uid="{00000000-0005-0000-0000-00001B1E0000}"/>
    <cellStyle name="Bad 2 5 3 2" xfId="8362" xr:uid="{00000000-0005-0000-0000-00001C1E0000}"/>
    <cellStyle name="Bad 2 5 3 2 2" xfId="8363" xr:uid="{00000000-0005-0000-0000-00001D1E0000}"/>
    <cellStyle name="Bad 2 5 3 3" xfId="8364" xr:uid="{00000000-0005-0000-0000-00001E1E0000}"/>
    <cellStyle name="Bad 2 5 4" xfId="8365" xr:uid="{00000000-0005-0000-0000-00001F1E0000}"/>
    <cellStyle name="Bad 2 6" xfId="8366" xr:uid="{00000000-0005-0000-0000-0000201E0000}"/>
    <cellStyle name="Bad 2 6 2" xfId="8367" xr:uid="{00000000-0005-0000-0000-0000211E0000}"/>
    <cellStyle name="Bad 2 6 2 2" xfId="8368" xr:uid="{00000000-0005-0000-0000-0000221E0000}"/>
    <cellStyle name="Bad 2 6 3" xfId="8369" xr:uid="{00000000-0005-0000-0000-0000231E0000}"/>
    <cellStyle name="Bad 2 6 3 2" xfId="8370" xr:uid="{00000000-0005-0000-0000-0000241E0000}"/>
    <cellStyle name="Bad 2 6 4" xfId="8371" xr:uid="{00000000-0005-0000-0000-0000251E0000}"/>
    <cellStyle name="Bad 2 7" xfId="8372" xr:uid="{00000000-0005-0000-0000-0000261E0000}"/>
    <cellStyle name="Bad 2 7 2" xfId="8373" xr:uid="{00000000-0005-0000-0000-0000271E0000}"/>
    <cellStyle name="Bad 2 8" xfId="8374" xr:uid="{00000000-0005-0000-0000-0000281E0000}"/>
    <cellStyle name="Bad 2 8 2" xfId="8375" xr:uid="{00000000-0005-0000-0000-0000291E0000}"/>
    <cellStyle name="Bad 2 8 2 2" xfId="8376" xr:uid="{00000000-0005-0000-0000-00002A1E0000}"/>
    <cellStyle name="Bad 2 8 3" xfId="8377" xr:uid="{00000000-0005-0000-0000-00002B1E0000}"/>
    <cellStyle name="Bad 2 9" xfId="8378" xr:uid="{00000000-0005-0000-0000-00002C1E0000}"/>
    <cellStyle name="Bad 2 9 2" xfId="8379" xr:uid="{00000000-0005-0000-0000-00002D1E0000}"/>
    <cellStyle name="Bad 2 9 2 2" xfId="8380" xr:uid="{00000000-0005-0000-0000-00002E1E0000}"/>
    <cellStyle name="Bad 2 9 3" xfId="8381" xr:uid="{00000000-0005-0000-0000-00002F1E0000}"/>
    <cellStyle name="Bad 3" xfId="8382" xr:uid="{00000000-0005-0000-0000-0000301E0000}"/>
    <cellStyle name="Bad 3 2" xfId="8383" xr:uid="{00000000-0005-0000-0000-0000311E0000}"/>
    <cellStyle name="Bad 3 2 2" xfId="8384" xr:uid="{00000000-0005-0000-0000-0000321E0000}"/>
    <cellStyle name="Bad 3 3" xfId="8385" xr:uid="{00000000-0005-0000-0000-0000331E0000}"/>
    <cellStyle name="Bad 3 3 2" xfId="8386" xr:uid="{00000000-0005-0000-0000-0000341E0000}"/>
    <cellStyle name="Bad 3 4" xfId="8387" xr:uid="{00000000-0005-0000-0000-0000351E0000}"/>
    <cellStyle name="Bad 3 4 2" xfId="8388" xr:uid="{00000000-0005-0000-0000-0000361E0000}"/>
    <cellStyle name="Bad 3 4 2 2" xfId="8389" xr:uid="{00000000-0005-0000-0000-0000371E0000}"/>
    <cellStyle name="Bad 3 4 3" xfId="8390" xr:uid="{00000000-0005-0000-0000-0000381E0000}"/>
    <cellStyle name="Bad 3 5" xfId="8391" xr:uid="{00000000-0005-0000-0000-0000391E0000}"/>
    <cellStyle name="Bad 4" xfId="8392" xr:uid="{00000000-0005-0000-0000-00003A1E0000}"/>
    <cellStyle name="Bad 4 2" xfId="8393" xr:uid="{00000000-0005-0000-0000-00003B1E0000}"/>
    <cellStyle name="Bad 4 2 2" xfId="8394" xr:uid="{00000000-0005-0000-0000-00003C1E0000}"/>
    <cellStyle name="Bad 4 3" xfId="8395" xr:uid="{00000000-0005-0000-0000-00003D1E0000}"/>
    <cellStyle name="Bad 4 3 2" xfId="8396" xr:uid="{00000000-0005-0000-0000-00003E1E0000}"/>
    <cellStyle name="Bad 4 3 2 2" xfId="8397" xr:uid="{00000000-0005-0000-0000-00003F1E0000}"/>
    <cellStyle name="Bad 4 3 3" xfId="8398" xr:uid="{00000000-0005-0000-0000-0000401E0000}"/>
    <cellStyle name="Bad 4 4" xfId="8399" xr:uid="{00000000-0005-0000-0000-0000411E0000}"/>
    <cellStyle name="Bad 5" xfId="8400" xr:uid="{00000000-0005-0000-0000-0000421E0000}"/>
    <cellStyle name="Bad 5 2" xfId="8401" xr:uid="{00000000-0005-0000-0000-0000431E0000}"/>
    <cellStyle name="Bad 5 2 2" xfId="8402" xr:uid="{00000000-0005-0000-0000-0000441E0000}"/>
    <cellStyle name="Bad 5 2 2 2" xfId="8403" xr:uid="{00000000-0005-0000-0000-0000451E0000}"/>
    <cellStyle name="Bad 5 2 2 2 2" xfId="8404" xr:uid="{00000000-0005-0000-0000-0000461E0000}"/>
    <cellStyle name="Bad 5 2 2 3" xfId="8405" xr:uid="{00000000-0005-0000-0000-0000471E0000}"/>
    <cellStyle name="Bad 5 2 2 3 2" xfId="8406" xr:uid="{00000000-0005-0000-0000-0000481E0000}"/>
    <cellStyle name="Bad 5 2 2 3 2 2" xfId="8407" xr:uid="{00000000-0005-0000-0000-0000491E0000}"/>
    <cellStyle name="Bad 5 2 2 3 3" xfId="8408" xr:uid="{00000000-0005-0000-0000-00004A1E0000}"/>
    <cellStyle name="Bad 5 2 2 4" xfId="8409" xr:uid="{00000000-0005-0000-0000-00004B1E0000}"/>
    <cellStyle name="Bad 5 2 3" xfId="8410" xr:uid="{00000000-0005-0000-0000-00004C1E0000}"/>
    <cellStyle name="Bad 5 2 3 2" xfId="8411" xr:uid="{00000000-0005-0000-0000-00004D1E0000}"/>
    <cellStyle name="Bad 5 2 4" xfId="8412" xr:uid="{00000000-0005-0000-0000-00004E1E0000}"/>
    <cellStyle name="Bad 5 2 4 2" xfId="8413" xr:uid="{00000000-0005-0000-0000-00004F1E0000}"/>
    <cellStyle name="Bad 5 2 4 2 2" xfId="8414" xr:uid="{00000000-0005-0000-0000-0000501E0000}"/>
    <cellStyle name="Bad 5 2 4 3" xfId="8415" xr:uid="{00000000-0005-0000-0000-0000511E0000}"/>
    <cellStyle name="Bad 5 2 5" xfId="8416" xr:uid="{00000000-0005-0000-0000-0000521E0000}"/>
    <cellStyle name="Bad 5 3" xfId="8417" xr:uid="{00000000-0005-0000-0000-0000531E0000}"/>
    <cellStyle name="Bad 5 3 2" xfId="8418" xr:uid="{00000000-0005-0000-0000-0000541E0000}"/>
    <cellStyle name="Bad 5 3 2 2" xfId="8419" xr:uid="{00000000-0005-0000-0000-0000551E0000}"/>
    <cellStyle name="Bad 5 3 3" xfId="8420" xr:uid="{00000000-0005-0000-0000-0000561E0000}"/>
    <cellStyle name="Bad 5 4" xfId="8421" xr:uid="{00000000-0005-0000-0000-0000571E0000}"/>
    <cellStyle name="Bad 5 4 2" xfId="8422" xr:uid="{00000000-0005-0000-0000-0000581E0000}"/>
    <cellStyle name="Bad 5 5" xfId="8423" xr:uid="{00000000-0005-0000-0000-0000591E0000}"/>
    <cellStyle name="Bad 5 5 2" xfId="8424" xr:uid="{00000000-0005-0000-0000-00005A1E0000}"/>
    <cellStyle name="Bad 5 5 2 2" xfId="8425" xr:uid="{00000000-0005-0000-0000-00005B1E0000}"/>
    <cellStyle name="Bad 5 5 3" xfId="8426" xr:uid="{00000000-0005-0000-0000-00005C1E0000}"/>
    <cellStyle name="Bad 5 6" xfId="8427" xr:uid="{00000000-0005-0000-0000-00005D1E0000}"/>
    <cellStyle name="Bad 6" xfId="8428" xr:uid="{00000000-0005-0000-0000-00005E1E0000}"/>
    <cellStyle name="Bad 6 2" xfId="8429" xr:uid="{00000000-0005-0000-0000-00005F1E0000}"/>
    <cellStyle name="Bad 6 2 2" xfId="8430" xr:uid="{00000000-0005-0000-0000-0000601E0000}"/>
    <cellStyle name="Bad 6 3" xfId="8431" xr:uid="{00000000-0005-0000-0000-0000611E0000}"/>
    <cellStyle name="Bad 7" xfId="8432" xr:uid="{00000000-0005-0000-0000-0000621E0000}"/>
    <cellStyle name="Bad 7 2" xfId="8433" xr:uid="{00000000-0005-0000-0000-0000631E0000}"/>
    <cellStyle name="Bad 8" xfId="8434" xr:uid="{00000000-0005-0000-0000-0000641E0000}"/>
    <cellStyle name="Bad 9" xfId="8435" xr:uid="{00000000-0005-0000-0000-0000651E0000}"/>
    <cellStyle name="Body" xfId="8436" xr:uid="{00000000-0005-0000-0000-0000661E0000}"/>
    <cellStyle name="Body 2" xfId="8437" xr:uid="{00000000-0005-0000-0000-0000671E0000}"/>
    <cellStyle name="Body 2 2" xfId="8438" xr:uid="{00000000-0005-0000-0000-0000681E0000}"/>
    <cellStyle name="Body 2 2 2" xfId="8439" xr:uid="{00000000-0005-0000-0000-0000691E0000}"/>
    <cellStyle name="Body 2 3" xfId="8440" xr:uid="{00000000-0005-0000-0000-00006A1E0000}"/>
    <cellStyle name="Body 2 3 2" xfId="8441" xr:uid="{00000000-0005-0000-0000-00006B1E0000}"/>
    <cellStyle name="Body 2 3 2 2" xfId="8442" xr:uid="{00000000-0005-0000-0000-00006C1E0000}"/>
    <cellStyle name="Body 2 3 3" xfId="8443" xr:uid="{00000000-0005-0000-0000-00006D1E0000}"/>
    <cellStyle name="Body 2 4" xfId="8444" xr:uid="{00000000-0005-0000-0000-00006E1E0000}"/>
    <cellStyle name="Body 3" xfId="8445" xr:uid="{00000000-0005-0000-0000-00006F1E0000}"/>
    <cellStyle name="Body 3 2" xfId="8446" xr:uid="{00000000-0005-0000-0000-0000701E0000}"/>
    <cellStyle name="Body 3 2 2" xfId="8447" xr:uid="{00000000-0005-0000-0000-0000711E0000}"/>
    <cellStyle name="Body 3 3" xfId="8448" xr:uid="{00000000-0005-0000-0000-0000721E0000}"/>
    <cellStyle name="Body 4" xfId="8449" xr:uid="{00000000-0005-0000-0000-0000731E0000}"/>
    <cellStyle name="Body 4 2" xfId="8450" xr:uid="{00000000-0005-0000-0000-0000741E0000}"/>
    <cellStyle name="Body 5" xfId="8451" xr:uid="{00000000-0005-0000-0000-0000751E0000}"/>
    <cellStyle name="Body 5 2" xfId="8452" xr:uid="{00000000-0005-0000-0000-0000761E0000}"/>
    <cellStyle name="Body 6" xfId="8453" xr:uid="{00000000-0005-0000-0000-0000771E0000}"/>
    <cellStyle name="BorderedPercent" xfId="8454" xr:uid="{00000000-0005-0000-0000-0000781E0000}"/>
    <cellStyle name="Boxed Integer" xfId="8455" xr:uid="{00000000-0005-0000-0000-0000791E0000}"/>
    <cellStyle name="Calc" xfId="8456" xr:uid="{00000000-0005-0000-0000-00007A1E0000}"/>
    <cellStyle name="Calc Currency (0)" xfId="8457" xr:uid="{00000000-0005-0000-0000-00007B1E0000}"/>
    <cellStyle name="Calc Currency (0) 2" xfId="8458" xr:uid="{00000000-0005-0000-0000-00007C1E0000}"/>
    <cellStyle name="Calc Currency (0) 2 2" xfId="8459" xr:uid="{00000000-0005-0000-0000-00007D1E0000}"/>
    <cellStyle name="Calc Currency (0) 3" xfId="8460" xr:uid="{00000000-0005-0000-0000-00007E1E0000}"/>
    <cellStyle name="Calculation 10" xfId="8461" xr:uid="{00000000-0005-0000-0000-00007F1E0000}"/>
    <cellStyle name="Calculation 2" xfId="8462" xr:uid="{00000000-0005-0000-0000-0000801E0000}"/>
    <cellStyle name="Calculation 2 10" xfId="8463" xr:uid="{00000000-0005-0000-0000-0000811E0000}"/>
    <cellStyle name="Calculation 2 10 2" xfId="8464" xr:uid="{00000000-0005-0000-0000-0000821E0000}"/>
    <cellStyle name="Calculation 2 10 3" xfId="8465" xr:uid="{00000000-0005-0000-0000-0000831E0000}"/>
    <cellStyle name="Calculation 2 11" xfId="8466" xr:uid="{00000000-0005-0000-0000-0000841E0000}"/>
    <cellStyle name="Calculation 2 11 2" xfId="8467" xr:uid="{00000000-0005-0000-0000-0000851E0000}"/>
    <cellStyle name="Calculation 2 12" xfId="8468" xr:uid="{00000000-0005-0000-0000-0000861E0000}"/>
    <cellStyle name="Calculation 2 13" xfId="8469" xr:uid="{00000000-0005-0000-0000-0000871E0000}"/>
    <cellStyle name="Calculation 2 2" xfId="8470" xr:uid="{00000000-0005-0000-0000-0000881E0000}"/>
    <cellStyle name="Calculation 2 2 2" xfId="8471" xr:uid="{00000000-0005-0000-0000-0000891E0000}"/>
    <cellStyle name="Calculation 2 2 2 2" xfId="8472" xr:uid="{00000000-0005-0000-0000-00008A1E0000}"/>
    <cellStyle name="Calculation 2 2 3" xfId="8473" xr:uid="{00000000-0005-0000-0000-00008B1E0000}"/>
    <cellStyle name="Calculation 2 2 3 2" xfId="8474" xr:uid="{00000000-0005-0000-0000-00008C1E0000}"/>
    <cellStyle name="Calculation 2 2 3 2 2" xfId="8475" xr:uid="{00000000-0005-0000-0000-00008D1E0000}"/>
    <cellStyle name="Calculation 2 2 3 3" xfId="8476" xr:uid="{00000000-0005-0000-0000-00008E1E0000}"/>
    <cellStyle name="Calculation 2 2 4" xfId="8477" xr:uid="{00000000-0005-0000-0000-00008F1E0000}"/>
    <cellStyle name="Calculation 2 3" xfId="8478" xr:uid="{00000000-0005-0000-0000-0000901E0000}"/>
    <cellStyle name="Calculation 2 3 2" xfId="8479" xr:uid="{00000000-0005-0000-0000-0000911E0000}"/>
    <cellStyle name="Calculation 2 3 2 2" xfId="8480" xr:uid="{00000000-0005-0000-0000-0000921E0000}"/>
    <cellStyle name="Calculation 2 3 2 2 2" xfId="8481" xr:uid="{00000000-0005-0000-0000-0000931E0000}"/>
    <cellStyle name="Calculation 2 3 2 3" xfId="8482" xr:uid="{00000000-0005-0000-0000-0000941E0000}"/>
    <cellStyle name="Calculation 2 3 3" xfId="8483" xr:uid="{00000000-0005-0000-0000-0000951E0000}"/>
    <cellStyle name="Calculation 2 3 3 2" xfId="8484" xr:uid="{00000000-0005-0000-0000-0000961E0000}"/>
    <cellStyle name="Calculation 2 3 3 2 2" xfId="8485" xr:uid="{00000000-0005-0000-0000-0000971E0000}"/>
    <cellStyle name="Calculation 2 3 3 2 2 2" xfId="8486" xr:uid="{00000000-0005-0000-0000-0000981E0000}"/>
    <cellStyle name="Calculation 2 3 3 2 3" xfId="8487" xr:uid="{00000000-0005-0000-0000-0000991E0000}"/>
    <cellStyle name="Calculation 2 3 3 3" xfId="8488" xr:uid="{00000000-0005-0000-0000-00009A1E0000}"/>
    <cellStyle name="Calculation 2 3 3 3 2" xfId="8489" xr:uid="{00000000-0005-0000-0000-00009B1E0000}"/>
    <cellStyle name="Calculation 2 3 3 4" xfId="8490" xr:uid="{00000000-0005-0000-0000-00009C1E0000}"/>
    <cellStyle name="Calculation 2 3 4" xfId="8491" xr:uid="{00000000-0005-0000-0000-00009D1E0000}"/>
    <cellStyle name="Calculation 2 3 4 2" xfId="8492" xr:uid="{00000000-0005-0000-0000-00009E1E0000}"/>
    <cellStyle name="Calculation 2 3 5" xfId="8493" xr:uid="{00000000-0005-0000-0000-00009F1E0000}"/>
    <cellStyle name="Calculation 2 4" xfId="8494" xr:uid="{00000000-0005-0000-0000-0000A01E0000}"/>
    <cellStyle name="Calculation 2 4 2" xfId="8495" xr:uid="{00000000-0005-0000-0000-0000A11E0000}"/>
    <cellStyle name="Calculation 2 4 2 2" xfId="8496" xr:uid="{00000000-0005-0000-0000-0000A21E0000}"/>
    <cellStyle name="Calculation 2 4 2 2 2" xfId="8497" xr:uid="{00000000-0005-0000-0000-0000A31E0000}"/>
    <cellStyle name="Calculation 2 4 2 3" xfId="8498" xr:uid="{00000000-0005-0000-0000-0000A41E0000}"/>
    <cellStyle name="Calculation 2 4 3" xfId="8499" xr:uid="{00000000-0005-0000-0000-0000A51E0000}"/>
    <cellStyle name="Calculation 2 4 3 2" xfId="8500" xr:uid="{00000000-0005-0000-0000-0000A61E0000}"/>
    <cellStyle name="Calculation 2 4 4" xfId="8501" xr:uid="{00000000-0005-0000-0000-0000A71E0000}"/>
    <cellStyle name="Calculation 2 5" xfId="8502" xr:uid="{00000000-0005-0000-0000-0000A81E0000}"/>
    <cellStyle name="Calculation 2 5 2" xfId="8503" xr:uid="{00000000-0005-0000-0000-0000A91E0000}"/>
    <cellStyle name="Calculation 2 5 2 2" xfId="8504" xr:uid="{00000000-0005-0000-0000-0000AA1E0000}"/>
    <cellStyle name="Calculation 2 5 2 2 2" xfId="8505" xr:uid="{00000000-0005-0000-0000-0000AB1E0000}"/>
    <cellStyle name="Calculation 2 5 2 3" xfId="8506" xr:uid="{00000000-0005-0000-0000-0000AC1E0000}"/>
    <cellStyle name="Calculation 2 5 3" xfId="8507" xr:uid="{00000000-0005-0000-0000-0000AD1E0000}"/>
    <cellStyle name="Calculation 2 5 3 2" xfId="8508" xr:uid="{00000000-0005-0000-0000-0000AE1E0000}"/>
    <cellStyle name="Calculation 2 5 3 2 2" xfId="8509" xr:uid="{00000000-0005-0000-0000-0000AF1E0000}"/>
    <cellStyle name="Calculation 2 5 3 2 2 2" xfId="8510" xr:uid="{00000000-0005-0000-0000-0000B01E0000}"/>
    <cellStyle name="Calculation 2 5 3 2 3" xfId="8511" xr:uid="{00000000-0005-0000-0000-0000B11E0000}"/>
    <cellStyle name="Calculation 2 5 3 3" xfId="8512" xr:uid="{00000000-0005-0000-0000-0000B21E0000}"/>
    <cellStyle name="Calculation 2 5 3 3 2" xfId="8513" xr:uid="{00000000-0005-0000-0000-0000B31E0000}"/>
    <cellStyle name="Calculation 2 5 3 4" xfId="8514" xr:uid="{00000000-0005-0000-0000-0000B41E0000}"/>
    <cellStyle name="Calculation 2 5 4" xfId="8515" xr:uid="{00000000-0005-0000-0000-0000B51E0000}"/>
    <cellStyle name="Calculation 2 5 4 2" xfId="8516" xr:uid="{00000000-0005-0000-0000-0000B61E0000}"/>
    <cellStyle name="Calculation 2 5 5" xfId="8517" xr:uid="{00000000-0005-0000-0000-0000B71E0000}"/>
    <cellStyle name="Calculation 2 6" xfId="8518" xr:uid="{00000000-0005-0000-0000-0000B81E0000}"/>
    <cellStyle name="Calculation 2 6 2" xfId="8519" xr:uid="{00000000-0005-0000-0000-0000B91E0000}"/>
    <cellStyle name="Calculation 2 6 2 2" xfId="8520" xr:uid="{00000000-0005-0000-0000-0000BA1E0000}"/>
    <cellStyle name="Calculation 2 6 2 2 2" xfId="8521" xr:uid="{00000000-0005-0000-0000-0000BB1E0000}"/>
    <cellStyle name="Calculation 2 6 2 3" xfId="8522" xr:uid="{00000000-0005-0000-0000-0000BC1E0000}"/>
    <cellStyle name="Calculation 2 6 3" xfId="8523" xr:uid="{00000000-0005-0000-0000-0000BD1E0000}"/>
    <cellStyle name="Calculation 2 6 3 2" xfId="8524" xr:uid="{00000000-0005-0000-0000-0000BE1E0000}"/>
    <cellStyle name="Calculation 2 6 3 2 2" xfId="8525" xr:uid="{00000000-0005-0000-0000-0000BF1E0000}"/>
    <cellStyle name="Calculation 2 6 3 2 2 2" xfId="8526" xr:uid="{00000000-0005-0000-0000-0000C01E0000}"/>
    <cellStyle name="Calculation 2 6 3 2 2 2 2" xfId="8527" xr:uid="{00000000-0005-0000-0000-0000C11E0000}"/>
    <cellStyle name="Calculation 2 6 3 2 2 3" xfId="8528" xr:uid="{00000000-0005-0000-0000-0000C21E0000}"/>
    <cellStyle name="Calculation 2 6 3 2 3" xfId="8529" xr:uid="{00000000-0005-0000-0000-0000C31E0000}"/>
    <cellStyle name="Calculation 2 6 3 2 3 2" xfId="8530" xr:uid="{00000000-0005-0000-0000-0000C41E0000}"/>
    <cellStyle name="Calculation 2 6 3 2 4" xfId="8531" xr:uid="{00000000-0005-0000-0000-0000C51E0000}"/>
    <cellStyle name="Calculation 2 6 3 3" xfId="8532" xr:uid="{00000000-0005-0000-0000-0000C61E0000}"/>
    <cellStyle name="Calculation 2 6 3 3 2" xfId="8533" xr:uid="{00000000-0005-0000-0000-0000C71E0000}"/>
    <cellStyle name="Calculation 2 6 3 3 2 2" xfId="8534" xr:uid="{00000000-0005-0000-0000-0000C81E0000}"/>
    <cellStyle name="Calculation 2 6 3 3 3" xfId="8535" xr:uid="{00000000-0005-0000-0000-0000C91E0000}"/>
    <cellStyle name="Calculation 2 6 3 4" xfId="8536" xr:uid="{00000000-0005-0000-0000-0000CA1E0000}"/>
    <cellStyle name="Calculation 2 6 3 4 2" xfId="8537" xr:uid="{00000000-0005-0000-0000-0000CB1E0000}"/>
    <cellStyle name="Calculation 2 6 3 5" xfId="8538" xr:uid="{00000000-0005-0000-0000-0000CC1E0000}"/>
    <cellStyle name="Calculation 2 6 4" xfId="8539" xr:uid="{00000000-0005-0000-0000-0000CD1E0000}"/>
    <cellStyle name="Calculation 2 6 4 2" xfId="8540" xr:uid="{00000000-0005-0000-0000-0000CE1E0000}"/>
    <cellStyle name="Calculation 2 6 4 2 2" xfId="8541" xr:uid="{00000000-0005-0000-0000-0000CF1E0000}"/>
    <cellStyle name="Calculation 2 6 4 2 2 2" xfId="8542" xr:uid="{00000000-0005-0000-0000-0000D01E0000}"/>
    <cellStyle name="Calculation 2 6 4 2 3" xfId="8543" xr:uid="{00000000-0005-0000-0000-0000D11E0000}"/>
    <cellStyle name="Calculation 2 6 4 3" xfId="8544" xr:uid="{00000000-0005-0000-0000-0000D21E0000}"/>
    <cellStyle name="Calculation 2 6 4 3 2" xfId="8545" xr:uid="{00000000-0005-0000-0000-0000D31E0000}"/>
    <cellStyle name="Calculation 2 6 4 4" xfId="8546" xr:uid="{00000000-0005-0000-0000-0000D41E0000}"/>
    <cellStyle name="Calculation 2 6 5" xfId="8547" xr:uid="{00000000-0005-0000-0000-0000D51E0000}"/>
    <cellStyle name="Calculation 2 6 5 2" xfId="8548" xr:uid="{00000000-0005-0000-0000-0000D61E0000}"/>
    <cellStyle name="Calculation 2 6 5 2 2" xfId="8549" xr:uid="{00000000-0005-0000-0000-0000D71E0000}"/>
    <cellStyle name="Calculation 2 6 5 3" xfId="8550" xr:uid="{00000000-0005-0000-0000-0000D81E0000}"/>
    <cellStyle name="Calculation 2 6 6" xfId="8551" xr:uid="{00000000-0005-0000-0000-0000D91E0000}"/>
    <cellStyle name="Calculation 2 6 6 2" xfId="8552" xr:uid="{00000000-0005-0000-0000-0000DA1E0000}"/>
    <cellStyle name="Calculation 2 6 7" xfId="8553" xr:uid="{00000000-0005-0000-0000-0000DB1E0000}"/>
    <cellStyle name="Calculation 2 7" xfId="8554" xr:uid="{00000000-0005-0000-0000-0000DC1E0000}"/>
    <cellStyle name="Calculation 2 7 2" xfId="8555" xr:uid="{00000000-0005-0000-0000-0000DD1E0000}"/>
    <cellStyle name="Calculation 2 7 2 2" xfId="8556" xr:uid="{00000000-0005-0000-0000-0000DE1E0000}"/>
    <cellStyle name="Calculation 2 7 3" xfId="8557" xr:uid="{00000000-0005-0000-0000-0000DF1E0000}"/>
    <cellStyle name="Calculation 2 8" xfId="8558" xr:uid="{00000000-0005-0000-0000-0000E01E0000}"/>
    <cellStyle name="Calculation 2 8 2" xfId="8559" xr:uid="{00000000-0005-0000-0000-0000E11E0000}"/>
    <cellStyle name="Calculation 2 8 2 2" xfId="8560" xr:uid="{00000000-0005-0000-0000-0000E21E0000}"/>
    <cellStyle name="Calculation 2 8 2 2 2" xfId="8561" xr:uid="{00000000-0005-0000-0000-0000E31E0000}"/>
    <cellStyle name="Calculation 2 8 2 3" xfId="8562" xr:uid="{00000000-0005-0000-0000-0000E41E0000}"/>
    <cellStyle name="Calculation 2 8 3" xfId="8563" xr:uid="{00000000-0005-0000-0000-0000E51E0000}"/>
    <cellStyle name="Calculation 2 8 3 2" xfId="8564" xr:uid="{00000000-0005-0000-0000-0000E61E0000}"/>
    <cellStyle name="Calculation 2 8 4" xfId="8565" xr:uid="{00000000-0005-0000-0000-0000E71E0000}"/>
    <cellStyle name="Calculation 2 9" xfId="8566" xr:uid="{00000000-0005-0000-0000-0000E81E0000}"/>
    <cellStyle name="Calculation 2 9 2" xfId="8567" xr:uid="{00000000-0005-0000-0000-0000E91E0000}"/>
    <cellStyle name="Calculation 2 9 2 2" xfId="8568" xr:uid="{00000000-0005-0000-0000-0000EA1E0000}"/>
    <cellStyle name="Calculation 2 9 2 2 2" xfId="8569" xr:uid="{00000000-0005-0000-0000-0000EB1E0000}"/>
    <cellStyle name="Calculation 2 9 2 3" xfId="8570" xr:uid="{00000000-0005-0000-0000-0000EC1E0000}"/>
    <cellStyle name="Calculation 2 9 3" xfId="8571" xr:uid="{00000000-0005-0000-0000-0000ED1E0000}"/>
    <cellStyle name="Calculation 2 9 3 2" xfId="8572" xr:uid="{00000000-0005-0000-0000-0000EE1E0000}"/>
    <cellStyle name="Calculation 2 9 4" xfId="8573" xr:uid="{00000000-0005-0000-0000-0000EF1E0000}"/>
    <cellStyle name="Calculation 2 9 4 2" xfId="8574" xr:uid="{00000000-0005-0000-0000-0000F01E0000}"/>
    <cellStyle name="Calculation 2 9 5" xfId="8575" xr:uid="{00000000-0005-0000-0000-0000F11E0000}"/>
    <cellStyle name="Calculation 3" xfId="8576" xr:uid="{00000000-0005-0000-0000-0000F21E0000}"/>
    <cellStyle name="Calculation 3 2" xfId="8577" xr:uid="{00000000-0005-0000-0000-0000F31E0000}"/>
    <cellStyle name="Calculation 3 2 2" xfId="8578" xr:uid="{00000000-0005-0000-0000-0000F41E0000}"/>
    <cellStyle name="Calculation 3 2 2 2" xfId="8579" xr:uid="{00000000-0005-0000-0000-0000F51E0000}"/>
    <cellStyle name="Calculation 3 2 3" xfId="8580" xr:uid="{00000000-0005-0000-0000-0000F61E0000}"/>
    <cellStyle name="Calculation 3 3" xfId="8581" xr:uid="{00000000-0005-0000-0000-0000F71E0000}"/>
    <cellStyle name="Calculation 3 3 2" xfId="8582" xr:uid="{00000000-0005-0000-0000-0000F81E0000}"/>
    <cellStyle name="Calculation 3 4" xfId="8583" xr:uid="{00000000-0005-0000-0000-0000F91E0000}"/>
    <cellStyle name="Calculation 3 4 2" xfId="8584" xr:uid="{00000000-0005-0000-0000-0000FA1E0000}"/>
    <cellStyle name="Calculation 3 4 2 2" xfId="8585" xr:uid="{00000000-0005-0000-0000-0000FB1E0000}"/>
    <cellStyle name="Calculation 3 4 3" xfId="8586" xr:uid="{00000000-0005-0000-0000-0000FC1E0000}"/>
    <cellStyle name="Calculation 3 5" xfId="8587" xr:uid="{00000000-0005-0000-0000-0000FD1E0000}"/>
    <cellStyle name="Calculation 4" xfId="8588" xr:uid="{00000000-0005-0000-0000-0000FE1E0000}"/>
    <cellStyle name="Calculation 4 2" xfId="8589" xr:uid="{00000000-0005-0000-0000-0000FF1E0000}"/>
    <cellStyle name="Calculation 4 2 2" xfId="8590" xr:uid="{00000000-0005-0000-0000-0000001F0000}"/>
    <cellStyle name="Calculation 4 3" xfId="8591" xr:uid="{00000000-0005-0000-0000-0000011F0000}"/>
    <cellStyle name="Calculation 4 3 2" xfId="8592" xr:uid="{00000000-0005-0000-0000-0000021F0000}"/>
    <cellStyle name="Calculation 4 3 2 2" xfId="8593" xr:uid="{00000000-0005-0000-0000-0000031F0000}"/>
    <cellStyle name="Calculation 4 3 3" xfId="8594" xr:uid="{00000000-0005-0000-0000-0000041F0000}"/>
    <cellStyle name="Calculation 4 4" xfId="8595" xr:uid="{00000000-0005-0000-0000-0000051F0000}"/>
    <cellStyle name="Calculation 5" xfId="8596" xr:uid="{00000000-0005-0000-0000-0000061F0000}"/>
    <cellStyle name="Calculation 5 2" xfId="8597" xr:uid="{00000000-0005-0000-0000-0000071F0000}"/>
    <cellStyle name="Calculation 5 2 2" xfId="8598" xr:uid="{00000000-0005-0000-0000-0000081F0000}"/>
    <cellStyle name="Calculation 5 2 2 2" xfId="8599" xr:uid="{00000000-0005-0000-0000-0000091F0000}"/>
    <cellStyle name="Calculation 5 2 3" xfId="8600" xr:uid="{00000000-0005-0000-0000-00000A1F0000}"/>
    <cellStyle name="Calculation 5 3" xfId="8601" xr:uid="{00000000-0005-0000-0000-00000B1F0000}"/>
    <cellStyle name="Calculation 5 3 2" xfId="8602" xr:uid="{00000000-0005-0000-0000-00000C1F0000}"/>
    <cellStyle name="Calculation 5 3 2 2" xfId="8603" xr:uid="{00000000-0005-0000-0000-00000D1F0000}"/>
    <cellStyle name="Calculation 5 3 2 2 2" xfId="8604" xr:uid="{00000000-0005-0000-0000-00000E1F0000}"/>
    <cellStyle name="Calculation 5 3 2 3" xfId="8605" xr:uid="{00000000-0005-0000-0000-00000F1F0000}"/>
    <cellStyle name="Calculation 5 3 3" xfId="8606" xr:uid="{00000000-0005-0000-0000-0000101F0000}"/>
    <cellStyle name="Calculation 5 3 3 2" xfId="8607" xr:uid="{00000000-0005-0000-0000-0000111F0000}"/>
    <cellStyle name="Calculation 5 3 4" xfId="8608" xr:uid="{00000000-0005-0000-0000-0000121F0000}"/>
    <cellStyle name="Calculation 5 4" xfId="8609" xr:uid="{00000000-0005-0000-0000-0000131F0000}"/>
    <cellStyle name="Calculation 5 4 2" xfId="8610" xr:uid="{00000000-0005-0000-0000-0000141F0000}"/>
    <cellStyle name="Calculation 5 5" xfId="8611" xr:uid="{00000000-0005-0000-0000-0000151F0000}"/>
    <cellStyle name="Calculation 6" xfId="8612" xr:uid="{00000000-0005-0000-0000-0000161F0000}"/>
    <cellStyle name="Calculation 6 2" xfId="8613" xr:uid="{00000000-0005-0000-0000-0000171F0000}"/>
    <cellStyle name="Calculation 6 2 2" xfId="8614" xr:uid="{00000000-0005-0000-0000-0000181F0000}"/>
    <cellStyle name="Calculation 6 2 2 2" xfId="8615" xr:uid="{00000000-0005-0000-0000-0000191F0000}"/>
    <cellStyle name="Calculation 6 2 3" xfId="8616" xr:uid="{00000000-0005-0000-0000-00001A1F0000}"/>
    <cellStyle name="Calculation 6 3" xfId="8617" xr:uid="{00000000-0005-0000-0000-00001B1F0000}"/>
    <cellStyle name="Calculation 6 3 2" xfId="8618" xr:uid="{00000000-0005-0000-0000-00001C1F0000}"/>
    <cellStyle name="Calculation 6 4" xfId="8619" xr:uid="{00000000-0005-0000-0000-00001D1F0000}"/>
    <cellStyle name="Calculation 7" xfId="8620" xr:uid="{00000000-0005-0000-0000-00001E1F0000}"/>
    <cellStyle name="Calculation 7 2" xfId="8621" xr:uid="{00000000-0005-0000-0000-00001F1F0000}"/>
    <cellStyle name="Calculation 8" xfId="8622" xr:uid="{00000000-0005-0000-0000-0000201F0000}"/>
    <cellStyle name="Calculation 8 2" xfId="8623" xr:uid="{00000000-0005-0000-0000-0000211F0000}"/>
    <cellStyle name="Calculation 9" xfId="8624" xr:uid="{00000000-0005-0000-0000-0000221F0000}"/>
    <cellStyle name="Center" xfId="8625" xr:uid="{00000000-0005-0000-0000-0000231F0000}"/>
    <cellStyle name="Center 2" xfId="8626" xr:uid="{00000000-0005-0000-0000-0000241F0000}"/>
    <cellStyle name="Center 2 2" xfId="8627" xr:uid="{00000000-0005-0000-0000-0000251F0000}"/>
    <cellStyle name="Center 3" xfId="8628" xr:uid="{00000000-0005-0000-0000-0000261F0000}"/>
    <cellStyle name="Center 3 2" xfId="8629" xr:uid="{00000000-0005-0000-0000-0000271F0000}"/>
    <cellStyle name="Center 3 2 2" xfId="8630" xr:uid="{00000000-0005-0000-0000-0000281F0000}"/>
    <cellStyle name="Center 3 3" xfId="8631" xr:uid="{00000000-0005-0000-0000-0000291F0000}"/>
    <cellStyle name="Center 4" xfId="8632" xr:uid="{00000000-0005-0000-0000-00002A1F0000}"/>
    <cellStyle name="CenterWrap" xfId="8633" xr:uid="{00000000-0005-0000-0000-00002B1F0000}"/>
    <cellStyle name="Cents" xfId="8634" xr:uid="{00000000-0005-0000-0000-00002C1F0000}"/>
    <cellStyle name="Check Cell 2" xfId="8635" xr:uid="{00000000-0005-0000-0000-00002D1F0000}"/>
    <cellStyle name="Check Cell 2 10" xfId="8636" xr:uid="{00000000-0005-0000-0000-00002E1F0000}"/>
    <cellStyle name="Check Cell 2 10 2" xfId="8637" xr:uid="{00000000-0005-0000-0000-00002F1F0000}"/>
    <cellStyle name="Check Cell 2 11" xfId="8638" xr:uid="{00000000-0005-0000-0000-0000301F0000}"/>
    <cellStyle name="Check Cell 2 12" xfId="8639" xr:uid="{00000000-0005-0000-0000-0000311F0000}"/>
    <cellStyle name="Check Cell 2 2" xfId="8640" xr:uid="{00000000-0005-0000-0000-0000321F0000}"/>
    <cellStyle name="Check Cell 2 2 2" xfId="8641" xr:uid="{00000000-0005-0000-0000-0000331F0000}"/>
    <cellStyle name="Check Cell 2 2 2 2" xfId="8642" xr:uid="{00000000-0005-0000-0000-0000341F0000}"/>
    <cellStyle name="Check Cell 2 2 3" xfId="8643" xr:uid="{00000000-0005-0000-0000-0000351F0000}"/>
    <cellStyle name="Check Cell 2 2 3 2" xfId="8644" xr:uid="{00000000-0005-0000-0000-0000361F0000}"/>
    <cellStyle name="Check Cell 2 2 3 2 2" xfId="8645" xr:uid="{00000000-0005-0000-0000-0000371F0000}"/>
    <cellStyle name="Check Cell 2 2 3 3" xfId="8646" xr:uid="{00000000-0005-0000-0000-0000381F0000}"/>
    <cellStyle name="Check Cell 2 2 4" xfId="8647" xr:uid="{00000000-0005-0000-0000-0000391F0000}"/>
    <cellStyle name="Check Cell 2 3" xfId="8648" xr:uid="{00000000-0005-0000-0000-00003A1F0000}"/>
    <cellStyle name="Check Cell 2 3 2" xfId="8649" xr:uid="{00000000-0005-0000-0000-00003B1F0000}"/>
    <cellStyle name="Check Cell 2 3 2 2" xfId="8650" xr:uid="{00000000-0005-0000-0000-00003C1F0000}"/>
    <cellStyle name="Check Cell 2 3 3" xfId="8651" xr:uid="{00000000-0005-0000-0000-00003D1F0000}"/>
    <cellStyle name="Check Cell 2 3 3 2" xfId="8652" xr:uid="{00000000-0005-0000-0000-00003E1F0000}"/>
    <cellStyle name="Check Cell 2 3 3 2 2" xfId="8653" xr:uid="{00000000-0005-0000-0000-00003F1F0000}"/>
    <cellStyle name="Check Cell 2 3 3 3" xfId="8654" xr:uid="{00000000-0005-0000-0000-0000401F0000}"/>
    <cellStyle name="Check Cell 2 3 4" xfId="8655" xr:uid="{00000000-0005-0000-0000-0000411F0000}"/>
    <cellStyle name="Check Cell 2 4" xfId="8656" xr:uid="{00000000-0005-0000-0000-0000421F0000}"/>
    <cellStyle name="Check Cell 2 4 2" xfId="8657" xr:uid="{00000000-0005-0000-0000-0000431F0000}"/>
    <cellStyle name="Check Cell 2 4 2 2" xfId="8658" xr:uid="{00000000-0005-0000-0000-0000441F0000}"/>
    <cellStyle name="Check Cell 2 4 3" xfId="8659" xr:uid="{00000000-0005-0000-0000-0000451F0000}"/>
    <cellStyle name="Check Cell 2 5" xfId="8660" xr:uid="{00000000-0005-0000-0000-0000461F0000}"/>
    <cellStyle name="Check Cell 2 5 2" xfId="8661" xr:uid="{00000000-0005-0000-0000-0000471F0000}"/>
    <cellStyle name="Check Cell 2 5 2 2" xfId="8662" xr:uid="{00000000-0005-0000-0000-0000481F0000}"/>
    <cellStyle name="Check Cell 2 5 3" xfId="8663" xr:uid="{00000000-0005-0000-0000-0000491F0000}"/>
    <cellStyle name="Check Cell 2 5 3 2" xfId="8664" xr:uid="{00000000-0005-0000-0000-00004A1F0000}"/>
    <cellStyle name="Check Cell 2 5 3 2 2" xfId="8665" xr:uid="{00000000-0005-0000-0000-00004B1F0000}"/>
    <cellStyle name="Check Cell 2 5 3 3" xfId="8666" xr:uid="{00000000-0005-0000-0000-00004C1F0000}"/>
    <cellStyle name="Check Cell 2 5 4" xfId="8667" xr:uid="{00000000-0005-0000-0000-00004D1F0000}"/>
    <cellStyle name="Check Cell 2 6" xfId="8668" xr:uid="{00000000-0005-0000-0000-00004E1F0000}"/>
    <cellStyle name="Check Cell 2 6 2" xfId="8669" xr:uid="{00000000-0005-0000-0000-00004F1F0000}"/>
    <cellStyle name="Check Cell 2 6 2 2" xfId="8670" xr:uid="{00000000-0005-0000-0000-0000501F0000}"/>
    <cellStyle name="Check Cell 2 6 3" xfId="8671" xr:uid="{00000000-0005-0000-0000-0000511F0000}"/>
    <cellStyle name="Check Cell 2 6 3 2" xfId="8672" xr:uid="{00000000-0005-0000-0000-0000521F0000}"/>
    <cellStyle name="Check Cell 2 6 4" xfId="8673" xr:uid="{00000000-0005-0000-0000-0000531F0000}"/>
    <cellStyle name="Check Cell 2 7" xfId="8674" xr:uid="{00000000-0005-0000-0000-0000541F0000}"/>
    <cellStyle name="Check Cell 2 7 2" xfId="8675" xr:uid="{00000000-0005-0000-0000-0000551F0000}"/>
    <cellStyle name="Check Cell 2 8" xfId="8676" xr:uid="{00000000-0005-0000-0000-0000561F0000}"/>
    <cellStyle name="Check Cell 2 8 2" xfId="8677" xr:uid="{00000000-0005-0000-0000-0000571F0000}"/>
    <cellStyle name="Check Cell 2 8 2 2" xfId="8678" xr:uid="{00000000-0005-0000-0000-0000581F0000}"/>
    <cellStyle name="Check Cell 2 8 3" xfId="8679" xr:uid="{00000000-0005-0000-0000-0000591F0000}"/>
    <cellStyle name="Check Cell 2 9" xfId="8680" xr:uid="{00000000-0005-0000-0000-00005A1F0000}"/>
    <cellStyle name="Check Cell 2 9 2" xfId="8681" xr:uid="{00000000-0005-0000-0000-00005B1F0000}"/>
    <cellStyle name="Check Cell 2 9 2 2" xfId="8682" xr:uid="{00000000-0005-0000-0000-00005C1F0000}"/>
    <cellStyle name="Check Cell 2 9 3" xfId="8683" xr:uid="{00000000-0005-0000-0000-00005D1F0000}"/>
    <cellStyle name="Check Cell 3" xfId="8684" xr:uid="{00000000-0005-0000-0000-00005E1F0000}"/>
    <cellStyle name="Check Cell 3 2" xfId="8685" xr:uid="{00000000-0005-0000-0000-00005F1F0000}"/>
    <cellStyle name="Check Cell 3 2 2" xfId="8686" xr:uid="{00000000-0005-0000-0000-0000601F0000}"/>
    <cellStyle name="Check Cell 3 3" xfId="8687" xr:uid="{00000000-0005-0000-0000-0000611F0000}"/>
    <cellStyle name="Check Cell 3 3 2" xfId="8688" xr:uid="{00000000-0005-0000-0000-0000621F0000}"/>
    <cellStyle name="Check Cell 3 4" xfId="8689" xr:uid="{00000000-0005-0000-0000-0000631F0000}"/>
    <cellStyle name="Check Cell 3 4 2" xfId="8690" xr:uid="{00000000-0005-0000-0000-0000641F0000}"/>
    <cellStyle name="Check Cell 3 4 2 2" xfId="8691" xr:uid="{00000000-0005-0000-0000-0000651F0000}"/>
    <cellStyle name="Check Cell 3 4 3" xfId="8692" xr:uid="{00000000-0005-0000-0000-0000661F0000}"/>
    <cellStyle name="Check Cell 3 5" xfId="8693" xr:uid="{00000000-0005-0000-0000-0000671F0000}"/>
    <cellStyle name="Check Cell 4" xfId="8694" xr:uid="{00000000-0005-0000-0000-0000681F0000}"/>
    <cellStyle name="Check Cell 4 2" xfId="8695" xr:uid="{00000000-0005-0000-0000-0000691F0000}"/>
    <cellStyle name="Check Cell 4 2 2" xfId="8696" xr:uid="{00000000-0005-0000-0000-00006A1F0000}"/>
    <cellStyle name="Check Cell 4 3" xfId="8697" xr:uid="{00000000-0005-0000-0000-00006B1F0000}"/>
    <cellStyle name="Check Cell 4 3 2" xfId="8698" xr:uid="{00000000-0005-0000-0000-00006C1F0000}"/>
    <cellStyle name="Check Cell 4 3 2 2" xfId="8699" xr:uid="{00000000-0005-0000-0000-00006D1F0000}"/>
    <cellStyle name="Check Cell 4 3 3" xfId="8700" xr:uid="{00000000-0005-0000-0000-00006E1F0000}"/>
    <cellStyle name="Check Cell 4 4" xfId="8701" xr:uid="{00000000-0005-0000-0000-00006F1F0000}"/>
    <cellStyle name="Check Cell 5" xfId="8702" xr:uid="{00000000-0005-0000-0000-0000701F0000}"/>
    <cellStyle name="Check Cell 5 2" xfId="8703" xr:uid="{00000000-0005-0000-0000-0000711F0000}"/>
    <cellStyle name="Check Cell 5 2 2" xfId="8704" xr:uid="{00000000-0005-0000-0000-0000721F0000}"/>
    <cellStyle name="Check Cell 5 3" xfId="8705" xr:uid="{00000000-0005-0000-0000-0000731F0000}"/>
    <cellStyle name="Check Cell 5 3 2" xfId="8706" xr:uid="{00000000-0005-0000-0000-0000741F0000}"/>
    <cellStyle name="Check Cell 5 3 2 2" xfId="8707" xr:uid="{00000000-0005-0000-0000-0000751F0000}"/>
    <cellStyle name="Check Cell 5 3 3" xfId="8708" xr:uid="{00000000-0005-0000-0000-0000761F0000}"/>
    <cellStyle name="Check Cell 5 4" xfId="8709" xr:uid="{00000000-0005-0000-0000-0000771F0000}"/>
    <cellStyle name="Check Cell 6" xfId="8710" xr:uid="{00000000-0005-0000-0000-0000781F0000}"/>
    <cellStyle name="Check Cell 6 2" xfId="8711" xr:uid="{00000000-0005-0000-0000-0000791F0000}"/>
    <cellStyle name="Check Cell 6 2 2" xfId="8712" xr:uid="{00000000-0005-0000-0000-00007A1F0000}"/>
    <cellStyle name="Check Cell 6 3" xfId="8713" xr:uid="{00000000-0005-0000-0000-00007B1F0000}"/>
    <cellStyle name="Check Cell 7" xfId="8714" xr:uid="{00000000-0005-0000-0000-00007C1F0000}"/>
    <cellStyle name="Check Cell 7 2" xfId="8715" xr:uid="{00000000-0005-0000-0000-00007D1F0000}"/>
    <cellStyle name="Check Cell 8" xfId="8716" xr:uid="{00000000-0005-0000-0000-00007E1F0000}"/>
    <cellStyle name="Check Cell 9" xfId="8717" xr:uid="{00000000-0005-0000-0000-00007F1F0000}"/>
    <cellStyle name="Comma" xfId="19" builtinId="3"/>
    <cellStyle name="Comma [0]" xfId="53892" builtinId="6"/>
    <cellStyle name="Comma [0] 2" xfId="8718" xr:uid="{00000000-0005-0000-0000-0000811F0000}"/>
    <cellStyle name="Comma [0] 3" xfId="8719" xr:uid="{00000000-0005-0000-0000-0000821F0000}"/>
    <cellStyle name="Comma [0] 4" xfId="53888" xr:uid="{00000000-0005-0000-0000-0000831F0000}"/>
    <cellStyle name="Comma 10" xfId="8720" xr:uid="{00000000-0005-0000-0000-0000841F0000}"/>
    <cellStyle name="Comma 11" xfId="8721" xr:uid="{00000000-0005-0000-0000-0000851F0000}"/>
    <cellStyle name="Comma 12" xfId="8722" xr:uid="{00000000-0005-0000-0000-0000861F0000}"/>
    <cellStyle name="Comma 13" xfId="8723" xr:uid="{00000000-0005-0000-0000-0000871F0000}"/>
    <cellStyle name="Comma 14" xfId="8724" xr:uid="{00000000-0005-0000-0000-0000881F0000}"/>
    <cellStyle name="Comma 15" xfId="8725" xr:uid="{00000000-0005-0000-0000-0000891F0000}"/>
    <cellStyle name="Comma 16" xfId="8726" xr:uid="{00000000-0005-0000-0000-00008A1F0000}"/>
    <cellStyle name="Comma 17" xfId="8727" xr:uid="{00000000-0005-0000-0000-00008B1F0000}"/>
    <cellStyle name="Comma 176" xfId="8728" xr:uid="{00000000-0005-0000-0000-00008C1F0000}"/>
    <cellStyle name="Comma 18" xfId="8729" xr:uid="{00000000-0005-0000-0000-00008D1F0000}"/>
    <cellStyle name="Comma 19" xfId="8730" xr:uid="{00000000-0005-0000-0000-00008E1F0000}"/>
    <cellStyle name="Comma 2" xfId="20" xr:uid="{00000000-0005-0000-0000-00008F1F0000}"/>
    <cellStyle name="Comma 2 2" xfId="21" xr:uid="{00000000-0005-0000-0000-0000901F0000}"/>
    <cellStyle name="Comma 2 2 2" xfId="96" xr:uid="{00000000-0005-0000-0000-0000911F0000}"/>
    <cellStyle name="Comma 2 2 2 2" xfId="8731" xr:uid="{00000000-0005-0000-0000-0000921F0000}"/>
    <cellStyle name="Comma 2 2 3" xfId="8732" xr:uid="{00000000-0005-0000-0000-0000931F0000}"/>
    <cellStyle name="Comma 2 3" xfId="95" xr:uid="{00000000-0005-0000-0000-0000941F0000}"/>
    <cellStyle name="Comma 2 3 2" xfId="8734" xr:uid="{00000000-0005-0000-0000-0000951F0000}"/>
    <cellStyle name="Comma 2 3 3" xfId="8733" xr:uid="{00000000-0005-0000-0000-0000961F0000}"/>
    <cellStyle name="Comma 2 4" xfId="83" xr:uid="{00000000-0005-0000-0000-0000971F0000}"/>
    <cellStyle name="Comma 2 4 2" xfId="8736" xr:uid="{00000000-0005-0000-0000-0000981F0000}"/>
    <cellStyle name="Comma 2 4 3" xfId="8737" xr:uid="{00000000-0005-0000-0000-0000991F0000}"/>
    <cellStyle name="Comma 2 4 3 2" xfId="8738" xr:uid="{00000000-0005-0000-0000-00009A1F0000}"/>
    <cellStyle name="Comma 2 4 4" xfId="8735" xr:uid="{00000000-0005-0000-0000-00009B1F0000}"/>
    <cellStyle name="Comma 2 5" xfId="8739" xr:uid="{00000000-0005-0000-0000-00009C1F0000}"/>
    <cellStyle name="Comma 20" xfId="8740" xr:uid="{00000000-0005-0000-0000-00009D1F0000}"/>
    <cellStyle name="Comma 21" xfId="8741" xr:uid="{00000000-0005-0000-0000-00009E1F0000}"/>
    <cellStyle name="Comma 22" xfId="8742" xr:uid="{00000000-0005-0000-0000-00009F1F0000}"/>
    <cellStyle name="Comma 23" xfId="668" xr:uid="{00000000-0005-0000-0000-0000A01F0000}"/>
    <cellStyle name="Comma 24" xfId="53871" xr:uid="{00000000-0005-0000-0000-0000A11F0000}"/>
    <cellStyle name="Comma 25" xfId="53875" xr:uid="{00000000-0005-0000-0000-0000A21F0000}"/>
    <cellStyle name="Comma 26" xfId="53878" xr:uid="{00000000-0005-0000-0000-0000A31F0000}"/>
    <cellStyle name="Comma 27" xfId="53881" xr:uid="{00000000-0005-0000-0000-0000A41F0000}"/>
    <cellStyle name="Comma 28" xfId="53884" xr:uid="{00000000-0005-0000-0000-0000A51F0000}"/>
    <cellStyle name="Comma 29" xfId="53887" xr:uid="{00000000-0005-0000-0000-0000A61F0000}"/>
    <cellStyle name="Comma 3" xfId="22" xr:uid="{00000000-0005-0000-0000-0000A71F0000}"/>
    <cellStyle name="Comma 3 2" xfId="97" xr:uid="{00000000-0005-0000-0000-0000A81F0000}"/>
    <cellStyle name="Comma 3 2 2" xfId="8744" xr:uid="{00000000-0005-0000-0000-0000A91F0000}"/>
    <cellStyle name="Comma 3 2 2 2" xfId="8745" xr:uid="{00000000-0005-0000-0000-0000AA1F0000}"/>
    <cellStyle name="Comma 3 2 2 3" xfId="8746" xr:uid="{00000000-0005-0000-0000-0000AB1F0000}"/>
    <cellStyle name="Comma 3 2 2 3 2" xfId="8747" xr:uid="{00000000-0005-0000-0000-0000AC1F0000}"/>
    <cellStyle name="Comma 3 2 2 4" xfId="8748" xr:uid="{00000000-0005-0000-0000-0000AD1F0000}"/>
    <cellStyle name="Comma 3 2 2 4 2" xfId="8749" xr:uid="{00000000-0005-0000-0000-0000AE1F0000}"/>
    <cellStyle name="Comma 3 2 3" xfId="8750" xr:uid="{00000000-0005-0000-0000-0000AF1F0000}"/>
    <cellStyle name="Comma 3 2 3 2" xfId="8751" xr:uid="{00000000-0005-0000-0000-0000B01F0000}"/>
    <cellStyle name="Comma 3 2 4" xfId="8752" xr:uid="{00000000-0005-0000-0000-0000B11F0000}"/>
    <cellStyle name="Comma 3 2 5" xfId="8743" xr:uid="{00000000-0005-0000-0000-0000B21F0000}"/>
    <cellStyle name="Comma 3 3" xfId="8753" xr:uid="{00000000-0005-0000-0000-0000B31F0000}"/>
    <cellStyle name="Comma 3 3 2" xfId="8754" xr:uid="{00000000-0005-0000-0000-0000B41F0000}"/>
    <cellStyle name="Comma 3 4" xfId="8755" xr:uid="{00000000-0005-0000-0000-0000B51F0000}"/>
    <cellStyle name="Comma 3 4 2" xfId="8756" xr:uid="{00000000-0005-0000-0000-0000B61F0000}"/>
    <cellStyle name="Comma 3 5" xfId="8757" xr:uid="{00000000-0005-0000-0000-0000B71F0000}"/>
    <cellStyle name="Comma 3 5 2" xfId="8758" xr:uid="{00000000-0005-0000-0000-0000B81F0000}"/>
    <cellStyle name="Comma 3 5 3" xfId="8759" xr:uid="{00000000-0005-0000-0000-0000B91F0000}"/>
    <cellStyle name="Comma 3 5 3 2" xfId="8760" xr:uid="{00000000-0005-0000-0000-0000BA1F0000}"/>
    <cellStyle name="Comma 3 5 4" xfId="8761" xr:uid="{00000000-0005-0000-0000-0000BB1F0000}"/>
    <cellStyle name="Comma 3 5 4 2" xfId="8762" xr:uid="{00000000-0005-0000-0000-0000BC1F0000}"/>
    <cellStyle name="Comma 3 6" xfId="8763" xr:uid="{00000000-0005-0000-0000-0000BD1F0000}"/>
    <cellStyle name="Comma 3 6 2" xfId="8764" xr:uid="{00000000-0005-0000-0000-0000BE1F0000}"/>
    <cellStyle name="Comma 3 7" xfId="8765" xr:uid="{00000000-0005-0000-0000-0000BF1F0000}"/>
    <cellStyle name="Comma 3 8" xfId="671" xr:uid="{00000000-0005-0000-0000-0000C01F0000}"/>
    <cellStyle name="Comma 30" xfId="53891" xr:uid="{00000000-0005-0000-0000-0000C11F0000}"/>
    <cellStyle name="Comma 4" xfId="94" xr:uid="{00000000-0005-0000-0000-0000C21F0000}"/>
    <cellStyle name="Comma 4 2" xfId="8767" xr:uid="{00000000-0005-0000-0000-0000C31F0000}"/>
    <cellStyle name="Comma 4 2 2" xfId="8768" xr:uid="{00000000-0005-0000-0000-0000C41F0000}"/>
    <cellStyle name="Comma 4 3" xfId="8766" xr:uid="{00000000-0005-0000-0000-0000C51F0000}"/>
    <cellStyle name="Comma 5" xfId="139" xr:uid="{00000000-0005-0000-0000-0000C61F0000}"/>
    <cellStyle name="Comma 5 2" xfId="8769" xr:uid="{00000000-0005-0000-0000-0000C71F0000}"/>
    <cellStyle name="Comma 5 2 2" xfId="8770" xr:uid="{00000000-0005-0000-0000-0000C81F0000}"/>
    <cellStyle name="Comma 6" xfId="245" xr:uid="{00000000-0005-0000-0000-0000C91F0000}"/>
    <cellStyle name="Comma 6 2" xfId="254" xr:uid="{00000000-0005-0000-0000-0000CA1F0000}"/>
    <cellStyle name="Comma 6 3" xfId="8771" xr:uid="{00000000-0005-0000-0000-0000CB1F0000}"/>
    <cellStyle name="Comma 6 3 3" xfId="53896" xr:uid="{4C1C0A83-A128-4EA0-9D67-5E1A235371E0}"/>
    <cellStyle name="Comma 7" xfId="8772" xr:uid="{00000000-0005-0000-0000-0000CC1F0000}"/>
    <cellStyle name="Comma 7 2" xfId="8773" xr:uid="{00000000-0005-0000-0000-0000CD1F0000}"/>
    <cellStyle name="Comma 7 3" xfId="8774" xr:uid="{00000000-0005-0000-0000-0000CE1F0000}"/>
    <cellStyle name="Comma 7 3 2" xfId="8775" xr:uid="{00000000-0005-0000-0000-0000CF1F0000}"/>
    <cellStyle name="Comma 7 4" xfId="8776" xr:uid="{00000000-0005-0000-0000-0000D01F0000}"/>
    <cellStyle name="Comma 7 4 2" xfId="8777" xr:uid="{00000000-0005-0000-0000-0000D11F0000}"/>
    <cellStyle name="Comma 8" xfId="133" xr:uid="{00000000-0005-0000-0000-0000D21F0000}"/>
    <cellStyle name="Comma 8 2" xfId="8779" xr:uid="{00000000-0005-0000-0000-0000D31F0000}"/>
    <cellStyle name="Comma 8 2 2" xfId="8780" xr:uid="{00000000-0005-0000-0000-0000D41F0000}"/>
    <cellStyle name="Comma 8 3" xfId="8781" xr:uid="{00000000-0005-0000-0000-0000D51F0000}"/>
    <cellStyle name="Comma 8 4" xfId="8782" xr:uid="{00000000-0005-0000-0000-0000D61F0000}"/>
    <cellStyle name="Comma 8 4 2" xfId="8783" xr:uid="{00000000-0005-0000-0000-0000D71F0000}"/>
    <cellStyle name="Comma 8 5" xfId="8784" xr:uid="{00000000-0005-0000-0000-0000D81F0000}"/>
    <cellStyle name="Comma 8 6" xfId="8778" xr:uid="{00000000-0005-0000-0000-0000D91F0000}"/>
    <cellStyle name="Comma 9" xfId="8785" xr:uid="{00000000-0005-0000-0000-0000DA1F0000}"/>
    <cellStyle name="Comma 9 2" xfId="8786" xr:uid="{00000000-0005-0000-0000-0000DB1F0000}"/>
    <cellStyle name="Comma 9 3" xfId="8787" xr:uid="{00000000-0005-0000-0000-0000DC1F0000}"/>
    <cellStyle name="Comma 9 3 2" xfId="8788" xr:uid="{00000000-0005-0000-0000-0000DD1F0000}"/>
    <cellStyle name="Comma 9 4" xfId="8789" xr:uid="{00000000-0005-0000-0000-0000DE1F0000}"/>
    <cellStyle name="Comma 9 4 2" xfId="8790" xr:uid="{00000000-0005-0000-0000-0000DF1F0000}"/>
    <cellStyle name="Copied" xfId="8791" xr:uid="{00000000-0005-0000-0000-0000E01F0000}"/>
    <cellStyle name="Copied 2" xfId="8792" xr:uid="{00000000-0005-0000-0000-0000E11F0000}"/>
    <cellStyle name="Copied 2 2" xfId="8793" xr:uid="{00000000-0005-0000-0000-0000E21F0000}"/>
    <cellStyle name="Copied 2 2 2" xfId="8794" xr:uid="{00000000-0005-0000-0000-0000E31F0000}"/>
    <cellStyle name="Copied 2 3" xfId="8795" xr:uid="{00000000-0005-0000-0000-0000E41F0000}"/>
    <cellStyle name="Copied 2 3 2" xfId="8796" xr:uid="{00000000-0005-0000-0000-0000E51F0000}"/>
    <cellStyle name="Copied 2 3 2 2" xfId="8797" xr:uid="{00000000-0005-0000-0000-0000E61F0000}"/>
    <cellStyle name="Copied 2 3 3" xfId="8798" xr:uid="{00000000-0005-0000-0000-0000E71F0000}"/>
    <cellStyle name="Copied 2 4" xfId="8799" xr:uid="{00000000-0005-0000-0000-0000E81F0000}"/>
    <cellStyle name="Copied 3" xfId="8800" xr:uid="{00000000-0005-0000-0000-0000E91F0000}"/>
    <cellStyle name="Copied 3 2" xfId="8801" xr:uid="{00000000-0005-0000-0000-0000EA1F0000}"/>
    <cellStyle name="Copied 3 2 2" xfId="8802" xr:uid="{00000000-0005-0000-0000-0000EB1F0000}"/>
    <cellStyle name="Copied 3 3" xfId="8803" xr:uid="{00000000-0005-0000-0000-0000EC1F0000}"/>
    <cellStyle name="Copied 4" xfId="8804" xr:uid="{00000000-0005-0000-0000-0000ED1F0000}"/>
    <cellStyle name="Copied 4 2" xfId="8805" xr:uid="{00000000-0005-0000-0000-0000EE1F0000}"/>
    <cellStyle name="Copied 4 2 2" xfId="8806" xr:uid="{00000000-0005-0000-0000-0000EF1F0000}"/>
    <cellStyle name="Copied 4 3" xfId="8807" xr:uid="{00000000-0005-0000-0000-0000F01F0000}"/>
    <cellStyle name="Copied 5" xfId="8808" xr:uid="{00000000-0005-0000-0000-0000F11F0000}"/>
    <cellStyle name="Copied 5 2" xfId="8809" xr:uid="{00000000-0005-0000-0000-0000F21F0000}"/>
    <cellStyle name="Copied 6" xfId="8810" xr:uid="{00000000-0005-0000-0000-0000F31F0000}"/>
    <cellStyle name="Copied 6 2" xfId="8811" xr:uid="{00000000-0005-0000-0000-0000F41F0000}"/>
    <cellStyle name="Copied 7" xfId="8812" xr:uid="{00000000-0005-0000-0000-0000F51F0000}"/>
    <cellStyle name="CostNoZero" xfId="8813" xr:uid="{00000000-0005-0000-0000-0000F61F0000}"/>
    <cellStyle name="Currency" xfId="23" builtinId="4"/>
    <cellStyle name="Currency 10" xfId="53703" xr:uid="{00000000-0005-0000-0000-0000F81F0000}"/>
    <cellStyle name="Currency 11" xfId="53873" xr:uid="{00000000-0005-0000-0000-0000F91F0000}"/>
    <cellStyle name="Currency 2" xfId="98" xr:uid="{00000000-0005-0000-0000-0000FA1F0000}"/>
    <cellStyle name="Currency 2 2" xfId="8815" xr:uid="{00000000-0005-0000-0000-0000FB1F0000}"/>
    <cellStyle name="Currency 2 2 2" xfId="8816" xr:uid="{00000000-0005-0000-0000-0000FC1F0000}"/>
    <cellStyle name="Currency 2 2 2 2" xfId="8817" xr:uid="{00000000-0005-0000-0000-0000FD1F0000}"/>
    <cellStyle name="Currency 2 2 2 3" xfId="8818" xr:uid="{00000000-0005-0000-0000-0000FE1F0000}"/>
    <cellStyle name="Currency 2 2 2 3 2" xfId="8819" xr:uid="{00000000-0005-0000-0000-0000FF1F0000}"/>
    <cellStyle name="Currency 2 2 2 4" xfId="8820" xr:uid="{00000000-0005-0000-0000-000000200000}"/>
    <cellStyle name="Currency 2 2 2 4 2" xfId="8821" xr:uid="{00000000-0005-0000-0000-000001200000}"/>
    <cellStyle name="Currency 2 2 3" xfId="8822" xr:uid="{00000000-0005-0000-0000-000002200000}"/>
    <cellStyle name="Currency 2 2 3 2" xfId="8823" xr:uid="{00000000-0005-0000-0000-000003200000}"/>
    <cellStyle name="Currency 2 2 4" xfId="8824" xr:uid="{00000000-0005-0000-0000-000004200000}"/>
    <cellStyle name="Currency 2 3" xfId="8825" xr:uid="{00000000-0005-0000-0000-000005200000}"/>
    <cellStyle name="Currency 2 3 2" xfId="8826" xr:uid="{00000000-0005-0000-0000-000006200000}"/>
    <cellStyle name="Currency 2 3 3" xfId="8827" xr:uid="{00000000-0005-0000-0000-000007200000}"/>
    <cellStyle name="Currency 2 3 3 2" xfId="8828" xr:uid="{00000000-0005-0000-0000-000008200000}"/>
    <cellStyle name="Currency 2 3 4" xfId="8829" xr:uid="{00000000-0005-0000-0000-000009200000}"/>
    <cellStyle name="Currency 2 3 4 2" xfId="8830" xr:uid="{00000000-0005-0000-0000-00000A200000}"/>
    <cellStyle name="Currency 2 4" xfId="8831" xr:uid="{00000000-0005-0000-0000-00000B200000}"/>
    <cellStyle name="Currency 2 4 2" xfId="8832" xr:uid="{00000000-0005-0000-0000-00000C200000}"/>
    <cellStyle name="Currency 2 5" xfId="8833" xr:uid="{00000000-0005-0000-0000-00000D200000}"/>
    <cellStyle name="Currency 2 6" xfId="8834" xr:uid="{00000000-0005-0000-0000-00000E200000}"/>
    <cellStyle name="Currency 2 7" xfId="8814" xr:uid="{00000000-0005-0000-0000-00000F200000}"/>
    <cellStyle name="Currency 3" xfId="140" xr:uid="{00000000-0005-0000-0000-000010200000}"/>
    <cellStyle name="Currency 3 2" xfId="8836" xr:uid="{00000000-0005-0000-0000-000011200000}"/>
    <cellStyle name="Currency 3 2 2" xfId="8837" xr:uid="{00000000-0005-0000-0000-000012200000}"/>
    <cellStyle name="Currency 3 3" xfId="8838" xr:uid="{00000000-0005-0000-0000-000013200000}"/>
    <cellStyle name="Currency 3 3 2" xfId="8839" xr:uid="{00000000-0005-0000-0000-000014200000}"/>
    <cellStyle name="Currency 3 3 3" xfId="8840" xr:uid="{00000000-0005-0000-0000-000015200000}"/>
    <cellStyle name="Currency 3 3 3 2" xfId="8841" xr:uid="{00000000-0005-0000-0000-000016200000}"/>
    <cellStyle name="Currency 3 3 4" xfId="8842" xr:uid="{00000000-0005-0000-0000-000017200000}"/>
    <cellStyle name="Currency 3 3 4 2" xfId="8843" xr:uid="{00000000-0005-0000-0000-000018200000}"/>
    <cellStyle name="Currency 3 4" xfId="8844" xr:uid="{00000000-0005-0000-0000-000019200000}"/>
    <cellStyle name="Currency 3 5" xfId="8835" xr:uid="{00000000-0005-0000-0000-00001A200000}"/>
    <cellStyle name="Currency 4" xfId="255" xr:uid="{00000000-0005-0000-0000-00001B200000}"/>
    <cellStyle name="Currency 4 2" xfId="8846" xr:uid="{00000000-0005-0000-0000-00001C200000}"/>
    <cellStyle name="Currency 4 2 2" xfId="8847" xr:uid="{00000000-0005-0000-0000-00001D200000}"/>
    <cellStyle name="Currency 4 3" xfId="8848" xr:uid="{00000000-0005-0000-0000-00001E200000}"/>
    <cellStyle name="Currency 4 3 2" xfId="8849" xr:uid="{00000000-0005-0000-0000-00001F200000}"/>
    <cellStyle name="Currency 4 4" xfId="8845" xr:uid="{00000000-0005-0000-0000-000020200000}"/>
    <cellStyle name="Currency 5" xfId="8850" xr:uid="{00000000-0005-0000-0000-000021200000}"/>
    <cellStyle name="Currency 5 2" xfId="8851" xr:uid="{00000000-0005-0000-0000-000022200000}"/>
    <cellStyle name="Currency 6" xfId="8852" xr:uid="{00000000-0005-0000-0000-000023200000}"/>
    <cellStyle name="Currency 6 2" xfId="8853" xr:uid="{00000000-0005-0000-0000-000024200000}"/>
    <cellStyle name="Currency 6 2 2" xfId="8854" xr:uid="{00000000-0005-0000-0000-000025200000}"/>
    <cellStyle name="Currency 6 3" xfId="8855" xr:uid="{00000000-0005-0000-0000-000026200000}"/>
    <cellStyle name="Currency 6 3 2" xfId="8856" xr:uid="{00000000-0005-0000-0000-000027200000}"/>
    <cellStyle name="Currency 6 4" xfId="8857" xr:uid="{00000000-0005-0000-0000-000028200000}"/>
    <cellStyle name="Currency 7" xfId="8858" xr:uid="{00000000-0005-0000-0000-000029200000}"/>
    <cellStyle name="Currency 7 2" xfId="8859" xr:uid="{00000000-0005-0000-0000-00002A200000}"/>
    <cellStyle name="Currency 8" xfId="8860" xr:uid="{00000000-0005-0000-0000-00002B200000}"/>
    <cellStyle name="Currency 9" xfId="8861" xr:uid="{00000000-0005-0000-0000-00002C200000}"/>
    <cellStyle name="Currency.00" xfId="8862" xr:uid="{00000000-0005-0000-0000-00002D200000}"/>
    <cellStyle name="Date" xfId="8863" xr:uid="{00000000-0005-0000-0000-00002E200000}"/>
    <cellStyle name="Date (m/d/yy)" xfId="8864" xr:uid="{00000000-0005-0000-0000-00002F200000}"/>
    <cellStyle name="Date (m/d/yy) 2" xfId="8865" xr:uid="{00000000-0005-0000-0000-000030200000}"/>
    <cellStyle name="Date_~6497230" xfId="8866" xr:uid="{00000000-0005-0000-0000-000031200000}"/>
    <cellStyle name="Decimal" xfId="8867" xr:uid="{00000000-0005-0000-0000-000032200000}"/>
    <cellStyle name="Emphasis 1" xfId="24" xr:uid="{00000000-0005-0000-0000-000033200000}"/>
    <cellStyle name="Emphasis 1 10" xfId="8868" xr:uid="{00000000-0005-0000-0000-000034200000}"/>
    <cellStyle name="Emphasis 1 2" xfId="8869" xr:uid="{00000000-0005-0000-0000-000035200000}"/>
    <cellStyle name="Emphasis 1 2 2" xfId="8870" xr:uid="{00000000-0005-0000-0000-000036200000}"/>
    <cellStyle name="Emphasis 1 2 2 2" xfId="8871" xr:uid="{00000000-0005-0000-0000-000037200000}"/>
    <cellStyle name="Emphasis 1 2 3" xfId="8872" xr:uid="{00000000-0005-0000-0000-000038200000}"/>
    <cellStyle name="Emphasis 1 2 3 2" xfId="8873" xr:uid="{00000000-0005-0000-0000-000039200000}"/>
    <cellStyle name="Emphasis 1 2 3 2 2" xfId="8874" xr:uid="{00000000-0005-0000-0000-00003A200000}"/>
    <cellStyle name="Emphasis 1 2 3 3" xfId="8875" xr:uid="{00000000-0005-0000-0000-00003B200000}"/>
    <cellStyle name="Emphasis 1 2 4" xfId="8876" xr:uid="{00000000-0005-0000-0000-00003C200000}"/>
    <cellStyle name="Emphasis 1 2 4 2" xfId="8877" xr:uid="{00000000-0005-0000-0000-00003D200000}"/>
    <cellStyle name="Emphasis 1 2 4 2 2" xfId="8878" xr:uid="{00000000-0005-0000-0000-00003E200000}"/>
    <cellStyle name="Emphasis 1 2 4 3" xfId="8879" xr:uid="{00000000-0005-0000-0000-00003F200000}"/>
    <cellStyle name="Emphasis 1 2 5" xfId="8880" xr:uid="{00000000-0005-0000-0000-000040200000}"/>
    <cellStyle name="Emphasis 1 3" xfId="8881" xr:uid="{00000000-0005-0000-0000-000041200000}"/>
    <cellStyle name="Emphasis 1 3 2" xfId="8882" xr:uid="{00000000-0005-0000-0000-000042200000}"/>
    <cellStyle name="Emphasis 1 3 2 2" xfId="8883" xr:uid="{00000000-0005-0000-0000-000043200000}"/>
    <cellStyle name="Emphasis 1 3 3" xfId="8884" xr:uid="{00000000-0005-0000-0000-000044200000}"/>
    <cellStyle name="Emphasis 1 4" xfId="8885" xr:uid="{00000000-0005-0000-0000-000045200000}"/>
    <cellStyle name="Emphasis 1 4 2" xfId="8886" xr:uid="{00000000-0005-0000-0000-000046200000}"/>
    <cellStyle name="Emphasis 1 5" xfId="8887" xr:uid="{00000000-0005-0000-0000-000047200000}"/>
    <cellStyle name="Emphasis 1 5 2" xfId="8888" xr:uid="{00000000-0005-0000-0000-000048200000}"/>
    <cellStyle name="Emphasis 1 6" xfId="8889" xr:uid="{00000000-0005-0000-0000-000049200000}"/>
    <cellStyle name="Emphasis 1 6 2" xfId="8890" xr:uid="{00000000-0005-0000-0000-00004A200000}"/>
    <cellStyle name="Emphasis 1 6 2 2" xfId="8891" xr:uid="{00000000-0005-0000-0000-00004B200000}"/>
    <cellStyle name="Emphasis 1 6 3" xfId="8892" xr:uid="{00000000-0005-0000-0000-00004C200000}"/>
    <cellStyle name="Emphasis 1 7" xfId="8893" xr:uid="{00000000-0005-0000-0000-00004D200000}"/>
    <cellStyle name="Emphasis 1 7 2" xfId="8894" xr:uid="{00000000-0005-0000-0000-00004E200000}"/>
    <cellStyle name="Emphasis 1 8" xfId="8895" xr:uid="{00000000-0005-0000-0000-00004F200000}"/>
    <cellStyle name="Emphasis 1 8 2" xfId="8896" xr:uid="{00000000-0005-0000-0000-000050200000}"/>
    <cellStyle name="Emphasis 1 9" xfId="8897" xr:uid="{00000000-0005-0000-0000-000051200000}"/>
    <cellStyle name="Emphasis 2" xfId="25" xr:uid="{00000000-0005-0000-0000-000052200000}"/>
    <cellStyle name="Emphasis 2 10" xfId="8898" xr:uid="{00000000-0005-0000-0000-000053200000}"/>
    <cellStyle name="Emphasis 2 2" xfId="8899" xr:uid="{00000000-0005-0000-0000-000054200000}"/>
    <cellStyle name="Emphasis 2 2 2" xfId="8900" xr:uid="{00000000-0005-0000-0000-000055200000}"/>
    <cellStyle name="Emphasis 2 2 2 2" xfId="8901" xr:uid="{00000000-0005-0000-0000-000056200000}"/>
    <cellStyle name="Emphasis 2 2 3" xfId="8902" xr:uid="{00000000-0005-0000-0000-000057200000}"/>
    <cellStyle name="Emphasis 2 2 3 2" xfId="8903" xr:uid="{00000000-0005-0000-0000-000058200000}"/>
    <cellStyle name="Emphasis 2 2 3 2 2" xfId="8904" xr:uid="{00000000-0005-0000-0000-000059200000}"/>
    <cellStyle name="Emphasis 2 2 3 3" xfId="8905" xr:uid="{00000000-0005-0000-0000-00005A200000}"/>
    <cellStyle name="Emphasis 2 2 4" xfId="8906" xr:uid="{00000000-0005-0000-0000-00005B200000}"/>
    <cellStyle name="Emphasis 2 2 4 2" xfId="8907" xr:uid="{00000000-0005-0000-0000-00005C200000}"/>
    <cellStyle name="Emphasis 2 2 4 2 2" xfId="8908" xr:uid="{00000000-0005-0000-0000-00005D200000}"/>
    <cellStyle name="Emphasis 2 2 4 3" xfId="8909" xr:uid="{00000000-0005-0000-0000-00005E200000}"/>
    <cellStyle name="Emphasis 2 2 5" xfId="8910" xr:uid="{00000000-0005-0000-0000-00005F200000}"/>
    <cellStyle name="Emphasis 2 3" xfId="8911" xr:uid="{00000000-0005-0000-0000-000060200000}"/>
    <cellStyle name="Emphasis 2 3 2" xfId="8912" xr:uid="{00000000-0005-0000-0000-000061200000}"/>
    <cellStyle name="Emphasis 2 3 2 2" xfId="8913" xr:uid="{00000000-0005-0000-0000-000062200000}"/>
    <cellStyle name="Emphasis 2 3 3" xfId="8914" xr:uid="{00000000-0005-0000-0000-000063200000}"/>
    <cellStyle name="Emphasis 2 4" xfId="8915" xr:uid="{00000000-0005-0000-0000-000064200000}"/>
    <cellStyle name="Emphasis 2 4 2" xfId="8916" xr:uid="{00000000-0005-0000-0000-000065200000}"/>
    <cellStyle name="Emphasis 2 5" xfId="8917" xr:uid="{00000000-0005-0000-0000-000066200000}"/>
    <cellStyle name="Emphasis 2 5 2" xfId="8918" xr:uid="{00000000-0005-0000-0000-000067200000}"/>
    <cellStyle name="Emphasis 2 6" xfId="8919" xr:uid="{00000000-0005-0000-0000-000068200000}"/>
    <cellStyle name="Emphasis 2 6 2" xfId="8920" xr:uid="{00000000-0005-0000-0000-000069200000}"/>
    <cellStyle name="Emphasis 2 6 2 2" xfId="8921" xr:uid="{00000000-0005-0000-0000-00006A200000}"/>
    <cellStyle name="Emphasis 2 6 3" xfId="8922" xr:uid="{00000000-0005-0000-0000-00006B200000}"/>
    <cellStyle name="Emphasis 2 7" xfId="8923" xr:uid="{00000000-0005-0000-0000-00006C200000}"/>
    <cellStyle name="Emphasis 2 7 2" xfId="8924" xr:uid="{00000000-0005-0000-0000-00006D200000}"/>
    <cellStyle name="Emphasis 2 8" xfId="8925" xr:uid="{00000000-0005-0000-0000-00006E200000}"/>
    <cellStyle name="Emphasis 2 8 2" xfId="8926" xr:uid="{00000000-0005-0000-0000-00006F200000}"/>
    <cellStyle name="Emphasis 2 9" xfId="8927" xr:uid="{00000000-0005-0000-0000-000070200000}"/>
    <cellStyle name="Emphasis 3" xfId="26" xr:uid="{00000000-0005-0000-0000-000071200000}"/>
    <cellStyle name="Emphasis 3 2" xfId="8928" xr:uid="{00000000-0005-0000-0000-000072200000}"/>
    <cellStyle name="Emphasis 3 2 2" xfId="8929" xr:uid="{00000000-0005-0000-0000-000073200000}"/>
    <cellStyle name="Emphasis 3 2 2 2" xfId="8930" xr:uid="{00000000-0005-0000-0000-000074200000}"/>
    <cellStyle name="Emphasis 3 2 3" xfId="8931" xr:uid="{00000000-0005-0000-0000-000075200000}"/>
    <cellStyle name="Emphasis 3 2 3 2" xfId="8932" xr:uid="{00000000-0005-0000-0000-000076200000}"/>
    <cellStyle name="Emphasis 3 2 3 2 2" xfId="8933" xr:uid="{00000000-0005-0000-0000-000077200000}"/>
    <cellStyle name="Emphasis 3 2 3 3" xfId="8934" xr:uid="{00000000-0005-0000-0000-000078200000}"/>
    <cellStyle name="Emphasis 3 2 4" xfId="8935" xr:uid="{00000000-0005-0000-0000-000079200000}"/>
    <cellStyle name="Emphasis 3 3" xfId="8936" xr:uid="{00000000-0005-0000-0000-00007A200000}"/>
    <cellStyle name="Emphasis 3 3 2" xfId="8937" xr:uid="{00000000-0005-0000-0000-00007B200000}"/>
    <cellStyle name="Emphasis 3 3 2 2" xfId="8938" xr:uid="{00000000-0005-0000-0000-00007C200000}"/>
    <cellStyle name="Emphasis 3 3 3" xfId="8939" xr:uid="{00000000-0005-0000-0000-00007D200000}"/>
    <cellStyle name="Emphasis 3 4" xfId="8940" xr:uid="{00000000-0005-0000-0000-00007E200000}"/>
    <cellStyle name="Emphasis 3 4 2" xfId="8941" xr:uid="{00000000-0005-0000-0000-00007F200000}"/>
    <cellStyle name="Emphasis 3 5" xfId="8942" xr:uid="{00000000-0005-0000-0000-000080200000}"/>
    <cellStyle name="Emphasis 3 5 2" xfId="8943" xr:uid="{00000000-0005-0000-0000-000081200000}"/>
    <cellStyle name="Emphasis 3 6" xfId="8944" xr:uid="{00000000-0005-0000-0000-000082200000}"/>
    <cellStyle name="Emphasis 3 7" xfId="8945" xr:uid="{00000000-0005-0000-0000-000083200000}"/>
    <cellStyle name="Entered" xfId="8946" xr:uid="{00000000-0005-0000-0000-000084200000}"/>
    <cellStyle name="Entered 2" xfId="8947" xr:uid="{00000000-0005-0000-0000-000085200000}"/>
    <cellStyle name="Entered 2 2" xfId="8948" xr:uid="{00000000-0005-0000-0000-000086200000}"/>
    <cellStyle name="Entered 2 2 2" xfId="8949" xr:uid="{00000000-0005-0000-0000-000087200000}"/>
    <cellStyle name="Entered 2 3" xfId="8950" xr:uid="{00000000-0005-0000-0000-000088200000}"/>
    <cellStyle name="Entered 2 3 2" xfId="8951" xr:uid="{00000000-0005-0000-0000-000089200000}"/>
    <cellStyle name="Entered 2 3 2 2" xfId="8952" xr:uid="{00000000-0005-0000-0000-00008A200000}"/>
    <cellStyle name="Entered 2 3 3" xfId="8953" xr:uid="{00000000-0005-0000-0000-00008B200000}"/>
    <cellStyle name="Entered 2 4" xfId="8954" xr:uid="{00000000-0005-0000-0000-00008C200000}"/>
    <cellStyle name="Entered 3" xfId="8955" xr:uid="{00000000-0005-0000-0000-00008D200000}"/>
    <cellStyle name="Entered 3 2" xfId="8956" xr:uid="{00000000-0005-0000-0000-00008E200000}"/>
    <cellStyle name="Entered 3 2 2" xfId="8957" xr:uid="{00000000-0005-0000-0000-00008F200000}"/>
    <cellStyle name="Entered 3 3" xfId="8958" xr:uid="{00000000-0005-0000-0000-000090200000}"/>
    <cellStyle name="Entered 4" xfId="8959" xr:uid="{00000000-0005-0000-0000-000091200000}"/>
    <cellStyle name="Entered 4 2" xfId="8960" xr:uid="{00000000-0005-0000-0000-000092200000}"/>
    <cellStyle name="Entered 4 2 2" xfId="8961" xr:uid="{00000000-0005-0000-0000-000093200000}"/>
    <cellStyle name="Entered 4 3" xfId="8962" xr:uid="{00000000-0005-0000-0000-000094200000}"/>
    <cellStyle name="Entered 5" xfId="8963" xr:uid="{00000000-0005-0000-0000-000095200000}"/>
    <cellStyle name="Entered 5 2" xfId="8964" xr:uid="{00000000-0005-0000-0000-000096200000}"/>
    <cellStyle name="Entered 6" xfId="8965" xr:uid="{00000000-0005-0000-0000-000097200000}"/>
    <cellStyle name="Entered 6 2" xfId="8966" xr:uid="{00000000-0005-0000-0000-000098200000}"/>
    <cellStyle name="Entered 7" xfId="8967" xr:uid="{00000000-0005-0000-0000-000099200000}"/>
    <cellStyle name="Euro" xfId="8968" xr:uid="{00000000-0005-0000-0000-00009A200000}"/>
    <cellStyle name="Euro 2" xfId="8969" xr:uid="{00000000-0005-0000-0000-00009B200000}"/>
    <cellStyle name="Euro 2 2" xfId="8970" xr:uid="{00000000-0005-0000-0000-00009C200000}"/>
    <cellStyle name="Euro 2 2 2" xfId="8971" xr:uid="{00000000-0005-0000-0000-00009D200000}"/>
    <cellStyle name="Euro 2 2 2 2" xfId="8972" xr:uid="{00000000-0005-0000-0000-00009E200000}"/>
    <cellStyle name="Euro 2 2 3" xfId="8973" xr:uid="{00000000-0005-0000-0000-00009F200000}"/>
    <cellStyle name="Euro 2 3" xfId="8974" xr:uid="{00000000-0005-0000-0000-0000A0200000}"/>
    <cellStyle name="Euro 2 3 2" xfId="8975" xr:uid="{00000000-0005-0000-0000-0000A1200000}"/>
    <cellStyle name="Euro 2 3 2 2" xfId="8976" xr:uid="{00000000-0005-0000-0000-0000A2200000}"/>
    <cellStyle name="Euro 2 3 3" xfId="8977" xr:uid="{00000000-0005-0000-0000-0000A3200000}"/>
    <cellStyle name="Euro 2 4" xfId="8978" xr:uid="{00000000-0005-0000-0000-0000A4200000}"/>
    <cellStyle name="Euro 3" xfId="8979" xr:uid="{00000000-0005-0000-0000-0000A5200000}"/>
    <cellStyle name="Euro 3 2" xfId="8980" xr:uid="{00000000-0005-0000-0000-0000A6200000}"/>
    <cellStyle name="Euro 3 2 2" xfId="8981" xr:uid="{00000000-0005-0000-0000-0000A7200000}"/>
    <cellStyle name="Euro 3 3" xfId="8982" xr:uid="{00000000-0005-0000-0000-0000A8200000}"/>
    <cellStyle name="Euro 4" xfId="8983" xr:uid="{00000000-0005-0000-0000-0000A9200000}"/>
    <cellStyle name="Euro 4 2" xfId="8984" xr:uid="{00000000-0005-0000-0000-0000AA200000}"/>
    <cellStyle name="Euro 4 2 2" xfId="8985" xr:uid="{00000000-0005-0000-0000-0000AB200000}"/>
    <cellStyle name="Euro 4 3" xfId="8986" xr:uid="{00000000-0005-0000-0000-0000AC200000}"/>
    <cellStyle name="Euro 5" xfId="8987" xr:uid="{00000000-0005-0000-0000-0000AD200000}"/>
    <cellStyle name="Euro 5 2" xfId="8988" xr:uid="{00000000-0005-0000-0000-0000AE200000}"/>
    <cellStyle name="Euro 6" xfId="8989" xr:uid="{00000000-0005-0000-0000-0000AF200000}"/>
    <cellStyle name="Explanatory Text 2" xfId="8990" xr:uid="{00000000-0005-0000-0000-0000B0200000}"/>
    <cellStyle name="Explanatory Text 2 10" xfId="8991" xr:uid="{00000000-0005-0000-0000-0000B1200000}"/>
    <cellStyle name="Explanatory Text 2 2" xfId="8992" xr:uid="{00000000-0005-0000-0000-0000B2200000}"/>
    <cellStyle name="Explanatory Text 2 2 2" xfId="8993" xr:uid="{00000000-0005-0000-0000-0000B3200000}"/>
    <cellStyle name="Explanatory Text 2 2 2 2" xfId="8994" xr:uid="{00000000-0005-0000-0000-0000B4200000}"/>
    <cellStyle name="Explanatory Text 2 2 3" xfId="8995" xr:uid="{00000000-0005-0000-0000-0000B5200000}"/>
    <cellStyle name="Explanatory Text 2 2 3 2" xfId="8996" xr:uid="{00000000-0005-0000-0000-0000B6200000}"/>
    <cellStyle name="Explanatory Text 2 2 3 2 2" xfId="8997" xr:uid="{00000000-0005-0000-0000-0000B7200000}"/>
    <cellStyle name="Explanatory Text 2 2 3 3" xfId="8998" xr:uid="{00000000-0005-0000-0000-0000B8200000}"/>
    <cellStyle name="Explanatory Text 2 2 4" xfId="8999" xr:uid="{00000000-0005-0000-0000-0000B9200000}"/>
    <cellStyle name="Explanatory Text 2 3" xfId="9000" xr:uid="{00000000-0005-0000-0000-0000BA200000}"/>
    <cellStyle name="Explanatory Text 2 3 2" xfId="9001" xr:uid="{00000000-0005-0000-0000-0000BB200000}"/>
    <cellStyle name="Explanatory Text 2 3 2 2" xfId="9002" xr:uid="{00000000-0005-0000-0000-0000BC200000}"/>
    <cellStyle name="Explanatory Text 2 3 3" xfId="9003" xr:uid="{00000000-0005-0000-0000-0000BD200000}"/>
    <cellStyle name="Explanatory Text 2 3 3 2" xfId="9004" xr:uid="{00000000-0005-0000-0000-0000BE200000}"/>
    <cellStyle name="Explanatory Text 2 3 3 2 2" xfId="9005" xr:uid="{00000000-0005-0000-0000-0000BF200000}"/>
    <cellStyle name="Explanatory Text 2 3 3 3" xfId="9006" xr:uid="{00000000-0005-0000-0000-0000C0200000}"/>
    <cellStyle name="Explanatory Text 2 3 4" xfId="9007" xr:uid="{00000000-0005-0000-0000-0000C1200000}"/>
    <cellStyle name="Explanatory Text 2 4" xfId="9008" xr:uid="{00000000-0005-0000-0000-0000C2200000}"/>
    <cellStyle name="Explanatory Text 2 4 2" xfId="9009" xr:uid="{00000000-0005-0000-0000-0000C3200000}"/>
    <cellStyle name="Explanatory Text 2 4 2 2" xfId="9010" xr:uid="{00000000-0005-0000-0000-0000C4200000}"/>
    <cellStyle name="Explanatory Text 2 4 3" xfId="9011" xr:uid="{00000000-0005-0000-0000-0000C5200000}"/>
    <cellStyle name="Explanatory Text 2 5" xfId="9012" xr:uid="{00000000-0005-0000-0000-0000C6200000}"/>
    <cellStyle name="Explanatory Text 2 5 2" xfId="9013" xr:uid="{00000000-0005-0000-0000-0000C7200000}"/>
    <cellStyle name="Explanatory Text 2 5 2 2" xfId="9014" xr:uid="{00000000-0005-0000-0000-0000C8200000}"/>
    <cellStyle name="Explanatory Text 2 5 3" xfId="9015" xr:uid="{00000000-0005-0000-0000-0000C9200000}"/>
    <cellStyle name="Explanatory Text 2 5 3 2" xfId="9016" xr:uid="{00000000-0005-0000-0000-0000CA200000}"/>
    <cellStyle name="Explanatory Text 2 5 3 2 2" xfId="9017" xr:uid="{00000000-0005-0000-0000-0000CB200000}"/>
    <cellStyle name="Explanatory Text 2 5 3 3" xfId="9018" xr:uid="{00000000-0005-0000-0000-0000CC200000}"/>
    <cellStyle name="Explanatory Text 2 5 4" xfId="9019" xr:uid="{00000000-0005-0000-0000-0000CD200000}"/>
    <cellStyle name="Explanatory Text 2 6" xfId="9020" xr:uid="{00000000-0005-0000-0000-0000CE200000}"/>
    <cellStyle name="Explanatory Text 2 6 2" xfId="9021" xr:uid="{00000000-0005-0000-0000-0000CF200000}"/>
    <cellStyle name="Explanatory Text 2 7" xfId="9022" xr:uid="{00000000-0005-0000-0000-0000D0200000}"/>
    <cellStyle name="Explanatory Text 2 7 2" xfId="9023" xr:uid="{00000000-0005-0000-0000-0000D1200000}"/>
    <cellStyle name="Explanatory Text 2 8" xfId="9024" xr:uid="{00000000-0005-0000-0000-0000D2200000}"/>
    <cellStyle name="Explanatory Text 2 8 2" xfId="9025" xr:uid="{00000000-0005-0000-0000-0000D3200000}"/>
    <cellStyle name="Explanatory Text 2 8 2 2" xfId="9026" xr:uid="{00000000-0005-0000-0000-0000D4200000}"/>
    <cellStyle name="Explanatory Text 2 8 3" xfId="9027" xr:uid="{00000000-0005-0000-0000-0000D5200000}"/>
    <cellStyle name="Explanatory Text 2 9" xfId="9028" xr:uid="{00000000-0005-0000-0000-0000D6200000}"/>
    <cellStyle name="Explanatory Text 2 9 2" xfId="9029" xr:uid="{00000000-0005-0000-0000-0000D7200000}"/>
    <cellStyle name="Explanatory Text 2 9 2 2" xfId="9030" xr:uid="{00000000-0005-0000-0000-0000D8200000}"/>
    <cellStyle name="Explanatory Text 2 9 3" xfId="9031" xr:uid="{00000000-0005-0000-0000-0000D9200000}"/>
    <cellStyle name="Explanatory Text 3" xfId="9032" xr:uid="{00000000-0005-0000-0000-0000DA200000}"/>
    <cellStyle name="Explanatory Text 3 2" xfId="9033" xr:uid="{00000000-0005-0000-0000-0000DB200000}"/>
    <cellStyle name="Explanatory Text 3 2 2" xfId="9034" xr:uid="{00000000-0005-0000-0000-0000DC200000}"/>
    <cellStyle name="Explanatory Text 3 3" xfId="9035" xr:uid="{00000000-0005-0000-0000-0000DD200000}"/>
    <cellStyle name="Explanatory Text 3 3 2" xfId="9036" xr:uid="{00000000-0005-0000-0000-0000DE200000}"/>
    <cellStyle name="Explanatory Text 3 4" xfId="9037" xr:uid="{00000000-0005-0000-0000-0000DF200000}"/>
    <cellStyle name="Explanatory Text 3 4 2" xfId="9038" xr:uid="{00000000-0005-0000-0000-0000E0200000}"/>
    <cellStyle name="Explanatory Text 3 4 2 2" xfId="9039" xr:uid="{00000000-0005-0000-0000-0000E1200000}"/>
    <cellStyle name="Explanatory Text 3 4 3" xfId="9040" xr:uid="{00000000-0005-0000-0000-0000E2200000}"/>
    <cellStyle name="Explanatory Text 3 5" xfId="9041" xr:uid="{00000000-0005-0000-0000-0000E3200000}"/>
    <cellStyle name="Explanatory Text 4" xfId="9042" xr:uid="{00000000-0005-0000-0000-0000E4200000}"/>
    <cellStyle name="Explanatory Text 4 2" xfId="9043" xr:uid="{00000000-0005-0000-0000-0000E5200000}"/>
    <cellStyle name="Explanatory Text 4 2 2" xfId="9044" xr:uid="{00000000-0005-0000-0000-0000E6200000}"/>
    <cellStyle name="Explanatory Text 4 3" xfId="9045" xr:uid="{00000000-0005-0000-0000-0000E7200000}"/>
    <cellStyle name="Explanatory Text 4 3 2" xfId="9046" xr:uid="{00000000-0005-0000-0000-0000E8200000}"/>
    <cellStyle name="Explanatory Text 4 3 2 2" xfId="9047" xr:uid="{00000000-0005-0000-0000-0000E9200000}"/>
    <cellStyle name="Explanatory Text 4 3 3" xfId="9048" xr:uid="{00000000-0005-0000-0000-0000EA200000}"/>
    <cellStyle name="Explanatory Text 4 4" xfId="9049" xr:uid="{00000000-0005-0000-0000-0000EB200000}"/>
    <cellStyle name="Explanatory Text 5" xfId="9050" xr:uid="{00000000-0005-0000-0000-0000EC200000}"/>
    <cellStyle name="Explanatory Text 5 2" xfId="9051" xr:uid="{00000000-0005-0000-0000-0000ED200000}"/>
    <cellStyle name="Explanatory Text 5 2 2" xfId="9052" xr:uid="{00000000-0005-0000-0000-0000EE200000}"/>
    <cellStyle name="Explanatory Text 5 3" xfId="9053" xr:uid="{00000000-0005-0000-0000-0000EF200000}"/>
    <cellStyle name="Explanatory Text 5 3 2" xfId="9054" xr:uid="{00000000-0005-0000-0000-0000F0200000}"/>
    <cellStyle name="Explanatory Text 5 3 2 2" xfId="9055" xr:uid="{00000000-0005-0000-0000-0000F1200000}"/>
    <cellStyle name="Explanatory Text 5 3 3" xfId="9056" xr:uid="{00000000-0005-0000-0000-0000F2200000}"/>
    <cellStyle name="Explanatory Text 5 4" xfId="9057" xr:uid="{00000000-0005-0000-0000-0000F3200000}"/>
    <cellStyle name="Explanatory Text 6" xfId="9058" xr:uid="{00000000-0005-0000-0000-0000F4200000}"/>
    <cellStyle name="Explanatory Text 6 2" xfId="9059" xr:uid="{00000000-0005-0000-0000-0000F5200000}"/>
    <cellStyle name="Explanatory Text 6 2 2" xfId="9060" xr:uid="{00000000-0005-0000-0000-0000F6200000}"/>
    <cellStyle name="Explanatory Text 6 3" xfId="9061" xr:uid="{00000000-0005-0000-0000-0000F7200000}"/>
    <cellStyle name="Explanatory Text 7" xfId="9062" xr:uid="{00000000-0005-0000-0000-0000F8200000}"/>
    <cellStyle name="Explanatory Text 8" xfId="9063" xr:uid="{00000000-0005-0000-0000-0000F9200000}"/>
    <cellStyle name="Fixed" xfId="9064" xr:uid="{00000000-0005-0000-0000-0000FA200000}"/>
    <cellStyle name="Fixed 2" xfId="9065" xr:uid="{00000000-0005-0000-0000-0000FB200000}"/>
    <cellStyle name="Fixed 2 2" xfId="9066" xr:uid="{00000000-0005-0000-0000-0000FC200000}"/>
    <cellStyle name="Fixed 3" xfId="9067" xr:uid="{00000000-0005-0000-0000-0000FD200000}"/>
    <cellStyle name="Floating" xfId="9068" xr:uid="{00000000-0005-0000-0000-0000FE200000}"/>
    <cellStyle name="General" xfId="9069" xr:uid="{00000000-0005-0000-0000-0000FF200000}"/>
    <cellStyle name="General 2" xfId="9070" xr:uid="{00000000-0005-0000-0000-000000210000}"/>
    <cellStyle name="General 2 2" xfId="9071" xr:uid="{00000000-0005-0000-0000-000001210000}"/>
    <cellStyle name="General 2 2 2" xfId="9072" xr:uid="{00000000-0005-0000-0000-000002210000}"/>
    <cellStyle name="General 2 3" xfId="9073" xr:uid="{00000000-0005-0000-0000-000003210000}"/>
    <cellStyle name="General 3" xfId="9074" xr:uid="{00000000-0005-0000-0000-000004210000}"/>
    <cellStyle name="General 3 2" xfId="9075" xr:uid="{00000000-0005-0000-0000-000005210000}"/>
    <cellStyle name="General 3 2 2" xfId="9076" xr:uid="{00000000-0005-0000-0000-000006210000}"/>
    <cellStyle name="General 3 3" xfId="9077" xr:uid="{00000000-0005-0000-0000-000007210000}"/>
    <cellStyle name="General 3 3 2" xfId="9078" xr:uid="{00000000-0005-0000-0000-000008210000}"/>
    <cellStyle name="General 3 3 2 2" xfId="9079" xr:uid="{00000000-0005-0000-0000-000009210000}"/>
    <cellStyle name="General 3 3 3" xfId="9080" xr:uid="{00000000-0005-0000-0000-00000A210000}"/>
    <cellStyle name="General 3 4" xfId="9081" xr:uid="{00000000-0005-0000-0000-00000B210000}"/>
    <cellStyle name="General 4" xfId="9082" xr:uid="{00000000-0005-0000-0000-00000C210000}"/>
    <cellStyle name="General 4 2" xfId="9083" xr:uid="{00000000-0005-0000-0000-00000D210000}"/>
    <cellStyle name="General 4 2 2" xfId="9084" xr:uid="{00000000-0005-0000-0000-00000E210000}"/>
    <cellStyle name="General 4 3" xfId="9085" xr:uid="{00000000-0005-0000-0000-00000F210000}"/>
    <cellStyle name="General 5" xfId="9086" xr:uid="{00000000-0005-0000-0000-000010210000}"/>
    <cellStyle name="General2" xfId="9087" xr:uid="{00000000-0005-0000-0000-000011210000}"/>
    <cellStyle name="Good 2" xfId="9088" xr:uid="{00000000-0005-0000-0000-000012210000}"/>
    <cellStyle name="Good 2 10" xfId="9089" xr:uid="{00000000-0005-0000-0000-000013210000}"/>
    <cellStyle name="Good 2 10 2" xfId="9090" xr:uid="{00000000-0005-0000-0000-000014210000}"/>
    <cellStyle name="Good 2 11" xfId="9091" xr:uid="{00000000-0005-0000-0000-000015210000}"/>
    <cellStyle name="Good 2 12" xfId="9092" xr:uid="{00000000-0005-0000-0000-000016210000}"/>
    <cellStyle name="Good 2 2" xfId="9093" xr:uid="{00000000-0005-0000-0000-000017210000}"/>
    <cellStyle name="Good 2 2 2" xfId="9094" xr:uid="{00000000-0005-0000-0000-000018210000}"/>
    <cellStyle name="Good 2 2 2 2" xfId="9095" xr:uid="{00000000-0005-0000-0000-000019210000}"/>
    <cellStyle name="Good 2 2 3" xfId="9096" xr:uid="{00000000-0005-0000-0000-00001A210000}"/>
    <cellStyle name="Good 2 2 3 2" xfId="9097" xr:uid="{00000000-0005-0000-0000-00001B210000}"/>
    <cellStyle name="Good 2 2 3 2 2" xfId="9098" xr:uid="{00000000-0005-0000-0000-00001C210000}"/>
    <cellStyle name="Good 2 2 3 3" xfId="9099" xr:uid="{00000000-0005-0000-0000-00001D210000}"/>
    <cellStyle name="Good 2 2 4" xfId="9100" xr:uid="{00000000-0005-0000-0000-00001E210000}"/>
    <cellStyle name="Good 2 2 4 2" xfId="9101" xr:uid="{00000000-0005-0000-0000-00001F210000}"/>
    <cellStyle name="Good 2 2 5" xfId="9102" xr:uid="{00000000-0005-0000-0000-000020210000}"/>
    <cellStyle name="Good 2 3" xfId="9103" xr:uid="{00000000-0005-0000-0000-000021210000}"/>
    <cellStyle name="Good 2 3 2" xfId="9104" xr:uid="{00000000-0005-0000-0000-000022210000}"/>
    <cellStyle name="Good 2 3 2 2" xfId="9105" xr:uid="{00000000-0005-0000-0000-000023210000}"/>
    <cellStyle name="Good 2 3 3" xfId="9106" xr:uid="{00000000-0005-0000-0000-000024210000}"/>
    <cellStyle name="Good 2 3 3 2" xfId="9107" xr:uid="{00000000-0005-0000-0000-000025210000}"/>
    <cellStyle name="Good 2 3 3 2 2" xfId="9108" xr:uid="{00000000-0005-0000-0000-000026210000}"/>
    <cellStyle name="Good 2 3 3 3" xfId="9109" xr:uid="{00000000-0005-0000-0000-000027210000}"/>
    <cellStyle name="Good 2 3 4" xfId="9110" xr:uid="{00000000-0005-0000-0000-000028210000}"/>
    <cellStyle name="Good 2 4" xfId="9111" xr:uid="{00000000-0005-0000-0000-000029210000}"/>
    <cellStyle name="Good 2 4 2" xfId="9112" xr:uid="{00000000-0005-0000-0000-00002A210000}"/>
    <cellStyle name="Good 2 4 2 2" xfId="9113" xr:uid="{00000000-0005-0000-0000-00002B210000}"/>
    <cellStyle name="Good 2 4 3" xfId="9114" xr:uid="{00000000-0005-0000-0000-00002C210000}"/>
    <cellStyle name="Good 2 5" xfId="9115" xr:uid="{00000000-0005-0000-0000-00002D210000}"/>
    <cellStyle name="Good 2 5 2" xfId="9116" xr:uid="{00000000-0005-0000-0000-00002E210000}"/>
    <cellStyle name="Good 2 5 2 2" xfId="9117" xr:uid="{00000000-0005-0000-0000-00002F210000}"/>
    <cellStyle name="Good 2 5 3" xfId="9118" xr:uid="{00000000-0005-0000-0000-000030210000}"/>
    <cellStyle name="Good 2 5 3 2" xfId="9119" xr:uid="{00000000-0005-0000-0000-000031210000}"/>
    <cellStyle name="Good 2 5 3 2 2" xfId="9120" xr:uid="{00000000-0005-0000-0000-000032210000}"/>
    <cellStyle name="Good 2 5 3 3" xfId="9121" xr:uid="{00000000-0005-0000-0000-000033210000}"/>
    <cellStyle name="Good 2 5 4" xfId="9122" xr:uid="{00000000-0005-0000-0000-000034210000}"/>
    <cellStyle name="Good 2 6" xfId="9123" xr:uid="{00000000-0005-0000-0000-000035210000}"/>
    <cellStyle name="Good 2 6 2" xfId="9124" xr:uid="{00000000-0005-0000-0000-000036210000}"/>
    <cellStyle name="Good 2 6 2 2" xfId="9125" xr:uid="{00000000-0005-0000-0000-000037210000}"/>
    <cellStyle name="Good 2 6 3" xfId="9126" xr:uid="{00000000-0005-0000-0000-000038210000}"/>
    <cellStyle name="Good 2 6 3 2" xfId="9127" xr:uid="{00000000-0005-0000-0000-000039210000}"/>
    <cellStyle name="Good 2 6 3 2 2" xfId="9128" xr:uid="{00000000-0005-0000-0000-00003A210000}"/>
    <cellStyle name="Good 2 6 3 3" xfId="9129" xr:uid="{00000000-0005-0000-0000-00003B210000}"/>
    <cellStyle name="Good 2 6 4" xfId="9130" xr:uid="{00000000-0005-0000-0000-00003C210000}"/>
    <cellStyle name="Good 2 6 4 2" xfId="9131" xr:uid="{00000000-0005-0000-0000-00003D210000}"/>
    <cellStyle name="Good 2 6 5" xfId="9132" xr:uid="{00000000-0005-0000-0000-00003E210000}"/>
    <cellStyle name="Good 2 7" xfId="9133" xr:uid="{00000000-0005-0000-0000-00003F210000}"/>
    <cellStyle name="Good 2 7 2" xfId="9134" xr:uid="{00000000-0005-0000-0000-000040210000}"/>
    <cellStyle name="Good 2 8" xfId="9135" xr:uid="{00000000-0005-0000-0000-000041210000}"/>
    <cellStyle name="Good 2 8 2" xfId="9136" xr:uid="{00000000-0005-0000-0000-000042210000}"/>
    <cellStyle name="Good 2 8 2 2" xfId="9137" xr:uid="{00000000-0005-0000-0000-000043210000}"/>
    <cellStyle name="Good 2 8 3" xfId="9138" xr:uid="{00000000-0005-0000-0000-000044210000}"/>
    <cellStyle name="Good 2 9" xfId="9139" xr:uid="{00000000-0005-0000-0000-000045210000}"/>
    <cellStyle name="Good 2 9 2" xfId="9140" xr:uid="{00000000-0005-0000-0000-000046210000}"/>
    <cellStyle name="Good 2 9 2 2" xfId="9141" xr:uid="{00000000-0005-0000-0000-000047210000}"/>
    <cellStyle name="Good 2 9 3" xfId="9142" xr:uid="{00000000-0005-0000-0000-000048210000}"/>
    <cellStyle name="Good 3" xfId="9143" xr:uid="{00000000-0005-0000-0000-000049210000}"/>
    <cellStyle name="Good 3 2" xfId="9144" xr:uid="{00000000-0005-0000-0000-00004A210000}"/>
    <cellStyle name="Good 3 2 2" xfId="9145" xr:uid="{00000000-0005-0000-0000-00004B210000}"/>
    <cellStyle name="Good 3 3" xfId="9146" xr:uid="{00000000-0005-0000-0000-00004C210000}"/>
    <cellStyle name="Good 3 3 2" xfId="9147" xr:uid="{00000000-0005-0000-0000-00004D210000}"/>
    <cellStyle name="Good 3 4" xfId="9148" xr:uid="{00000000-0005-0000-0000-00004E210000}"/>
    <cellStyle name="Good 3 4 2" xfId="9149" xr:uid="{00000000-0005-0000-0000-00004F210000}"/>
    <cellStyle name="Good 3 4 2 2" xfId="9150" xr:uid="{00000000-0005-0000-0000-000050210000}"/>
    <cellStyle name="Good 3 4 3" xfId="9151" xr:uid="{00000000-0005-0000-0000-000051210000}"/>
    <cellStyle name="Good 3 5" xfId="9152" xr:uid="{00000000-0005-0000-0000-000052210000}"/>
    <cellStyle name="Good 4" xfId="9153" xr:uid="{00000000-0005-0000-0000-000053210000}"/>
    <cellStyle name="Good 4 2" xfId="9154" xr:uid="{00000000-0005-0000-0000-000054210000}"/>
    <cellStyle name="Good 4 2 2" xfId="9155" xr:uid="{00000000-0005-0000-0000-000055210000}"/>
    <cellStyle name="Good 4 3" xfId="9156" xr:uid="{00000000-0005-0000-0000-000056210000}"/>
    <cellStyle name="Good 4 3 2" xfId="9157" xr:uid="{00000000-0005-0000-0000-000057210000}"/>
    <cellStyle name="Good 4 3 2 2" xfId="9158" xr:uid="{00000000-0005-0000-0000-000058210000}"/>
    <cellStyle name="Good 4 3 3" xfId="9159" xr:uid="{00000000-0005-0000-0000-000059210000}"/>
    <cellStyle name="Good 4 4" xfId="9160" xr:uid="{00000000-0005-0000-0000-00005A210000}"/>
    <cellStyle name="Good 5" xfId="9161" xr:uid="{00000000-0005-0000-0000-00005B210000}"/>
    <cellStyle name="Good 5 2" xfId="9162" xr:uid="{00000000-0005-0000-0000-00005C210000}"/>
    <cellStyle name="Good 5 2 2" xfId="9163" xr:uid="{00000000-0005-0000-0000-00005D210000}"/>
    <cellStyle name="Good 5 3" xfId="9164" xr:uid="{00000000-0005-0000-0000-00005E210000}"/>
    <cellStyle name="Good 5 3 2" xfId="9165" xr:uid="{00000000-0005-0000-0000-00005F210000}"/>
    <cellStyle name="Good 5 3 2 2" xfId="9166" xr:uid="{00000000-0005-0000-0000-000060210000}"/>
    <cellStyle name="Good 5 3 3" xfId="9167" xr:uid="{00000000-0005-0000-0000-000061210000}"/>
    <cellStyle name="Good 5 4" xfId="9168" xr:uid="{00000000-0005-0000-0000-000062210000}"/>
    <cellStyle name="Good 6" xfId="9169" xr:uid="{00000000-0005-0000-0000-000063210000}"/>
    <cellStyle name="Good 6 2" xfId="9170" xr:uid="{00000000-0005-0000-0000-000064210000}"/>
    <cellStyle name="Good 6 2 2" xfId="9171" xr:uid="{00000000-0005-0000-0000-000065210000}"/>
    <cellStyle name="Good 6 3" xfId="9172" xr:uid="{00000000-0005-0000-0000-000066210000}"/>
    <cellStyle name="Good 7" xfId="9173" xr:uid="{00000000-0005-0000-0000-000067210000}"/>
    <cellStyle name="Good 7 2" xfId="9174" xr:uid="{00000000-0005-0000-0000-000068210000}"/>
    <cellStyle name="Good 8" xfId="9175" xr:uid="{00000000-0005-0000-0000-000069210000}"/>
    <cellStyle name="Good 9" xfId="9176" xr:uid="{00000000-0005-0000-0000-00006A210000}"/>
    <cellStyle name="Grey" xfId="9177" xr:uid="{00000000-0005-0000-0000-00006B210000}"/>
    <cellStyle name="Grey 2" xfId="9178" xr:uid="{00000000-0005-0000-0000-00006C210000}"/>
    <cellStyle name="HEADER" xfId="9179" xr:uid="{00000000-0005-0000-0000-00006D210000}"/>
    <cellStyle name="HEADER 2" xfId="9180" xr:uid="{00000000-0005-0000-0000-00006E210000}"/>
    <cellStyle name="HEADER 2 2" xfId="9181" xr:uid="{00000000-0005-0000-0000-00006F210000}"/>
    <cellStyle name="HEADER 2 2 2" xfId="9182" xr:uid="{00000000-0005-0000-0000-000070210000}"/>
    <cellStyle name="HEADER 2 2 2 2" xfId="9183" xr:uid="{00000000-0005-0000-0000-000071210000}"/>
    <cellStyle name="HEADER 2 2 3" xfId="9184" xr:uid="{00000000-0005-0000-0000-000072210000}"/>
    <cellStyle name="HEADER 2 2 3 2" xfId="9185" xr:uid="{00000000-0005-0000-0000-000073210000}"/>
    <cellStyle name="HEADER 2 2 3 2 2" xfId="9186" xr:uid="{00000000-0005-0000-0000-000074210000}"/>
    <cellStyle name="HEADER 2 2 3 3" xfId="9187" xr:uid="{00000000-0005-0000-0000-000075210000}"/>
    <cellStyle name="HEADER 2 2 4" xfId="9188" xr:uid="{00000000-0005-0000-0000-000076210000}"/>
    <cellStyle name="HEADER 2 3" xfId="9189" xr:uid="{00000000-0005-0000-0000-000077210000}"/>
    <cellStyle name="HEADER 2 3 2" xfId="9190" xr:uid="{00000000-0005-0000-0000-000078210000}"/>
    <cellStyle name="HEADER 2 4" xfId="9191" xr:uid="{00000000-0005-0000-0000-000079210000}"/>
    <cellStyle name="HEADER 3" xfId="9192" xr:uid="{00000000-0005-0000-0000-00007A210000}"/>
    <cellStyle name="HEADER 3 2" xfId="9193" xr:uid="{00000000-0005-0000-0000-00007B210000}"/>
    <cellStyle name="HEADER 4" xfId="9194" xr:uid="{00000000-0005-0000-0000-00007C210000}"/>
    <cellStyle name="HEADER 4 2" xfId="9195" xr:uid="{00000000-0005-0000-0000-00007D210000}"/>
    <cellStyle name="HEADER 5" xfId="9196" xr:uid="{00000000-0005-0000-0000-00007E210000}"/>
    <cellStyle name="Header1" xfId="9197" xr:uid="{00000000-0005-0000-0000-00007F210000}"/>
    <cellStyle name="Header1 2" xfId="9198" xr:uid="{00000000-0005-0000-0000-000080210000}"/>
    <cellStyle name="Header1 2 2" xfId="9199" xr:uid="{00000000-0005-0000-0000-000081210000}"/>
    <cellStyle name="Header1 2 2 2" xfId="9200" xr:uid="{00000000-0005-0000-0000-000082210000}"/>
    <cellStyle name="Header1 2 3" xfId="9201" xr:uid="{00000000-0005-0000-0000-000083210000}"/>
    <cellStyle name="Header1 2 3 2" xfId="9202" xr:uid="{00000000-0005-0000-0000-000084210000}"/>
    <cellStyle name="Header1 2 3 2 2" xfId="9203" xr:uid="{00000000-0005-0000-0000-000085210000}"/>
    <cellStyle name="Header1 2 3 3" xfId="9204" xr:uid="{00000000-0005-0000-0000-000086210000}"/>
    <cellStyle name="Header1 2 4" xfId="9205" xr:uid="{00000000-0005-0000-0000-000087210000}"/>
    <cellStyle name="Header1 3" xfId="9206" xr:uid="{00000000-0005-0000-0000-000088210000}"/>
    <cellStyle name="Header1 3 2" xfId="9207" xr:uid="{00000000-0005-0000-0000-000089210000}"/>
    <cellStyle name="Header1 3 2 2" xfId="9208" xr:uid="{00000000-0005-0000-0000-00008A210000}"/>
    <cellStyle name="Header1 3 3" xfId="9209" xr:uid="{00000000-0005-0000-0000-00008B210000}"/>
    <cellStyle name="Header1 4" xfId="9210" xr:uid="{00000000-0005-0000-0000-00008C210000}"/>
    <cellStyle name="Header1 4 2" xfId="9211" xr:uid="{00000000-0005-0000-0000-00008D210000}"/>
    <cellStyle name="Header1 5" xfId="9212" xr:uid="{00000000-0005-0000-0000-00008E210000}"/>
    <cellStyle name="Header1 5 2" xfId="9213" xr:uid="{00000000-0005-0000-0000-00008F210000}"/>
    <cellStyle name="Header1 6" xfId="9214" xr:uid="{00000000-0005-0000-0000-000090210000}"/>
    <cellStyle name="Header2" xfId="9215" xr:uid="{00000000-0005-0000-0000-000091210000}"/>
    <cellStyle name="Header2 2" xfId="9216" xr:uid="{00000000-0005-0000-0000-000092210000}"/>
    <cellStyle name="Header2 2 2" xfId="9217" xr:uid="{00000000-0005-0000-0000-000093210000}"/>
    <cellStyle name="Header2 2 2 2" xfId="9218" xr:uid="{00000000-0005-0000-0000-000094210000}"/>
    <cellStyle name="Header2 2 2 2 2" xfId="9219" xr:uid="{00000000-0005-0000-0000-000095210000}"/>
    <cellStyle name="Header2 2 2 2 2 2" xfId="9220" xr:uid="{00000000-0005-0000-0000-000096210000}"/>
    <cellStyle name="Header2 2 2 2 2 2 2" xfId="9221" xr:uid="{00000000-0005-0000-0000-000097210000}"/>
    <cellStyle name="Header2 2 2 2 2 2 2 2" xfId="9222" xr:uid="{00000000-0005-0000-0000-000098210000}"/>
    <cellStyle name="Header2 2 2 2 2 2 2 3" xfId="9223" xr:uid="{00000000-0005-0000-0000-000099210000}"/>
    <cellStyle name="Header2 2 2 2 2 2 3" xfId="9224" xr:uid="{00000000-0005-0000-0000-00009A210000}"/>
    <cellStyle name="Header2 2 2 2 2 3" xfId="9225" xr:uid="{00000000-0005-0000-0000-00009B210000}"/>
    <cellStyle name="Header2 2 2 2 3" xfId="9226" xr:uid="{00000000-0005-0000-0000-00009C210000}"/>
    <cellStyle name="Header2 2 2 2 3 2" xfId="9227" xr:uid="{00000000-0005-0000-0000-00009D210000}"/>
    <cellStyle name="Header2 2 2 2 3 2 2" xfId="9228" xr:uid="{00000000-0005-0000-0000-00009E210000}"/>
    <cellStyle name="Header2 2 2 2 3 2 2 2" xfId="9229" xr:uid="{00000000-0005-0000-0000-00009F210000}"/>
    <cellStyle name="Header2 2 2 2 3 2 2 3" xfId="9230" xr:uid="{00000000-0005-0000-0000-0000A0210000}"/>
    <cellStyle name="Header2 2 2 2 3 2 3" xfId="9231" xr:uid="{00000000-0005-0000-0000-0000A1210000}"/>
    <cellStyle name="Header2 2 2 2 3 3" xfId="9232" xr:uid="{00000000-0005-0000-0000-0000A2210000}"/>
    <cellStyle name="Header2 2 2 2 3 3 2" xfId="9233" xr:uid="{00000000-0005-0000-0000-0000A3210000}"/>
    <cellStyle name="Header2 2 2 2 3 3 3" xfId="9234" xr:uid="{00000000-0005-0000-0000-0000A4210000}"/>
    <cellStyle name="Header2 2 2 2 3 4" xfId="9235" xr:uid="{00000000-0005-0000-0000-0000A5210000}"/>
    <cellStyle name="Header2 2 2 2 4" xfId="9236" xr:uid="{00000000-0005-0000-0000-0000A6210000}"/>
    <cellStyle name="Header2 2 2 2 4 2" xfId="9237" xr:uid="{00000000-0005-0000-0000-0000A7210000}"/>
    <cellStyle name="Header2 2 2 2 4 2 2" xfId="9238" xr:uid="{00000000-0005-0000-0000-0000A8210000}"/>
    <cellStyle name="Header2 2 2 2 4 2 3" xfId="9239" xr:uid="{00000000-0005-0000-0000-0000A9210000}"/>
    <cellStyle name="Header2 2 2 2 4 3" xfId="9240" xr:uid="{00000000-0005-0000-0000-0000AA210000}"/>
    <cellStyle name="Header2 2 2 2 5" xfId="9241" xr:uid="{00000000-0005-0000-0000-0000AB210000}"/>
    <cellStyle name="Header2 2 2 2 5 2" xfId="9242" xr:uid="{00000000-0005-0000-0000-0000AC210000}"/>
    <cellStyle name="Header2 2 2 2 5 3" xfId="9243" xr:uid="{00000000-0005-0000-0000-0000AD210000}"/>
    <cellStyle name="Header2 2 2 2 6" xfId="9244" xr:uid="{00000000-0005-0000-0000-0000AE210000}"/>
    <cellStyle name="Header2 2 2 3" xfId="9245" xr:uid="{00000000-0005-0000-0000-0000AF210000}"/>
    <cellStyle name="Header2 2 3" xfId="9246" xr:uid="{00000000-0005-0000-0000-0000B0210000}"/>
    <cellStyle name="Header2 2 3 2" xfId="9247" xr:uid="{00000000-0005-0000-0000-0000B1210000}"/>
    <cellStyle name="Header2 2 3 2 2" xfId="9248" xr:uid="{00000000-0005-0000-0000-0000B2210000}"/>
    <cellStyle name="Header2 2 3 2 2 2" xfId="9249" xr:uid="{00000000-0005-0000-0000-0000B3210000}"/>
    <cellStyle name="Header2 2 3 2 2 2 2" xfId="9250" xr:uid="{00000000-0005-0000-0000-0000B4210000}"/>
    <cellStyle name="Header2 2 3 2 2 2 2 2" xfId="9251" xr:uid="{00000000-0005-0000-0000-0000B5210000}"/>
    <cellStyle name="Header2 2 3 2 2 2 2 2 2" xfId="9252" xr:uid="{00000000-0005-0000-0000-0000B6210000}"/>
    <cellStyle name="Header2 2 3 2 2 2 2 2 3" xfId="9253" xr:uid="{00000000-0005-0000-0000-0000B7210000}"/>
    <cellStyle name="Header2 2 3 2 2 2 2 3" xfId="9254" xr:uid="{00000000-0005-0000-0000-0000B8210000}"/>
    <cellStyle name="Header2 2 3 2 2 2 3" xfId="9255" xr:uid="{00000000-0005-0000-0000-0000B9210000}"/>
    <cellStyle name="Header2 2 3 2 2 3" xfId="9256" xr:uid="{00000000-0005-0000-0000-0000BA210000}"/>
    <cellStyle name="Header2 2 3 2 2 3 2" xfId="9257" xr:uid="{00000000-0005-0000-0000-0000BB210000}"/>
    <cellStyle name="Header2 2 3 2 2 3 2 2" xfId="9258" xr:uid="{00000000-0005-0000-0000-0000BC210000}"/>
    <cellStyle name="Header2 2 3 2 2 3 2 2 2" xfId="9259" xr:uid="{00000000-0005-0000-0000-0000BD210000}"/>
    <cellStyle name="Header2 2 3 2 2 3 2 2 3" xfId="9260" xr:uid="{00000000-0005-0000-0000-0000BE210000}"/>
    <cellStyle name="Header2 2 3 2 2 3 2 3" xfId="9261" xr:uid="{00000000-0005-0000-0000-0000BF210000}"/>
    <cellStyle name="Header2 2 3 2 2 3 3" xfId="9262" xr:uid="{00000000-0005-0000-0000-0000C0210000}"/>
    <cellStyle name="Header2 2 3 2 2 3 3 2" xfId="9263" xr:uid="{00000000-0005-0000-0000-0000C1210000}"/>
    <cellStyle name="Header2 2 3 2 2 3 3 3" xfId="9264" xr:uid="{00000000-0005-0000-0000-0000C2210000}"/>
    <cellStyle name="Header2 2 3 2 2 3 4" xfId="9265" xr:uid="{00000000-0005-0000-0000-0000C3210000}"/>
    <cellStyle name="Header2 2 3 2 2 4" xfId="9266" xr:uid="{00000000-0005-0000-0000-0000C4210000}"/>
    <cellStyle name="Header2 2 3 2 2 4 2" xfId="9267" xr:uid="{00000000-0005-0000-0000-0000C5210000}"/>
    <cellStyle name="Header2 2 3 2 2 4 2 2" xfId="9268" xr:uid="{00000000-0005-0000-0000-0000C6210000}"/>
    <cellStyle name="Header2 2 3 2 2 4 2 3" xfId="9269" xr:uid="{00000000-0005-0000-0000-0000C7210000}"/>
    <cellStyle name="Header2 2 3 2 2 4 3" xfId="9270" xr:uid="{00000000-0005-0000-0000-0000C8210000}"/>
    <cellStyle name="Header2 2 3 2 2 5" xfId="9271" xr:uid="{00000000-0005-0000-0000-0000C9210000}"/>
    <cellStyle name="Header2 2 3 2 2 5 2" xfId="9272" xr:uid="{00000000-0005-0000-0000-0000CA210000}"/>
    <cellStyle name="Header2 2 3 2 2 5 3" xfId="9273" xr:uid="{00000000-0005-0000-0000-0000CB210000}"/>
    <cellStyle name="Header2 2 3 2 2 6" xfId="9274" xr:uid="{00000000-0005-0000-0000-0000CC210000}"/>
    <cellStyle name="Header2 2 3 2 3" xfId="9275" xr:uid="{00000000-0005-0000-0000-0000CD210000}"/>
    <cellStyle name="Header2 2 3 3" xfId="9276" xr:uid="{00000000-0005-0000-0000-0000CE210000}"/>
    <cellStyle name="Header2 2 3 3 2" xfId="9277" xr:uid="{00000000-0005-0000-0000-0000CF210000}"/>
    <cellStyle name="Header2 2 3 3 2 2" xfId="9278" xr:uid="{00000000-0005-0000-0000-0000D0210000}"/>
    <cellStyle name="Header2 2 3 3 2 2 2" xfId="9279" xr:uid="{00000000-0005-0000-0000-0000D1210000}"/>
    <cellStyle name="Header2 2 3 3 2 2 2 2" xfId="9280" xr:uid="{00000000-0005-0000-0000-0000D2210000}"/>
    <cellStyle name="Header2 2 3 3 2 2 2 3" xfId="9281" xr:uid="{00000000-0005-0000-0000-0000D3210000}"/>
    <cellStyle name="Header2 2 3 3 2 2 3" xfId="9282" xr:uid="{00000000-0005-0000-0000-0000D4210000}"/>
    <cellStyle name="Header2 2 3 3 2 3" xfId="9283" xr:uid="{00000000-0005-0000-0000-0000D5210000}"/>
    <cellStyle name="Header2 2 3 3 3" xfId="9284" xr:uid="{00000000-0005-0000-0000-0000D6210000}"/>
    <cellStyle name="Header2 2 3 3 3 2" xfId="9285" xr:uid="{00000000-0005-0000-0000-0000D7210000}"/>
    <cellStyle name="Header2 2 3 3 3 2 2" xfId="9286" xr:uid="{00000000-0005-0000-0000-0000D8210000}"/>
    <cellStyle name="Header2 2 3 3 3 2 2 2" xfId="9287" xr:uid="{00000000-0005-0000-0000-0000D9210000}"/>
    <cellStyle name="Header2 2 3 3 3 2 2 3" xfId="9288" xr:uid="{00000000-0005-0000-0000-0000DA210000}"/>
    <cellStyle name="Header2 2 3 3 3 2 3" xfId="9289" xr:uid="{00000000-0005-0000-0000-0000DB210000}"/>
    <cellStyle name="Header2 2 3 3 3 3" xfId="9290" xr:uid="{00000000-0005-0000-0000-0000DC210000}"/>
    <cellStyle name="Header2 2 3 3 3 3 2" xfId="9291" xr:uid="{00000000-0005-0000-0000-0000DD210000}"/>
    <cellStyle name="Header2 2 3 3 3 3 3" xfId="9292" xr:uid="{00000000-0005-0000-0000-0000DE210000}"/>
    <cellStyle name="Header2 2 3 3 3 4" xfId="9293" xr:uid="{00000000-0005-0000-0000-0000DF210000}"/>
    <cellStyle name="Header2 2 3 3 4" xfId="9294" xr:uid="{00000000-0005-0000-0000-0000E0210000}"/>
    <cellStyle name="Header2 2 3 3 4 2" xfId="9295" xr:uid="{00000000-0005-0000-0000-0000E1210000}"/>
    <cellStyle name="Header2 2 3 3 4 2 2" xfId="9296" xr:uid="{00000000-0005-0000-0000-0000E2210000}"/>
    <cellStyle name="Header2 2 3 3 4 2 3" xfId="9297" xr:uid="{00000000-0005-0000-0000-0000E3210000}"/>
    <cellStyle name="Header2 2 3 3 4 3" xfId="9298" xr:uid="{00000000-0005-0000-0000-0000E4210000}"/>
    <cellStyle name="Header2 2 3 3 5" xfId="9299" xr:uid="{00000000-0005-0000-0000-0000E5210000}"/>
    <cellStyle name="Header2 2 3 3 5 2" xfId="9300" xr:uid="{00000000-0005-0000-0000-0000E6210000}"/>
    <cellStyle name="Header2 2 3 3 5 3" xfId="9301" xr:uid="{00000000-0005-0000-0000-0000E7210000}"/>
    <cellStyle name="Header2 2 3 3 6" xfId="9302" xr:uid="{00000000-0005-0000-0000-0000E8210000}"/>
    <cellStyle name="Header2 2 3 4" xfId="9303" xr:uid="{00000000-0005-0000-0000-0000E9210000}"/>
    <cellStyle name="Header2 2 4" xfId="9304" xr:uid="{00000000-0005-0000-0000-0000EA210000}"/>
    <cellStyle name="Header2 2 4 2" xfId="9305" xr:uid="{00000000-0005-0000-0000-0000EB210000}"/>
    <cellStyle name="Header2 2 4 2 2" xfId="9306" xr:uid="{00000000-0005-0000-0000-0000EC210000}"/>
    <cellStyle name="Header2 2 4 2 2 2" xfId="9307" xr:uid="{00000000-0005-0000-0000-0000ED210000}"/>
    <cellStyle name="Header2 2 4 2 2 2 2" xfId="9308" xr:uid="{00000000-0005-0000-0000-0000EE210000}"/>
    <cellStyle name="Header2 2 4 2 2 2 3" xfId="9309" xr:uid="{00000000-0005-0000-0000-0000EF210000}"/>
    <cellStyle name="Header2 2 4 2 2 3" xfId="9310" xr:uid="{00000000-0005-0000-0000-0000F0210000}"/>
    <cellStyle name="Header2 2 4 2 3" xfId="9311" xr:uid="{00000000-0005-0000-0000-0000F1210000}"/>
    <cellStyle name="Header2 2 4 3" xfId="9312" xr:uid="{00000000-0005-0000-0000-0000F2210000}"/>
    <cellStyle name="Header2 2 4 3 2" xfId="9313" xr:uid="{00000000-0005-0000-0000-0000F3210000}"/>
    <cellStyle name="Header2 2 4 3 2 2" xfId="9314" xr:uid="{00000000-0005-0000-0000-0000F4210000}"/>
    <cellStyle name="Header2 2 4 3 2 2 2" xfId="9315" xr:uid="{00000000-0005-0000-0000-0000F5210000}"/>
    <cellStyle name="Header2 2 4 3 2 2 3" xfId="9316" xr:uid="{00000000-0005-0000-0000-0000F6210000}"/>
    <cellStyle name="Header2 2 4 3 2 3" xfId="9317" xr:uid="{00000000-0005-0000-0000-0000F7210000}"/>
    <cellStyle name="Header2 2 4 3 3" xfId="9318" xr:uid="{00000000-0005-0000-0000-0000F8210000}"/>
    <cellStyle name="Header2 2 4 3 3 2" xfId="9319" xr:uid="{00000000-0005-0000-0000-0000F9210000}"/>
    <cellStyle name="Header2 2 4 3 3 3" xfId="9320" xr:uid="{00000000-0005-0000-0000-0000FA210000}"/>
    <cellStyle name="Header2 2 4 3 4" xfId="9321" xr:uid="{00000000-0005-0000-0000-0000FB210000}"/>
    <cellStyle name="Header2 2 4 4" xfId="9322" xr:uid="{00000000-0005-0000-0000-0000FC210000}"/>
    <cellStyle name="Header2 2 4 4 2" xfId="9323" xr:uid="{00000000-0005-0000-0000-0000FD210000}"/>
    <cellStyle name="Header2 2 4 4 2 2" xfId="9324" xr:uid="{00000000-0005-0000-0000-0000FE210000}"/>
    <cellStyle name="Header2 2 4 4 2 3" xfId="9325" xr:uid="{00000000-0005-0000-0000-0000FF210000}"/>
    <cellStyle name="Header2 2 4 4 3" xfId="9326" xr:uid="{00000000-0005-0000-0000-000000220000}"/>
    <cellStyle name="Header2 2 4 5" xfId="9327" xr:uid="{00000000-0005-0000-0000-000001220000}"/>
    <cellStyle name="Header2 2 4 5 2" xfId="9328" xr:uid="{00000000-0005-0000-0000-000002220000}"/>
    <cellStyle name="Header2 2 4 5 3" xfId="9329" xr:uid="{00000000-0005-0000-0000-000003220000}"/>
    <cellStyle name="Header2 2 4 6" xfId="9330" xr:uid="{00000000-0005-0000-0000-000004220000}"/>
    <cellStyle name="Header2 2 5" xfId="9331" xr:uid="{00000000-0005-0000-0000-000005220000}"/>
    <cellStyle name="Header2 3" xfId="9332" xr:uid="{00000000-0005-0000-0000-000006220000}"/>
    <cellStyle name="Header2 3 2" xfId="9333" xr:uid="{00000000-0005-0000-0000-000007220000}"/>
    <cellStyle name="Header2 3 2 2" xfId="9334" xr:uid="{00000000-0005-0000-0000-000008220000}"/>
    <cellStyle name="Header2 3 2 2 2" xfId="9335" xr:uid="{00000000-0005-0000-0000-000009220000}"/>
    <cellStyle name="Header2 3 2 2 2 2" xfId="9336" xr:uid="{00000000-0005-0000-0000-00000A220000}"/>
    <cellStyle name="Header2 3 2 2 2 2 2" xfId="9337" xr:uid="{00000000-0005-0000-0000-00000B220000}"/>
    <cellStyle name="Header2 3 2 2 2 2 2 2" xfId="9338" xr:uid="{00000000-0005-0000-0000-00000C220000}"/>
    <cellStyle name="Header2 3 2 2 2 2 2 3" xfId="9339" xr:uid="{00000000-0005-0000-0000-00000D220000}"/>
    <cellStyle name="Header2 3 2 2 2 2 3" xfId="9340" xr:uid="{00000000-0005-0000-0000-00000E220000}"/>
    <cellStyle name="Header2 3 2 2 2 3" xfId="9341" xr:uid="{00000000-0005-0000-0000-00000F220000}"/>
    <cellStyle name="Header2 3 2 2 3" xfId="9342" xr:uid="{00000000-0005-0000-0000-000010220000}"/>
    <cellStyle name="Header2 3 2 2 3 2" xfId="9343" xr:uid="{00000000-0005-0000-0000-000011220000}"/>
    <cellStyle name="Header2 3 2 2 3 2 2" xfId="9344" xr:uid="{00000000-0005-0000-0000-000012220000}"/>
    <cellStyle name="Header2 3 2 2 3 2 2 2" xfId="9345" xr:uid="{00000000-0005-0000-0000-000013220000}"/>
    <cellStyle name="Header2 3 2 2 3 2 2 3" xfId="9346" xr:uid="{00000000-0005-0000-0000-000014220000}"/>
    <cellStyle name="Header2 3 2 2 3 2 3" xfId="9347" xr:uid="{00000000-0005-0000-0000-000015220000}"/>
    <cellStyle name="Header2 3 2 2 3 3" xfId="9348" xr:uid="{00000000-0005-0000-0000-000016220000}"/>
    <cellStyle name="Header2 3 2 2 3 3 2" xfId="9349" xr:uid="{00000000-0005-0000-0000-000017220000}"/>
    <cellStyle name="Header2 3 2 2 3 3 3" xfId="9350" xr:uid="{00000000-0005-0000-0000-000018220000}"/>
    <cellStyle name="Header2 3 2 2 3 4" xfId="9351" xr:uid="{00000000-0005-0000-0000-000019220000}"/>
    <cellStyle name="Header2 3 2 2 4" xfId="9352" xr:uid="{00000000-0005-0000-0000-00001A220000}"/>
    <cellStyle name="Header2 3 2 2 4 2" xfId="9353" xr:uid="{00000000-0005-0000-0000-00001B220000}"/>
    <cellStyle name="Header2 3 2 2 4 2 2" xfId="9354" xr:uid="{00000000-0005-0000-0000-00001C220000}"/>
    <cellStyle name="Header2 3 2 2 4 2 3" xfId="9355" xr:uid="{00000000-0005-0000-0000-00001D220000}"/>
    <cellStyle name="Header2 3 2 2 4 3" xfId="9356" xr:uid="{00000000-0005-0000-0000-00001E220000}"/>
    <cellStyle name="Header2 3 2 2 5" xfId="9357" xr:uid="{00000000-0005-0000-0000-00001F220000}"/>
    <cellStyle name="Header2 3 2 2 5 2" xfId="9358" xr:uid="{00000000-0005-0000-0000-000020220000}"/>
    <cellStyle name="Header2 3 2 2 5 3" xfId="9359" xr:uid="{00000000-0005-0000-0000-000021220000}"/>
    <cellStyle name="Header2 3 2 2 6" xfId="9360" xr:uid="{00000000-0005-0000-0000-000022220000}"/>
    <cellStyle name="Header2 3 2 3" xfId="9361" xr:uid="{00000000-0005-0000-0000-000023220000}"/>
    <cellStyle name="Header2 3 3" xfId="9362" xr:uid="{00000000-0005-0000-0000-000024220000}"/>
    <cellStyle name="Header2 3 3 2" xfId="9363" xr:uid="{00000000-0005-0000-0000-000025220000}"/>
    <cellStyle name="Header2 3 3 2 2" xfId="9364" xr:uid="{00000000-0005-0000-0000-000026220000}"/>
    <cellStyle name="Header2 3 3 2 2 2" xfId="9365" xr:uid="{00000000-0005-0000-0000-000027220000}"/>
    <cellStyle name="Header2 3 3 2 2 2 2" xfId="9366" xr:uid="{00000000-0005-0000-0000-000028220000}"/>
    <cellStyle name="Header2 3 3 2 2 2 3" xfId="9367" xr:uid="{00000000-0005-0000-0000-000029220000}"/>
    <cellStyle name="Header2 3 3 2 2 3" xfId="9368" xr:uid="{00000000-0005-0000-0000-00002A220000}"/>
    <cellStyle name="Header2 3 3 2 3" xfId="9369" xr:uid="{00000000-0005-0000-0000-00002B220000}"/>
    <cellStyle name="Header2 3 3 3" xfId="9370" xr:uid="{00000000-0005-0000-0000-00002C220000}"/>
    <cellStyle name="Header2 3 3 3 2" xfId="9371" xr:uid="{00000000-0005-0000-0000-00002D220000}"/>
    <cellStyle name="Header2 3 3 3 2 2" xfId="9372" xr:uid="{00000000-0005-0000-0000-00002E220000}"/>
    <cellStyle name="Header2 3 3 3 2 2 2" xfId="9373" xr:uid="{00000000-0005-0000-0000-00002F220000}"/>
    <cellStyle name="Header2 3 3 3 2 2 3" xfId="9374" xr:uid="{00000000-0005-0000-0000-000030220000}"/>
    <cellStyle name="Header2 3 3 3 2 3" xfId="9375" xr:uid="{00000000-0005-0000-0000-000031220000}"/>
    <cellStyle name="Header2 3 3 3 3" xfId="9376" xr:uid="{00000000-0005-0000-0000-000032220000}"/>
    <cellStyle name="Header2 3 3 3 3 2" xfId="9377" xr:uid="{00000000-0005-0000-0000-000033220000}"/>
    <cellStyle name="Header2 3 3 3 3 3" xfId="9378" xr:uid="{00000000-0005-0000-0000-000034220000}"/>
    <cellStyle name="Header2 3 3 3 4" xfId="9379" xr:uid="{00000000-0005-0000-0000-000035220000}"/>
    <cellStyle name="Header2 3 3 4" xfId="9380" xr:uid="{00000000-0005-0000-0000-000036220000}"/>
    <cellStyle name="Header2 3 3 4 2" xfId="9381" xr:uid="{00000000-0005-0000-0000-000037220000}"/>
    <cellStyle name="Header2 3 3 4 2 2" xfId="9382" xr:uid="{00000000-0005-0000-0000-000038220000}"/>
    <cellStyle name="Header2 3 3 4 2 3" xfId="9383" xr:uid="{00000000-0005-0000-0000-000039220000}"/>
    <cellStyle name="Header2 3 3 4 3" xfId="9384" xr:uid="{00000000-0005-0000-0000-00003A220000}"/>
    <cellStyle name="Header2 3 3 5" xfId="9385" xr:uid="{00000000-0005-0000-0000-00003B220000}"/>
    <cellStyle name="Header2 3 3 5 2" xfId="9386" xr:uid="{00000000-0005-0000-0000-00003C220000}"/>
    <cellStyle name="Header2 3 3 5 3" xfId="9387" xr:uid="{00000000-0005-0000-0000-00003D220000}"/>
    <cellStyle name="Header2 3 3 6" xfId="9388" xr:uid="{00000000-0005-0000-0000-00003E220000}"/>
    <cellStyle name="Header2 3 4" xfId="9389" xr:uid="{00000000-0005-0000-0000-00003F220000}"/>
    <cellStyle name="Header2 4" xfId="9390" xr:uid="{00000000-0005-0000-0000-000040220000}"/>
    <cellStyle name="Header2 4 2" xfId="9391" xr:uid="{00000000-0005-0000-0000-000041220000}"/>
    <cellStyle name="Header2 4 2 2" xfId="9392" xr:uid="{00000000-0005-0000-0000-000042220000}"/>
    <cellStyle name="Header2 4 2 2 2" xfId="9393" xr:uid="{00000000-0005-0000-0000-000043220000}"/>
    <cellStyle name="Header2 4 2 2 2 2" xfId="9394" xr:uid="{00000000-0005-0000-0000-000044220000}"/>
    <cellStyle name="Header2 4 2 2 2 2 2" xfId="9395" xr:uid="{00000000-0005-0000-0000-000045220000}"/>
    <cellStyle name="Header2 4 2 2 2 2 3" xfId="9396" xr:uid="{00000000-0005-0000-0000-000046220000}"/>
    <cellStyle name="Header2 4 2 2 2 3" xfId="9397" xr:uid="{00000000-0005-0000-0000-000047220000}"/>
    <cellStyle name="Header2 4 2 2 3" xfId="9398" xr:uid="{00000000-0005-0000-0000-000048220000}"/>
    <cellStyle name="Header2 4 2 3" xfId="9399" xr:uid="{00000000-0005-0000-0000-000049220000}"/>
    <cellStyle name="Header2 4 2 3 2" xfId="9400" xr:uid="{00000000-0005-0000-0000-00004A220000}"/>
    <cellStyle name="Header2 4 2 3 2 2" xfId="9401" xr:uid="{00000000-0005-0000-0000-00004B220000}"/>
    <cellStyle name="Header2 4 2 3 2 2 2" xfId="9402" xr:uid="{00000000-0005-0000-0000-00004C220000}"/>
    <cellStyle name="Header2 4 2 3 2 2 3" xfId="9403" xr:uid="{00000000-0005-0000-0000-00004D220000}"/>
    <cellStyle name="Header2 4 2 3 2 3" xfId="9404" xr:uid="{00000000-0005-0000-0000-00004E220000}"/>
    <cellStyle name="Header2 4 2 3 3" xfId="9405" xr:uid="{00000000-0005-0000-0000-00004F220000}"/>
    <cellStyle name="Header2 4 2 3 3 2" xfId="9406" xr:uid="{00000000-0005-0000-0000-000050220000}"/>
    <cellStyle name="Header2 4 2 3 3 3" xfId="9407" xr:uid="{00000000-0005-0000-0000-000051220000}"/>
    <cellStyle name="Header2 4 2 3 4" xfId="9408" xr:uid="{00000000-0005-0000-0000-000052220000}"/>
    <cellStyle name="Header2 4 2 4" xfId="9409" xr:uid="{00000000-0005-0000-0000-000053220000}"/>
    <cellStyle name="Header2 4 2 4 2" xfId="9410" xr:uid="{00000000-0005-0000-0000-000054220000}"/>
    <cellStyle name="Header2 4 2 4 2 2" xfId="9411" xr:uid="{00000000-0005-0000-0000-000055220000}"/>
    <cellStyle name="Header2 4 2 4 2 3" xfId="9412" xr:uid="{00000000-0005-0000-0000-000056220000}"/>
    <cellStyle name="Header2 4 2 4 3" xfId="9413" xr:uid="{00000000-0005-0000-0000-000057220000}"/>
    <cellStyle name="Header2 4 2 5" xfId="9414" xr:uid="{00000000-0005-0000-0000-000058220000}"/>
    <cellStyle name="Header2 4 2 5 2" xfId="9415" xr:uid="{00000000-0005-0000-0000-000059220000}"/>
    <cellStyle name="Header2 4 2 5 3" xfId="9416" xr:uid="{00000000-0005-0000-0000-00005A220000}"/>
    <cellStyle name="Header2 4 2 6" xfId="9417" xr:uid="{00000000-0005-0000-0000-00005B220000}"/>
    <cellStyle name="Header2 4 3" xfId="9418" xr:uid="{00000000-0005-0000-0000-00005C220000}"/>
    <cellStyle name="Header2 5" xfId="9419" xr:uid="{00000000-0005-0000-0000-00005D220000}"/>
    <cellStyle name="Header2 5 2" xfId="9420" xr:uid="{00000000-0005-0000-0000-00005E220000}"/>
    <cellStyle name="Header2 5 2 2" xfId="9421" xr:uid="{00000000-0005-0000-0000-00005F220000}"/>
    <cellStyle name="Header2 5 2 2 2" xfId="9422" xr:uid="{00000000-0005-0000-0000-000060220000}"/>
    <cellStyle name="Header2 5 2 2 3" xfId="9423" xr:uid="{00000000-0005-0000-0000-000061220000}"/>
    <cellStyle name="Header2 5 2 3" xfId="9424" xr:uid="{00000000-0005-0000-0000-000062220000}"/>
    <cellStyle name="Header2 5 3" xfId="9425" xr:uid="{00000000-0005-0000-0000-000063220000}"/>
    <cellStyle name="Header2 6" xfId="9426" xr:uid="{00000000-0005-0000-0000-000064220000}"/>
    <cellStyle name="Header2 6 2" xfId="9427" xr:uid="{00000000-0005-0000-0000-000065220000}"/>
    <cellStyle name="Header2 6 2 2" xfId="9428" xr:uid="{00000000-0005-0000-0000-000066220000}"/>
    <cellStyle name="Header2 6 2 2 2" xfId="9429" xr:uid="{00000000-0005-0000-0000-000067220000}"/>
    <cellStyle name="Header2 6 2 2 2 2" xfId="9430" xr:uid="{00000000-0005-0000-0000-000068220000}"/>
    <cellStyle name="Header2 6 2 2 2 3" xfId="9431" xr:uid="{00000000-0005-0000-0000-000069220000}"/>
    <cellStyle name="Header2 6 2 2 3" xfId="9432" xr:uid="{00000000-0005-0000-0000-00006A220000}"/>
    <cellStyle name="Header2 6 2 3" xfId="9433" xr:uid="{00000000-0005-0000-0000-00006B220000}"/>
    <cellStyle name="Header2 6 3" xfId="9434" xr:uid="{00000000-0005-0000-0000-00006C220000}"/>
    <cellStyle name="Header2 6 3 2" xfId="9435" xr:uid="{00000000-0005-0000-0000-00006D220000}"/>
    <cellStyle name="Header2 6 3 2 2" xfId="9436" xr:uid="{00000000-0005-0000-0000-00006E220000}"/>
    <cellStyle name="Header2 6 3 2 2 2" xfId="9437" xr:uid="{00000000-0005-0000-0000-00006F220000}"/>
    <cellStyle name="Header2 6 3 2 2 3" xfId="9438" xr:uid="{00000000-0005-0000-0000-000070220000}"/>
    <cellStyle name="Header2 6 3 2 3" xfId="9439" xr:uid="{00000000-0005-0000-0000-000071220000}"/>
    <cellStyle name="Header2 6 3 3" xfId="9440" xr:uid="{00000000-0005-0000-0000-000072220000}"/>
    <cellStyle name="Header2 6 3 3 2" xfId="9441" xr:uid="{00000000-0005-0000-0000-000073220000}"/>
    <cellStyle name="Header2 6 3 3 3" xfId="9442" xr:uid="{00000000-0005-0000-0000-000074220000}"/>
    <cellStyle name="Header2 6 3 4" xfId="9443" xr:uid="{00000000-0005-0000-0000-000075220000}"/>
    <cellStyle name="Header2 6 4" xfId="9444" xr:uid="{00000000-0005-0000-0000-000076220000}"/>
    <cellStyle name="Header2 6 4 2" xfId="9445" xr:uid="{00000000-0005-0000-0000-000077220000}"/>
    <cellStyle name="Header2 6 4 2 2" xfId="9446" xr:uid="{00000000-0005-0000-0000-000078220000}"/>
    <cellStyle name="Header2 6 4 2 3" xfId="9447" xr:uid="{00000000-0005-0000-0000-000079220000}"/>
    <cellStyle name="Header2 6 4 3" xfId="9448" xr:uid="{00000000-0005-0000-0000-00007A220000}"/>
    <cellStyle name="Header2 6 5" xfId="9449" xr:uid="{00000000-0005-0000-0000-00007B220000}"/>
    <cellStyle name="Header2 6 5 2" xfId="9450" xr:uid="{00000000-0005-0000-0000-00007C220000}"/>
    <cellStyle name="Header2 6 5 3" xfId="9451" xr:uid="{00000000-0005-0000-0000-00007D220000}"/>
    <cellStyle name="Header2 6 6" xfId="9452" xr:uid="{00000000-0005-0000-0000-00007E220000}"/>
    <cellStyle name="Header2 7" xfId="9453" xr:uid="{00000000-0005-0000-0000-00007F220000}"/>
    <cellStyle name="Heading 1 2" xfId="9454" xr:uid="{00000000-0005-0000-0000-000080220000}"/>
    <cellStyle name="Heading 1 2 10" xfId="9455" xr:uid="{00000000-0005-0000-0000-000081220000}"/>
    <cellStyle name="Heading 1 2 10 2" xfId="9456" xr:uid="{00000000-0005-0000-0000-000082220000}"/>
    <cellStyle name="Heading 1 2 11" xfId="9457" xr:uid="{00000000-0005-0000-0000-000083220000}"/>
    <cellStyle name="Heading 1 2 12" xfId="9458" xr:uid="{00000000-0005-0000-0000-000084220000}"/>
    <cellStyle name="Heading 1 2 2" xfId="9459" xr:uid="{00000000-0005-0000-0000-000085220000}"/>
    <cellStyle name="Heading 1 2 2 2" xfId="9460" xr:uid="{00000000-0005-0000-0000-000086220000}"/>
    <cellStyle name="Heading 1 2 2 2 2" xfId="9461" xr:uid="{00000000-0005-0000-0000-000087220000}"/>
    <cellStyle name="Heading 1 2 2 3" xfId="9462" xr:uid="{00000000-0005-0000-0000-000088220000}"/>
    <cellStyle name="Heading 1 2 2 3 2" xfId="9463" xr:uid="{00000000-0005-0000-0000-000089220000}"/>
    <cellStyle name="Heading 1 2 2 3 2 2" xfId="9464" xr:uid="{00000000-0005-0000-0000-00008A220000}"/>
    <cellStyle name="Heading 1 2 2 3 3" xfId="9465" xr:uid="{00000000-0005-0000-0000-00008B220000}"/>
    <cellStyle name="Heading 1 2 2 4" xfId="9466" xr:uid="{00000000-0005-0000-0000-00008C220000}"/>
    <cellStyle name="Heading 1 2 3" xfId="9467" xr:uid="{00000000-0005-0000-0000-00008D220000}"/>
    <cellStyle name="Heading 1 2 3 2" xfId="9468" xr:uid="{00000000-0005-0000-0000-00008E220000}"/>
    <cellStyle name="Heading 1 2 3 2 2" xfId="9469" xr:uid="{00000000-0005-0000-0000-00008F220000}"/>
    <cellStyle name="Heading 1 2 3 3" xfId="9470" xr:uid="{00000000-0005-0000-0000-000090220000}"/>
    <cellStyle name="Heading 1 2 3 3 2" xfId="9471" xr:uid="{00000000-0005-0000-0000-000091220000}"/>
    <cellStyle name="Heading 1 2 3 3 2 2" xfId="9472" xr:uid="{00000000-0005-0000-0000-000092220000}"/>
    <cellStyle name="Heading 1 2 3 3 3" xfId="9473" xr:uid="{00000000-0005-0000-0000-000093220000}"/>
    <cellStyle name="Heading 1 2 3 4" xfId="9474" xr:uid="{00000000-0005-0000-0000-000094220000}"/>
    <cellStyle name="Heading 1 2 4" xfId="9475" xr:uid="{00000000-0005-0000-0000-000095220000}"/>
    <cellStyle name="Heading 1 2 4 2" xfId="9476" xr:uid="{00000000-0005-0000-0000-000096220000}"/>
    <cellStyle name="Heading 1 2 4 2 2" xfId="9477" xr:uid="{00000000-0005-0000-0000-000097220000}"/>
    <cellStyle name="Heading 1 2 4 3" xfId="9478" xr:uid="{00000000-0005-0000-0000-000098220000}"/>
    <cellStyle name="Heading 1 2 5" xfId="9479" xr:uid="{00000000-0005-0000-0000-000099220000}"/>
    <cellStyle name="Heading 1 2 5 2" xfId="9480" xr:uid="{00000000-0005-0000-0000-00009A220000}"/>
    <cellStyle name="Heading 1 2 5 2 2" xfId="9481" xr:uid="{00000000-0005-0000-0000-00009B220000}"/>
    <cellStyle name="Heading 1 2 5 3" xfId="9482" xr:uid="{00000000-0005-0000-0000-00009C220000}"/>
    <cellStyle name="Heading 1 2 5 3 2" xfId="9483" xr:uid="{00000000-0005-0000-0000-00009D220000}"/>
    <cellStyle name="Heading 1 2 5 3 2 2" xfId="9484" xr:uid="{00000000-0005-0000-0000-00009E220000}"/>
    <cellStyle name="Heading 1 2 5 3 3" xfId="9485" xr:uid="{00000000-0005-0000-0000-00009F220000}"/>
    <cellStyle name="Heading 1 2 5 4" xfId="9486" xr:uid="{00000000-0005-0000-0000-0000A0220000}"/>
    <cellStyle name="Heading 1 2 6" xfId="9487" xr:uid="{00000000-0005-0000-0000-0000A1220000}"/>
    <cellStyle name="Heading 1 2 6 2" xfId="9488" xr:uid="{00000000-0005-0000-0000-0000A2220000}"/>
    <cellStyle name="Heading 1 2 7" xfId="9489" xr:uid="{00000000-0005-0000-0000-0000A3220000}"/>
    <cellStyle name="Heading 1 2 7 2" xfId="9490" xr:uid="{00000000-0005-0000-0000-0000A4220000}"/>
    <cellStyle name="Heading 1 2 8" xfId="9491" xr:uid="{00000000-0005-0000-0000-0000A5220000}"/>
    <cellStyle name="Heading 1 2 8 2" xfId="9492" xr:uid="{00000000-0005-0000-0000-0000A6220000}"/>
    <cellStyle name="Heading 1 2 8 2 2" xfId="9493" xr:uid="{00000000-0005-0000-0000-0000A7220000}"/>
    <cellStyle name="Heading 1 2 8 3" xfId="9494" xr:uid="{00000000-0005-0000-0000-0000A8220000}"/>
    <cellStyle name="Heading 1 2 9" xfId="9495" xr:uid="{00000000-0005-0000-0000-0000A9220000}"/>
    <cellStyle name="Heading 1 2 9 2" xfId="9496" xr:uid="{00000000-0005-0000-0000-0000AA220000}"/>
    <cellStyle name="Heading 1 2 9 2 2" xfId="9497" xr:uid="{00000000-0005-0000-0000-0000AB220000}"/>
    <cellStyle name="Heading 1 2 9 3" xfId="9498" xr:uid="{00000000-0005-0000-0000-0000AC220000}"/>
    <cellStyle name="Heading 1 3" xfId="9499" xr:uid="{00000000-0005-0000-0000-0000AD220000}"/>
    <cellStyle name="Heading 1 3 2" xfId="9500" xr:uid="{00000000-0005-0000-0000-0000AE220000}"/>
    <cellStyle name="Heading 1 3 2 2" xfId="9501" xr:uid="{00000000-0005-0000-0000-0000AF220000}"/>
    <cellStyle name="Heading 1 3 3" xfId="9502" xr:uid="{00000000-0005-0000-0000-0000B0220000}"/>
    <cellStyle name="Heading 1 3 3 2" xfId="9503" xr:uid="{00000000-0005-0000-0000-0000B1220000}"/>
    <cellStyle name="Heading 1 3 4" xfId="9504" xr:uid="{00000000-0005-0000-0000-0000B2220000}"/>
    <cellStyle name="Heading 1 3 4 2" xfId="9505" xr:uid="{00000000-0005-0000-0000-0000B3220000}"/>
    <cellStyle name="Heading 1 3 4 2 2" xfId="9506" xr:uid="{00000000-0005-0000-0000-0000B4220000}"/>
    <cellStyle name="Heading 1 3 4 3" xfId="9507" xr:uid="{00000000-0005-0000-0000-0000B5220000}"/>
    <cellStyle name="Heading 1 3 5" xfId="9508" xr:uid="{00000000-0005-0000-0000-0000B6220000}"/>
    <cellStyle name="Heading 1 4" xfId="9509" xr:uid="{00000000-0005-0000-0000-0000B7220000}"/>
    <cellStyle name="Heading 1 4 2" xfId="9510" xr:uid="{00000000-0005-0000-0000-0000B8220000}"/>
    <cellStyle name="Heading 1 4 2 2" xfId="9511" xr:uid="{00000000-0005-0000-0000-0000B9220000}"/>
    <cellStyle name="Heading 1 4 3" xfId="9512" xr:uid="{00000000-0005-0000-0000-0000BA220000}"/>
    <cellStyle name="Heading 1 4 3 2" xfId="9513" xr:uid="{00000000-0005-0000-0000-0000BB220000}"/>
    <cellStyle name="Heading 1 4 3 2 2" xfId="9514" xr:uid="{00000000-0005-0000-0000-0000BC220000}"/>
    <cellStyle name="Heading 1 4 3 3" xfId="9515" xr:uid="{00000000-0005-0000-0000-0000BD220000}"/>
    <cellStyle name="Heading 1 4 4" xfId="9516" xr:uid="{00000000-0005-0000-0000-0000BE220000}"/>
    <cellStyle name="Heading 1 5" xfId="9517" xr:uid="{00000000-0005-0000-0000-0000BF220000}"/>
    <cellStyle name="Heading 1 5 2" xfId="9518" xr:uid="{00000000-0005-0000-0000-0000C0220000}"/>
    <cellStyle name="Heading 1 5 2 2" xfId="9519" xr:uid="{00000000-0005-0000-0000-0000C1220000}"/>
    <cellStyle name="Heading 1 5 3" xfId="9520" xr:uid="{00000000-0005-0000-0000-0000C2220000}"/>
    <cellStyle name="Heading 1 5 3 2" xfId="9521" xr:uid="{00000000-0005-0000-0000-0000C3220000}"/>
    <cellStyle name="Heading 1 5 3 2 2" xfId="9522" xr:uid="{00000000-0005-0000-0000-0000C4220000}"/>
    <cellStyle name="Heading 1 5 3 3" xfId="9523" xr:uid="{00000000-0005-0000-0000-0000C5220000}"/>
    <cellStyle name="Heading 1 5 4" xfId="9524" xr:uid="{00000000-0005-0000-0000-0000C6220000}"/>
    <cellStyle name="Heading 1 6" xfId="9525" xr:uid="{00000000-0005-0000-0000-0000C7220000}"/>
    <cellStyle name="Heading 1 6 2" xfId="9526" xr:uid="{00000000-0005-0000-0000-0000C8220000}"/>
    <cellStyle name="Heading 1 6 2 2" xfId="9527" xr:uid="{00000000-0005-0000-0000-0000C9220000}"/>
    <cellStyle name="Heading 1 6 3" xfId="9528" xr:uid="{00000000-0005-0000-0000-0000CA220000}"/>
    <cellStyle name="Heading 1 7" xfId="9529" xr:uid="{00000000-0005-0000-0000-0000CB220000}"/>
    <cellStyle name="Heading 1 7 2" xfId="9530" xr:uid="{00000000-0005-0000-0000-0000CC220000}"/>
    <cellStyle name="Heading 1 8" xfId="9531" xr:uid="{00000000-0005-0000-0000-0000CD220000}"/>
    <cellStyle name="Heading 1 9" xfId="9532" xr:uid="{00000000-0005-0000-0000-0000CE220000}"/>
    <cellStyle name="Heading 2 2" xfId="9533" xr:uid="{00000000-0005-0000-0000-0000CF220000}"/>
    <cellStyle name="Heading 2 2 10" xfId="9534" xr:uid="{00000000-0005-0000-0000-0000D0220000}"/>
    <cellStyle name="Heading 2 2 10 2" xfId="9535" xr:uid="{00000000-0005-0000-0000-0000D1220000}"/>
    <cellStyle name="Heading 2 2 11" xfId="9536" xr:uid="{00000000-0005-0000-0000-0000D2220000}"/>
    <cellStyle name="Heading 2 2 12" xfId="9537" xr:uid="{00000000-0005-0000-0000-0000D3220000}"/>
    <cellStyle name="Heading 2 2 2" xfId="9538" xr:uid="{00000000-0005-0000-0000-0000D4220000}"/>
    <cellStyle name="Heading 2 2 2 2" xfId="9539" xr:uid="{00000000-0005-0000-0000-0000D5220000}"/>
    <cellStyle name="Heading 2 2 2 2 2" xfId="9540" xr:uid="{00000000-0005-0000-0000-0000D6220000}"/>
    <cellStyle name="Heading 2 2 2 3" xfId="9541" xr:uid="{00000000-0005-0000-0000-0000D7220000}"/>
    <cellStyle name="Heading 2 2 2 3 2" xfId="9542" xr:uid="{00000000-0005-0000-0000-0000D8220000}"/>
    <cellStyle name="Heading 2 2 2 3 2 2" xfId="9543" xr:uid="{00000000-0005-0000-0000-0000D9220000}"/>
    <cellStyle name="Heading 2 2 2 3 3" xfId="9544" xr:uid="{00000000-0005-0000-0000-0000DA220000}"/>
    <cellStyle name="Heading 2 2 2 4" xfId="9545" xr:uid="{00000000-0005-0000-0000-0000DB220000}"/>
    <cellStyle name="Heading 2 2 3" xfId="9546" xr:uid="{00000000-0005-0000-0000-0000DC220000}"/>
    <cellStyle name="Heading 2 2 3 2" xfId="9547" xr:uid="{00000000-0005-0000-0000-0000DD220000}"/>
    <cellStyle name="Heading 2 2 3 2 2" xfId="9548" xr:uid="{00000000-0005-0000-0000-0000DE220000}"/>
    <cellStyle name="Heading 2 2 3 3" xfId="9549" xr:uid="{00000000-0005-0000-0000-0000DF220000}"/>
    <cellStyle name="Heading 2 2 3 3 2" xfId="9550" xr:uid="{00000000-0005-0000-0000-0000E0220000}"/>
    <cellStyle name="Heading 2 2 3 3 2 2" xfId="9551" xr:uid="{00000000-0005-0000-0000-0000E1220000}"/>
    <cellStyle name="Heading 2 2 3 3 3" xfId="9552" xr:uid="{00000000-0005-0000-0000-0000E2220000}"/>
    <cellStyle name="Heading 2 2 3 4" xfId="9553" xr:uid="{00000000-0005-0000-0000-0000E3220000}"/>
    <cellStyle name="Heading 2 2 4" xfId="9554" xr:uid="{00000000-0005-0000-0000-0000E4220000}"/>
    <cellStyle name="Heading 2 2 4 2" xfId="9555" xr:uid="{00000000-0005-0000-0000-0000E5220000}"/>
    <cellStyle name="Heading 2 2 4 2 2" xfId="9556" xr:uid="{00000000-0005-0000-0000-0000E6220000}"/>
    <cellStyle name="Heading 2 2 4 3" xfId="9557" xr:uid="{00000000-0005-0000-0000-0000E7220000}"/>
    <cellStyle name="Heading 2 2 5" xfId="9558" xr:uid="{00000000-0005-0000-0000-0000E8220000}"/>
    <cellStyle name="Heading 2 2 5 2" xfId="9559" xr:uid="{00000000-0005-0000-0000-0000E9220000}"/>
    <cellStyle name="Heading 2 2 5 2 2" xfId="9560" xr:uid="{00000000-0005-0000-0000-0000EA220000}"/>
    <cellStyle name="Heading 2 2 5 3" xfId="9561" xr:uid="{00000000-0005-0000-0000-0000EB220000}"/>
    <cellStyle name="Heading 2 2 5 3 2" xfId="9562" xr:uid="{00000000-0005-0000-0000-0000EC220000}"/>
    <cellStyle name="Heading 2 2 5 3 2 2" xfId="9563" xr:uid="{00000000-0005-0000-0000-0000ED220000}"/>
    <cellStyle name="Heading 2 2 5 3 3" xfId="9564" xr:uid="{00000000-0005-0000-0000-0000EE220000}"/>
    <cellStyle name="Heading 2 2 5 4" xfId="9565" xr:uid="{00000000-0005-0000-0000-0000EF220000}"/>
    <cellStyle name="Heading 2 2 6" xfId="9566" xr:uid="{00000000-0005-0000-0000-0000F0220000}"/>
    <cellStyle name="Heading 2 2 6 2" xfId="9567" xr:uid="{00000000-0005-0000-0000-0000F1220000}"/>
    <cellStyle name="Heading 2 2 6 2 2" xfId="9568" xr:uid="{00000000-0005-0000-0000-0000F2220000}"/>
    <cellStyle name="Heading 2 2 6 3" xfId="9569" xr:uid="{00000000-0005-0000-0000-0000F3220000}"/>
    <cellStyle name="Heading 2 2 6 3 2" xfId="9570" xr:uid="{00000000-0005-0000-0000-0000F4220000}"/>
    <cellStyle name="Heading 2 2 6 4" xfId="9571" xr:uid="{00000000-0005-0000-0000-0000F5220000}"/>
    <cellStyle name="Heading 2 2 7" xfId="9572" xr:uid="{00000000-0005-0000-0000-0000F6220000}"/>
    <cellStyle name="Heading 2 2 7 2" xfId="9573" xr:uid="{00000000-0005-0000-0000-0000F7220000}"/>
    <cellStyle name="Heading 2 2 8" xfId="9574" xr:uid="{00000000-0005-0000-0000-0000F8220000}"/>
    <cellStyle name="Heading 2 2 8 2" xfId="9575" xr:uid="{00000000-0005-0000-0000-0000F9220000}"/>
    <cellStyle name="Heading 2 2 8 2 2" xfId="9576" xr:uid="{00000000-0005-0000-0000-0000FA220000}"/>
    <cellStyle name="Heading 2 2 8 3" xfId="9577" xr:uid="{00000000-0005-0000-0000-0000FB220000}"/>
    <cellStyle name="Heading 2 2 9" xfId="9578" xr:uid="{00000000-0005-0000-0000-0000FC220000}"/>
    <cellStyle name="Heading 2 2 9 2" xfId="9579" xr:uid="{00000000-0005-0000-0000-0000FD220000}"/>
    <cellStyle name="Heading 2 2 9 2 2" xfId="9580" xr:uid="{00000000-0005-0000-0000-0000FE220000}"/>
    <cellStyle name="Heading 2 2 9 3" xfId="9581" xr:uid="{00000000-0005-0000-0000-0000FF220000}"/>
    <cellStyle name="Heading 2 3" xfId="9582" xr:uid="{00000000-0005-0000-0000-000000230000}"/>
    <cellStyle name="Heading 2 3 2" xfId="9583" xr:uid="{00000000-0005-0000-0000-000001230000}"/>
    <cellStyle name="Heading 2 3 2 2" xfId="9584" xr:uid="{00000000-0005-0000-0000-000002230000}"/>
    <cellStyle name="Heading 2 3 3" xfId="9585" xr:uid="{00000000-0005-0000-0000-000003230000}"/>
    <cellStyle name="Heading 2 3 3 2" xfId="9586" xr:uid="{00000000-0005-0000-0000-000004230000}"/>
    <cellStyle name="Heading 2 3 4" xfId="9587" xr:uid="{00000000-0005-0000-0000-000005230000}"/>
    <cellStyle name="Heading 2 3 4 2" xfId="9588" xr:uid="{00000000-0005-0000-0000-000006230000}"/>
    <cellStyle name="Heading 2 3 4 2 2" xfId="9589" xr:uid="{00000000-0005-0000-0000-000007230000}"/>
    <cellStyle name="Heading 2 3 4 3" xfId="9590" xr:uid="{00000000-0005-0000-0000-000008230000}"/>
    <cellStyle name="Heading 2 3 5" xfId="9591" xr:uid="{00000000-0005-0000-0000-000009230000}"/>
    <cellStyle name="Heading 2 4" xfId="9592" xr:uid="{00000000-0005-0000-0000-00000A230000}"/>
    <cellStyle name="Heading 2 4 2" xfId="9593" xr:uid="{00000000-0005-0000-0000-00000B230000}"/>
    <cellStyle name="Heading 2 4 2 2" xfId="9594" xr:uid="{00000000-0005-0000-0000-00000C230000}"/>
    <cellStyle name="Heading 2 4 3" xfId="9595" xr:uid="{00000000-0005-0000-0000-00000D230000}"/>
    <cellStyle name="Heading 2 4 3 2" xfId="9596" xr:uid="{00000000-0005-0000-0000-00000E230000}"/>
    <cellStyle name="Heading 2 4 3 2 2" xfId="9597" xr:uid="{00000000-0005-0000-0000-00000F230000}"/>
    <cellStyle name="Heading 2 4 3 3" xfId="9598" xr:uid="{00000000-0005-0000-0000-000010230000}"/>
    <cellStyle name="Heading 2 4 4" xfId="9599" xr:uid="{00000000-0005-0000-0000-000011230000}"/>
    <cellStyle name="Heading 2 5" xfId="9600" xr:uid="{00000000-0005-0000-0000-000012230000}"/>
    <cellStyle name="Heading 2 5 2" xfId="9601" xr:uid="{00000000-0005-0000-0000-000013230000}"/>
    <cellStyle name="Heading 2 5 2 2" xfId="9602" xr:uid="{00000000-0005-0000-0000-000014230000}"/>
    <cellStyle name="Heading 2 5 3" xfId="9603" xr:uid="{00000000-0005-0000-0000-000015230000}"/>
    <cellStyle name="Heading 2 5 3 2" xfId="9604" xr:uid="{00000000-0005-0000-0000-000016230000}"/>
    <cellStyle name="Heading 2 5 3 2 2" xfId="9605" xr:uid="{00000000-0005-0000-0000-000017230000}"/>
    <cellStyle name="Heading 2 5 3 3" xfId="9606" xr:uid="{00000000-0005-0000-0000-000018230000}"/>
    <cellStyle name="Heading 2 5 4" xfId="9607" xr:uid="{00000000-0005-0000-0000-000019230000}"/>
    <cellStyle name="Heading 2 6" xfId="9608" xr:uid="{00000000-0005-0000-0000-00001A230000}"/>
    <cellStyle name="Heading 2 6 2" xfId="9609" xr:uid="{00000000-0005-0000-0000-00001B230000}"/>
    <cellStyle name="Heading 2 6 2 2" xfId="9610" xr:uid="{00000000-0005-0000-0000-00001C230000}"/>
    <cellStyle name="Heading 2 6 3" xfId="9611" xr:uid="{00000000-0005-0000-0000-00001D230000}"/>
    <cellStyle name="Heading 2 7" xfId="9612" xr:uid="{00000000-0005-0000-0000-00001E230000}"/>
    <cellStyle name="Heading 2 7 2" xfId="9613" xr:uid="{00000000-0005-0000-0000-00001F230000}"/>
    <cellStyle name="Heading 2 8" xfId="9614" xr:uid="{00000000-0005-0000-0000-000020230000}"/>
    <cellStyle name="Heading 2 9" xfId="9615" xr:uid="{00000000-0005-0000-0000-000021230000}"/>
    <cellStyle name="Heading 3 2" xfId="9616" xr:uid="{00000000-0005-0000-0000-000022230000}"/>
    <cellStyle name="Heading 3 2 10" xfId="9617" xr:uid="{00000000-0005-0000-0000-000023230000}"/>
    <cellStyle name="Heading 3 2 10 2" xfId="9618" xr:uid="{00000000-0005-0000-0000-000024230000}"/>
    <cellStyle name="Heading 3 2 11" xfId="9619" xr:uid="{00000000-0005-0000-0000-000025230000}"/>
    <cellStyle name="Heading 3 2 12" xfId="9620" xr:uid="{00000000-0005-0000-0000-000026230000}"/>
    <cellStyle name="Heading 3 2 2" xfId="9621" xr:uid="{00000000-0005-0000-0000-000027230000}"/>
    <cellStyle name="Heading 3 2 2 2" xfId="9622" xr:uid="{00000000-0005-0000-0000-000028230000}"/>
    <cellStyle name="Heading 3 2 2 2 2" xfId="9623" xr:uid="{00000000-0005-0000-0000-000029230000}"/>
    <cellStyle name="Heading 3 2 2 3" xfId="9624" xr:uid="{00000000-0005-0000-0000-00002A230000}"/>
    <cellStyle name="Heading 3 2 2 3 2" xfId="9625" xr:uid="{00000000-0005-0000-0000-00002B230000}"/>
    <cellStyle name="Heading 3 2 2 3 2 2" xfId="9626" xr:uid="{00000000-0005-0000-0000-00002C230000}"/>
    <cellStyle name="Heading 3 2 2 3 3" xfId="9627" xr:uid="{00000000-0005-0000-0000-00002D230000}"/>
    <cellStyle name="Heading 3 2 2 4" xfId="9628" xr:uid="{00000000-0005-0000-0000-00002E230000}"/>
    <cellStyle name="Heading 3 2 3" xfId="9629" xr:uid="{00000000-0005-0000-0000-00002F230000}"/>
    <cellStyle name="Heading 3 2 3 2" xfId="9630" xr:uid="{00000000-0005-0000-0000-000030230000}"/>
    <cellStyle name="Heading 3 2 3 2 2" xfId="9631" xr:uid="{00000000-0005-0000-0000-000031230000}"/>
    <cellStyle name="Heading 3 2 3 3" xfId="9632" xr:uid="{00000000-0005-0000-0000-000032230000}"/>
    <cellStyle name="Heading 3 2 3 3 2" xfId="9633" xr:uid="{00000000-0005-0000-0000-000033230000}"/>
    <cellStyle name="Heading 3 2 3 3 2 2" xfId="9634" xr:uid="{00000000-0005-0000-0000-000034230000}"/>
    <cellStyle name="Heading 3 2 3 3 3" xfId="9635" xr:uid="{00000000-0005-0000-0000-000035230000}"/>
    <cellStyle name="Heading 3 2 3 4" xfId="9636" xr:uid="{00000000-0005-0000-0000-000036230000}"/>
    <cellStyle name="Heading 3 2 4" xfId="9637" xr:uid="{00000000-0005-0000-0000-000037230000}"/>
    <cellStyle name="Heading 3 2 4 2" xfId="9638" xr:uid="{00000000-0005-0000-0000-000038230000}"/>
    <cellStyle name="Heading 3 2 4 2 2" xfId="9639" xr:uid="{00000000-0005-0000-0000-000039230000}"/>
    <cellStyle name="Heading 3 2 4 3" xfId="9640" xr:uid="{00000000-0005-0000-0000-00003A230000}"/>
    <cellStyle name="Heading 3 2 5" xfId="9641" xr:uid="{00000000-0005-0000-0000-00003B230000}"/>
    <cellStyle name="Heading 3 2 5 2" xfId="9642" xr:uid="{00000000-0005-0000-0000-00003C230000}"/>
    <cellStyle name="Heading 3 2 5 2 2" xfId="9643" xr:uid="{00000000-0005-0000-0000-00003D230000}"/>
    <cellStyle name="Heading 3 2 5 3" xfId="9644" xr:uid="{00000000-0005-0000-0000-00003E230000}"/>
    <cellStyle name="Heading 3 2 5 3 2" xfId="9645" xr:uid="{00000000-0005-0000-0000-00003F230000}"/>
    <cellStyle name="Heading 3 2 5 3 2 2" xfId="9646" xr:uid="{00000000-0005-0000-0000-000040230000}"/>
    <cellStyle name="Heading 3 2 5 3 3" xfId="9647" xr:uid="{00000000-0005-0000-0000-000041230000}"/>
    <cellStyle name="Heading 3 2 5 4" xfId="9648" xr:uid="{00000000-0005-0000-0000-000042230000}"/>
    <cellStyle name="Heading 3 2 6" xfId="9649" xr:uid="{00000000-0005-0000-0000-000043230000}"/>
    <cellStyle name="Heading 3 2 6 2" xfId="9650" xr:uid="{00000000-0005-0000-0000-000044230000}"/>
    <cellStyle name="Heading 3 2 6 2 2" xfId="9651" xr:uid="{00000000-0005-0000-0000-000045230000}"/>
    <cellStyle name="Heading 3 2 6 3" xfId="9652" xr:uid="{00000000-0005-0000-0000-000046230000}"/>
    <cellStyle name="Heading 3 2 6 3 2" xfId="9653" xr:uid="{00000000-0005-0000-0000-000047230000}"/>
    <cellStyle name="Heading 3 2 6 4" xfId="9654" xr:uid="{00000000-0005-0000-0000-000048230000}"/>
    <cellStyle name="Heading 3 2 7" xfId="9655" xr:uid="{00000000-0005-0000-0000-000049230000}"/>
    <cellStyle name="Heading 3 2 7 2" xfId="9656" xr:uid="{00000000-0005-0000-0000-00004A230000}"/>
    <cellStyle name="Heading 3 2 8" xfId="9657" xr:uid="{00000000-0005-0000-0000-00004B230000}"/>
    <cellStyle name="Heading 3 2 8 2" xfId="9658" xr:uid="{00000000-0005-0000-0000-00004C230000}"/>
    <cellStyle name="Heading 3 2 8 2 2" xfId="9659" xr:uid="{00000000-0005-0000-0000-00004D230000}"/>
    <cellStyle name="Heading 3 2 8 3" xfId="9660" xr:uid="{00000000-0005-0000-0000-00004E230000}"/>
    <cellStyle name="Heading 3 2 9" xfId="9661" xr:uid="{00000000-0005-0000-0000-00004F230000}"/>
    <cellStyle name="Heading 3 2 9 2" xfId="9662" xr:uid="{00000000-0005-0000-0000-000050230000}"/>
    <cellStyle name="Heading 3 2 9 2 2" xfId="9663" xr:uid="{00000000-0005-0000-0000-000051230000}"/>
    <cellStyle name="Heading 3 2 9 3" xfId="9664" xr:uid="{00000000-0005-0000-0000-000052230000}"/>
    <cellStyle name="Heading 3 3" xfId="9665" xr:uid="{00000000-0005-0000-0000-000053230000}"/>
    <cellStyle name="Heading 3 3 2" xfId="9666" xr:uid="{00000000-0005-0000-0000-000054230000}"/>
    <cellStyle name="Heading 3 3 2 2" xfId="9667" xr:uid="{00000000-0005-0000-0000-000055230000}"/>
    <cellStyle name="Heading 3 3 3" xfId="9668" xr:uid="{00000000-0005-0000-0000-000056230000}"/>
    <cellStyle name="Heading 3 3 3 2" xfId="9669" xr:uid="{00000000-0005-0000-0000-000057230000}"/>
    <cellStyle name="Heading 3 3 4" xfId="9670" xr:uid="{00000000-0005-0000-0000-000058230000}"/>
    <cellStyle name="Heading 3 3 4 2" xfId="9671" xr:uid="{00000000-0005-0000-0000-000059230000}"/>
    <cellStyle name="Heading 3 3 4 2 2" xfId="9672" xr:uid="{00000000-0005-0000-0000-00005A230000}"/>
    <cellStyle name="Heading 3 3 4 3" xfId="9673" xr:uid="{00000000-0005-0000-0000-00005B230000}"/>
    <cellStyle name="Heading 3 3 5" xfId="9674" xr:uid="{00000000-0005-0000-0000-00005C230000}"/>
    <cellStyle name="Heading 3 4" xfId="9675" xr:uid="{00000000-0005-0000-0000-00005D230000}"/>
    <cellStyle name="Heading 3 4 2" xfId="9676" xr:uid="{00000000-0005-0000-0000-00005E230000}"/>
    <cellStyle name="Heading 3 4 2 2" xfId="9677" xr:uid="{00000000-0005-0000-0000-00005F230000}"/>
    <cellStyle name="Heading 3 4 3" xfId="9678" xr:uid="{00000000-0005-0000-0000-000060230000}"/>
    <cellStyle name="Heading 3 4 3 2" xfId="9679" xr:uid="{00000000-0005-0000-0000-000061230000}"/>
    <cellStyle name="Heading 3 4 3 2 2" xfId="9680" xr:uid="{00000000-0005-0000-0000-000062230000}"/>
    <cellStyle name="Heading 3 4 3 3" xfId="9681" xr:uid="{00000000-0005-0000-0000-000063230000}"/>
    <cellStyle name="Heading 3 4 4" xfId="9682" xr:uid="{00000000-0005-0000-0000-000064230000}"/>
    <cellStyle name="Heading 3 5" xfId="9683" xr:uid="{00000000-0005-0000-0000-000065230000}"/>
    <cellStyle name="Heading 3 5 2" xfId="9684" xr:uid="{00000000-0005-0000-0000-000066230000}"/>
    <cellStyle name="Heading 3 5 2 2" xfId="9685" xr:uid="{00000000-0005-0000-0000-000067230000}"/>
    <cellStyle name="Heading 3 5 3" xfId="9686" xr:uid="{00000000-0005-0000-0000-000068230000}"/>
    <cellStyle name="Heading 3 5 3 2" xfId="9687" xr:uid="{00000000-0005-0000-0000-000069230000}"/>
    <cellStyle name="Heading 3 5 3 2 2" xfId="9688" xr:uid="{00000000-0005-0000-0000-00006A230000}"/>
    <cellStyle name="Heading 3 5 3 3" xfId="9689" xr:uid="{00000000-0005-0000-0000-00006B230000}"/>
    <cellStyle name="Heading 3 5 4" xfId="9690" xr:uid="{00000000-0005-0000-0000-00006C230000}"/>
    <cellStyle name="Heading 3 6" xfId="9691" xr:uid="{00000000-0005-0000-0000-00006D230000}"/>
    <cellStyle name="Heading 3 6 2" xfId="9692" xr:uid="{00000000-0005-0000-0000-00006E230000}"/>
    <cellStyle name="Heading 3 6 2 2" xfId="9693" xr:uid="{00000000-0005-0000-0000-00006F230000}"/>
    <cellStyle name="Heading 3 6 3" xfId="9694" xr:uid="{00000000-0005-0000-0000-000070230000}"/>
    <cellStyle name="Heading 3 7" xfId="9695" xr:uid="{00000000-0005-0000-0000-000071230000}"/>
    <cellStyle name="Heading 3 7 2" xfId="9696" xr:uid="{00000000-0005-0000-0000-000072230000}"/>
    <cellStyle name="Heading 3 8" xfId="9697" xr:uid="{00000000-0005-0000-0000-000073230000}"/>
    <cellStyle name="Heading 3 9" xfId="9698" xr:uid="{00000000-0005-0000-0000-000074230000}"/>
    <cellStyle name="Heading 4 2" xfId="9699" xr:uid="{00000000-0005-0000-0000-000075230000}"/>
    <cellStyle name="Heading 4 2 10" xfId="9700" xr:uid="{00000000-0005-0000-0000-000076230000}"/>
    <cellStyle name="Heading 4 2 10 2" xfId="9701" xr:uid="{00000000-0005-0000-0000-000077230000}"/>
    <cellStyle name="Heading 4 2 11" xfId="9702" xr:uid="{00000000-0005-0000-0000-000078230000}"/>
    <cellStyle name="Heading 4 2 12" xfId="9703" xr:uid="{00000000-0005-0000-0000-000079230000}"/>
    <cellStyle name="Heading 4 2 2" xfId="9704" xr:uid="{00000000-0005-0000-0000-00007A230000}"/>
    <cellStyle name="Heading 4 2 2 2" xfId="9705" xr:uid="{00000000-0005-0000-0000-00007B230000}"/>
    <cellStyle name="Heading 4 2 2 2 2" xfId="9706" xr:uid="{00000000-0005-0000-0000-00007C230000}"/>
    <cellStyle name="Heading 4 2 2 3" xfId="9707" xr:uid="{00000000-0005-0000-0000-00007D230000}"/>
    <cellStyle name="Heading 4 2 2 3 2" xfId="9708" xr:uid="{00000000-0005-0000-0000-00007E230000}"/>
    <cellStyle name="Heading 4 2 2 3 2 2" xfId="9709" xr:uid="{00000000-0005-0000-0000-00007F230000}"/>
    <cellStyle name="Heading 4 2 2 3 3" xfId="9710" xr:uid="{00000000-0005-0000-0000-000080230000}"/>
    <cellStyle name="Heading 4 2 2 4" xfId="9711" xr:uid="{00000000-0005-0000-0000-000081230000}"/>
    <cellStyle name="Heading 4 2 3" xfId="9712" xr:uid="{00000000-0005-0000-0000-000082230000}"/>
    <cellStyle name="Heading 4 2 3 2" xfId="9713" xr:uid="{00000000-0005-0000-0000-000083230000}"/>
    <cellStyle name="Heading 4 2 3 2 2" xfId="9714" xr:uid="{00000000-0005-0000-0000-000084230000}"/>
    <cellStyle name="Heading 4 2 3 3" xfId="9715" xr:uid="{00000000-0005-0000-0000-000085230000}"/>
    <cellStyle name="Heading 4 2 3 3 2" xfId="9716" xr:uid="{00000000-0005-0000-0000-000086230000}"/>
    <cellStyle name="Heading 4 2 3 3 2 2" xfId="9717" xr:uid="{00000000-0005-0000-0000-000087230000}"/>
    <cellStyle name="Heading 4 2 3 3 3" xfId="9718" xr:uid="{00000000-0005-0000-0000-000088230000}"/>
    <cellStyle name="Heading 4 2 3 4" xfId="9719" xr:uid="{00000000-0005-0000-0000-000089230000}"/>
    <cellStyle name="Heading 4 2 4" xfId="9720" xr:uid="{00000000-0005-0000-0000-00008A230000}"/>
    <cellStyle name="Heading 4 2 4 2" xfId="9721" xr:uid="{00000000-0005-0000-0000-00008B230000}"/>
    <cellStyle name="Heading 4 2 4 2 2" xfId="9722" xr:uid="{00000000-0005-0000-0000-00008C230000}"/>
    <cellStyle name="Heading 4 2 4 3" xfId="9723" xr:uid="{00000000-0005-0000-0000-00008D230000}"/>
    <cellStyle name="Heading 4 2 5" xfId="9724" xr:uid="{00000000-0005-0000-0000-00008E230000}"/>
    <cellStyle name="Heading 4 2 5 2" xfId="9725" xr:uid="{00000000-0005-0000-0000-00008F230000}"/>
    <cellStyle name="Heading 4 2 5 2 2" xfId="9726" xr:uid="{00000000-0005-0000-0000-000090230000}"/>
    <cellStyle name="Heading 4 2 5 3" xfId="9727" xr:uid="{00000000-0005-0000-0000-000091230000}"/>
    <cellStyle name="Heading 4 2 5 3 2" xfId="9728" xr:uid="{00000000-0005-0000-0000-000092230000}"/>
    <cellStyle name="Heading 4 2 5 3 2 2" xfId="9729" xr:uid="{00000000-0005-0000-0000-000093230000}"/>
    <cellStyle name="Heading 4 2 5 3 3" xfId="9730" xr:uid="{00000000-0005-0000-0000-000094230000}"/>
    <cellStyle name="Heading 4 2 5 4" xfId="9731" xr:uid="{00000000-0005-0000-0000-000095230000}"/>
    <cellStyle name="Heading 4 2 6" xfId="9732" xr:uid="{00000000-0005-0000-0000-000096230000}"/>
    <cellStyle name="Heading 4 2 6 2" xfId="9733" xr:uid="{00000000-0005-0000-0000-000097230000}"/>
    <cellStyle name="Heading 4 2 7" xfId="9734" xr:uid="{00000000-0005-0000-0000-000098230000}"/>
    <cellStyle name="Heading 4 2 7 2" xfId="9735" xr:uid="{00000000-0005-0000-0000-000099230000}"/>
    <cellStyle name="Heading 4 2 8" xfId="9736" xr:uid="{00000000-0005-0000-0000-00009A230000}"/>
    <cellStyle name="Heading 4 2 8 2" xfId="9737" xr:uid="{00000000-0005-0000-0000-00009B230000}"/>
    <cellStyle name="Heading 4 2 8 2 2" xfId="9738" xr:uid="{00000000-0005-0000-0000-00009C230000}"/>
    <cellStyle name="Heading 4 2 8 3" xfId="9739" xr:uid="{00000000-0005-0000-0000-00009D230000}"/>
    <cellStyle name="Heading 4 2 9" xfId="9740" xr:uid="{00000000-0005-0000-0000-00009E230000}"/>
    <cellStyle name="Heading 4 2 9 2" xfId="9741" xr:uid="{00000000-0005-0000-0000-00009F230000}"/>
    <cellStyle name="Heading 4 2 9 2 2" xfId="9742" xr:uid="{00000000-0005-0000-0000-0000A0230000}"/>
    <cellStyle name="Heading 4 2 9 3" xfId="9743" xr:uid="{00000000-0005-0000-0000-0000A1230000}"/>
    <cellStyle name="Heading 4 3" xfId="9744" xr:uid="{00000000-0005-0000-0000-0000A2230000}"/>
    <cellStyle name="Heading 4 3 2" xfId="9745" xr:uid="{00000000-0005-0000-0000-0000A3230000}"/>
    <cellStyle name="Heading 4 3 2 2" xfId="9746" xr:uid="{00000000-0005-0000-0000-0000A4230000}"/>
    <cellStyle name="Heading 4 3 3" xfId="9747" xr:uid="{00000000-0005-0000-0000-0000A5230000}"/>
    <cellStyle name="Heading 4 3 3 2" xfId="9748" xr:uid="{00000000-0005-0000-0000-0000A6230000}"/>
    <cellStyle name="Heading 4 3 4" xfId="9749" xr:uid="{00000000-0005-0000-0000-0000A7230000}"/>
    <cellStyle name="Heading 4 3 4 2" xfId="9750" xr:uid="{00000000-0005-0000-0000-0000A8230000}"/>
    <cellStyle name="Heading 4 3 4 2 2" xfId="9751" xr:uid="{00000000-0005-0000-0000-0000A9230000}"/>
    <cellStyle name="Heading 4 3 4 3" xfId="9752" xr:uid="{00000000-0005-0000-0000-0000AA230000}"/>
    <cellStyle name="Heading 4 3 5" xfId="9753" xr:uid="{00000000-0005-0000-0000-0000AB230000}"/>
    <cellStyle name="Heading 4 4" xfId="9754" xr:uid="{00000000-0005-0000-0000-0000AC230000}"/>
    <cellStyle name="Heading 4 4 2" xfId="9755" xr:uid="{00000000-0005-0000-0000-0000AD230000}"/>
    <cellStyle name="Heading 4 4 2 2" xfId="9756" xr:uid="{00000000-0005-0000-0000-0000AE230000}"/>
    <cellStyle name="Heading 4 4 3" xfId="9757" xr:uid="{00000000-0005-0000-0000-0000AF230000}"/>
    <cellStyle name="Heading 4 4 3 2" xfId="9758" xr:uid="{00000000-0005-0000-0000-0000B0230000}"/>
    <cellStyle name="Heading 4 4 3 2 2" xfId="9759" xr:uid="{00000000-0005-0000-0000-0000B1230000}"/>
    <cellStyle name="Heading 4 4 3 3" xfId="9760" xr:uid="{00000000-0005-0000-0000-0000B2230000}"/>
    <cellStyle name="Heading 4 4 4" xfId="9761" xr:uid="{00000000-0005-0000-0000-0000B3230000}"/>
    <cellStyle name="Heading 4 5" xfId="9762" xr:uid="{00000000-0005-0000-0000-0000B4230000}"/>
    <cellStyle name="Heading 4 5 2" xfId="9763" xr:uid="{00000000-0005-0000-0000-0000B5230000}"/>
    <cellStyle name="Heading 4 5 2 2" xfId="9764" xr:uid="{00000000-0005-0000-0000-0000B6230000}"/>
    <cellStyle name="Heading 4 5 3" xfId="9765" xr:uid="{00000000-0005-0000-0000-0000B7230000}"/>
    <cellStyle name="Heading 4 5 3 2" xfId="9766" xr:uid="{00000000-0005-0000-0000-0000B8230000}"/>
    <cellStyle name="Heading 4 5 3 2 2" xfId="9767" xr:uid="{00000000-0005-0000-0000-0000B9230000}"/>
    <cellStyle name="Heading 4 5 3 3" xfId="9768" xr:uid="{00000000-0005-0000-0000-0000BA230000}"/>
    <cellStyle name="Heading 4 5 4" xfId="9769" xr:uid="{00000000-0005-0000-0000-0000BB230000}"/>
    <cellStyle name="Heading 4 6" xfId="9770" xr:uid="{00000000-0005-0000-0000-0000BC230000}"/>
    <cellStyle name="Heading 4 6 2" xfId="9771" xr:uid="{00000000-0005-0000-0000-0000BD230000}"/>
    <cellStyle name="Heading 4 6 2 2" xfId="9772" xr:uid="{00000000-0005-0000-0000-0000BE230000}"/>
    <cellStyle name="Heading 4 6 3" xfId="9773" xr:uid="{00000000-0005-0000-0000-0000BF230000}"/>
    <cellStyle name="Heading 4 7" xfId="9774" xr:uid="{00000000-0005-0000-0000-0000C0230000}"/>
    <cellStyle name="Heading 4 7 2" xfId="9775" xr:uid="{00000000-0005-0000-0000-0000C1230000}"/>
    <cellStyle name="Heading 4 8" xfId="9776" xr:uid="{00000000-0005-0000-0000-0000C2230000}"/>
    <cellStyle name="Heading 4 9" xfId="9777" xr:uid="{00000000-0005-0000-0000-0000C3230000}"/>
    <cellStyle name="Heading1" xfId="9778" xr:uid="{00000000-0005-0000-0000-0000C4230000}"/>
    <cellStyle name="Heading1 2" xfId="9779" xr:uid="{00000000-0005-0000-0000-0000C5230000}"/>
    <cellStyle name="Heading1 2 2" xfId="9780" xr:uid="{00000000-0005-0000-0000-0000C6230000}"/>
    <cellStyle name="Heading1 3" xfId="9781" xr:uid="{00000000-0005-0000-0000-0000C7230000}"/>
    <cellStyle name="Heading2" xfId="9782" xr:uid="{00000000-0005-0000-0000-0000C8230000}"/>
    <cellStyle name="Heading2 2" xfId="9783" xr:uid="{00000000-0005-0000-0000-0000C9230000}"/>
    <cellStyle name="Heading2 2 2" xfId="9784" xr:uid="{00000000-0005-0000-0000-0000CA230000}"/>
    <cellStyle name="Heading2 3" xfId="9785" xr:uid="{00000000-0005-0000-0000-0000CB230000}"/>
    <cellStyle name="HEADINGS" xfId="9786" xr:uid="{00000000-0005-0000-0000-0000CC230000}"/>
    <cellStyle name="HEADINGS 2" xfId="9787" xr:uid="{00000000-0005-0000-0000-0000CD230000}"/>
    <cellStyle name="HEADINGS 2 2" xfId="9788" xr:uid="{00000000-0005-0000-0000-0000CE230000}"/>
    <cellStyle name="HEADINGS 2 2 2" xfId="9789" xr:uid="{00000000-0005-0000-0000-0000CF230000}"/>
    <cellStyle name="HEADINGS 2 3" xfId="9790" xr:uid="{00000000-0005-0000-0000-0000D0230000}"/>
    <cellStyle name="HEADINGS 2 3 2" xfId="9791" xr:uid="{00000000-0005-0000-0000-0000D1230000}"/>
    <cellStyle name="HEADINGS 2 3 2 2" xfId="9792" xr:uid="{00000000-0005-0000-0000-0000D2230000}"/>
    <cellStyle name="HEADINGS 2 3 3" xfId="9793" xr:uid="{00000000-0005-0000-0000-0000D3230000}"/>
    <cellStyle name="HEADINGS 2 4" xfId="9794" xr:uid="{00000000-0005-0000-0000-0000D4230000}"/>
    <cellStyle name="HEADINGS 3" xfId="9795" xr:uid="{00000000-0005-0000-0000-0000D5230000}"/>
    <cellStyle name="HEADINGS 3 2" xfId="9796" xr:uid="{00000000-0005-0000-0000-0000D6230000}"/>
    <cellStyle name="HEADINGS 3 2 2" xfId="9797" xr:uid="{00000000-0005-0000-0000-0000D7230000}"/>
    <cellStyle name="HEADINGS 3 3" xfId="9798" xr:uid="{00000000-0005-0000-0000-0000D8230000}"/>
    <cellStyle name="HEADINGS 4" xfId="9799" xr:uid="{00000000-0005-0000-0000-0000D9230000}"/>
    <cellStyle name="HEADINGS 4 2" xfId="9800" xr:uid="{00000000-0005-0000-0000-0000DA230000}"/>
    <cellStyle name="HEADINGS 4 2 2" xfId="9801" xr:uid="{00000000-0005-0000-0000-0000DB230000}"/>
    <cellStyle name="HEADINGS 4 3" xfId="9802" xr:uid="{00000000-0005-0000-0000-0000DC230000}"/>
    <cellStyle name="HEADINGS 5" xfId="9803" xr:uid="{00000000-0005-0000-0000-0000DD230000}"/>
    <cellStyle name="HEADINGS 5 2" xfId="9804" xr:uid="{00000000-0005-0000-0000-0000DE230000}"/>
    <cellStyle name="HEADINGS 6" xfId="9805" xr:uid="{00000000-0005-0000-0000-0000DF230000}"/>
    <cellStyle name="HEADINGS 6 2" xfId="9806" xr:uid="{00000000-0005-0000-0000-0000E0230000}"/>
    <cellStyle name="HEADINGS 7" xfId="9807" xr:uid="{00000000-0005-0000-0000-0000E1230000}"/>
    <cellStyle name="HEADINGSTOP" xfId="9808" xr:uid="{00000000-0005-0000-0000-0000E2230000}"/>
    <cellStyle name="HEADINGSTOP 2" xfId="9809" xr:uid="{00000000-0005-0000-0000-0000E3230000}"/>
    <cellStyle name="HEADINGSTOP 2 2" xfId="9810" xr:uid="{00000000-0005-0000-0000-0000E4230000}"/>
    <cellStyle name="HEADINGSTOP 2 2 2" xfId="9811" xr:uid="{00000000-0005-0000-0000-0000E5230000}"/>
    <cellStyle name="HEADINGSTOP 2 3" xfId="9812" xr:uid="{00000000-0005-0000-0000-0000E6230000}"/>
    <cellStyle name="HEADINGSTOP 2 3 2" xfId="9813" xr:uid="{00000000-0005-0000-0000-0000E7230000}"/>
    <cellStyle name="HEADINGSTOP 2 3 2 2" xfId="9814" xr:uid="{00000000-0005-0000-0000-0000E8230000}"/>
    <cellStyle name="HEADINGSTOP 2 3 3" xfId="9815" xr:uid="{00000000-0005-0000-0000-0000E9230000}"/>
    <cellStyle name="HEADINGSTOP 2 4" xfId="9816" xr:uid="{00000000-0005-0000-0000-0000EA230000}"/>
    <cellStyle name="HEADINGSTOP 3" xfId="9817" xr:uid="{00000000-0005-0000-0000-0000EB230000}"/>
    <cellStyle name="HEADINGSTOP 3 2" xfId="9818" xr:uid="{00000000-0005-0000-0000-0000EC230000}"/>
    <cellStyle name="HEADINGSTOP 3 2 2" xfId="9819" xr:uid="{00000000-0005-0000-0000-0000ED230000}"/>
    <cellStyle name="HEADINGSTOP 3 3" xfId="9820" xr:uid="{00000000-0005-0000-0000-0000EE230000}"/>
    <cellStyle name="HEADINGSTOP 4" xfId="9821" xr:uid="{00000000-0005-0000-0000-0000EF230000}"/>
    <cellStyle name="HEADINGSTOP 4 2" xfId="9822" xr:uid="{00000000-0005-0000-0000-0000F0230000}"/>
    <cellStyle name="HEADINGSTOP 4 2 2" xfId="9823" xr:uid="{00000000-0005-0000-0000-0000F1230000}"/>
    <cellStyle name="HEADINGSTOP 4 3" xfId="9824" xr:uid="{00000000-0005-0000-0000-0000F2230000}"/>
    <cellStyle name="HEADINGSTOP 5" xfId="9825" xr:uid="{00000000-0005-0000-0000-0000F3230000}"/>
    <cellStyle name="HEADINGSTOP 5 2" xfId="9826" xr:uid="{00000000-0005-0000-0000-0000F4230000}"/>
    <cellStyle name="HEADINGSTOP 6" xfId="9827" xr:uid="{00000000-0005-0000-0000-0000F5230000}"/>
    <cellStyle name="HEADINGSTOP 6 2" xfId="9828" xr:uid="{00000000-0005-0000-0000-0000F6230000}"/>
    <cellStyle name="HEADINGSTOP 7" xfId="9829" xr:uid="{00000000-0005-0000-0000-0000F7230000}"/>
    <cellStyle name="Helvetica 12" xfId="9830" xr:uid="{00000000-0005-0000-0000-0000F8230000}"/>
    <cellStyle name="Helvetica 12 2" xfId="9831" xr:uid="{00000000-0005-0000-0000-0000F9230000}"/>
    <cellStyle name="Helvetica 12 2 2" xfId="9832" xr:uid="{00000000-0005-0000-0000-0000FA230000}"/>
    <cellStyle name="Helvetica 12 2 2 2" xfId="9833" xr:uid="{00000000-0005-0000-0000-0000FB230000}"/>
    <cellStyle name="Helvetica 12 2 3" xfId="9834" xr:uid="{00000000-0005-0000-0000-0000FC230000}"/>
    <cellStyle name="Helvetica 12 2 3 2" xfId="9835" xr:uid="{00000000-0005-0000-0000-0000FD230000}"/>
    <cellStyle name="Helvetica 12 2 3 2 2" xfId="9836" xr:uid="{00000000-0005-0000-0000-0000FE230000}"/>
    <cellStyle name="Helvetica 12 2 3 3" xfId="9837" xr:uid="{00000000-0005-0000-0000-0000FF230000}"/>
    <cellStyle name="Helvetica 12 2 4" xfId="9838" xr:uid="{00000000-0005-0000-0000-000000240000}"/>
    <cellStyle name="Helvetica 12 3" xfId="9839" xr:uid="{00000000-0005-0000-0000-000001240000}"/>
    <cellStyle name="Helvetica 12 3 2" xfId="9840" xr:uid="{00000000-0005-0000-0000-000002240000}"/>
    <cellStyle name="Helvetica 12 3 2 2" xfId="9841" xr:uid="{00000000-0005-0000-0000-000003240000}"/>
    <cellStyle name="Helvetica 12 3 3" xfId="9842" xr:uid="{00000000-0005-0000-0000-000004240000}"/>
    <cellStyle name="Helvetica 12 4" xfId="9843" xr:uid="{00000000-0005-0000-0000-000005240000}"/>
    <cellStyle name="Helvetica 12 4 2" xfId="9844" xr:uid="{00000000-0005-0000-0000-000006240000}"/>
    <cellStyle name="Helvetica 12 5" xfId="9845" xr:uid="{00000000-0005-0000-0000-000007240000}"/>
    <cellStyle name="Helvetica 12 5 2" xfId="9846" xr:uid="{00000000-0005-0000-0000-000008240000}"/>
    <cellStyle name="Helvetica 12 6" xfId="9847" xr:uid="{00000000-0005-0000-0000-000009240000}"/>
    <cellStyle name="Hidden" xfId="9848" xr:uid="{00000000-0005-0000-0000-00000A240000}"/>
    <cellStyle name="Hidden 2" xfId="9849" xr:uid="{00000000-0005-0000-0000-00000B240000}"/>
    <cellStyle name="HIGHLIGHT" xfId="9850" xr:uid="{00000000-0005-0000-0000-00000C240000}"/>
    <cellStyle name="HIGHLIGHT 2" xfId="9851" xr:uid="{00000000-0005-0000-0000-00000D240000}"/>
    <cellStyle name="HIGHLIGHT 2 2" xfId="9852" xr:uid="{00000000-0005-0000-0000-00000E240000}"/>
    <cellStyle name="HIGHLIGHT 2 2 2" xfId="9853" xr:uid="{00000000-0005-0000-0000-00000F240000}"/>
    <cellStyle name="HIGHLIGHT 2 2 2 2" xfId="9854" xr:uid="{00000000-0005-0000-0000-000010240000}"/>
    <cellStyle name="HIGHLIGHT 2 2 3" xfId="9855" xr:uid="{00000000-0005-0000-0000-000011240000}"/>
    <cellStyle name="HIGHLIGHT 2 2 3 2" xfId="9856" xr:uid="{00000000-0005-0000-0000-000012240000}"/>
    <cellStyle name="HIGHLIGHT 2 2 3 2 2" xfId="9857" xr:uid="{00000000-0005-0000-0000-000013240000}"/>
    <cellStyle name="HIGHLIGHT 2 2 3 3" xfId="9858" xr:uid="{00000000-0005-0000-0000-000014240000}"/>
    <cellStyle name="HIGHLIGHT 2 2 4" xfId="9859" xr:uid="{00000000-0005-0000-0000-000015240000}"/>
    <cellStyle name="HIGHLIGHT 2 3" xfId="9860" xr:uid="{00000000-0005-0000-0000-000016240000}"/>
    <cellStyle name="HIGHLIGHT 2 3 2" xfId="9861" xr:uid="{00000000-0005-0000-0000-000017240000}"/>
    <cellStyle name="HIGHLIGHT 2 4" xfId="9862" xr:uid="{00000000-0005-0000-0000-000018240000}"/>
    <cellStyle name="HIGHLIGHT 3" xfId="9863" xr:uid="{00000000-0005-0000-0000-000019240000}"/>
    <cellStyle name="HIGHLIGHT 3 2" xfId="9864" xr:uid="{00000000-0005-0000-0000-00001A240000}"/>
    <cellStyle name="HIGHLIGHT 4" xfId="9865" xr:uid="{00000000-0005-0000-0000-00001B240000}"/>
    <cellStyle name="HIGHLIGHT 4 2" xfId="9866" xr:uid="{00000000-0005-0000-0000-00001C240000}"/>
    <cellStyle name="HIGHLIGHT 5" xfId="9867" xr:uid="{00000000-0005-0000-0000-00001D240000}"/>
    <cellStyle name="Hyperlink" xfId="27" builtinId="8"/>
    <cellStyle name="Initial Inputs" xfId="9868" xr:uid="{00000000-0005-0000-0000-00001F240000}"/>
    <cellStyle name="Initial Inputs 2" xfId="9869" xr:uid="{00000000-0005-0000-0000-000020240000}"/>
    <cellStyle name="Input [yellow]" xfId="9870" xr:uid="{00000000-0005-0000-0000-000021240000}"/>
    <cellStyle name="Input [yellow] 2" xfId="9871" xr:uid="{00000000-0005-0000-0000-000022240000}"/>
    <cellStyle name="Input 10" xfId="9872" xr:uid="{00000000-0005-0000-0000-000023240000}"/>
    <cellStyle name="Input 10 2" xfId="9873" xr:uid="{00000000-0005-0000-0000-000024240000}"/>
    <cellStyle name="Input 10 2 2" xfId="9874" xr:uid="{00000000-0005-0000-0000-000025240000}"/>
    <cellStyle name="Input 10 2 2 2" xfId="9875" xr:uid="{00000000-0005-0000-0000-000026240000}"/>
    <cellStyle name="Input 10 2 3" xfId="9876" xr:uid="{00000000-0005-0000-0000-000027240000}"/>
    <cellStyle name="Input 10 3" xfId="9877" xr:uid="{00000000-0005-0000-0000-000028240000}"/>
    <cellStyle name="Input 10 3 2" xfId="9878" xr:uid="{00000000-0005-0000-0000-000029240000}"/>
    <cellStyle name="Input 10 4" xfId="9879" xr:uid="{00000000-0005-0000-0000-00002A240000}"/>
    <cellStyle name="Input 100" xfId="9880" xr:uid="{00000000-0005-0000-0000-00002B240000}"/>
    <cellStyle name="Input 100 2" xfId="9881" xr:uid="{00000000-0005-0000-0000-00002C240000}"/>
    <cellStyle name="Input 100 2 2" xfId="9882" xr:uid="{00000000-0005-0000-0000-00002D240000}"/>
    <cellStyle name="Input 100 2 2 2" xfId="9883" xr:uid="{00000000-0005-0000-0000-00002E240000}"/>
    <cellStyle name="Input 100 2 3" xfId="9884" xr:uid="{00000000-0005-0000-0000-00002F240000}"/>
    <cellStyle name="Input 100 3" xfId="9885" xr:uid="{00000000-0005-0000-0000-000030240000}"/>
    <cellStyle name="Input 100 3 2" xfId="9886" xr:uid="{00000000-0005-0000-0000-000031240000}"/>
    <cellStyle name="Input 100 4" xfId="9887" xr:uid="{00000000-0005-0000-0000-000032240000}"/>
    <cellStyle name="Input 101" xfId="9888" xr:uid="{00000000-0005-0000-0000-000033240000}"/>
    <cellStyle name="Input 101 2" xfId="9889" xr:uid="{00000000-0005-0000-0000-000034240000}"/>
    <cellStyle name="Input 101 2 2" xfId="9890" xr:uid="{00000000-0005-0000-0000-000035240000}"/>
    <cellStyle name="Input 101 2 2 2" xfId="9891" xr:uid="{00000000-0005-0000-0000-000036240000}"/>
    <cellStyle name="Input 101 2 3" xfId="9892" xr:uid="{00000000-0005-0000-0000-000037240000}"/>
    <cellStyle name="Input 101 3" xfId="9893" xr:uid="{00000000-0005-0000-0000-000038240000}"/>
    <cellStyle name="Input 101 3 2" xfId="9894" xr:uid="{00000000-0005-0000-0000-000039240000}"/>
    <cellStyle name="Input 101 4" xfId="9895" xr:uid="{00000000-0005-0000-0000-00003A240000}"/>
    <cellStyle name="Input 102" xfId="9896" xr:uid="{00000000-0005-0000-0000-00003B240000}"/>
    <cellStyle name="Input 102 2" xfId="9897" xr:uid="{00000000-0005-0000-0000-00003C240000}"/>
    <cellStyle name="Input 102 2 2" xfId="9898" xr:uid="{00000000-0005-0000-0000-00003D240000}"/>
    <cellStyle name="Input 102 2 2 2" xfId="9899" xr:uid="{00000000-0005-0000-0000-00003E240000}"/>
    <cellStyle name="Input 102 2 2 2 2" xfId="9900" xr:uid="{00000000-0005-0000-0000-00003F240000}"/>
    <cellStyle name="Input 102 2 2 3" xfId="9901" xr:uid="{00000000-0005-0000-0000-000040240000}"/>
    <cellStyle name="Input 102 2 3" xfId="9902" xr:uid="{00000000-0005-0000-0000-000041240000}"/>
    <cellStyle name="Input 102 2 3 2" xfId="9903" xr:uid="{00000000-0005-0000-0000-000042240000}"/>
    <cellStyle name="Input 102 2 4" xfId="9904" xr:uid="{00000000-0005-0000-0000-000043240000}"/>
    <cellStyle name="Input 102 3" xfId="9905" xr:uid="{00000000-0005-0000-0000-000044240000}"/>
    <cellStyle name="Input 102 3 2" xfId="9906" xr:uid="{00000000-0005-0000-0000-000045240000}"/>
    <cellStyle name="Input 102 3 2 2" xfId="9907" xr:uid="{00000000-0005-0000-0000-000046240000}"/>
    <cellStyle name="Input 102 3 3" xfId="9908" xr:uid="{00000000-0005-0000-0000-000047240000}"/>
    <cellStyle name="Input 102 4" xfId="9909" xr:uid="{00000000-0005-0000-0000-000048240000}"/>
    <cellStyle name="Input 102 4 2" xfId="9910" xr:uid="{00000000-0005-0000-0000-000049240000}"/>
    <cellStyle name="Input 102 5" xfId="9911" xr:uid="{00000000-0005-0000-0000-00004A240000}"/>
    <cellStyle name="Input 103" xfId="9912" xr:uid="{00000000-0005-0000-0000-00004B240000}"/>
    <cellStyle name="Input 103 2" xfId="9913" xr:uid="{00000000-0005-0000-0000-00004C240000}"/>
    <cellStyle name="Input 103 2 2" xfId="9914" xr:uid="{00000000-0005-0000-0000-00004D240000}"/>
    <cellStyle name="Input 103 2 2 2" xfId="9915" xr:uid="{00000000-0005-0000-0000-00004E240000}"/>
    <cellStyle name="Input 103 2 2 2 2" xfId="9916" xr:uid="{00000000-0005-0000-0000-00004F240000}"/>
    <cellStyle name="Input 103 2 2 3" xfId="9917" xr:uid="{00000000-0005-0000-0000-000050240000}"/>
    <cellStyle name="Input 103 2 3" xfId="9918" xr:uid="{00000000-0005-0000-0000-000051240000}"/>
    <cellStyle name="Input 103 2 3 2" xfId="9919" xr:uid="{00000000-0005-0000-0000-000052240000}"/>
    <cellStyle name="Input 103 2 4" xfId="9920" xr:uid="{00000000-0005-0000-0000-000053240000}"/>
    <cellStyle name="Input 103 3" xfId="9921" xr:uid="{00000000-0005-0000-0000-000054240000}"/>
    <cellStyle name="Input 103 3 2" xfId="9922" xr:uid="{00000000-0005-0000-0000-000055240000}"/>
    <cellStyle name="Input 103 3 2 2" xfId="9923" xr:uid="{00000000-0005-0000-0000-000056240000}"/>
    <cellStyle name="Input 103 3 3" xfId="9924" xr:uid="{00000000-0005-0000-0000-000057240000}"/>
    <cellStyle name="Input 103 4" xfId="9925" xr:uid="{00000000-0005-0000-0000-000058240000}"/>
    <cellStyle name="Input 103 4 2" xfId="9926" xr:uid="{00000000-0005-0000-0000-000059240000}"/>
    <cellStyle name="Input 103 5" xfId="9927" xr:uid="{00000000-0005-0000-0000-00005A240000}"/>
    <cellStyle name="Input 104" xfId="9928" xr:uid="{00000000-0005-0000-0000-00005B240000}"/>
    <cellStyle name="Input 104 2" xfId="9929" xr:uid="{00000000-0005-0000-0000-00005C240000}"/>
    <cellStyle name="Input 104 2 2" xfId="9930" xr:uid="{00000000-0005-0000-0000-00005D240000}"/>
    <cellStyle name="Input 104 2 2 2" xfId="9931" xr:uid="{00000000-0005-0000-0000-00005E240000}"/>
    <cellStyle name="Input 104 2 2 2 2" xfId="9932" xr:uid="{00000000-0005-0000-0000-00005F240000}"/>
    <cellStyle name="Input 104 2 2 2 2 2" xfId="9933" xr:uid="{00000000-0005-0000-0000-000060240000}"/>
    <cellStyle name="Input 104 2 2 2 3" xfId="9934" xr:uid="{00000000-0005-0000-0000-000061240000}"/>
    <cellStyle name="Input 104 2 2 3" xfId="9935" xr:uid="{00000000-0005-0000-0000-000062240000}"/>
    <cellStyle name="Input 104 2 2 3 2" xfId="9936" xr:uid="{00000000-0005-0000-0000-000063240000}"/>
    <cellStyle name="Input 104 2 2 4" xfId="9937" xr:uid="{00000000-0005-0000-0000-000064240000}"/>
    <cellStyle name="Input 104 2 3" xfId="9938" xr:uid="{00000000-0005-0000-0000-000065240000}"/>
    <cellStyle name="Input 104 2 3 2" xfId="9939" xr:uid="{00000000-0005-0000-0000-000066240000}"/>
    <cellStyle name="Input 104 2 3 2 2" xfId="9940" xr:uid="{00000000-0005-0000-0000-000067240000}"/>
    <cellStyle name="Input 104 2 3 3" xfId="9941" xr:uid="{00000000-0005-0000-0000-000068240000}"/>
    <cellStyle name="Input 104 2 4" xfId="9942" xr:uid="{00000000-0005-0000-0000-000069240000}"/>
    <cellStyle name="Input 104 2 4 2" xfId="9943" xr:uid="{00000000-0005-0000-0000-00006A240000}"/>
    <cellStyle name="Input 104 2 5" xfId="9944" xr:uid="{00000000-0005-0000-0000-00006B240000}"/>
    <cellStyle name="Input 104 3" xfId="9945" xr:uid="{00000000-0005-0000-0000-00006C240000}"/>
    <cellStyle name="Input 104 3 2" xfId="9946" xr:uid="{00000000-0005-0000-0000-00006D240000}"/>
    <cellStyle name="Input 104 3 2 2" xfId="9947" xr:uid="{00000000-0005-0000-0000-00006E240000}"/>
    <cellStyle name="Input 104 3 2 2 2" xfId="9948" xr:uid="{00000000-0005-0000-0000-00006F240000}"/>
    <cellStyle name="Input 104 3 2 3" xfId="9949" xr:uid="{00000000-0005-0000-0000-000070240000}"/>
    <cellStyle name="Input 104 3 3" xfId="9950" xr:uid="{00000000-0005-0000-0000-000071240000}"/>
    <cellStyle name="Input 104 3 3 2" xfId="9951" xr:uid="{00000000-0005-0000-0000-000072240000}"/>
    <cellStyle name="Input 104 3 4" xfId="9952" xr:uid="{00000000-0005-0000-0000-000073240000}"/>
    <cellStyle name="Input 104 4" xfId="9953" xr:uid="{00000000-0005-0000-0000-000074240000}"/>
    <cellStyle name="Input 104 4 2" xfId="9954" xr:uid="{00000000-0005-0000-0000-000075240000}"/>
    <cellStyle name="Input 104 4 2 2" xfId="9955" xr:uid="{00000000-0005-0000-0000-000076240000}"/>
    <cellStyle name="Input 104 4 3" xfId="9956" xr:uid="{00000000-0005-0000-0000-000077240000}"/>
    <cellStyle name="Input 104 5" xfId="9957" xr:uid="{00000000-0005-0000-0000-000078240000}"/>
    <cellStyle name="Input 104 5 2" xfId="9958" xr:uid="{00000000-0005-0000-0000-000079240000}"/>
    <cellStyle name="Input 104 6" xfId="9959" xr:uid="{00000000-0005-0000-0000-00007A240000}"/>
    <cellStyle name="Input 105" xfId="9960" xr:uid="{00000000-0005-0000-0000-00007B240000}"/>
    <cellStyle name="Input 105 2" xfId="9961" xr:uid="{00000000-0005-0000-0000-00007C240000}"/>
    <cellStyle name="Input 105 2 2" xfId="9962" xr:uid="{00000000-0005-0000-0000-00007D240000}"/>
    <cellStyle name="Input 105 2 2 2" xfId="9963" xr:uid="{00000000-0005-0000-0000-00007E240000}"/>
    <cellStyle name="Input 105 2 3" xfId="9964" xr:uid="{00000000-0005-0000-0000-00007F240000}"/>
    <cellStyle name="Input 105 3" xfId="9965" xr:uid="{00000000-0005-0000-0000-000080240000}"/>
    <cellStyle name="Input 105 3 2" xfId="9966" xr:uid="{00000000-0005-0000-0000-000081240000}"/>
    <cellStyle name="Input 105 4" xfId="9967" xr:uid="{00000000-0005-0000-0000-000082240000}"/>
    <cellStyle name="Input 106" xfId="9968" xr:uid="{00000000-0005-0000-0000-000083240000}"/>
    <cellStyle name="Input 106 2" xfId="9969" xr:uid="{00000000-0005-0000-0000-000084240000}"/>
    <cellStyle name="Input 106 2 2" xfId="9970" xr:uid="{00000000-0005-0000-0000-000085240000}"/>
    <cellStyle name="Input 106 2 2 2" xfId="9971" xr:uid="{00000000-0005-0000-0000-000086240000}"/>
    <cellStyle name="Input 106 2 3" xfId="9972" xr:uid="{00000000-0005-0000-0000-000087240000}"/>
    <cellStyle name="Input 106 3" xfId="9973" xr:uid="{00000000-0005-0000-0000-000088240000}"/>
    <cellStyle name="Input 106 3 2" xfId="9974" xr:uid="{00000000-0005-0000-0000-000089240000}"/>
    <cellStyle name="Input 106 4" xfId="9975" xr:uid="{00000000-0005-0000-0000-00008A240000}"/>
    <cellStyle name="Input 107" xfId="9976" xr:uid="{00000000-0005-0000-0000-00008B240000}"/>
    <cellStyle name="Input 107 2" xfId="9977" xr:uid="{00000000-0005-0000-0000-00008C240000}"/>
    <cellStyle name="Input 107 2 2" xfId="9978" xr:uid="{00000000-0005-0000-0000-00008D240000}"/>
    <cellStyle name="Input 107 2 2 2" xfId="9979" xr:uid="{00000000-0005-0000-0000-00008E240000}"/>
    <cellStyle name="Input 107 2 3" xfId="9980" xr:uid="{00000000-0005-0000-0000-00008F240000}"/>
    <cellStyle name="Input 107 3" xfId="9981" xr:uid="{00000000-0005-0000-0000-000090240000}"/>
    <cellStyle name="Input 107 3 2" xfId="9982" xr:uid="{00000000-0005-0000-0000-000091240000}"/>
    <cellStyle name="Input 107 4" xfId="9983" xr:uid="{00000000-0005-0000-0000-000092240000}"/>
    <cellStyle name="Input 108" xfId="9984" xr:uid="{00000000-0005-0000-0000-000093240000}"/>
    <cellStyle name="Input 108 2" xfId="9985" xr:uid="{00000000-0005-0000-0000-000094240000}"/>
    <cellStyle name="Input 108 2 2" xfId="9986" xr:uid="{00000000-0005-0000-0000-000095240000}"/>
    <cellStyle name="Input 108 2 2 2" xfId="9987" xr:uid="{00000000-0005-0000-0000-000096240000}"/>
    <cellStyle name="Input 108 2 2 2 2" xfId="9988" xr:uid="{00000000-0005-0000-0000-000097240000}"/>
    <cellStyle name="Input 108 2 2 2 2 2" xfId="9989" xr:uid="{00000000-0005-0000-0000-000098240000}"/>
    <cellStyle name="Input 108 2 2 2 3" xfId="9990" xr:uid="{00000000-0005-0000-0000-000099240000}"/>
    <cellStyle name="Input 108 2 2 3" xfId="9991" xr:uid="{00000000-0005-0000-0000-00009A240000}"/>
    <cellStyle name="Input 108 2 2 3 2" xfId="9992" xr:uid="{00000000-0005-0000-0000-00009B240000}"/>
    <cellStyle name="Input 108 2 2 4" xfId="9993" xr:uid="{00000000-0005-0000-0000-00009C240000}"/>
    <cellStyle name="Input 108 2 3" xfId="9994" xr:uid="{00000000-0005-0000-0000-00009D240000}"/>
    <cellStyle name="Input 108 2 3 2" xfId="9995" xr:uid="{00000000-0005-0000-0000-00009E240000}"/>
    <cellStyle name="Input 108 2 3 2 2" xfId="9996" xr:uid="{00000000-0005-0000-0000-00009F240000}"/>
    <cellStyle name="Input 108 2 3 3" xfId="9997" xr:uid="{00000000-0005-0000-0000-0000A0240000}"/>
    <cellStyle name="Input 108 2 4" xfId="9998" xr:uid="{00000000-0005-0000-0000-0000A1240000}"/>
    <cellStyle name="Input 108 2 4 2" xfId="9999" xr:uid="{00000000-0005-0000-0000-0000A2240000}"/>
    <cellStyle name="Input 108 2 5" xfId="10000" xr:uid="{00000000-0005-0000-0000-0000A3240000}"/>
    <cellStyle name="Input 108 3" xfId="10001" xr:uid="{00000000-0005-0000-0000-0000A4240000}"/>
    <cellStyle name="Input 108 3 2" xfId="10002" xr:uid="{00000000-0005-0000-0000-0000A5240000}"/>
    <cellStyle name="Input 108 3 2 2" xfId="10003" xr:uid="{00000000-0005-0000-0000-0000A6240000}"/>
    <cellStyle name="Input 108 3 2 2 2" xfId="10004" xr:uid="{00000000-0005-0000-0000-0000A7240000}"/>
    <cellStyle name="Input 108 3 2 3" xfId="10005" xr:uid="{00000000-0005-0000-0000-0000A8240000}"/>
    <cellStyle name="Input 108 3 3" xfId="10006" xr:uid="{00000000-0005-0000-0000-0000A9240000}"/>
    <cellStyle name="Input 108 3 3 2" xfId="10007" xr:uid="{00000000-0005-0000-0000-0000AA240000}"/>
    <cellStyle name="Input 108 3 4" xfId="10008" xr:uid="{00000000-0005-0000-0000-0000AB240000}"/>
    <cellStyle name="Input 108 4" xfId="10009" xr:uid="{00000000-0005-0000-0000-0000AC240000}"/>
    <cellStyle name="Input 108 4 2" xfId="10010" xr:uid="{00000000-0005-0000-0000-0000AD240000}"/>
    <cellStyle name="Input 108 4 2 2" xfId="10011" xr:uid="{00000000-0005-0000-0000-0000AE240000}"/>
    <cellStyle name="Input 108 4 3" xfId="10012" xr:uid="{00000000-0005-0000-0000-0000AF240000}"/>
    <cellStyle name="Input 108 5" xfId="10013" xr:uid="{00000000-0005-0000-0000-0000B0240000}"/>
    <cellStyle name="Input 108 5 2" xfId="10014" xr:uid="{00000000-0005-0000-0000-0000B1240000}"/>
    <cellStyle name="Input 108 6" xfId="10015" xr:uid="{00000000-0005-0000-0000-0000B2240000}"/>
    <cellStyle name="Input 109" xfId="10016" xr:uid="{00000000-0005-0000-0000-0000B3240000}"/>
    <cellStyle name="Input 109 2" xfId="10017" xr:uid="{00000000-0005-0000-0000-0000B4240000}"/>
    <cellStyle name="Input 109 2 2" xfId="10018" xr:uid="{00000000-0005-0000-0000-0000B5240000}"/>
    <cellStyle name="Input 109 2 2 2" xfId="10019" xr:uid="{00000000-0005-0000-0000-0000B6240000}"/>
    <cellStyle name="Input 109 2 2 2 2" xfId="10020" xr:uid="{00000000-0005-0000-0000-0000B7240000}"/>
    <cellStyle name="Input 109 2 2 2 2 2" xfId="10021" xr:uid="{00000000-0005-0000-0000-0000B8240000}"/>
    <cellStyle name="Input 109 2 2 2 3" xfId="10022" xr:uid="{00000000-0005-0000-0000-0000B9240000}"/>
    <cellStyle name="Input 109 2 2 3" xfId="10023" xr:uid="{00000000-0005-0000-0000-0000BA240000}"/>
    <cellStyle name="Input 109 2 2 3 2" xfId="10024" xr:uid="{00000000-0005-0000-0000-0000BB240000}"/>
    <cellStyle name="Input 109 2 2 4" xfId="10025" xr:uid="{00000000-0005-0000-0000-0000BC240000}"/>
    <cellStyle name="Input 109 2 3" xfId="10026" xr:uid="{00000000-0005-0000-0000-0000BD240000}"/>
    <cellStyle name="Input 109 2 3 2" xfId="10027" xr:uid="{00000000-0005-0000-0000-0000BE240000}"/>
    <cellStyle name="Input 109 2 3 2 2" xfId="10028" xr:uid="{00000000-0005-0000-0000-0000BF240000}"/>
    <cellStyle name="Input 109 2 3 3" xfId="10029" xr:uid="{00000000-0005-0000-0000-0000C0240000}"/>
    <cellStyle name="Input 109 2 4" xfId="10030" xr:uid="{00000000-0005-0000-0000-0000C1240000}"/>
    <cellStyle name="Input 109 2 4 2" xfId="10031" xr:uid="{00000000-0005-0000-0000-0000C2240000}"/>
    <cellStyle name="Input 109 2 5" xfId="10032" xr:uid="{00000000-0005-0000-0000-0000C3240000}"/>
    <cellStyle name="Input 109 3" xfId="10033" xr:uid="{00000000-0005-0000-0000-0000C4240000}"/>
    <cellStyle name="Input 109 3 2" xfId="10034" xr:uid="{00000000-0005-0000-0000-0000C5240000}"/>
    <cellStyle name="Input 109 3 2 2" xfId="10035" xr:uid="{00000000-0005-0000-0000-0000C6240000}"/>
    <cellStyle name="Input 109 3 2 2 2" xfId="10036" xr:uid="{00000000-0005-0000-0000-0000C7240000}"/>
    <cellStyle name="Input 109 3 2 3" xfId="10037" xr:uid="{00000000-0005-0000-0000-0000C8240000}"/>
    <cellStyle name="Input 109 3 3" xfId="10038" xr:uid="{00000000-0005-0000-0000-0000C9240000}"/>
    <cellStyle name="Input 109 3 3 2" xfId="10039" xr:uid="{00000000-0005-0000-0000-0000CA240000}"/>
    <cellStyle name="Input 109 3 4" xfId="10040" xr:uid="{00000000-0005-0000-0000-0000CB240000}"/>
    <cellStyle name="Input 109 4" xfId="10041" xr:uid="{00000000-0005-0000-0000-0000CC240000}"/>
    <cellStyle name="Input 109 4 2" xfId="10042" xr:uid="{00000000-0005-0000-0000-0000CD240000}"/>
    <cellStyle name="Input 109 4 2 2" xfId="10043" xr:uid="{00000000-0005-0000-0000-0000CE240000}"/>
    <cellStyle name="Input 109 4 3" xfId="10044" xr:uid="{00000000-0005-0000-0000-0000CF240000}"/>
    <cellStyle name="Input 109 5" xfId="10045" xr:uid="{00000000-0005-0000-0000-0000D0240000}"/>
    <cellStyle name="Input 109 5 2" xfId="10046" xr:uid="{00000000-0005-0000-0000-0000D1240000}"/>
    <cellStyle name="Input 109 6" xfId="10047" xr:uid="{00000000-0005-0000-0000-0000D2240000}"/>
    <cellStyle name="Input 11" xfId="10048" xr:uid="{00000000-0005-0000-0000-0000D3240000}"/>
    <cellStyle name="Input 11 2" xfId="10049" xr:uid="{00000000-0005-0000-0000-0000D4240000}"/>
    <cellStyle name="Input 11 2 2" xfId="10050" xr:uid="{00000000-0005-0000-0000-0000D5240000}"/>
    <cellStyle name="Input 11 2 2 2" xfId="10051" xr:uid="{00000000-0005-0000-0000-0000D6240000}"/>
    <cellStyle name="Input 11 2 3" xfId="10052" xr:uid="{00000000-0005-0000-0000-0000D7240000}"/>
    <cellStyle name="Input 11 3" xfId="10053" xr:uid="{00000000-0005-0000-0000-0000D8240000}"/>
    <cellStyle name="Input 11 3 2" xfId="10054" xr:uid="{00000000-0005-0000-0000-0000D9240000}"/>
    <cellStyle name="Input 11 4" xfId="10055" xr:uid="{00000000-0005-0000-0000-0000DA240000}"/>
    <cellStyle name="Input 110" xfId="10056" xr:uid="{00000000-0005-0000-0000-0000DB240000}"/>
    <cellStyle name="Input 110 2" xfId="10057" xr:uid="{00000000-0005-0000-0000-0000DC240000}"/>
    <cellStyle name="Input 110 2 2" xfId="10058" xr:uid="{00000000-0005-0000-0000-0000DD240000}"/>
    <cellStyle name="Input 110 2 2 2" xfId="10059" xr:uid="{00000000-0005-0000-0000-0000DE240000}"/>
    <cellStyle name="Input 110 2 2 2 2" xfId="10060" xr:uid="{00000000-0005-0000-0000-0000DF240000}"/>
    <cellStyle name="Input 110 2 2 2 2 2" xfId="10061" xr:uid="{00000000-0005-0000-0000-0000E0240000}"/>
    <cellStyle name="Input 110 2 2 2 3" xfId="10062" xr:uid="{00000000-0005-0000-0000-0000E1240000}"/>
    <cellStyle name="Input 110 2 2 3" xfId="10063" xr:uid="{00000000-0005-0000-0000-0000E2240000}"/>
    <cellStyle name="Input 110 2 2 3 2" xfId="10064" xr:uid="{00000000-0005-0000-0000-0000E3240000}"/>
    <cellStyle name="Input 110 2 2 4" xfId="10065" xr:uid="{00000000-0005-0000-0000-0000E4240000}"/>
    <cellStyle name="Input 110 2 3" xfId="10066" xr:uid="{00000000-0005-0000-0000-0000E5240000}"/>
    <cellStyle name="Input 110 2 3 2" xfId="10067" xr:uid="{00000000-0005-0000-0000-0000E6240000}"/>
    <cellStyle name="Input 110 2 3 2 2" xfId="10068" xr:uid="{00000000-0005-0000-0000-0000E7240000}"/>
    <cellStyle name="Input 110 2 3 3" xfId="10069" xr:uid="{00000000-0005-0000-0000-0000E8240000}"/>
    <cellStyle name="Input 110 2 4" xfId="10070" xr:uid="{00000000-0005-0000-0000-0000E9240000}"/>
    <cellStyle name="Input 110 2 4 2" xfId="10071" xr:uid="{00000000-0005-0000-0000-0000EA240000}"/>
    <cellStyle name="Input 110 2 5" xfId="10072" xr:uid="{00000000-0005-0000-0000-0000EB240000}"/>
    <cellStyle name="Input 110 3" xfId="10073" xr:uid="{00000000-0005-0000-0000-0000EC240000}"/>
    <cellStyle name="Input 110 3 2" xfId="10074" xr:uid="{00000000-0005-0000-0000-0000ED240000}"/>
    <cellStyle name="Input 110 3 2 2" xfId="10075" xr:uid="{00000000-0005-0000-0000-0000EE240000}"/>
    <cellStyle name="Input 110 3 2 2 2" xfId="10076" xr:uid="{00000000-0005-0000-0000-0000EF240000}"/>
    <cellStyle name="Input 110 3 2 3" xfId="10077" xr:uid="{00000000-0005-0000-0000-0000F0240000}"/>
    <cellStyle name="Input 110 3 3" xfId="10078" xr:uid="{00000000-0005-0000-0000-0000F1240000}"/>
    <cellStyle name="Input 110 3 3 2" xfId="10079" xr:uid="{00000000-0005-0000-0000-0000F2240000}"/>
    <cellStyle name="Input 110 3 4" xfId="10080" xr:uid="{00000000-0005-0000-0000-0000F3240000}"/>
    <cellStyle name="Input 110 4" xfId="10081" xr:uid="{00000000-0005-0000-0000-0000F4240000}"/>
    <cellStyle name="Input 110 4 2" xfId="10082" xr:uid="{00000000-0005-0000-0000-0000F5240000}"/>
    <cellStyle name="Input 110 4 2 2" xfId="10083" xr:uid="{00000000-0005-0000-0000-0000F6240000}"/>
    <cellStyle name="Input 110 4 3" xfId="10084" xr:uid="{00000000-0005-0000-0000-0000F7240000}"/>
    <cellStyle name="Input 110 5" xfId="10085" xr:uid="{00000000-0005-0000-0000-0000F8240000}"/>
    <cellStyle name="Input 110 5 2" xfId="10086" xr:uid="{00000000-0005-0000-0000-0000F9240000}"/>
    <cellStyle name="Input 110 6" xfId="10087" xr:uid="{00000000-0005-0000-0000-0000FA240000}"/>
    <cellStyle name="Input 111" xfId="10088" xr:uid="{00000000-0005-0000-0000-0000FB240000}"/>
    <cellStyle name="Input 111 2" xfId="10089" xr:uid="{00000000-0005-0000-0000-0000FC240000}"/>
    <cellStyle name="Input 111 2 2" xfId="10090" xr:uid="{00000000-0005-0000-0000-0000FD240000}"/>
    <cellStyle name="Input 111 2 2 2" xfId="10091" xr:uid="{00000000-0005-0000-0000-0000FE240000}"/>
    <cellStyle name="Input 111 2 2 2 2" xfId="10092" xr:uid="{00000000-0005-0000-0000-0000FF240000}"/>
    <cellStyle name="Input 111 2 2 2 2 2" xfId="10093" xr:uid="{00000000-0005-0000-0000-000000250000}"/>
    <cellStyle name="Input 111 2 2 2 3" xfId="10094" xr:uid="{00000000-0005-0000-0000-000001250000}"/>
    <cellStyle name="Input 111 2 2 3" xfId="10095" xr:uid="{00000000-0005-0000-0000-000002250000}"/>
    <cellStyle name="Input 111 2 2 3 2" xfId="10096" xr:uid="{00000000-0005-0000-0000-000003250000}"/>
    <cellStyle name="Input 111 2 2 4" xfId="10097" xr:uid="{00000000-0005-0000-0000-000004250000}"/>
    <cellStyle name="Input 111 2 3" xfId="10098" xr:uid="{00000000-0005-0000-0000-000005250000}"/>
    <cellStyle name="Input 111 2 3 2" xfId="10099" xr:uid="{00000000-0005-0000-0000-000006250000}"/>
    <cellStyle name="Input 111 2 3 2 2" xfId="10100" xr:uid="{00000000-0005-0000-0000-000007250000}"/>
    <cellStyle name="Input 111 2 3 3" xfId="10101" xr:uid="{00000000-0005-0000-0000-000008250000}"/>
    <cellStyle name="Input 111 2 4" xfId="10102" xr:uid="{00000000-0005-0000-0000-000009250000}"/>
    <cellStyle name="Input 111 2 4 2" xfId="10103" xr:uid="{00000000-0005-0000-0000-00000A250000}"/>
    <cellStyle name="Input 111 2 5" xfId="10104" xr:uid="{00000000-0005-0000-0000-00000B250000}"/>
    <cellStyle name="Input 111 3" xfId="10105" xr:uid="{00000000-0005-0000-0000-00000C250000}"/>
    <cellStyle name="Input 111 3 2" xfId="10106" xr:uid="{00000000-0005-0000-0000-00000D250000}"/>
    <cellStyle name="Input 111 3 2 2" xfId="10107" xr:uid="{00000000-0005-0000-0000-00000E250000}"/>
    <cellStyle name="Input 111 3 2 2 2" xfId="10108" xr:uid="{00000000-0005-0000-0000-00000F250000}"/>
    <cellStyle name="Input 111 3 2 3" xfId="10109" xr:uid="{00000000-0005-0000-0000-000010250000}"/>
    <cellStyle name="Input 111 3 3" xfId="10110" xr:uid="{00000000-0005-0000-0000-000011250000}"/>
    <cellStyle name="Input 111 3 3 2" xfId="10111" xr:uid="{00000000-0005-0000-0000-000012250000}"/>
    <cellStyle name="Input 111 3 4" xfId="10112" xr:uid="{00000000-0005-0000-0000-000013250000}"/>
    <cellStyle name="Input 111 4" xfId="10113" xr:uid="{00000000-0005-0000-0000-000014250000}"/>
    <cellStyle name="Input 111 4 2" xfId="10114" xr:uid="{00000000-0005-0000-0000-000015250000}"/>
    <cellStyle name="Input 111 4 2 2" xfId="10115" xr:uid="{00000000-0005-0000-0000-000016250000}"/>
    <cellStyle name="Input 111 4 3" xfId="10116" xr:uid="{00000000-0005-0000-0000-000017250000}"/>
    <cellStyle name="Input 111 5" xfId="10117" xr:uid="{00000000-0005-0000-0000-000018250000}"/>
    <cellStyle name="Input 111 5 2" xfId="10118" xr:uid="{00000000-0005-0000-0000-000019250000}"/>
    <cellStyle name="Input 111 6" xfId="10119" xr:uid="{00000000-0005-0000-0000-00001A250000}"/>
    <cellStyle name="Input 112" xfId="10120" xr:uid="{00000000-0005-0000-0000-00001B250000}"/>
    <cellStyle name="Input 112 2" xfId="10121" xr:uid="{00000000-0005-0000-0000-00001C250000}"/>
    <cellStyle name="Input 112 2 2" xfId="10122" xr:uid="{00000000-0005-0000-0000-00001D250000}"/>
    <cellStyle name="Input 112 2 2 2" xfId="10123" xr:uid="{00000000-0005-0000-0000-00001E250000}"/>
    <cellStyle name="Input 112 2 2 2 2" xfId="10124" xr:uid="{00000000-0005-0000-0000-00001F250000}"/>
    <cellStyle name="Input 112 2 2 2 2 2" xfId="10125" xr:uid="{00000000-0005-0000-0000-000020250000}"/>
    <cellStyle name="Input 112 2 2 2 3" xfId="10126" xr:uid="{00000000-0005-0000-0000-000021250000}"/>
    <cellStyle name="Input 112 2 2 3" xfId="10127" xr:uid="{00000000-0005-0000-0000-000022250000}"/>
    <cellStyle name="Input 112 2 2 3 2" xfId="10128" xr:uid="{00000000-0005-0000-0000-000023250000}"/>
    <cellStyle name="Input 112 2 2 4" xfId="10129" xr:uid="{00000000-0005-0000-0000-000024250000}"/>
    <cellStyle name="Input 112 2 3" xfId="10130" xr:uid="{00000000-0005-0000-0000-000025250000}"/>
    <cellStyle name="Input 112 2 3 2" xfId="10131" xr:uid="{00000000-0005-0000-0000-000026250000}"/>
    <cellStyle name="Input 112 2 3 2 2" xfId="10132" xr:uid="{00000000-0005-0000-0000-000027250000}"/>
    <cellStyle name="Input 112 2 3 3" xfId="10133" xr:uid="{00000000-0005-0000-0000-000028250000}"/>
    <cellStyle name="Input 112 2 4" xfId="10134" xr:uid="{00000000-0005-0000-0000-000029250000}"/>
    <cellStyle name="Input 112 2 4 2" xfId="10135" xr:uid="{00000000-0005-0000-0000-00002A250000}"/>
    <cellStyle name="Input 112 2 5" xfId="10136" xr:uid="{00000000-0005-0000-0000-00002B250000}"/>
    <cellStyle name="Input 112 3" xfId="10137" xr:uid="{00000000-0005-0000-0000-00002C250000}"/>
    <cellStyle name="Input 112 3 2" xfId="10138" xr:uid="{00000000-0005-0000-0000-00002D250000}"/>
    <cellStyle name="Input 112 3 2 2" xfId="10139" xr:uid="{00000000-0005-0000-0000-00002E250000}"/>
    <cellStyle name="Input 112 3 2 2 2" xfId="10140" xr:uid="{00000000-0005-0000-0000-00002F250000}"/>
    <cellStyle name="Input 112 3 2 3" xfId="10141" xr:uid="{00000000-0005-0000-0000-000030250000}"/>
    <cellStyle name="Input 112 3 3" xfId="10142" xr:uid="{00000000-0005-0000-0000-000031250000}"/>
    <cellStyle name="Input 112 3 3 2" xfId="10143" xr:uid="{00000000-0005-0000-0000-000032250000}"/>
    <cellStyle name="Input 112 3 4" xfId="10144" xr:uid="{00000000-0005-0000-0000-000033250000}"/>
    <cellStyle name="Input 112 4" xfId="10145" xr:uid="{00000000-0005-0000-0000-000034250000}"/>
    <cellStyle name="Input 112 4 2" xfId="10146" xr:uid="{00000000-0005-0000-0000-000035250000}"/>
    <cellStyle name="Input 112 4 2 2" xfId="10147" xr:uid="{00000000-0005-0000-0000-000036250000}"/>
    <cellStyle name="Input 112 4 3" xfId="10148" xr:uid="{00000000-0005-0000-0000-000037250000}"/>
    <cellStyle name="Input 112 5" xfId="10149" xr:uid="{00000000-0005-0000-0000-000038250000}"/>
    <cellStyle name="Input 112 5 2" xfId="10150" xr:uid="{00000000-0005-0000-0000-000039250000}"/>
    <cellStyle name="Input 112 6" xfId="10151" xr:uid="{00000000-0005-0000-0000-00003A250000}"/>
    <cellStyle name="Input 113" xfId="10152" xr:uid="{00000000-0005-0000-0000-00003B250000}"/>
    <cellStyle name="Input 113 2" xfId="10153" xr:uid="{00000000-0005-0000-0000-00003C250000}"/>
    <cellStyle name="Input 113 2 2" xfId="10154" xr:uid="{00000000-0005-0000-0000-00003D250000}"/>
    <cellStyle name="Input 113 2 2 2" xfId="10155" xr:uid="{00000000-0005-0000-0000-00003E250000}"/>
    <cellStyle name="Input 113 2 2 2 2" xfId="10156" xr:uid="{00000000-0005-0000-0000-00003F250000}"/>
    <cellStyle name="Input 113 2 2 2 2 2" xfId="10157" xr:uid="{00000000-0005-0000-0000-000040250000}"/>
    <cellStyle name="Input 113 2 2 2 3" xfId="10158" xr:uid="{00000000-0005-0000-0000-000041250000}"/>
    <cellStyle name="Input 113 2 2 3" xfId="10159" xr:uid="{00000000-0005-0000-0000-000042250000}"/>
    <cellStyle name="Input 113 2 2 3 2" xfId="10160" xr:uid="{00000000-0005-0000-0000-000043250000}"/>
    <cellStyle name="Input 113 2 2 4" xfId="10161" xr:uid="{00000000-0005-0000-0000-000044250000}"/>
    <cellStyle name="Input 113 2 3" xfId="10162" xr:uid="{00000000-0005-0000-0000-000045250000}"/>
    <cellStyle name="Input 113 2 3 2" xfId="10163" xr:uid="{00000000-0005-0000-0000-000046250000}"/>
    <cellStyle name="Input 113 2 3 2 2" xfId="10164" xr:uid="{00000000-0005-0000-0000-000047250000}"/>
    <cellStyle name="Input 113 2 3 3" xfId="10165" xr:uid="{00000000-0005-0000-0000-000048250000}"/>
    <cellStyle name="Input 113 2 4" xfId="10166" xr:uid="{00000000-0005-0000-0000-000049250000}"/>
    <cellStyle name="Input 113 2 4 2" xfId="10167" xr:uid="{00000000-0005-0000-0000-00004A250000}"/>
    <cellStyle name="Input 113 2 5" xfId="10168" xr:uid="{00000000-0005-0000-0000-00004B250000}"/>
    <cellStyle name="Input 113 3" xfId="10169" xr:uid="{00000000-0005-0000-0000-00004C250000}"/>
    <cellStyle name="Input 113 3 2" xfId="10170" xr:uid="{00000000-0005-0000-0000-00004D250000}"/>
    <cellStyle name="Input 113 3 2 2" xfId="10171" xr:uid="{00000000-0005-0000-0000-00004E250000}"/>
    <cellStyle name="Input 113 3 2 2 2" xfId="10172" xr:uid="{00000000-0005-0000-0000-00004F250000}"/>
    <cellStyle name="Input 113 3 2 3" xfId="10173" xr:uid="{00000000-0005-0000-0000-000050250000}"/>
    <cellStyle name="Input 113 3 3" xfId="10174" xr:uid="{00000000-0005-0000-0000-000051250000}"/>
    <cellStyle name="Input 113 3 3 2" xfId="10175" xr:uid="{00000000-0005-0000-0000-000052250000}"/>
    <cellStyle name="Input 113 3 4" xfId="10176" xr:uid="{00000000-0005-0000-0000-000053250000}"/>
    <cellStyle name="Input 113 4" xfId="10177" xr:uid="{00000000-0005-0000-0000-000054250000}"/>
    <cellStyle name="Input 113 4 2" xfId="10178" xr:uid="{00000000-0005-0000-0000-000055250000}"/>
    <cellStyle name="Input 113 4 2 2" xfId="10179" xr:uid="{00000000-0005-0000-0000-000056250000}"/>
    <cellStyle name="Input 113 4 3" xfId="10180" xr:uid="{00000000-0005-0000-0000-000057250000}"/>
    <cellStyle name="Input 113 5" xfId="10181" xr:uid="{00000000-0005-0000-0000-000058250000}"/>
    <cellStyle name="Input 113 5 2" xfId="10182" xr:uid="{00000000-0005-0000-0000-000059250000}"/>
    <cellStyle name="Input 113 6" xfId="10183" xr:uid="{00000000-0005-0000-0000-00005A250000}"/>
    <cellStyle name="Input 114" xfId="10184" xr:uid="{00000000-0005-0000-0000-00005B250000}"/>
    <cellStyle name="Input 114 2" xfId="10185" xr:uid="{00000000-0005-0000-0000-00005C250000}"/>
    <cellStyle name="Input 114 2 2" xfId="10186" xr:uid="{00000000-0005-0000-0000-00005D250000}"/>
    <cellStyle name="Input 114 2 2 2" xfId="10187" xr:uid="{00000000-0005-0000-0000-00005E250000}"/>
    <cellStyle name="Input 114 2 2 2 2" xfId="10188" xr:uid="{00000000-0005-0000-0000-00005F250000}"/>
    <cellStyle name="Input 114 2 2 3" xfId="10189" xr:uid="{00000000-0005-0000-0000-000060250000}"/>
    <cellStyle name="Input 114 2 3" xfId="10190" xr:uid="{00000000-0005-0000-0000-000061250000}"/>
    <cellStyle name="Input 114 2 3 2" xfId="10191" xr:uid="{00000000-0005-0000-0000-000062250000}"/>
    <cellStyle name="Input 114 2 4" xfId="10192" xr:uid="{00000000-0005-0000-0000-000063250000}"/>
    <cellStyle name="Input 114 3" xfId="10193" xr:uid="{00000000-0005-0000-0000-000064250000}"/>
    <cellStyle name="Input 114 3 2" xfId="10194" xr:uid="{00000000-0005-0000-0000-000065250000}"/>
    <cellStyle name="Input 114 3 2 2" xfId="10195" xr:uid="{00000000-0005-0000-0000-000066250000}"/>
    <cellStyle name="Input 114 3 3" xfId="10196" xr:uid="{00000000-0005-0000-0000-000067250000}"/>
    <cellStyle name="Input 114 4" xfId="10197" xr:uid="{00000000-0005-0000-0000-000068250000}"/>
    <cellStyle name="Input 114 4 2" xfId="10198" xr:uid="{00000000-0005-0000-0000-000069250000}"/>
    <cellStyle name="Input 114 5" xfId="10199" xr:uid="{00000000-0005-0000-0000-00006A250000}"/>
    <cellStyle name="Input 115" xfId="10200" xr:uid="{00000000-0005-0000-0000-00006B250000}"/>
    <cellStyle name="Input 115 2" xfId="10201" xr:uid="{00000000-0005-0000-0000-00006C250000}"/>
    <cellStyle name="Input 115 2 2" xfId="10202" xr:uid="{00000000-0005-0000-0000-00006D250000}"/>
    <cellStyle name="Input 115 2 2 2" xfId="10203" xr:uid="{00000000-0005-0000-0000-00006E250000}"/>
    <cellStyle name="Input 115 2 2 2 2" xfId="10204" xr:uid="{00000000-0005-0000-0000-00006F250000}"/>
    <cellStyle name="Input 115 2 2 3" xfId="10205" xr:uid="{00000000-0005-0000-0000-000070250000}"/>
    <cellStyle name="Input 115 2 3" xfId="10206" xr:uid="{00000000-0005-0000-0000-000071250000}"/>
    <cellStyle name="Input 115 2 3 2" xfId="10207" xr:uid="{00000000-0005-0000-0000-000072250000}"/>
    <cellStyle name="Input 115 2 4" xfId="10208" xr:uid="{00000000-0005-0000-0000-000073250000}"/>
    <cellStyle name="Input 115 3" xfId="10209" xr:uid="{00000000-0005-0000-0000-000074250000}"/>
    <cellStyle name="Input 115 3 2" xfId="10210" xr:uid="{00000000-0005-0000-0000-000075250000}"/>
    <cellStyle name="Input 115 3 2 2" xfId="10211" xr:uid="{00000000-0005-0000-0000-000076250000}"/>
    <cellStyle name="Input 115 3 3" xfId="10212" xr:uid="{00000000-0005-0000-0000-000077250000}"/>
    <cellStyle name="Input 115 4" xfId="10213" xr:uid="{00000000-0005-0000-0000-000078250000}"/>
    <cellStyle name="Input 115 4 2" xfId="10214" xr:uid="{00000000-0005-0000-0000-000079250000}"/>
    <cellStyle name="Input 115 5" xfId="10215" xr:uid="{00000000-0005-0000-0000-00007A250000}"/>
    <cellStyle name="Input 116" xfId="10216" xr:uid="{00000000-0005-0000-0000-00007B250000}"/>
    <cellStyle name="Input 116 2" xfId="10217" xr:uid="{00000000-0005-0000-0000-00007C250000}"/>
    <cellStyle name="Input 116 2 2" xfId="10218" xr:uid="{00000000-0005-0000-0000-00007D250000}"/>
    <cellStyle name="Input 116 2 2 2" xfId="10219" xr:uid="{00000000-0005-0000-0000-00007E250000}"/>
    <cellStyle name="Input 116 2 2 2 2" xfId="10220" xr:uid="{00000000-0005-0000-0000-00007F250000}"/>
    <cellStyle name="Input 116 2 2 3" xfId="10221" xr:uid="{00000000-0005-0000-0000-000080250000}"/>
    <cellStyle name="Input 116 2 3" xfId="10222" xr:uid="{00000000-0005-0000-0000-000081250000}"/>
    <cellStyle name="Input 116 2 3 2" xfId="10223" xr:uid="{00000000-0005-0000-0000-000082250000}"/>
    <cellStyle name="Input 116 2 4" xfId="10224" xr:uid="{00000000-0005-0000-0000-000083250000}"/>
    <cellStyle name="Input 116 3" xfId="10225" xr:uid="{00000000-0005-0000-0000-000084250000}"/>
    <cellStyle name="Input 116 3 2" xfId="10226" xr:uid="{00000000-0005-0000-0000-000085250000}"/>
    <cellStyle name="Input 116 3 2 2" xfId="10227" xr:uid="{00000000-0005-0000-0000-000086250000}"/>
    <cellStyle name="Input 116 3 3" xfId="10228" xr:uid="{00000000-0005-0000-0000-000087250000}"/>
    <cellStyle name="Input 116 4" xfId="10229" xr:uid="{00000000-0005-0000-0000-000088250000}"/>
    <cellStyle name="Input 116 4 2" xfId="10230" xr:uid="{00000000-0005-0000-0000-000089250000}"/>
    <cellStyle name="Input 116 5" xfId="10231" xr:uid="{00000000-0005-0000-0000-00008A250000}"/>
    <cellStyle name="Input 117" xfId="10232" xr:uid="{00000000-0005-0000-0000-00008B250000}"/>
    <cellStyle name="Input 117 2" xfId="10233" xr:uid="{00000000-0005-0000-0000-00008C250000}"/>
    <cellStyle name="Input 117 2 2" xfId="10234" xr:uid="{00000000-0005-0000-0000-00008D250000}"/>
    <cellStyle name="Input 117 2 2 2" xfId="10235" xr:uid="{00000000-0005-0000-0000-00008E250000}"/>
    <cellStyle name="Input 117 2 2 2 2" xfId="10236" xr:uid="{00000000-0005-0000-0000-00008F250000}"/>
    <cellStyle name="Input 117 2 2 3" xfId="10237" xr:uid="{00000000-0005-0000-0000-000090250000}"/>
    <cellStyle name="Input 117 2 3" xfId="10238" xr:uid="{00000000-0005-0000-0000-000091250000}"/>
    <cellStyle name="Input 117 2 3 2" xfId="10239" xr:uid="{00000000-0005-0000-0000-000092250000}"/>
    <cellStyle name="Input 117 2 4" xfId="10240" xr:uid="{00000000-0005-0000-0000-000093250000}"/>
    <cellStyle name="Input 117 3" xfId="10241" xr:uid="{00000000-0005-0000-0000-000094250000}"/>
    <cellStyle name="Input 117 3 2" xfId="10242" xr:uid="{00000000-0005-0000-0000-000095250000}"/>
    <cellStyle name="Input 117 3 2 2" xfId="10243" xr:uid="{00000000-0005-0000-0000-000096250000}"/>
    <cellStyle name="Input 117 3 3" xfId="10244" xr:uid="{00000000-0005-0000-0000-000097250000}"/>
    <cellStyle name="Input 117 4" xfId="10245" xr:uid="{00000000-0005-0000-0000-000098250000}"/>
    <cellStyle name="Input 117 4 2" xfId="10246" xr:uid="{00000000-0005-0000-0000-000099250000}"/>
    <cellStyle name="Input 117 5" xfId="10247" xr:uid="{00000000-0005-0000-0000-00009A250000}"/>
    <cellStyle name="Input 118" xfId="10248" xr:uid="{00000000-0005-0000-0000-00009B250000}"/>
    <cellStyle name="Input 118 2" xfId="10249" xr:uid="{00000000-0005-0000-0000-00009C250000}"/>
    <cellStyle name="Input 118 2 2" xfId="10250" xr:uid="{00000000-0005-0000-0000-00009D250000}"/>
    <cellStyle name="Input 118 3" xfId="10251" xr:uid="{00000000-0005-0000-0000-00009E250000}"/>
    <cellStyle name="Input 119" xfId="10252" xr:uid="{00000000-0005-0000-0000-00009F250000}"/>
    <cellStyle name="Input 119 2" xfId="10253" xr:uid="{00000000-0005-0000-0000-0000A0250000}"/>
    <cellStyle name="Input 119 3" xfId="10254" xr:uid="{00000000-0005-0000-0000-0000A1250000}"/>
    <cellStyle name="Input 12" xfId="10255" xr:uid="{00000000-0005-0000-0000-0000A2250000}"/>
    <cellStyle name="Input 12 2" xfId="10256" xr:uid="{00000000-0005-0000-0000-0000A3250000}"/>
    <cellStyle name="Input 12 2 2" xfId="10257" xr:uid="{00000000-0005-0000-0000-0000A4250000}"/>
    <cellStyle name="Input 12 2 2 2" xfId="10258" xr:uid="{00000000-0005-0000-0000-0000A5250000}"/>
    <cellStyle name="Input 12 2 3" xfId="10259" xr:uid="{00000000-0005-0000-0000-0000A6250000}"/>
    <cellStyle name="Input 12 3" xfId="10260" xr:uid="{00000000-0005-0000-0000-0000A7250000}"/>
    <cellStyle name="Input 12 3 2" xfId="10261" xr:uid="{00000000-0005-0000-0000-0000A8250000}"/>
    <cellStyle name="Input 12 4" xfId="10262" xr:uid="{00000000-0005-0000-0000-0000A9250000}"/>
    <cellStyle name="Input 120" xfId="10263" xr:uid="{00000000-0005-0000-0000-0000AA250000}"/>
    <cellStyle name="Input 120 2" xfId="10264" xr:uid="{00000000-0005-0000-0000-0000AB250000}"/>
    <cellStyle name="Input 120 3" xfId="10265" xr:uid="{00000000-0005-0000-0000-0000AC250000}"/>
    <cellStyle name="Input 121" xfId="10266" xr:uid="{00000000-0005-0000-0000-0000AD250000}"/>
    <cellStyle name="Input 121 2" xfId="10267" xr:uid="{00000000-0005-0000-0000-0000AE250000}"/>
    <cellStyle name="Input 122" xfId="10268" xr:uid="{00000000-0005-0000-0000-0000AF250000}"/>
    <cellStyle name="Input 122 2" xfId="10269" xr:uid="{00000000-0005-0000-0000-0000B0250000}"/>
    <cellStyle name="Input 122 3" xfId="10270" xr:uid="{00000000-0005-0000-0000-0000B1250000}"/>
    <cellStyle name="Input 123" xfId="10271" xr:uid="{00000000-0005-0000-0000-0000B2250000}"/>
    <cellStyle name="Input 123 2" xfId="10272" xr:uid="{00000000-0005-0000-0000-0000B3250000}"/>
    <cellStyle name="Input 124" xfId="10273" xr:uid="{00000000-0005-0000-0000-0000B4250000}"/>
    <cellStyle name="Input 124 2" xfId="10274" xr:uid="{00000000-0005-0000-0000-0000B5250000}"/>
    <cellStyle name="Input 125" xfId="10275" xr:uid="{00000000-0005-0000-0000-0000B6250000}"/>
    <cellStyle name="Input 125 2" xfId="10276" xr:uid="{00000000-0005-0000-0000-0000B7250000}"/>
    <cellStyle name="Input 126" xfId="10277" xr:uid="{00000000-0005-0000-0000-0000B8250000}"/>
    <cellStyle name="Input 127" xfId="10278" xr:uid="{00000000-0005-0000-0000-0000B9250000}"/>
    <cellStyle name="Input 128" xfId="10279" xr:uid="{00000000-0005-0000-0000-0000BA250000}"/>
    <cellStyle name="Input 129" xfId="10280" xr:uid="{00000000-0005-0000-0000-0000BB250000}"/>
    <cellStyle name="Input 13" xfId="10281" xr:uid="{00000000-0005-0000-0000-0000BC250000}"/>
    <cellStyle name="Input 13 2" xfId="10282" xr:uid="{00000000-0005-0000-0000-0000BD250000}"/>
    <cellStyle name="Input 13 2 2" xfId="10283" xr:uid="{00000000-0005-0000-0000-0000BE250000}"/>
    <cellStyle name="Input 13 2 2 2" xfId="10284" xr:uid="{00000000-0005-0000-0000-0000BF250000}"/>
    <cellStyle name="Input 13 2 3" xfId="10285" xr:uid="{00000000-0005-0000-0000-0000C0250000}"/>
    <cellStyle name="Input 13 3" xfId="10286" xr:uid="{00000000-0005-0000-0000-0000C1250000}"/>
    <cellStyle name="Input 13 3 2" xfId="10287" xr:uid="{00000000-0005-0000-0000-0000C2250000}"/>
    <cellStyle name="Input 13 4" xfId="10288" xr:uid="{00000000-0005-0000-0000-0000C3250000}"/>
    <cellStyle name="Input 130" xfId="10289" xr:uid="{00000000-0005-0000-0000-0000C4250000}"/>
    <cellStyle name="Input 131" xfId="10290" xr:uid="{00000000-0005-0000-0000-0000C5250000}"/>
    <cellStyle name="Input 132" xfId="10291" xr:uid="{00000000-0005-0000-0000-0000C6250000}"/>
    <cellStyle name="Input 133" xfId="10292" xr:uid="{00000000-0005-0000-0000-0000C7250000}"/>
    <cellStyle name="Input 134" xfId="10293" xr:uid="{00000000-0005-0000-0000-0000C8250000}"/>
    <cellStyle name="Input 135" xfId="10294" xr:uid="{00000000-0005-0000-0000-0000C9250000}"/>
    <cellStyle name="Input 136" xfId="10295" xr:uid="{00000000-0005-0000-0000-0000CA250000}"/>
    <cellStyle name="Input 137" xfId="10296" xr:uid="{00000000-0005-0000-0000-0000CB250000}"/>
    <cellStyle name="Input 138" xfId="10297" xr:uid="{00000000-0005-0000-0000-0000CC250000}"/>
    <cellStyle name="Input 139" xfId="10298" xr:uid="{00000000-0005-0000-0000-0000CD250000}"/>
    <cellStyle name="Input 14" xfId="10299" xr:uid="{00000000-0005-0000-0000-0000CE250000}"/>
    <cellStyle name="Input 14 2" xfId="10300" xr:uid="{00000000-0005-0000-0000-0000CF250000}"/>
    <cellStyle name="Input 14 2 2" xfId="10301" xr:uid="{00000000-0005-0000-0000-0000D0250000}"/>
    <cellStyle name="Input 14 2 2 2" xfId="10302" xr:uid="{00000000-0005-0000-0000-0000D1250000}"/>
    <cellStyle name="Input 14 2 3" xfId="10303" xr:uid="{00000000-0005-0000-0000-0000D2250000}"/>
    <cellStyle name="Input 14 3" xfId="10304" xr:uid="{00000000-0005-0000-0000-0000D3250000}"/>
    <cellStyle name="Input 14 3 2" xfId="10305" xr:uid="{00000000-0005-0000-0000-0000D4250000}"/>
    <cellStyle name="Input 14 4" xfId="10306" xr:uid="{00000000-0005-0000-0000-0000D5250000}"/>
    <cellStyle name="Input 140" xfId="10307" xr:uid="{00000000-0005-0000-0000-0000D6250000}"/>
    <cellStyle name="Input 141" xfId="10308" xr:uid="{00000000-0005-0000-0000-0000D7250000}"/>
    <cellStyle name="Input 142" xfId="10309" xr:uid="{00000000-0005-0000-0000-0000D8250000}"/>
    <cellStyle name="Input 143" xfId="10310" xr:uid="{00000000-0005-0000-0000-0000D9250000}"/>
    <cellStyle name="Input 144" xfId="10311" xr:uid="{00000000-0005-0000-0000-0000DA250000}"/>
    <cellStyle name="Input 145" xfId="10312" xr:uid="{00000000-0005-0000-0000-0000DB250000}"/>
    <cellStyle name="Input 146" xfId="10313" xr:uid="{00000000-0005-0000-0000-0000DC250000}"/>
    <cellStyle name="Input 147" xfId="10314" xr:uid="{00000000-0005-0000-0000-0000DD250000}"/>
    <cellStyle name="Input 148" xfId="10315" xr:uid="{00000000-0005-0000-0000-0000DE250000}"/>
    <cellStyle name="Input 149" xfId="10316" xr:uid="{00000000-0005-0000-0000-0000DF250000}"/>
    <cellStyle name="Input 15" xfId="10317" xr:uid="{00000000-0005-0000-0000-0000E0250000}"/>
    <cellStyle name="Input 15 2" xfId="10318" xr:uid="{00000000-0005-0000-0000-0000E1250000}"/>
    <cellStyle name="Input 15 2 2" xfId="10319" xr:uid="{00000000-0005-0000-0000-0000E2250000}"/>
    <cellStyle name="Input 15 2 2 2" xfId="10320" xr:uid="{00000000-0005-0000-0000-0000E3250000}"/>
    <cellStyle name="Input 15 2 3" xfId="10321" xr:uid="{00000000-0005-0000-0000-0000E4250000}"/>
    <cellStyle name="Input 15 3" xfId="10322" xr:uid="{00000000-0005-0000-0000-0000E5250000}"/>
    <cellStyle name="Input 15 3 2" xfId="10323" xr:uid="{00000000-0005-0000-0000-0000E6250000}"/>
    <cellStyle name="Input 15 4" xfId="10324" xr:uid="{00000000-0005-0000-0000-0000E7250000}"/>
    <cellStyle name="Input 150" xfId="10325" xr:uid="{00000000-0005-0000-0000-0000E8250000}"/>
    <cellStyle name="Input 151" xfId="10326" xr:uid="{00000000-0005-0000-0000-0000E9250000}"/>
    <cellStyle name="Input 152" xfId="10327" xr:uid="{00000000-0005-0000-0000-0000EA250000}"/>
    <cellStyle name="Input 153" xfId="10328" xr:uid="{00000000-0005-0000-0000-0000EB250000}"/>
    <cellStyle name="Input 154" xfId="10329" xr:uid="{00000000-0005-0000-0000-0000EC250000}"/>
    <cellStyle name="Input 155" xfId="10330" xr:uid="{00000000-0005-0000-0000-0000ED250000}"/>
    <cellStyle name="Input 156" xfId="10331" xr:uid="{00000000-0005-0000-0000-0000EE250000}"/>
    <cellStyle name="Input 157" xfId="10332" xr:uid="{00000000-0005-0000-0000-0000EF250000}"/>
    <cellStyle name="Input 158" xfId="10333" xr:uid="{00000000-0005-0000-0000-0000F0250000}"/>
    <cellStyle name="Input 159" xfId="10334" xr:uid="{00000000-0005-0000-0000-0000F1250000}"/>
    <cellStyle name="Input 16" xfId="10335" xr:uid="{00000000-0005-0000-0000-0000F2250000}"/>
    <cellStyle name="Input 16 2" xfId="10336" xr:uid="{00000000-0005-0000-0000-0000F3250000}"/>
    <cellStyle name="Input 16 2 2" xfId="10337" xr:uid="{00000000-0005-0000-0000-0000F4250000}"/>
    <cellStyle name="Input 16 2 2 2" xfId="10338" xr:uid="{00000000-0005-0000-0000-0000F5250000}"/>
    <cellStyle name="Input 16 2 3" xfId="10339" xr:uid="{00000000-0005-0000-0000-0000F6250000}"/>
    <cellStyle name="Input 16 3" xfId="10340" xr:uid="{00000000-0005-0000-0000-0000F7250000}"/>
    <cellStyle name="Input 16 3 2" xfId="10341" xr:uid="{00000000-0005-0000-0000-0000F8250000}"/>
    <cellStyle name="Input 16 4" xfId="10342" xr:uid="{00000000-0005-0000-0000-0000F9250000}"/>
    <cellStyle name="Input 160" xfId="10343" xr:uid="{00000000-0005-0000-0000-0000FA250000}"/>
    <cellStyle name="Input 161" xfId="10344" xr:uid="{00000000-0005-0000-0000-0000FB250000}"/>
    <cellStyle name="Input 162" xfId="10345" xr:uid="{00000000-0005-0000-0000-0000FC250000}"/>
    <cellStyle name="Input 163" xfId="10346" xr:uid="{00000000-0005-0000-0000-0000FD250000}"/>
    <cellStyle name="Input 164" xfId="10347" xr:uid="{00000000-0005-0000-0000-0000FE250000}"/>
    <cellStyle name="Input 165" xfId="10348" xr:uid="{00000000-0005-0000-0000-0000FF250000}"/>
    <cellStyle name="Input 166" xfId="10349" xr:uid="{00000000-0005-0000-0000-000000260000}"/>
    <cellStyle name="Input 167" xfId="10350" xr:uid="{00000000-0005-0000-0000-000001260000}"/>
    <cellStyle name="Input 168" xfId="10351" xr:uid="{00000000-0005-0000-0000-000002260000}"/>
    <cellStyle name="Input 169" xfId="10352" xr:uid="{00000000-0005-0000-0000-000003260000}"/>
    <cellStyle name="Input 17" xfId="10353" xr:uid="{00000000-0005-0000-0000-000004260000}"/>
    <cellStyle name="Input 17 2" xfId="10354" xr:uid="{00000000-0005-0000-0000-000005260000}"/>
    <cellStyle name="Input 17 2 2" xfId="10355" xr:uid="{00000000-0005-0000-0000-000006260000}"/>
    <cellStyle name="Input 17 2 2 2" xfId="10356" xr:uid="{00000000-0005-0000-0000-000007260000}"/>
    <cellStyle name="Input 17 2 3" xfId="10357" xr:uid="{00000000-0005-0000-0000-000008260000}"/>
    <cellStyle name="Input 17 3" xfId="10358" xr:uid="{00000000-0005-0000-0000-000009260000}"/>
    <cellStyle name="Input 17 3 2" xfId="10359" xr:uid="{00000000-0005-0000-0000-00000A260000}"/>
    <cellStyle name="Input 17 4" xfId="10360" xr:uid="{00000000-0005-0000-0000-00000B260000}"/>
    <cellStyle name="Input 170" xfId="10361" xr:uid="{00000000-0005-0000-0000-00000C260000}"/>
    <cellStyle name="Input 171" xfId="10362" xr:uid="{00000000-0005-0000-0000-00000D260000}"/>
    <cellStyle name="Input 172" xfId="10363" xr:uid="{00000000-0005-0000-0000-00000E260000}"/>
    <cellStyle name="Input 173" xfId="10364" xr:uid="{00000000-0005-0000-0000-00000F260000}"/>
    <cellStyle name="Input 174" xfId="10365" xr:uid="{00000000-0005-0000-0000-000010260000}"/>
    <cellStyle name="Input 175" xfId="10366" xr:uid="{00000000-0005-0000-0000-000011260000}"/>
    <cellStyle name="Input 176" xfId="10367" xr:uid="{00000000-0005-0000-0000-000012260000}"/>
    <cellStyle name="Input 177" xfId="10368" xr:uid="{00000000-0005-0000-0000-000013260000}"/>
    <cellStyle name="Input 178" xfId="10369" xr:uid="{00000000-0005-0000-0000-000014260000}"/>
    <cellStyle name="Input 179" xfId="10370" xr:uid="{00000000-0005-0000-0000-000015260000}"/>
    <cellStyle name="Input 18" xfId="10371" xr:uid="{00000000-0005-0000-0000-000016260000}"/>
    <cellStyle name="Input 18 2" xfId="10372" xr:uid="{00000000-0005-0000-0000-000017260000}"/>
    <cellStyle name="Input 18 2 2" xfId="10373" xr:uid="{00000000-0005-0000-0000-000018260000}"/>
    <cellStyle name="Input 18 2 2 2" xfId="10374" xr:uid="{00000000-0005-0000-0000-000019260000}"/>
    <cellStyle name="Input 18 2 3" xfId="10375" xr:uid="{00000000-0005-0000-0000-00001A260000}"/>
    <cellStyle name="Input 18 3" xfId="10376" xr:uid="{00000000-0005-0000-0000-00001B260000}"/>
    <cellStyle name="Input 18 3 2" xfId="10377" xr:uid="{00000000-0005-0000-0000-00001C260000}"/>
    <cellStyle name="Input 18 4" xfId="10378" xr:uid="{00000000-0005-0000-0000-00001D260000}"/>
    <cellStyle name="Input 19" xfId="10379" xr:uid="{00000000-0005-0000-0000-00001E260000}"/>
    <cellStyle name="Input 19 2" xfId="10380" xr:uid="{00000000-0005-0000-0000-00001F260000}"/>
    <cellStyle name="Input 19 2 2" xfId="10381" xr:uid="{00000000-0005-0000-0000-000020260000}"/>
    <cellStyle name="Input 19 2 2 2" xfId="10382" xr:uid="{00000000-0005-0000-0000-000021260000}"/>
    <cellStyle name="Input 19 2 3" xfId="10383" xr:uid="{00000000-0005-0000-0000-000022260000}"/>
    <cellStyle name="Input 19 3" xfId="10384" xr:uid="{00000000-0005-0000-0000-000023260000}"/>
    <cellStyle name="Input 19 3 2" xfId="10385" xr:uid="{00000000-0005-0000-0000-000024260000}"/>
    <cellStyle name="Input 19 4" xfId="10386" xr:uid="{00000000-0005-0000-0000-000025260000}"/>
    <cellStyle name="Input 2" xfId="10387" xr:uid="{00000000-0005-0000-0000-000026260000}"/>
    <cellStyle name="Input 2 10" xfId="10388" xr:uid="{00000000-0005-0000-0000-000027260000}"/>
    <cellStyle name="Input 2 10 2" xfId="10389" xr:uid="{00000000-0005-0000-0000-000028260000}"/>
    <cellStyle name="Input 2 10 3" xfId="10390" xr:uid="{00000000-0005-0000-0000-000029260000}"/>
    <cellStyle name="Input 2 11" xfId="10391" xr:uid="{00000000-0005-0000-0000-00002A260000}"/>
    <cellStyle name="Input 2 11 2" xfId="10392" xr:uid="{00000000-0005-0000-0000-00002B260000}"/>
    <cellStyle name="Input 2 12" xfId="10393" xr:uid="{00000000-0005-0000-0000-00002C260000}"/>
    <cellStyle name="Input 2 13" xfId="10394" xr:uid="{00000000-0005-0000-0000-00002D260000}"/>
    <cellStyle name="Input 2 2" xfId="10395" xr:uid="{00000000-0005-0000-0000-00002E260000}"/>
    <cellStyle name="Input 2 2 2" xfId="10396" xr:uid="{00000000-0005-0000-0000-00002F260000}"/>
    <cellStyle name="Input 2 2 2 2" xfId="10397" xr:uid="{00000000-0005-0000-0000-000030260000}"/>
    <cellStyle name="Input 2 2 3" xfId="10398" xr:uid="{00000000-0005-0000-0000-000031260000}"/>
    <cellStyle name="Input 2 2 3 2" xfId="10399" xr:uid="{00000000-0005-0000-0000-000032260000}"/>
    <cellStyle name="Input 2 2 3 2 2" xfId="10400" xr:uid="{00000000-0005-0000-0000-000033260000}"/>
    <cellStyle name="Input 2 2 3 3" xfId="10401" xr:uid="{00000000-0005-0000-0000-000034260000}"/>
    <cellStyle name="Input 2 2 4" xfId="10402" xr:uid="{00000000-0005-0000-0000-000035260000}"/>
    <cellStyle name="Input 2 3" xfId="10403" xr:uid="{00000000-0005-0000-0000-000036260000}"/>
    <cellStyle name="Input 2 3 2" xfId="10404" xr:uid="{00000000-0005-0000-0000-000037260000}"/>
    <cellStyle name="Input 2 3 2 2" xfId="10405" xr:uid="{00000000-0005-0000-0000-000038260000}"/>
    <cellStyle name="Input 2 3 2 2 2" xfId="10406" xr:uid="{00000000-0005-0000-0000-000039260000}"/>
    <cellStyle name="Input 2 3 2 3" xfId="10407" xr:uid="{00000000-0005-0000-0000-00003A260000}"/>
    <cellStyle name="Input 2 3 3" xfId="10408" xr:uid="{00000000-0005-0000-0000-00003B260000}"/>
    <cellStyle name="Input 2 3 3 2" xfId="10409" xr:uid="{00000000-0005-0000-0000-00003C260000}"/>
    <cellStyle name="Input 2 3 3 2 2" xfId="10410" xr:uid="{00000000-0005-0000-0000-00003D260000}"/>
    <cellStyle name="Input 2 3 3 2 2 2" xfId="10411" xr:uid="{00000000-0005-0000-0000-00003E260000}"/>
    <cellStyle name="Input 2 3 3 2 3" xfId="10412" xr:uid="{00000000-0005-0000-0000-00003F260000}"/>
    <cellStyle name="Input 2 3 3 3" xfId="10413" xr:uid="{00000000-0005-0000-0000-000040260000}"/>
    <cellStyle name="Input 2 3 3 3 2" xfId="10414" xr:uid="{00000000-0005-0000-0000-000041260000}"/>
    <cellStyle name="Input 2 3 3 4" xfId="10415" xr:uid="{00000000-0005-0000-0000-000042260000}"/>
    <cellStyle name="Input 2 3 4" xfId="10416" xr:uid="{00000000-0005-0000-0000-000043260000}"/>
    <cellStyle name="Input 2 3 4 2" xfId="10417" xr:uid="{00000000-0005-0000-0000-000044260000}"/>
    <cellStyle name="Input 2 3 5" xfId="10418" xr:uid="{00000000-0005-0000-0000-000045260000}"/>
    <cellStyle name="Input 2 4" xfId="10419" xr:uid="{00000000-0005-0000-0000-000046260000}"/>
    <cellStyle name="Input 2 4 2" xfId="10420" xr:uid="{00000000-0005-0000-0000-000047260000}"/>
    <cellStyle name="Input 2 4 2 2" xfId="10421" xr:uid="{00000000-0005-0000-0000-000048260000}"/>
    <cellStyle name="Input 2 4 2 2 2" xfId="10422" xr:uid="{00000000-0005-0000-0000-000049260000}"/>
    <cellStyle name="Input 2 4 2 3" xfId="10423" xr:uid="{00000000-0005-0000-0000-00004A260000}"/>
    <cellStyle name="Input 2 4 3" xfId="10424" xr:uid="{00000000-0005-0000-0000-00004B260000}"/>
    <cellStyle name="Input 2 4 3 2" xfId="10425" xr:uid="{00000000-0005-0000-0000-00004C260000}"/>
    <cellStyle name="Input 2 4 4" xfId="10426" xr:uid="{00000000-0005-0000-0000-00004D260000}"/>
    <cellStyle name="Input 2 5" xfId="10427" xr:uid="{00000000-0005-0000-0000-00004E260000}"/>
    <cellStyle name="Input 2 5 2" xfId="10428" xr:uid="{00000000-0005-0000-0000-00004F260000}"/>
    <cellStyle name="Input 2 5 2 2" xfId="10429" xr:uid="{00000000-0005-0000-0000-000050260000}"/>
    <cellStyle name="Input 2 5 3" xfId="10430" xr:uid="{00000000-0005-0000-0000-000051260000}"/>
    <cellStyle name="Input 2 5 3 2" xfId="10431" xr:uid="{00000000-0005-0000-0000-000052260000}"/>
    <cellStyle name="Input 2 5 3 2 2" xfId="10432" xr:uid="{00000000-0005-0000-0000-000053260000}"/>
    <cellStyle name="Input 2 5 3 3" xfId="10433" xr:uid="{00000000-0005-0000-0000-000054260000}"/>
    <cellStyle name="Input 2 5 4" xfId="10434" xr:uid="{00000000-0005-0000-0000-000055260000}"/>
    <cellStyle name="Input 2 6" xfId="10435" xr:uid="{00000000-0005-0000-0000-000056260000}"/>
    <cellStyle name="Input 2 6 2" xfId="10436" xr:uid="{00000000-0005-0000-0000-000057260000}"/>
    <cellStyle name="Input 2 6 2 2" xfId="10437" xr:uid="{00000000-0005-0000-0000-000058260000}"/>
    <cellStyle name="Input 2 6 2 2 2" xfId="10438" xr:uid="{00000000-0005-0000-0000-000059260000}"/>
    <cellStyle name="Input 2 6 2 3" xfId="10439" xr:uid="{00000000-0005-0000-0000-00005A260000}"/>
    <cellStyle name="Input 2 6 3" xfId="10440" xr:uid="{00000000-0005-0000-0000-00005B260000}"/>
    <cellStyle name="Input 2 6 3 2" xfId="10441" xr:uid="{00000000-0005-0000-0000-00005C260000}"/>
    <cellStyle name="Input 2 6 3 2 2" xfId="10442" xr:uid="{00000000-0005-0000-0000-00005D260000}"/>
    <cellStyle name="Input 2 6 3 2 2 2" xfId="10443" xr:uid="{00000000-0005-0000-0000-00005E260000}"/>
    <cellStyle name="Input 2 6 3 2 2 2 2" xfId="10444" xr:uid="{00000000-0005-0000-0000-00005F260000}"/>
    <cellStyle name="Input 2 6 3 2 2 3" xfId="10445" xr:uid="{00000000-0005-0000-0000-000060260000}"/>
    <cellStyle name="Input 2 6 3 2 3" xfId="10446" xr:uid="{00000000-0005-0000-0000-000061260000}"/>
    <cellStyle name="Input 2 6 3 2 3 2" xfId="10447" xr:uid="{00000000-0005-0000-0000-000062260000}"/>
    <cellStyle name="Input 2 6 3 2 4" xfId="10448" xr:uid="{00000000-0005-0000-0000-000063260000}"/>
    <cellStyle name="Input 2 6 3 3" xfId="10449" xr:uid="{00000000-0005-0000-0000-000064260000}"/>
    <cellStyle name="Input 2 6 3 3 2" xfId="10450" xr:uid="{00000000-0005-0000-0000-000065260000}"/>
    <cellStyle name="Input 2 6 3 3 2 2" xfId="10451" xr:uid="{00000000-0005-0000-0000-000066260000}"/>
    <cellStyle name="Input 2 6 3 3 3" xfId="10452" xr:uid="{00000000-0005-0000-0000-000067260000}"/>
    <cellStyle name="Input 2 6 3 4" xfId="10453" xr:uid="{00000000-0005-0000-0000-000068260000}"/>
    <cellStyle name="Input 2 6 3 4 2" xfId="10454" xr:uid="{00000000-0005-0000-0000-000069260000}"/>
    <cellStyle name="Input 2 6 3 5" xfId="10455" xr:uid="{00000000-0005-0000-0000-00006A260000}"/>
    <cellStyle name="Input 2 6 4" xfId="10456" xr:uid="{00000000-0005-0000-0000-00006B260000}"/>
    <cellStyle name="Input 2 6 4 2" xfId="10457" xr:uid="{00000000-0005-0000-0000-00006C260000}"/>
    <cellStyle name="Input 2 6 4 2 2" xfId="10458" xr:uid="{00000000-0005-0000-0000-00006D260000}"/>
    <cellStyle name="Input 2 6 4 2 2 2" xfId="10459" xr:uid="{00000000-0005-0000-0000-00006E260000}"/>
    <cellStyle name="Input 2 6 4 2 3" xfId="10460" xr:uid="{00000000-0005-0000-0000-00006F260000}"/>
    <cellStyle name="Input 2 6 4 3" xfId="10461" xr:uid="{00000000-0005-0000-0000-000070260000}"/>
    <cellStyle name="Input 2 6 4 3 2" xfId="10462" xr:uid="{00000000-0005-0000-0000-000071260000}"/>
    <cellStyle name="Input 2 6 4 4" xfId="10463" xr:uid="{00000000-0005-0000-0000-000072260000}"/>
    <cellStyle name="Input 2 6 5" xfId="10464" xr:uid="{00000000-0005-0000-0000-000073260000}"/>
    <cellStyle name="Input 2 6 5 2" xfId="10465" xr:uid="{00000000-0005-0000-0000-000074260000}"/>
    <cellStyle name="Input 2 6 5 2 2" xfId="10466" xr:uid="{00000000-0005-0000-0000-000075260000}"/>
    <cellStyle name="Input 2 6 5 3" xfId="10467" xr:uid="{00000000-0005-0000-0000-000076260000}"/>
    <cellStyle name="Input 2 6 6" xfId="10468" xr:uid="{00000000-0005-0000-0000-000077260000}"/>
    <cellStyle name="Input 2 6 6 2" xfId="10469" xr:uid="{00000000-0005-0000-0000-000078260000}"/>
    <cellStyle name="Input 2 6 7" xfId="10470" xr:uid="{00000000-0005-0000-0000-000079260000}"/>
    <cellStyle name="Input 2 7" xfId="10471" xr:uid="{00000000-0005-0000-0000-00007A260000}"/>
    <cellStyle name="Input 2 7 2" xfId="10472" xr:uid="{00000000-0005-0000-0000-00007B260000}"/>
    <cellStyle name="Input 2 7 2 2" xfId="10473" xr:uid="{00000000-0005-0000-0000-00007C260000}"/>
    <cellStyle name="Input 2 7 3" xfId="10474" xr:uid="{00000000-0005-0000-0000-00007D260000}"/>
    <cellStyle name="Input 2 8" xfId="10475" xr:uid="{00000000-0005-0000-0000-00007E260000}"/>
    <cellStyle name="Input 2 8 2" xfId="10476" xr:uid="{00000000-0005-0000-0000-00007F260000}"/>
    <cellStyle name="Input 2 8 2 2" xfId="10477" xr:uid="{00000000-0005-0000-0000-000080260000}"/>
    <cellStyle name="Input 2 8 2 2 2" xfId="10478" xr:uid="{00000000-0005-0000-0000-000081260000}"/>
    <cellStyle name="Input 2 8 2 3" xfId="10479" xr:uid="{00000000-0005-0000-0000-000082260000}"/>
    <cellStyle name="Input 2 8 3" xfId="10480" xr:uid="{00000000-0005-0000-0000-000083260000}"/>
    <cellStyle name="Input 2 8 3 2" xfId="10481" xr:uid="{00000000-0005-0000-0000-000084260000}"/>
    <cellStyle name="Input 2 8 4" xfId="10482" xr:uid="{00000000-0005-0000-0000-000085260000}"/>
    <cellStyle name="Input 2 9" xfId="10483" xr:uid="{00000000-0005-0000-0000-000086260000}"/>
    <cellStyle name="Input 2 9 2" xfId="10484" xr:uid="{00000000-0005-0000-0000-000087260000}"/>
    <cellStyle name="Input 2 9 2 2" xfId="10485" xr:uid="{00000000-0005-0000-0000-000088260000}"/>
    <cellStyle name="Input 2 9 2 2 2" xfId="10486" xr:uid="{00000000-0005-0000-0000-000089260000}"/>
    <cellStyle name="Input 2 9 2 3" xfId="10487" xr:uid="{00000000-0005-0000-0000-00008A260000}"/>
    <cellStyle name="Input 2 9 3" xfId="10488" xr:uid="{00000000-0005-0000-0000-00008B260000}"/>
    <cellStyle name="Input 2 9 3 2" xfId="10489" xr:uid="{00000000-0005-0000-0000-00008C260000}"/>
    <cellStyle name="Input 2 9 4" xfId="10490" xr:uid="{00000000-0005-0000-0000-00008D260000}"/>
    <cellStyle name="Input 20" xfId="10491" xr:uid="{00000000-0005-0000-0000-00008E260000}"/>
    <cellStyle name="Input 20 2" xfId="10492" xr:uid="{00000000-0005-0000-0000-00008F260000}"/>
    <cellStyle name="Input 20 2 2" xfId="10493" xr:uid="{00000000-0005-0000-0000-000090260000}"/>
    <cellStyle name="Input 20 2 2 2" xfId="10494" xr:uid="{00000000-0005-0000-0000-000091260000}"/>
    <cellStyle name="Input 20 2 3" xfId="10495" xr:uid="{00000000-0005-0000-0000-000092260000}"/>
    <cellStyle name="Input 20 3" xfId="10496" xr:uid="{00000000-0005-0000-0000-000093260000}"/>
    <cellStyle name="Input 20 3 2" xfId="10497" xr:uid="{00000000-0005-0000-0000-000094260000}"/>
    <cellStyle name="Input 20 4" xfId="10498" xr:uid="{00000000-0005-0000-0000-000095260000}"/>
    <cellStyle name="Input 21" xfId="10499" xr:uid="{00000000-0005-0000-0000-000096260000}"/>
    <cellStyle name="Input 21 2" xfId="10500" xr:uid="{00000000-0005-0000-0000-000097260000}"/>
    <cellStyle name="Input 21 2 2" xfId="10501" xr:uid="{00000000-0005-0000-0000-000098260000}"/>
    <cellStyle name="Input 21 2 2 2" xfId="10502" xr:uid="{00000000-0005-0000-0000-000099260000}"/>
    <cellStyle name="Input 21 2 3" xfId="10503" xr:uid="{00000000-0005-0000-0000-00009A260000}"/>
    <cellStyle name="Input 21 3" xfId="10504" xr:uid="{00000000-0005-0000-0000-00009B260000}"/>
    <cellStyle name="Input 21 3 2" xfId="10505" xr:uid="{00000000-0005-0000-0000-00009C260000}"/>
    <cellStyle name="Input 21 4" xfId="10506" xr:uid="{00000000-0005-0000-0000-00009D260000}"/>
    <cellStyle name="Input 22" xfId="10507" xr:uid="{00000000-0005-0000-0000-00009E260000}"/>
    <cellStyle name="Input 22 2" xfId="10508" xr:uid="{00000000-0005-0000-0000-00009F260000}"/>
    <cellStyle name="Input 22 2 2" xfId="10509" xr:uid="{00000000-0005-0000-0000-0000A0260000}"/>
    <cellStyle name="Input 22 2 2 2" xfId="10510" xr:uid="{00000000-0005-0000-0000-0000A1260000}"/>
    <cellStyle name="Input 22 2 3" xfId="10511" xr:uid="{00000000-0005-0000-0000-0000A2260000}"/>
    <cellStyle name="Input 22 3" xfId="10512" xr:uid="{00000000-0005-0000-0000-0000A3260000}"/>
    <cellStyle name="Input 22 3 2" xfId="10513" xr:uid="{00000000-0005-0000-0000-0000A4260000}"/>
    <cellStyle name="Input 22 4" xfId="10514" xr:uid="{00000000-0005-0000-0000-0000A5260000}"/>
    <cellStyle name="Input 23" xfId="10515" xr:uid="{00000000-0005-0000-0000-0000A6260000}"/>
    <cellStyle name="Input 23 2" xfId="10516" xr:uid="{00000000-0005-0000-0000-0000A7260000}"/>
    <cellStyle name="Input 23 2 2" xfId="10517" xr:uid="{00000000-0005-0000-0000-0000A8260000}"/>
    <cellStyle name="Input 23 2 2 2" xfId="10518" xr:uid="{00000000-0005-0000-0000-0000A9260000}"/>
    <cellStyle name="Input 23 2 3" xfId="10519" xr:uid="{00000000-0005-0000-0000-0000AA260000}"/>
    <cellStyle name="Input 23 3" xfId="10520" xr:uid="{00000000-0005-0000-0000-0000AB260000}"/>
    <cellStyle name="Input 23 3 2" xfId="10521" xr:uid="{00000000-0005-0000-0000-0000AC260000}"/>
    <cellStyle name="Input 23 4" xfId="10522" xr:uid="{00000000-0005-0000-0000-0000AD260000}"/>
    <cellStyle name="Input 24" xfId="10523" xr:uid="{00000000-0005-0000-0000-0000AE260000}"/>
    <cellStyle name="Input 24 2" xfId="10524" xr:uid="{00000000-0005-0000-0000-0000AF260000}"/>
    <cellStyle name="Input 24 2 2" xfId="10525" xr:uid="{00000000-0005-0000-0000-0000B0260000}"/>
    <cellStyle name="Input 24 2 2 2" xfId="10526" xr:uid="{00000000-0005-0000-0000-0000B1260000}"/>
    <cellStyle name="Input 24 2 3" xfId="10527" xr:uid="{00000000-0005-0000-0000-0000B2260000}"/>
    <cellStyle name="Input 24 3" xfId="10528" xr:uid="{00000000-0005-0000-0000-0000B3260000}"/>
    <cellStyle name="Input 24 3 2" xfId="10529" xr:uid="{00000000-0005-0000-0000-0000B4260000}"/>
    <cellStyle name="Input 24 4" xfId="10530" xr:uid="{00000000-0005-0000-0000-0000B5260000}"/>
    <cellStyle name="Input 25" xfId="10531" xr:uid="{00000000-0005-0000-0000-0000B6260000}"/>
    <cellStyle name="Input 25 2" xfId="10532" xr:uid="{00000000-0005-0000-0000-0000B7260000}"/>
    <cellStyle name="Input 25 2 2" xfId="10533" xr:uid="{00000000-0005-0000-0000-0000B8260000}"/>
    <cellStyle name="Input 25 2 2 2" xfId="10534" xr:uid="{00000000-0005-0000-0000-0000B9260000}"/>
    <cellStyle name="Input 25 2 3" xfId="10535" xr:uid="{00000000-0005-0000-0000-0000BA260000}"/>
    <cellStyle name="Input 25 3" xfId="10536" xr:uid="{00000000-0005-0000-0000-0000BB260000}"/>
    <cellStyle name="Input 25 3 2" xfId="10537" xr:uid="{00000000-0005-0000-0000-0000BC260000}"/>
    <cellStyle name="Input 25 4" xfId="10538" xr:uid="{00000000-0005-0000-0000-0000BD260000}"/>
    <cellStyle name="Input 26" xfId="10539" xr:uid="{00000000-0005-0000-0000-0000BE260000}"/>
    <cellStyle name="Input 26 2" xfId="10540" xr:uid="{00000000-0005-0000-0000-0000BF260000}"/>
    <cellStyle name="Input 26 2 2" xfId="10541" xr:uid="{00000000-0005-0000-0000-0000C0260000}"/>
    <cellStyle name="Input 26 2 2 2" xfId="10542" xr:uid="{00000000-0005-0000-0000-0000C1260000}"/>
    <cellStyle name="Input 26 2 3" xfId="10543" xr:uid="{00000000-0005-0000-0000-0000C2260000}"/>
    <cellStyle name="Input 26 3" xfId="10544" xr:uid="{00000000-0005-0000-0000-0000C3260000}"/>
    <cellStyle name="Input 26 3 2" xfId="10545" xr:uid="{00000000-0005-0000-0000-0000C4260000}"/>
    <cellStyle name="Input 26 4" xfId="10546" xr:uid="{00000000-0005-0000-0000-0000C5260000}"/>
    <cellStyle name="Input 27" xfId="10547" xr:uid="{00000000-0005-0000-0000-0000C6260000}"/>
    <cellStyle name="Input 27 2" xfId="10548" xr:uid="{00000000-0005-0000-0000-0000C7260000}"/>
    <cellStyle name="Input 27 2 2" xfId="10549" xr:uid="{00000000-0005-0000-0000-0000C8260000}"/>
    <cellStyle name="Input 27 2 2 2" xfId="10550" xr:uid="{00000000-0005-0000-0000-0000C9260000}"/>
    <cellStyle name="Input 27 2 3" xfId="10551" xr:uid="{00000000-0005-0000-0000-0000CA260000}"/>
    <cellStyle name="Input 27 3" xfId="10552" xr:uid="{00000000-0005-0000-0000-0000CB260000}"/>
    <cellStyle name="Input 27 3 2" xfId="10553" xr:uid="{00000000-0005-0000-0000-0000CC260000}"/>
    <cellStyle name="Input 27 4" xfId="10554" xr:uid="{00000000-0005-0000-0000-0000CD260000}"/>
    <cellStyle name="Input 28" xfId="10555" xr:uid="{00000000-0005-0000-0000-0000CE260000}"/>
    <cellStyle name="Input 28 2" xfId="10556" xr:uid="{00000000-0005-0000-0000-0000CF260000}"/>
    <cellStyle name="Input 28 2 2" xfId="10557" xr:uid="{00000000-0005-0000-0000-0000D0260000}"/>
    <cellStyle name="Input 28 2 2 2" xfId="10558" xr:uid="{00000000-0005-0000-0000-0000D1260000}"/>
    <cellStyle name="Input 28 2 3" xfId="10559" xr:uid="{00000000-0005-0000-0000-0000D2260000}"/>
    <cellStyle name="Input 28 3" xfId="10560" xr:uid="{00000000-0005-0000-0000-0000D3260000}"/>
    <cellStyle name="Input 28 3 2" xfId="10561" xr:uid="{00000000-0005-0000-0000-0000D4260000}"/>
    <cellStyle name="Input 28 4" xfId="10562" xr:uid="{00000000-0005-0000-0000-0000D5260000}"/>
    <cellStyle name="Input 29" xfId="10563" xr:uid="{00000000-0005-0000-0000-0000D6260000}"/>
    <cellStyle name="Input 29 2" xfId="10564" xr:uid="{00000000-0005-0000-0000-0000D7260000}"/>
    <cellStyle name="Input 29 2 2" xfId="10565" xr:uid="{00000000-0005-0000-0000-0000D8260000}"/>
    <cellStyle name="Input 29 2 2 2" xfId="10566" xr:uid="{00000000-0005-0000-0000-0000D9260000}"/>
    <cellStyle name="Input 29 2 3" xfId="10567" xr:uid="{00000000-0005-0000-0000-0000DA260000}"/>
    <cellStyle name="Input 29 3" xfId="10568" xr:uid="{00000000-0005-0000-0000-0000DB260000}"/>
    <cellStyle name="Input 29 3 2" xfId="10569" xr:uid="{00000000-0005-0000-0000-0000DC260000}"/>
    <cellStyle name="Input 29 4" xfId="10570" xr:uid="{00000000-0005-0000-0000-0000DD260000}"/>
    <cellStyle name="Input 3" xfId="10571" xr:uid="{00000000-0005-0000-0000-0000DE260000}"/>
    <cellStyle name="Input 3 10" xfId="10572" xr:uid="{00000000-0005-0000-0000-0000DF260000}"/>
    <cellStyle name="Input 3 10 2" xfId="10573" xr:uid="{00000000-0005-0000-0000-0000E0260000}"/>
    <cellStyle name="Input 3 10 2 2" xfId="10574" xr:uid="{00000000-0005-0000-0000-0000E1260000}"/>
    <cellStyle name="Input 3 10 3" xfId="10575" xr:uid="{00000000-0005-0000-0000-0000E2260000}"/>
    <cellStyle name="Input 3 11" xfId="10576" xr:uid="{00000000-0005-0000-0000-0000E3260000}"/>
    <cellStyle name="Input 3 11 2" xfId="10577" xr:uid="{00000000-0005-0000-0000-0000E4260000}"/>
    <cellStyle name="Input 3 12" xfId="10578" xr:uid="{00000000-0005-0000-0000-0000E5260000}"/>
    <cellStyle name="Input 3 2" xfId="10579" xr:uid="{00000000-0005-0000-0000-0000E6260000}"/>
    <cellStyle name="Input 3 2 2" xfId="10580" xr:uid="{00000000-0005-0000-0000-0000E7260000}"/>
    <cellStyle name="Input 3 2 2 2" xfId="10581" xr:uid="{00000000-0005-0000-0000-0000E8260000}"/>
    <cellStyle name="Input 3 2 3" xfId="10582" xr:uid="{00000000-0005-0000-0000-0000E9260000}"/>
    <cellStyle name="Input 3 2 3 2" xfId="10583" xr:uid="{00000000-0005-0000-0000-0000EA260000}"/>
    <cellStyle name="Input 3 2 3 2 2" xfId="10584" xr:uid="{00000000-0005-0000-0000-0000EB260000}"/>
    <cellStyle name="Input 3 2 3 3" xfId="10585" xr:uid="{00000000-0005-0000-0000-0000EC260000}"/>
    <cellStyle name="Input 3 2 4" xfId="10586" xr:uid="{00000000-0005-0000-0000-0000ED260000}"/>
    <cellStyle name="Input 3 3" xfId="10587" xr:uid="{00000000-0005-0000-0000-0000EE260000}"/>
    <cellStyle name="Input 3 3 2" xfId="10588" xr:uid="{00000000-0005-0000-0000-0000EF260000}"/>
    <cellStyle name="Input 3 3 2 2" xfId="10589" xr:uid="{00000000-0005-0000-0000-0000F0260000}"/>
    <cellStyle name="Input 3 3 2 2 2" xfId="10590" xr:uid="{00000000-0005-0000-0000-0000F1260000}"/>
    <cellStyle name="Input 3 3 2 3" xfId="10591" xr:uid="{00000000-0005-0000-0000-0000F2260000}"/>
    <cellStyle name="Input 3 3 3" xfId="10592" xr:uid="{00000000-0005-0000-0000-0000F3260000}"/>
    <cellStyle name="Input 3 3 3 2" xfId="10593" xr:uid="{00000000-0005-0000-0000-0000F4260000}"/>
    <cellStyle name="Input 3 3 3 2 2" xfId="10594" xr:uid="{00000000-0005-0000-0000-0000F5260000}"/>
    <cellStyle name="Input 3 3 3 2 2 2" xfId="10595" xr:uid="{00000000-0005-0000-0000-0000F6260000}"/>
    <cellStyle name="Input 3 3 3 2 3" xfId="10596" xr:uid="{00000000-0005-0000-0000-0000F7260000}"/>
    <cellStyle name="Input 3 3 3 3" xfId="10597" xr:uid="{00000000-0005-0000-0000-0000F8260000}"/>
    <cellStyle name="Input 3 3 3 3 2" xfId="10598" xr:uid="{00000000-0005-0000-0000-0000F9260000}"/>
    <cellStyle name="Input 3 3 3 4" xfId="10599" xr:uid="{00000000-0005-0000-0000-0000FA260000}"/>
    <cellStyle name="Input 3 3 4" xfId="10600" xr:uid="{00000000-0005-0000-0000-0000FB260000}"/>
    <cellStyle name="Input 3 3 4 2" xfId="10601" xr:uid="{00000000-0005-0000-0000-0000FC260000}"/>
    <cellStyle name="Input 3 3 5" xfId="10602" xr:uid="{00000000-0005-0000-0000-0000FD260000}"/>
    <cellStyle name="Input 3 4" xfId="10603" xr:uid="{00000000-0005-0000-0000-0000FE260000}"/>
    <cellStyle name="Input 3 4 2" xfId="10604" xr:uid="{00000000-0005-0000-0000-0000FF260000}"/>
    <cellStyle name="Input 3 4 2 2" xfId="10605" xr:uid="{00000000-0005-0000-0000-000000270000}"/>
    <cellStyle name="Input 3 4 2 2 2" xfId="10606" xr:uid="{00000000-0005-0000-0000-000001270000}"/>
    <cellStyle name="Input 3 4 2 3" xfId="10607" xr:uid="{00000000-0005-0000-0000-000002270000}"/>
    <cellStyle name="Input 3 4 3" xfId="10608" xr:uid="{00000000-0005-0000-0000-000003270000}"/>
    <cellStyle name="Input 3 4 3 2" xfId="10609" xr:uid="{00000000-0005-0000-0000-000004270000}"/>
    <cellStyle name="Input 3 4 4" xfId="10610" xr:uid="{00000000-0005-0000-0000-000005270000}"/>
    <cellStyle name="Input 3 5" xfId="10611" xr:uid="{00000000-0005-0000-0000-000006270000}"/>
    <cellStyle name="Input 3 5 2" xfId="10612" xr:uid="{00000000-0005-0000-0000-000007270000}"/>
    <cellStyle name="Input 3 5 2 2" xfId="10613" xr:uid="{00000000-0005-0000-0000-000008270000}"/>
    <cellStyle name="Input 3 5 2 2 2" xfId="10614" xr:uid="{00000000-0005-0000-0000-000009270000}"/>
    <cellStyle name="Input 3 5 2 3" xfId="10615" xr:uid="{00000000-0005-0000-0000-00000A270000}"/>
    <cellStyle name="Input 3 5 3" xfId="10616" xr:uid="{00000000-0005-0000-0000-00000B270000}"/>
    <cellStyle name="Input 3 5 3 2" xfId="10617" xr:uid="{00000000-0005-0000-0000-00000C270000}"/>
    <cellStyle name="Input 3 5 3 2 2" xfId="10618" xr:uid="{00000000-0005-0000-0000-00000D270000}"/>
    <cellStyle name="Input 3 5 3 2 2 2" xfId="10619" xr:uid="{00000000-0005-0000-0000-00000E270000}"/>
    <cellStyle name="Input 3 5 3 2 3" xfId="10620" xr:uid="{00000000-0005-0000-0000-00000F270000}"/>
    <cellStyle name="Input 3 5 3 3" xfId="10621" xr:uid="{00000000-0005-0000-0000-000010270000}"/>
    <cellStyle name="Input 3 5 3 3 2" xfId="10622" xr:uid="{00000000-0005-0000-0000-000011270000}"/>
    <cellStyle name="Input 3 5 3 4" xfId="10623" xr:uid="{00000000-0005-0000-0000-000012270000}"/>
    <cellStyle name="Input 3 5 4" xfId="10624" xr:uid="{00000000-0005-0000-0000-000013270000}"/>
    <cellStyle name="Input 3 5 4 2" xfId="10625" xr:uid="{00000000-0005-0000-0000-000014270000}"/>
    <cellStyle name="Input 3 5 5" xfId="10626" xr:uid="{00000000-0005-0000-0000-000015270000}"/>
    <cellStyle name="Input 3 6" xfId="10627" xr:uid="{00000000-0005-0000-0000-000016270000}"/>
    <cellStyle name="Input 3 6 2" xfId="10628" xr:uid="{00000000-0005-0000-0000-000017270000}"/>
    <cellStyle name="Input 3 6 2 2" xfId="10629" xr:uid="{00000000-0005-0000-0000-000018270000}"/>
    <cellStyle name="Input 3 6 3" xfId="10630" xr:uid="{00000000-0005-0000-0000-000019270000}"/>
    <cellStyle name="Input 3 7" xfId="10631" xr:uid="{00000000-0005-0000-0000-00001A270000}"/>
    <cellStyle name="Input 3 7 2" xfId="10632" xr:uid="{00000000-0005-0000-0000-00001B270000}"/>
    <cellStyle name="Input 3 7 2 2" xfId="10633" xr:uid="{00000000-0005-0000-0000-00001C270000}"/>
    <cellStyle name="Input 3 7 3" xfId="10634" xr:uid="{00000000-0005-0000-0000-00001D270000}"/>
    <cellStyle name="Input 3 8" xfId="10635" xr:uid="{00000000-0005-0000-0000-00001E270000}"/>
    <cellStyle name="Input 3 8 2" xfId="10636" xr:uid="{00000000-0005-0000-0000-00001F270000}"/>
    <cellStyle name="Input 3 8 2 2" xfId="10637" xr:uid="{00000000-0005-0000-0000-000020270000}"/>
    <cellStyle name="Input 3 8 2 2 2" xfId="10638" xr:uid="{00000000-0005-0000-0000-000021270000}"/>
    <cellStyle name="Input 3 8 2 3" xfId="10639" xr:uid="{00000000-0005-0000-0000-000022270000}"/>
    <cellStyle name="Input 3 8 3" xfId="10640" xr:uid="{00000000-0005-0000-0000-000023270000}"/>
    <cellStyle name="Input 3 8 3 2" xfId="10641" xr:uid="{00000000-0005-0000-0000-000024270000}"/>
    <cellStyle name="Input 3 8 4" xfId="10642" xr:uid="{00000000-0005-0000-0000-000025270000}"/>
    <cellStyle name="Input 3 9" xfId="10643" xr:uid="{00000000-0005-0000-0000-000026270000}"/>
    <cellStyle name="Input 3 9 2" xfId="10644" xr:uid="{00000000-0005-0000-0000-000027270000}"/>
    <cellStyle name="Input 3 9 2 2" xfId="10645" xr:uid="{00000000-0005-0000-0000-000028270000}"/>
    <cellStyle name="Input 3 9 2 2 2" xfId="10646" xr:uid="{00000000-0005-0000-0000-000029270000}"/>
    <cellStyle name="Input 3 9 2 2 2 2" xfId="10647" xr:uid="{00000000-0005-0000-0000-00002A270000}"/>
    <cellStyle name="Input 3 9 2 2 2 2 2" xfId="10648" xr:uid="{00000000-0005-0000-0000-00002B270000}"/>
    <cellStyle name="Input 3 9 2 2 2 3" xfId="10649" xr:uid="{00000000-0005-0000-0000-00002C270000}"/>
    <cellStyle name="Input 3 9 2 2 3" xfId="10650" xr:uid="{00000000-0005-0000-0000-00002D270000}"/>
    <cellStyle name="Input 3 9 2 2 3 2" xfId="10651" xr:uid="{00000000-0005-0000-0000-00002E270000}"/>
    <cellStyle name="Input 3 9 2 2 4" xfId="10652" xr:uid="{00000000-0005-0000-0000-00002F270000}"/>
    <cellStyle name="Input 3 9 2 3" xfId="10653" xr:uid="{00000000-0005-0000-0000-000030270000}"/>
    <cellStyle name="Input 3 9 2 3 2" xfId="10654" xr:uid="{00000000-0005-0000-0000-000031270000}"/>
    <cellStyle name="Input 3 9 2 3 2 2" xfId="10655" xr:uid="{00000000-0005-0000-0000-000032270000}"/>
    <cellStyle name="Input 3 9 2 3 3" xfId="10656" xr:uid="{00000000-0005-0000-0000-000033270000}"/>
    <cellStyle name="Input 3 9 2 4" xfId="10657" xr:uid="{00000000-0005-0000-0000-000034270000}"/>
    <cellStyle name="Input 3 9 2 4 2" xfId="10658" xr:uid="{00000000-0005-0000-0000-000035270000}"/>
    <cellStyle name="Input 3 9 2 5" xfId="10659" xr:uid="{00000000-0005-0000-0000-000036270000}"/>
    <cellStyle name="Input 3 9 3" xfId="10660" xr:uid="{00000000-0005-0000-0000-000037270000}"/>
    <cellStyle name="Input 3 9 3 2" xfId="10661" xr:uid="{00000000-0005-0000-0000-000038270000}"/>
    <cellStyle name="Input 3 9 3 2 2" xfId="10662" xr:uid="{00000000-0005-0000-0000-000039270000}"/>
    <cellStyle name="Input 3 9 3 2 2 2" xfId="10663" xr:uid="{00000000-0005-0000-0000-00003A270000}"/>
    <cellStyle name="Input 3 9 3 2 3" xfId="10664" xr:uid="{00000000-0005-0000-0000-00003B270000}"/>
    <cellStyle name="Input 3 9 3 3" xfId="10665" xr:uid="{00000000-0005-0000-0000-00003C270000}"/>
    <cellStyle name="Input 3 9 3 3 2" xfId="10666" xr:uid="{00000000-0005-0000-0000-00003D270000}"/>
    <cellStyle name="Input 3 9 3 4" xfId="10667" xr:uid="{00000000-0005-0000-0000-00003E270000}"/>
    <cellStyle name="Input 3 9 4" xfId="10668" xr:uid="{00000000-0005-0000-0000-00003F270000}"/>
    <cellStyle name="Input 3 9 4 2" xfId="10669" xr:uid="{00000000-0005-0000-0000-000040270000}"/>
    <cellStyle name="Input 3 9 4 2 2" xfId="10670" xr:uid="{00000000-0005-0000-0000-000041270000}"/>
    <cellStyle name="Input 3 9 4 3" xfId="10671" xr:uid="{00000000-0005-0000-0000-000042270000}"/>
    <cellStyle name="Input 3 9 5" xfId="10672" xr:uid="{00000000-0005-0000-0000-000043270000}"/>
    <cellStyle name="Input 3 9 5 2" xfId="10673" xr:uid="{00000000-0005-0000-0000-000044270000}"/>
    <cellStyle name="Input 3 9 6" xfId="10674" xr:uid="{00000000-0005-0000-0000-000045270000}"/>
    <cellStyle name="Input 30" xfId="10675" xr:uid="{00000000-0005-0000-0000-000046270000}"/>
    <cellStyle name="Input 30 2" xfId="10676" xr:uid="{00000000-0005-0000-0000-000047270000}"/>
    <cellStyle name="Input 30 2 2" xfId="10677" xr:uid="{00000000-0005-0000-0000-000048270000}"/>
    <cellStyle name="Input 30 2 2 2" xfId="10678" xr:uid="{00000000-0005-0000-0000-000049270000}"/>
    <cellStyle name="Input 30 2 3" xfId="10679" xr:uid="{00000000-0005-0000-0000-00004A270000}"/>
    <cellStyle name="Input 30 3" xfId="10680" xr:uid="{00000000-0005-0000-0000-00004B270000}"/>
    <cellStyle name="Input 30 3 2" xfId="10681" xr:uid="{00000000-0005-0000-0000-00004C270000}"/>
    <cellStyle name="Input 30 4" xfId="10682" xr:uid="{00000000-0005-0000-0000-00004D270000}"/>
    <cellStyle name="Input 31" xfId="10683" xr:uid="{00000000-0005-0000-0000-00004E270000}"/>
    <cellStyle name="Input 31 2" xfId="10684" xr:uid="{00000000-0005-0000-0000-00004F270000}"/>
    <cellStyle name="Input 31 2 2" xfId="10685" xr:uid="{00000000-0005-0000-0000-000050270000}"/>
    <cellStyle name="Input 31 2 2 2" xfId="10686" xr:uid="{00000000-0005-0000-0000-000051270000}"/>
    <cellStyle name="Input 31 2 3" xfId="10687" xr:uid="{00000000-0005-0000-0000-000052270000}"/>
    <cellStyle name="Input 31 3" xfId="10688" xr:uid="{00000000-0005-0000-0000-000053270000}"/>
    <cellStyle name="Input 31 3 2" xfId="10689" xr:uid="{00000000-0005-0000-0000-000054270000}"/>
    <cellStyle name="Input 31 4" xfId="10690" xr:uid="{00000000-0005-0000-0000-000055270000}"/>
    <cellStyle name="Input 32" xfId="10691" xr:uid="{00000000-0005-0000-0000-000056270000}"/>
    <cellStyle name="Input 32 2" xfId="10692" xr:uid="{00000000-0005-0000-0000-000057270000}"/>
    <cellStyle name="Input 32 2 2" xfId="10693" xr:uid="{00000000-0005-0000-0000-000058270000}"/>
    <cellStyle name="Input 32 2 2 2" xfId="10694" xr:uid="{00000000-0005-0000-0000-000059270000}"/>
    <cellStyle name="Input 32 2 3" xfId="10695" xr:uid="{00000000-0005-0000-0000-00005A270000}"/>
    <cellStyle name="Input 32 3" xfId="10696" xr:uid="{00000000-0005-0000-0000-00005B270000}"/>
    <cellStyle name="Input 32 3 2" xfId="10697" xr:uid="{00000000-0005-0000-0000-00005C270000}"/>
    <cellStyle name="Input 32 4" xfId="10698" xr:uid="{00000000-0005-0000-0000-00005D270000}"/>
    <cellStyle name="Input 33" xfId="10699" xr:uid="{00000000-0005-0000-0000-00005E270000}"/>
    <cellStyle name="Input 33 2" xfId="10700" xr:uid="{00000000-0005-0000-0000-00005F270000}"/>
    <cellStyle name="Input 33 2 2" xfId="10701" xr:uid="{00000000-0005-0000-0000-000060270000}"/>
    <cellStyle name="Input 33 2 2 2" xfId="10702" xr:uid="{00000000-0005-0000-0000-000061270000}"/>
    <cellStyle name="Input 33 2 3" xfId="10703" xr:uid="{00000000-0005-0000-0000-000062270000}"/>
    <cellStyle name="Input 33 3" xfId="10704" xr:uid="{00000000-0005-0000-0000-000063270000}"/>
    <cellStyle name="Input 33 3 2" xfId="10705" xr:uid="{00000000-0005-0000-0000-000064270000}"/>
    <cellStyle name="Input 33 4" xfId="10706" xr:uid="{00000000-0005-0000-0000-000065270000}"/>
    <cellStyle name="Input 34" xfId="10707" xr:uid="{00000000-0005-0000-0000-000066270000}"/>
    <cellStyle name="Input 34 2" xfId="10708" xr:uid="{00000000-0005-0000-0000-000067270000}"/>
    <cellStyle name="Input 34 2 2" xfId="10709" xr:uid="{00000000-0005-0000-0000-000068270000}"/>
    <cellStyle name="Input 34 2 2 2" xfId="10710" xr:uid="{00000000-0005-0000-0000-000069270000}"/>
    <cellStyle name="Input 34 2 3" xfId="10711" xr:uid="{00000000-0005-0000-0000-00006A270000}"/>
    <cellStyle name="Input 34 3" xfId="10712" xr:uid="{00000000-0005-0000-0000-00006B270000}"/>
    <cellStyle name="Input 34 3 2" xfId="10713" xr:uid="{00000000-0005-0000-0000-00006C270000}"/>
    <cellStyle name="Input 34 4" xfId="10714" xr:uid="{00000000-0005-0000-0000-00006D270000}"/>
    <cellStyle name="Input 35" xfId="10715" xr:uid="{00000000-0005-0000-0000-00006E270000}"/>
    <cellStyle name="Input 35 2" xfId="10716" xr:uid="{00000000-0005-0000-0000-00006F270000}"/>
    <cellStyle name="Input 35 2 2" xfId="10717" xr:uid="{00000000-0005-0000-0000-000070270000}"/>
    <cellStyle name="Input 35 2 2 2" xfId="10718" xr:uid="{00000000-0005-0000-0000-000071270000}"/>
    <cellStyle name="Input 35 2 3" xfId="10719" xr:uid="{00000000-0005-0000-0000-000072270000}"/>
    <cellStyle name="Input 35 3" xfId="10720" xr:uid="{00000000-0005-0000-0000-000073270000}"/>
    <cellStyle name="Input 35 3 2" xfId="10721" xr:uid="{00000000-0005-0000-0000-000074270000}"/>
    <cellStyle name="Input 35 4" xfId="10722" xr:uid="{00000000-0005-0000-0000-000075270000}"/>
    <cellStyle name="Input 36" xfId="10723" xr:uid="{00000000-0005-0000-0000-000076270000}"/>
    <cellStyle name="Input 36 2" xfId="10724" xr:uid="{00000000-0005-0000-0000-000077270000}"/>
    <cellStyle name="Input 36 2 2" xfId="10725" xr:uid="{00000000-0005-0000-0000-000078270000}"/>
    <cellStyle name="Input 36 2 2 2" xfId="10726" xr:uid="{00000000-0005-0000-0000-000079270000}"/>
    <cellStyle name="Input 36 2 3" xfId="10727" xr:uid="{00000000-0005-0000-0000-00007A270000}"/>
    <cellStyle name="Input 36 3" xfId="10728" xr:uid="{00000000-0005-0000-0000-00007B270000}"/>
    <cellStyle name="Input 36 3 2" xfId="10729" xr:uid="{00000000-0005-0000-0000-00007C270000}"/>
    <cellStyle name="Input 36 4" xfId="10730" xr:uid="{00000000-0005-0000-0000-00007D270000}"/>
    <cellStyle name="Input 37" xfId="10731" xr:uid="{00000000-0005-0000-0000-00007E270000}"/>
    <cellStyle name="Input 37 2" xfId="10732" xr:uid="{00000000-0005-0000-0000-00007F270000}"/>
    <cellStyle name="Input 37 2 2" xfId="10733" xr:uid="{00000000-0005-0000-0000-000080270000}"/>
    <cellStyle name="Input 37 2 2 2" xfId="10734" xr:uid="{00000000-0005-0000-0000-000081270000}"/>
    <cellStyle name="Input 37 2 3" xfId="10735" xr:uid="{00000000-0005-0000-0000-000082270000}"/>
    <cellStyle name="Input 37 3" xfId="10736" xr:uid="{00000000-0005-0000-0000-000083270000}"/>
    <cellStyle name="Input 37 3 2" xfId="10737" xr:uid="{00000000-0005-0000-0000-000084270000}"/>
    <cellStyle name="Input 37 4" xfId="10738" xr:uid="{00000000-0005-0000-0000-000085270000}"/>
    <cellStyle name="Input 38" xfId="10739" xr:uid="{00000000-0005-0000-0000-000086270000}"/>
    <cellStyle name="Input 38 2" xfId="10740" xr:uid="{00000000-0005-0000-0000-000087270000}"/>
    <cellStyle name="Input 38 2 2" xfId="10741" xr:uid="{00000000-0005-0000-0000-000088270000}"/>
    <cellStyle name="Input 38 2 2 2" xfId="10742" xr:uid="{00000000-0005-0000-0000-000089270000}"/>
    <cellStyle name="Input 38 2 3" xfId="10743" xr:uid="{00000000-0005-0000-0000-00008A270000}"/>
    <cellStyle name="Input 38 3" xfId="10744" xr:uid="{00000000-0005-0000-0000-00008B270000}"/>
    <cellStyle name="Input 38 3 2" xfId="10745" xr:uid="{00000000-0005-0000-0000-00008C270000}"/>
    <cellStyle name="Input 38 4" xfId="10746" xr:uid="{00000000-0005-0000-0000-00008D270000}"/>
    <cellStyle name="Input 39" xfId="10747" xr:uid="{00000000-0005-0000-0000-00008E270000}"/>
    <cellStyle name="Input 39 2" xfId="10748" xr:uid="{00000000-0005-0000-0000-00008F270000}"/>
    <cellStyle name="Input 39 2 2" xfId="10749" xr:uid="{00000000-0005-0000-0000-000090270000}"/>
    <cellStyle name="Input 39 2 2 2" xfId="10750" xr:uid="{00000000-0005-0000-0000-000091270000}"/>
    <cellStyle name="Input 39 2 3" xfId="10751" xr:uid="{00000000-0005-0000-0000-000092270000}"/>
    <cellStyle name="Input 39 3" xfId="10752" xr:uid="{00000000-0005-0000-0000-000093270000}"/>
    <cellStyle name="Input 39 3 2" xfId="10753" xr:uid="{00000000-0005-0000-0000-000094270000}"/>
    <cellStyle name="Input 39 4" xfId="10754" xr:uid="{00000000-0005-0000-0000-000095270000}"/>
    <cellStyle name="Input 4" xfId="10755" xr:uid="{00000000-0005-0000-0000-000096270000}"/>
    <cellStyle name="Input 4 2" xfId="10756" xr:uid="{00000000-0005-0000-0000-000097270000}"/>
    <cellStyle name="Input 4 2 2" xfId="10757" xr:uid="{00000000-0005-0000-0000-000098270000}"/>
    <cellStyle name="Input 4 2 2 2" xfId="10758" xr:uid="{00000000-0005-0000-0000-000099270000}"/>
    <cellStyle name="Input 4 2 3" xfId="10759" xr:uid="{00000000-0005-0000-0000-00009A270000}"/>
    <cellStyle name="Input 4 2 3 2" xfId="10760" xr:uid="{00000000-0005-0000-0000-00009B270000}"/>
    <cellStyle name="Input 4 2 3 2 2" xfId="10761" xr:uid="{00000000-0005-0000-0000-00009C270000}"/>
    <cellStyle name="Input 4 2 3 3" xfId="10762" xr:uid="{00000000-0005-0000-0000-00009D270000}"/>
    <cellStyle name="Input 4 2 4" xfId="10763" xr:uid="{00000000-0005-0000-0000-00009E270000}"/>
    <cellStyle name="Input 4 3" xfId="10764" xr:uid="{00000000-0005-0000-0000-00009F270000}"/>
    <cellStyle name="Input 4 3 2" xfId="10765" xr:uid="{00000000-0005-0000-0000-0000A0270000}"/>
    <cellStyle name="Input 4 3 2 2" xfId="10766" xr:uid="{00000000-0005-0000-0000-0000A1270000}"/>
    <cellStyle name="Input 4 3 2 2 2" xfId="10767" xr:uid="{00000000-0005-0000-0000-0000A2270000}"/>
    <cellStyle name="Input 4 3 2 3" xfId="10768" xr:uid="{00000000-0005-0000-0000-0000A3270000}"/>
    <cellStyle name="Input 4 3 3" xfId="10769" xr:uid="{00000000-0005-0000-0000-0000A4270000}"/>
    <cellStyle name="Input 4 3 3 2" xfId="10770" xr:uid="{00000000-0005-0000-0000-0000A5270000}"/>
    <cellStyle name="Input 4 3 3 2 2" xfId="10771" xr:uid="{00000000-0005-0000-0000-0000A6270000}"/>
    <cellStyle name="Input 4 3 3 2 2 2" xfId="10772" xr:uid="{00000000-0005-0000-0000-0000A7270000}"/>
    <cellStyle name="Input 4 3 3 2 3" xfId="10773" xr:uid="{00000000-0005-0000-0000-0000A8270000}"/>
    <cellStyle name="Input 4 3 3 3" xfId="10774" xr:uid="{00000000-0005-0000-0000-0000A9270000}"/>
    <cellStyle name="Input 4 3 3 3 2" xfId="10775" xr:uid="{00000000-0005-0000-0000-0000AA270000}"/>
    <cellStyle name="Input 4 3 3 4" xfId="10776" xr:uid="{00000000-0005-0000-0000-0000AB270000}"/>
    <cellStyle name="Input 4 3 4" xfId="10777" xr:uid="{00000000-0005-0000-0000-0000AC270000}"/>
    <cellStyle name="Input 4 3 4 2" xfId="10778" xr:uid="{00000000-0005-0000-0000-0000AD270000}"/>
    <cellStyle name="Input 4 3 5" xfId="10779" xr:uid="{00000000-0005-0000-0000-0000AE270000}"/>
    <cellStyle name="Input 4 4" xfId="10780" xr:uid="{00000000-0005-0000-0000-0000AF270000}"/>
    <cellStyle name="Input 4 4 2" xfId="10781" xr:uid="{00000000-0005-0000-0000-0000B0270000}"/>
    <cellStyle name="Input 4 4 2 2" xfId="10782" xr:uid="{00000000-0005-0000-0000-0000B1270000}"/>
    <cellStyle name="Input 4 4 2 2 2" xfId="10783" xr:uid="{00000000-0005-0000-0000-0000B2270000}"/>
    <cellStyle name="Input 4 4 2 3" xfId="10784" xr:uid="{00000000-0005-0000-0000-0000B3270000}"/>
    <cellStyle name="Input 4 4 3" xfId="10785" xr:uid="{00000000-0005-0000-0000-0000B4270000}"/>
    <cellStyle name="Input 4 4 3 2" xfId="10786" xr:uid="{00000000-0005-0000-0000-0000B5270000}"/>
    <cellStyle name="Input 4 4 4" xfId="10787" xr:uid="{00000000-0005-0000-0000-0000B6270000}"/>
    <cellStyle name="Input 4 5" xfId="10788" xr:uid="{00000000-0005-0000-0000-0000B7270000}"/>
    <cellStyle name="Input 4 5 2" xfId="10789" xr:uid="{00000000-0005-0000-0000-0000B8270000}"/>
    <cellStyle name="Input 4 5 2 2" xfId="10790" xr:uid="{00000000-0005-0000-0000-0000B9270000}"/>
    <cellStyle name="Input 4 5 3" xfId="10791" xr:uid="{00000000-0005-0000-0000-0000BA270000}"/>
    <cellStyle name="Input 4 6" xfId="10792" xr:uid="{00000000-0005-0000-0000-0000BB270000}"/>
    <cellStyle name="Input 4 6 2" xfId="10793" xr:uid="{00000000-0005-0000-0000-0000BC270000}"/>
    <cellStyle name="Input 4 6 2 2" xfId="10794" xr:uid="{00000000-0005-0000-0000-0000BD270000}"/>
    <cellStyle name="Input 4 6 2 2 2" xfId="10795" xr:uid="{00000000-0005-0000-0000-0000BE270000}"/>
    <cellStyle name="Input 4 6 2 2 2 2" xfId="10796" xr:uid="{00000000-0005-0000-0000-0000BF270000}"/>
    <cellStyle name="Input 4 6 2 2 2 2 2" xfId="10797" xr:uid="{00000000-0005-0000-0000-0000C0270000}"/>
    <cellStyle name="Input 4 6 2 2 2 3" xfId="10798" xr:uid="{00000000-0005-0000-0000-0000C1270000}"/>
    <cellStyle name="Input 4 6 2 2 3" xfId="10799" xr:uid="{00000000-0005-0000-0000-0000C2270000}"/>
    <cellStyle name="Input 4 6 2 2 3 2" xfId="10800" xr:uid="{00000000-0005-0000-0000-0000C3270000}"/>
    <cellStyle name="Input 4 6 2 2 4" xfId="10801" xr:uid="{00000000-0005-0000-0000-0000C4270000}"/>
    <cellStyle name="Input 4 6 2 3" xfId="10802" xr:uid="{00000000-0005-0000-0000-0000C5270000}"/>
    <cellStyle name="Input 4 6 2 3 2" xfId="10803" xr:uid="{00000000-0005-0000-0000-0000C6270000}"/>
    <cellStyle name="Input 4 6 2 3 2 2" xfId="10804" xr:uid="{00000000-0005-0000-0000-0000C7270000}"/>
    <cellStyle name="Input 4 6 2 3 3" xfId="10805" xr:uid="{00000000-0005-0000-0000-0000C8270000}"/>
    <cellStyle name="Input 4 6 2 4" xfId="10806" xr:uid="{00000000-0005-0000-0000-0000C9270000}"/>
    <cellStyle name="Input 4 6 2 4 2" xfId="10807" xr:uid="{00000000-0005-0000-0000-0000CA270000}"/>
    <cellStyle name="Input 4 6 2 5" xfId="10808" xr:uid="{00000000-0005-0000-0000-0000CB270000}"/>
    <cellStyle name="Input 4 6 3" xfId="10809" xr:uid="{00000000-0005-0000-0000-0000CC270000}"/>
    <cellStyle name="Input 4 6 3 2" xfId="10810" xr:uid="{00000000-0005-0000-0000-0000CD270000}"/>
    <cellStyle name="Input 4 6 3 2 2" xfId="10811" xr:uid="{00000000-0005-0000-0000-0000CE270000}"/>
    <cellStyle name="Input 4 6 3 2 2 2" xfId="10812" xr:uid="{00000000-0005-0000-0000-0000CF270000}"/>
    <cellStyle name="Input 4 6 3 2 3" xfId="10813" xr:uid="{00000000-0005-0000-0000-0000D0270000}"/>
    <cellStyle name="Input 4 6 3 3" xfId="10814" xr:uid="{00000000-0005-0000-0000-0000D1270000}"/>
    <cellStyle name="Input 4 6 3 3 2" xfId="10815" xr:uid="{00000000-0005-0000-0000-0000D2270000}"/>
    <cellStyle name="Input 4 6 3 4" xfId="10816" xr:uid="{00000000-0005-0000-0000-0000D3270000}"/>
    <cellStyle name="Input 4 6 4" xfId="10817" xr:uid="{00000000-0005-0000-0000-0000D4270000}"/>
    <cellStyle name="Input 4 6 4 2" xfId="10818" xr:uid="{00000000-0005-0000-0000-0000D5270000}"/>
    <cellStyle name="Input 4 6 4 2 2" xfId="10819" xr:uid="{00000000-0005-0000-0000-0000D6270000}"/>
    <cellStyle name="Input 4 6 4 3" xfId="10820" xr:uid="{00000000-0005-0000-0000-0000D7270000}"/>
    <cellStyle name="Input 4 6 5" xfId="10821" xr:uid="{00000000-0005-0000-0000-0000D8270000}"/>
    <cellStyle name="Input 4 6 5 2" xfId="10822" xr:uid="{00000000-0005-0000-0000-0000D9270000}"/>
    <cellStyle name="Input 4 6 6" xfId="10823" xr:uid="{00000000-0005-0000-0000-0000DA270000}"/>
    <cellStyle name="Input 4 7" xfId="10824" xr:uid="{00000000-0005-0000-0000-0000DB270000}"/>
    <cellStyle name="Input 4 7 2" xfId="10825" xr:uid="{00000000-0005-0000-0000-0000DC270000}"/>
    <cellStyle name="Input 4 7 2 2" xfId="10826" xr:uid="{00000000-0005-0000-0000-0000DD270000}"/>
    <cellStyle name="Input 4 7 3" xfId="10827" xr:uid="{00000000-0005-0000-0000-0000DE270000}"/>
    <cellStyle name="Input 4 8" xfId="10828" xr:uid="{00000000-0005-0000-0000-0000DF270000}"/>
    <cellStyle name="Input 4 8 2" xfId="10829" xr:uid="{00000000-0005-0000-0000-0000E0270000}"/>
    <cellStyle name="Input 4 9" xfId="10830" xr:uid="{00000000-0005-0000-0000-0000E1270000}"/>
    <cellStyle name="Input 40" xfId="10831" xr:uid="{00000000-0005-0000-0000-0000E2270000}"/>
    <cellStyle name="Input 40 2" xfId="10832" xr:uid="{00000000-0005-0000-0000-0000E3270000}"/>
    <cellStyle name="Input 40 2 2" xfId="10833" xr:uid="{00000000-0005-0000-0000-0000E4270000}"/>
    <cellStyle name="Input 40 2 2 2" xfId="10834" xr:uid="{00000000-0005-0000-0000-0000E5270000}"/>
    <cellStyle name="Input 40 2 3" xfId="10835" xr:uid="{00000000-0005-0000-0000-0000E6270000}"/>
    <cellStyle name="Input 40 3" xfId="10836" xr:uid="{00000000-0005-0000-0000-0000E7270000}"/>
    <cellStyle name="Input 40 3 2" xfId="10837" xr:uid="{00000000-0005-0000-0000-0000E8270000}"/>
    <cellStyle name="Input 40 4" xfId="10838" xr:uid="{00000000-0005-0000-0000-0000E9270000}"/>
    <cellStyle name="Input 41" xfId="10839" xr:uid="{00000000-0005-0000-0000-0000EA270000}"/>
    <cellStyle name="Input 41 2" xfId="10840" xr:uid="{00000000-0005-0000-0000-0000EB270000}"/>
    <cellStyle name="Input 41 2 2" xfId="10841" xr:uid="{00000000-0005-0000-0000-0000EC270000}"/>
    <cellStyle name="Input 41 2 2 2" xfId="10842" xr:uid="{00000000-0005-0000-0000-0000ED270000}"/>
    <cellStyle name="Input 41 2 3" xfId="10843" xr:uid="{00000000-0005-0000-0000-0000EE270000}"/>
    <cellStyle name="Input 41 3" xfId="10844" xr:uid="{00000000-0005-0000-0000-0000EF270000}"/>
    <cellStyle name="Input 41 3 2" xfId="10845" xr:uid="{00000000-0005-0000-0000-0000F0270000}"/>
    <cellStyle name="Input 41 4" xfId="10846" xr:uid="{00000000-0005-0000-0000-0000F1270000}"/>
    <cellStyle name="Input 42" xfId="10847" xr:uid="{00000000-0005-0000-0000-0000F2270000}"/>
    <cellStyle name="Input 42 2" xfId="10848" xr:uid="{00000000-0005-0000-0000-0000F3270000}"/>
    <cellStyle name="Input 42 2 2" xfId="10849" xr:uid="{00000000-0005-0000-0000-0000F4270000}"/>
    <cellStyle name="Input 42 2 2 2" xfId="10850" xr:uid="{00000000-0005-0000-0000-0000F5270000}"/>
    <cellStyle name="Input 42 2 3" xfId="10851" xr:uid="{00000000-0005-0000-0000-0000F6270000}"/>
    <cellStyle name="Input 42 3" xfId="10852" xr:uid="{00000000-0005-0000-0000-0000F7270000}"/>
    <cellStyle name="Input 42 3 2" xfId="10853" xr:uid="{00000000-0005-0000-0000-0000F8270000}"/>
    <cellStyle name="Input 42 4" xfId="10854" xr:uid="{00000000-0005-0000-0000-0000F9270000}"/>
    <cellStyle name="Input 43" xfId="10855" xr:uid="{00000000-0005-0000-0000-0000FA270000}"/>
    <cellStyle name="Input 43 2" xfId="10856" xr:uid="{00000000-0005-0000-0000-0000FB270000}"/>
    <cellStyle name="Input 43 2 2" xfId="10857" xr:uid="{00000000-0005-0000-0000-0000FC270000}"/>
    <cellStyle name="Input 43 2 2 2" xfId="10858" xr:uid="{00000000-0005-0000-0000-0000FD270000}"/>
    <cellStyle name="Input 43 2 3" xfId="10859" xr:uid="{00000000-0005-0000-0000-0000FE270000}"/>
    <cellStyle name="Input 43 3" xfId="10860" xr:uid="{00000000-0005-0000-0000-0000FF270000}"/>
    <cellStyle name="Input 43 3 2" xfId="10861" xr:uid="{00000000-0005-0000-0000-000000280000}"/>
    <cellStyle name="Input 43 4" xfId="10862" xr:uid="{00000000-0005-0000-0000-000001280000}"/>
    <cellStyle name="Input 44" xfId="10863" xr:uid="{00000000-0005-0000-0000-000002280000}"/>
    <cellStyle name="Input 44 2" xfId="10864" xr:uid="{00000000-0005-0000-0000-000003280000}"/>
    <cellStyle name="Input 44 2 2" xfId="10865" xr:uid="{00000000-0005-0000-0000-000004280000}"/>
    <cellStyle name="Input 44 2 2 2" xfId="10866" xr:uid="{00000000-0005-0000-0000-000005280000}"/>
    <cellStyle name="Input 44 2 3" xfId="10867" xr:uid="{00000000-0005-0000-0000-000006280000}"/>
    <cellStyle name="Input 44 3" xfId="10868" xr:uid="{00000000-0005-0000-0000-000007280000}"/>
    <cellStyle name="Input 44 3 2" xfId="10869" xr:uid="{00000000-0005-0000-0000-000008280000}"/>
    <cellStyle name="Input 44 4" xfId="10870" xr:uid="{00000000-0005-0000-0000-000009280000}"/>
    <cellStyle name="Input 45" xfId="10871" xr:uid="{00000000-0005-0000-0000-00000A280000}"/>
    <cellStyle name="Input 45 2" xfId="10872" xr:uid="{00000000-0005-0000-0000-00000B280000}"/>
    <cellStyle name="Input 45 2 2" xfId="10873" xr:uid="{00000000-0005-0000-0000-00000C280000}"/>
    <cellStyle name="Input 45 2 2 2" xfId="10874" xr:uid="{00000000-0005-0000-0000-00000D280000}"/>
    <cellStyle name="Input 45 2 3" xfId="10875" xr:uid="{00000000-0005-0000-0000-00000E280000}"/>
    <cellStyle name="Input 45 3" xfId="10876" xr:uid="{00000000-0005-0000-0000-00000F280000}"/>
    <cellStyle name="Input 45 3 2" xfId="10877" xr:uid="{00000000-0005-0000-0000-000010280000}"/>
    <cellStyle name="Input 45 4" xfId="10878" xr:uid="{00000000-0005-0000-0000-000011280000}"/>
    <cellStyle name="Input 46" xfId="10879" xr:uid="{00000000-0005-0000-0000-000012280000}"/>
    <cellStyle name="Input 46 2" xfId="10880" xr:uid="{00000000-0005-0000-0000-000013280000}"/>
    <cellStyle name="Input 46 2 2" xfId="10881" xr:uid="{00000000-0005-0000-0000-000014280000}"/>
    <cellStyle name="Input 46 2 2 2" xfId="10882" xr:uid="{00000000-0005-0000-0000-000015280000}"/>
    <cellStyle name="Input 46 2 3" xfId="10883" xr:uid="{00000000-0005-0000-0000-000016280000}"/>
    <cellStyle name="Input 46 3" xfId="10884" xr:uid="{00000000-0005-0000-0000-000017280000}"/>
    <cellStyle name="Input 46 3 2" xfId="10885" xr:uid="{00000000-0005-0000-0000-000018280000}"/>
    <cellStyle name="Input 46 4" xfId="10886" xr:uid="{00000000-0005-0000-0000-000019280000}"/>
    <cellStyle name="Input 47" xfId="10887" xr:uid="{00000000-0005-0000-0000-00001A280000}"/>
    <cellStyle name="Input 47 2" xfId="10888" xr:uid="{00000000-0005-0000-0000-00001B280000}"/>
    <cellStyle name="Input 47 2 2" xfId="10889" xr:uid="{00000000-0005-0000-0000-00001C280000}"/>
    <cellStyle name="Input 47 2 2 2" xfId="10890" xr:uid="{00000000-0005-0000-0000-00001D280000}"/>
    <cellStyle name="Input 47 2 3" xfId="10891" xr:uid="{00000000-0005-0000-0000-00001E280000}"/>
    <cellStyle name="Input 47 3" xfId="10892" xr:uid="{00000000-0005-0000-0000-00001F280000}"/>
    <cellStyle name="Input 47 3 2" xfId="10893" xr:uid="{00000000-0005-0000-0000-000020280000}"/>
    <cellStyle name="Input 47 4" xfId="10894" xr:uid="{00000000-0005-0000-0000-000021280000}"/>
    <cellStyle name="Input 48" xfId="10895" xr:uid="{00000000-0005-0000-0000-000022280000}"/>
    <cellStyle name="Input 48 2" xfId="10896" xr:uid="{00000000-0005-0000-0000-000023280000}"/>
    <cellStyle name="Input 48 2 2" xfId="10897" xr:uid="{00000000-0005-0000-0000-000024280000}"/>
    <cellStyle name="Input 48 2 2 2" xfId="10898" xr:uid="{00000000-0005-0000-0000-000025280000}"/>
    <cellStyle name="Input 48 2 3" xfId="10899" xr:uid="{00000000-0005-0000-0000-000026280000}"/>
    <cellStyle name="Input 48 3" xfId="10900" xr:uid="{00000000-0005-0000-0000-000027280000}"/>
    <cellStyle name="Input 48 3 2" xfId="10901" xr:uid="{00000000-0005-0000-0000-000028280000}"/>
    <cellStyle name="Input 48 3 2 2" xfId="10902" xr:uid="{00000000-0005-0000-0000-000029280000}"/>
    <cellStyle name="Input 48 3 2 2 2" xfId="10903" xr:uid="{00000000-0005-0000-0000-00002A280000}"/>
    <cellStyle name="Input 48 3 2 3" xfId="10904" xr:uid="{00000000-0005-0000-0000-00002B280000}"/>
    <cellStyle name="Input 48 3 3" xfId="10905" xr:uid="{00000000-0005-0000-0000-00002C280000}"/>
    <cellStyle name="Input 48 3 3 2" xfId="10906" xr:uid="{00000000-0005-0000-0000-00002D280000}"/>
    <cellStyle name="Input 48 3 4" xfId="10907" xr:uid="{00000000-0005-0000-0000-00002E280000}"/>
    <cellStyle name="Input 48 4" xfId="10908" xr:uid="{00000000-0005-0000-0000-00002F280000}"/>
    <cellStyle name="Input 48 4 2" xfId="10909" xr:uid="{00000000-0005-0000-0000-000030280000}"/>
    <cellStyle name="Input 48 5" xfId="10910" xr:uid="{00000000-0005-0000-0000-000031280000}"/>
    <cellStyle name="Input 49" xfId="10911" xr:uid="{00000000-0005-0000-0000-000032280000}"/>
    <cellStyle name="Input 49 2" xfId="10912" xr:uid="{00000000-0005-0000-0000-000033280000}"/>
    <cellStyle name="Input 49 2 2" xfId="10913" xr:uid="{00000000-0005-0000-0000-000034280000}"/>
    <cellStyle name="Input 49 2 2 2" xfId="10914" xr:uid="{00000000-0005-0000-0000-000035280000}"/>
    <cellStyle name="Input 49 2 3" xfId="10915" xr:uid="{00000000-0005-0000-0000-000036280000}"/>
    <cellStyle name="Input 49 3" xfId="10916" xr:uid="{00000000-0005-0000-0000-000037280000}"/>
    <cellStyle name="Input 49 3 2" xfId="10917" xr:uid="{00000000-0005-0000-0000-000038280000}"/>
    <cellStyle name="Input 49 3 2 2" xfId="10918" xr:uid="{00000000-0005-0000-0000-000039280000}"/>
    <cellStyle name="Input 49 3 2 2 2" xfId="10919" xr:uid="{00000000-0005-0000-0000-00003A280000}"/>
    <cellStyle name="Input 49 3 2 3" xfId="10920" xr:uid="{00000000-0005-0000-0000-00003B280000}"/>
    <cellStyle name="Input 49 3 3" xfId="10921" xr:uid="{00000000-0005-0000-0000-00003C280000}"/>
    <cellStyle name="Input 49 3 3 2" xfId="10922" xr:uid="{00000000-0005-0000-0000-00003D280000}"/>
    <cellStyle name="Input 49 3 4" xfId="10923" xr:uid="{00000000-0005-0000-0000-00003E280000}"/>
    <cellStyle name="Input 49 4" xfId="10924" xr:uid="{00000000-0005-0000-0000-00003F280000}"/>
    <cellStyle name="Input 49 4 2" xfId="10925" xr:uid="{00000000-0005-0000-0000-000040280000}"/>
    <cellStyle name="Input 49 5" xfId="10926" xr:uid="{00000000-0005-0000-0000-000041280000}"/>
    <cellStyle name="Input 5" xfId="10927" xr:uid="{00000000-0005-0000-0000-000042280000}"/>
    <cellStyle name="Input 5 2" xfId="10928" xr:uid="{00000000-0005-0000-0000-000043280000}"/>
    <cellStyle name="Input 5 2 2" xfId="10929" xr:uid="{00000000-0005-0000-0000-000044280000}"/>
    <cellStyle name="Input 5 2 2 2" xfId="10930" xr:uid="{00000000-0005-0000-0000-000045280000}"/>
    <cellStyle name="Input 5 2 2 2 2" xfId="10931" xr:uid="{00000000-0005-0000-0000-000046280000}"/>
    <cellStyle name="Input 5 2 2 3" xfId="10932" xr:uid="{00000000-0005-0000-0000-000047280000}"/>
    <cellStyle name="Input 5 2 3" xfId="10933" xr:uid="{00000000-0005-0000-0000-000048280000}"/>
    <cellStyle name="Input 5 2 3 2" xfId="10934" xr:uid="{00000000-0005-0000-0000-000049280000}"/>
    <cellStyle name="Input 5 2 3 2 2" xfId="10935" xr:uid="{00000000-0005-0000-0000-00004A280000}"/>
    <cellStyle name="Input 5 2 3 2 2 2" xfId="10936" xr:uid="{00000000-0005-0000-0000-00004B280000}"/>
    <cellStyle name="Input 5 2 3 2 3" xfId="10937" xr:uid="{00000000-0005-0000-0000-00004C280000}"/>
    <cellStyle name="Input 5 2 3 3" xfId="10938" xr:uid="{00000000-0005-0000-0000-00004D280000}"/>
    <cellStyle name="Input 5 2 3 3 2" xfId="10939" xr:uid="{00000000-0005-0000-0000-00004E280000}"/>
    <cellStyle name="Input 5 2 3 4" xfId="10940" xr:uid="{00000000-0005-0000-0000-00004F280000}"/>
    <cellStyle name="Input 5 2 4" xfId="10941" xr:uid="{00000000-0005-0000-0000-000050280000}"/>
    <cellStyle name="Input 5 2 4 2" xfId="10942" xr:uid="{00000000-0005-0000-0000-000051280000}"/>
    <cellStyle name="Input 5 2 5" xfId="10943" xr:uid="{00000000-0005-0000-0000-000052280000}"/>
    <cellStyle name="Input 5 3" xfId="10944" xr:uid="{00000000-0005-0000-0000-000053280000}"/>
    <cellStyle name="Input 5 3 2" xfId="10945" xr:uid="{00000000-0005-0000-0000-000054280000}"/>
    <cellStyle name="Input 5 3 2 2" xfId="10946" xr:uid="{00000000-0005-0000-0000-000055280000}"/>
    <cellStyle name="Input 5 3 2 2 2" xfId="10947" xr:uid="{00000000-0005-0000-0000-000056280000}"/>
    <cellStyle name="Input 5 3 2 3" xfId="10948" xr:uid="{00000000-0005-0000-0000-000057280000}"/>
    <cellStyle name="Input 5 3 3" xfId="10949" xr:uid="{00000000-0005-0000-0000-000058280000}"/>
    <cellStyle name="Input 5 3 3 2" xfId="10950" xr:uid="{00000000-0005-0000-0000-000059280000}"/>
    <cellStyle name="Input 5 3 3 2 2" xfId="10951" xr:uid="{00000000-0005-0000-0000-00005A280000}"/>
    <cellStyle name="Input 5 3 3 2 2 2" xfId="10952" xr:uid="{00000000-0005-0000-0000-00005B280000}"/>
    <cellStyle name="Input 5 3 3 2 3" xfId="10953" xr:uid="{00000000-0005-0000-0000-00005C280000}"/>
    <cellStyle name="Input 5 3 3 3" xfId="10954" xr:uid="{00000000-0005-0000-0000-00005D280000}"/>
    <cellStyle name="Input 5 3 3 3 2" xfId="10955" xr:uid="{00000000-0005-0000-0000-00005E280000}"/>
    <cellStyle name="Input 5 3 3 4" xfId="10956" xr:uid="{00000000-0005-0000-0000-00005F280000}"/>
    <cellStyle name="Input 5 3 4" xfId="10957" xr:uid="{00000000-0005-0000-0000-000060280000}"/>
    <cellStyle name="Input 5 3 4 2" xfId="10958" xr:uid="{00000000-0005-0000-0000-000061280000}"/>
    <cellStyle name="Input 5 3 5" xfId="10959" xr:uid="{00000000-0005-0000-0000-000062280000}"/>
    <cellStyle name="Input 5 4" xfId="10960" xr:uid="{00000000-0005-0000-0000-000063280000}"/>
    <cellStyle name="Input 5 4 2" xfId="10961" xr:uid="{00000000-0005-0000-0000-000064280000}"/>
    <cellStyle name="Input 5 4 2 2" xfId="10962" xr:uid="{00000000-0005-0000-0000-000065280000}"/>
    <cellStyle name="Input 5 4 3" xfId="10963" xr:uid="{00000000-0005-0000-0000-000066280000}"/>
    <cellStyle name="Input 5 5" xfId="10964" xr:uid="{00000000-0005-0000-0000-000067280000}"/>
    <cellStyle name="Input 5 5 2" xfId="10965" xr:uid="{00000000-0005-0000-0000-000068280000}"/>
    <cellStyle name="Input 5 5 2 2" xfId="10966" xr:uid="{00000000-0005-0000-0000-000069280000}"/>
    <cellStyle name="Input 5 5 2 2 2" xfId="10967" xr:uid="{00000000-0005-0000-0000-00006A280000}"/>
    <cellStyle name="Input 5 5 2 2 2 2" xfId="10968" xr:uid="{00000000-0005-0000-0000-00006B280000}"/>
    <cellStyle name="Input 5 5 2 2 2 2 2" xfId="10969" xr:uid="{00000000-0005-0000-0000-00006C280000}"/>
    <cellStyle name="Input 5 5 2 2 2 3" xfId="10970" xr:uid="{00000000-0005-0000-0000-00006D280000}"/>
    <cellStyle name="Input 5 5 2 2 3" xfId="10971" xr:uid="{00000000-0005-0000-0000-00006E280000}"/>
    <cellStyle name="Input 5 5 2 2 3 2" xfId="10972" xr:uid="{00000000-0005-0000-0000-00006F280000}"/>
    <cellStyle name="Input 5 5 2 2 4" xfId="10973" xr:uid="{00000000-0005-0000-0000-000070280000}"/>
    <cellStyle name="Input 5 5 2 3" xfId="10974" xr:uid="{00000000-0005-0000-0000-000071280000}"/>
    <cellStyle name="Input 5 5 2 3 2" xfId="10975" xr:uid="{00000000-0005-0000-0000-000072280000}"/>
    <cellStyle name="Input 5 5 2 3 2 2" xfId="10976" xr:uid="{00000000-0005-0000-0000-000073280000}"/>
    <cellStyle name="Input 5 5 2 3 3" xfId="10977" xr:uid="{00000000-0005-0000-0000-000074280000}"/>
    <cellStyle name="Input 5 5 2 4" xfId="10978" xr:uid="{00000000-0005-0000-0000-000075280000}"/>
    <cellStyle name="Input 5 5 2 4 2" xfId="10979" xr:uid="{00000000-0005-0000-0000-000076280000}"/>
    <cellStyle name="Input 5 5 2 5" xfId="10980" xr:uid="{00000000-0005-0000-0000-000077280000}"/>
    <cellStyle name="Input 5 5 3" xfId="10981" xr:uid="{00000000-0005-0000-0000-000078280000}"/>
    <cellStyle name="Input 5 5 3 2" xfId="10982" xr:uid="{00000000-0005-0000-0000-000079280000}"/>
    <cellStyle name="Input 5 5 3 2 2" xfId="10983" xr:uid="{00000000-0005-0000-0000-00007A280000}"/>
    <cellStyle name="Input 5 5 3 2 2 2" xfId="10984" xr:uid="{00000000-0005-0000-0000-00007B280000}"/>
    <cellStyle name="Input 5 5 3 2 3" xfId="10985" xr:uid="{00000000-0005-0000-0000-00007C280000}"/>
    <cellStyle name="Input 5 5 3 3" xfId="10986" xr:uid="{00000000-0005-0000-0000-00007D280000}"/>
    <cellStyle name="Input 5 5 3 3 2" xfId="10987" xr:uid="{00000000-0005-0000-0000-00007E280000}"/>
    <cellStyle name="Input 5 5 3 4" xfId="10988" xr:uid="{00000000-0005-0000-0000-00007F280000}"/>
    <cellStyle name="Input 5 5 4" xfId="10989" xr:uid="{00000000-0005-0000-0000-000080280000}"/>
    <cellStyle name="Input 5 5 4 2" xfId="10990" xr:uid="{00000000-0005-0000-0000-000081280000}"/>
    <cellStyle name="Input 5 5 4 2 2" xfId="10991" xr:uid="{00000000-0005-0000-0000-000082280000}"/>
    <cellStyle name="Input 5 5 4 3" xfId="10992" xr:uid="{00000000-0005-0000-0000-000083280000}"/>
    <cellStyle name="Input 5 5 5" xfId="10993" xr:uid="{00000000-0005-0000-0000-000084280000}"/>
    <cellStyle name="Input 5 5 5 2" xfId="10994" xr:uid="{00000000-0005-0000-0000-000085280000}"/>
    <cellStyle name="Input 5 5 6" xfId="10995" xr:uid="{00000000-0005-0000-0000-000086280000}"/>
    <cellStyle name="Input 5 6" xfId="10996" xr:uid="{00000000-0005-0000-0000-000087280000}"/>
    <cellStyle name="Input 5 6 2" xfId="10997" xr:uid="{00000000-0005-0000-0000-000088280000}"/>
    <cellStyle name="Input 5 7" xfId="10998" xr:uid="{00000000-0005-0000-0000-000089280000}"/>
    <cellStyle name="Input 50" xfId="10999" xr:uid="{00000000-0005-0000-0000-00008A280000}"/>
    <cellStyle name="Input 50 2" xfId="11000" xr:uid="{00000000-0005-0000-0000-00008B280000}"/>
    <cellStyle name="Input 50 2 2" xfId="11001" xr:uid="{00000000-0005-0000-0000-00008C280000}"/>
    <cellStyle name="Input 50 2 2 2" xfId="11002" xr:uid="{00000000-0005-0000-0000-00008D280000}"/>
    <cellStyle name="Input 50 2 3" xfId="11003" xr:uid="{00000000-0005-0000-0000-00008E280000}"/>
    <cellStyle name="Input 50 3" xfId="11004" xr:uid="{00000000-0005-0000-0000-00008F280000}"/>
    <cellStyle name="Input 50 3 2" xfId="11005" xr:uid="{00000000-0005-0000-0000-000090280000}"/>
    <cellStyle name="Input 50 3 2 2" xfId="11006" xr:uid="{00000000-0005-0000-0000-000091280000}"/>
    <cellStyle name="Input 50 3 2 2 2" xfId="11007" xr:uid="{00000000-0005-0000-0000-000092280000}"/>
    <cellStyle name="Input 50 3 2 3" xfId="11008" xr:uid="{00000000-0005-0000-0000-000093280000}"/>
    <cellStyle name="Input 50 3 3" xfId="11009" xr:uid="{00000000-0005-0000-0000-000094280000}"/>
    <cellStyle name="Input 50 3 3 2" xfId="11010" xr:uid="{00000000-0005-0000-0000-000095280000}"/>
    <cellStyle name="Input 50 3 4" xfId="11011" xr:uid="{00000000-0005-0000-0000-000096280000}"/>
    <cellStyle name="Input 50 4" xfId="11012" xr:uid="{00000000-0005-0000-0000-000097280000}"/>
    <cellStyle name="Input 50 4 2" xfId="11013" xr:uid="{00000000-0005-0000-0000-000098280000}"/>
    <cellStyle name="Input 50 5" xfId="11014" xr:uid="{00000000-0005-0000-0000-000099280000}"/>
    <cellStyle name="Input 51" xfId="11015" xr:uid="{00000000-0005-0000-0000-00009A280000}"/>
    <cellStyle name="Input 51 2" xfId="11016" xr:uid="{00000000-0005-0000-0000-00009B280000}"/>
    <cellStyle name="Input 51 2 2" xfId="11017" xr:uid="{00000000-0005-0000-0000-00009C280000}"/>
    <cellStyle name="Input 51 2 2 2" xfId="11018" xr:uid="{00000000-0005-0000-0000-00009D280000}"/>
    <cellStyle name="Input 51 2 3" xfId="11019" xr:uid="{00000000-0005-0000-0000-00009E280000}"/>
    <cellStyle name="Input 51 3" xfId="11020" xr:uid="{00000000-0005-0000-0000-00009F280000}"/>
    <cellStyle name="Input 51 3 2" xfId="11021" xr:uid="{00000000-0005-0000-0000-0000A0280000}"/>
    <cellStyle name="Input 51 3 2 2" xfId="11022" xr:uid="{00000000-0005-0000-0000-0000A1280000}"/>
    <cellStyle name="Input 51 3 2 2 2" xfId="11023" xr:uid="{00000000-0005-0000-0000-0000A2280000}"/>
    <cellStyle name="Input 51 3 2 3" xfId="11024" xr:uid="{00000000-0005-0000-0000-0000A3280000}"/>
    <cellStyle name="Input 51 3 3" xfId="11025" xr:uid="{00000000-0005-0000-0000-0000A4280000}"/>
    <cellStyle name="Input 51 3 3 2" xfId="11026" xr:uid="{00000000-0005-0000-0000-0000A5280000}"/>
    <cellStyle name="Input 51 3 4" xfId="11027" xr:uid="{00000000-0005-0000-0000-0000A6280000}"/>
    <cellStyle name="Input 51 4" xfId="11028" xr:uid="{00000000-0005-0000-0000-0000A7280000}"/>
    <cellStyle name="Input 51 4 2" xfId="11029" xr:uid="{00000000-0005-0000-0000-0000A8280000}"/>
    <cellStyle name="Input 51 5" xfId="11030" xr:uid="{00000000-0005-0000-0000-0000A9280000}"/>
    <cellStyle name="Input 52" xfId="11031" xr:uid="{00000000-0005-0000-0000-0000AA280000}"/>
    <cellStyle name="Input 52 2" xfId="11032" xr:uid="{00000000-0005-0000-0000-0000AB280000}"/>
    <cellStyle name="Input 52 2 2" xfId="11033" xr:uid="{00000000-0005-0000-0000-0000AC280000}"/>
    <cellStyle name="Input 52 2 2 2" xfId="11034" xr:uid="{00000000-0005-0000-0000-0000AD280000}"/>
    <cellStyle name="Input 52 2 3" xfId="11035" xr:uid="{00000000-0005-0000-0000-0000AE280000}"/>
    <cellStyle name="Input 52 3" xfId="11036" xr:uid="{00000000-0005-0000-0000-0000AF280000}"/>
    <cellStyle name="Input 52 3 2" xfId="11037" xr:uid="{00000000-0005-0000-0000-0000B0280000}"/>
    <cellStyle name="Input 52 4" xfId="11038" xr:uid="{00000000-0005-0000-0000-0000B1280000}"/>
    <cellStyle name="Input 53" xfId="11039" xr:uid="{00000000-0005-0000-0000-0000B2280000}"/>
    <cellStyle name="Input 53 2" xfId="11040" xr:uid="{00000000-0005-0000-0000-0000B3280000}"/>
    <cellStyle name="Input 53 2 2" xfId="11041" xr:uid="{00000000-0005-0000-0000-0000B4280000}"/>
    <cellStyle name="Input 53 2 2 2" xfId="11042" xr:uid="{00000000-0005-0000-0000-0000B5280000}"/>
    <cellStyle name="Input 53 2 3" xfId="11043" xr:uid="{00000000-0005-0000-0000-0000B6280000}"/>
    <cellStyle name="Input 53 3" xfId="11044" xr:uid="{00000000-0005-0000-0000-0000B7280000}"/>
    <cellStyle name="Input 53 3 2" xfId="11045" xr:uid="{00000000-0005-0000-0000-0000B8280000}"/>
    <cellStyle name="Input 53 4" xfId="11046" xr:uid="{00000000-0005-0000-0000-0000B9280000}"/>
    <cellStyle name="Input 54" xfId="11047" xr:uid="{00000000-0005-0000-0000-0000BA280000}"/>
    <cellStyle name="Input 54 2" xfId="11048" xr:uid="{00000000-0005-0000-0000-0000BB280000}"/>
    <cellStyle name="Input 54 2 2" xfId="11049" xr:uid="{00000000-0005-0000-0000-0000BC280000}"/>
    <cellStyle name="Input 54 2 2 2" xfId="11050" xr:uid="{00000000-0005-0000-0000-0000BD280000}"/>
    <cellStyle name="Input 54 2 3" xfId="11051" xr:uid="{00000000-0005-0000-0000-0000BE280000}"/>
    <cellStyle name="Input 54 3" xfId="11052" xr:uid="{00000000-0005-0000-0000-0000BF280000}"/>
    <cellStyle name="Input 54 3 2" xfId="11053" xr:uid="{00000000-0005-0000-0000-0000C0280000}"/>
    <cellStyle name="Input 54 4" xfId="11054" xr:uid="{00000000-0005-0000-0000-0000C1280000}"/>
    <cellStyle name="Input 55" xfId="11055" xr:uid="{00000000-0005-0000-0000-0000C2280000}"/>
    <cellStyle name="Input 55 2" xfId="11056" xr:uid="{00000000-0005-0000-0000-0000C3280000}"/>
    <cellStyle name="Input 55 2 2" xfId="11057" xr:uid="{00000000-0005-0000-0000-0000C4280000}"/>
    <cellStyle name="Input 55 2 2 2" xfId="11058" xr:uid="{00000000-0005-0000-0000-0000C5280000}"/>
    <cellStyle name="Input 55 2 3" xfId="11059" xr:uid="{00000000-0005-0000-0000-0000C6280000}"/>
    <cellStyle name="Input 55 3" xfId="11060" xr:uid="{00000000-0005-0000-0000-0000C7280000}"/>
    <cellStyle name="Input 55 3 2" xfId="11061" xr:uid="{00000000-0005-0000-0000-0000C8280000}"/>
    <cellStyle name="Input 55 4" xfId="11062" xr:uid="{00000000-0005-0000-0000-0000C9280000}"/>
    <cellStyle name="Input 56" xfId="11063" xr:uid="{00000000-0005-0000-0000-0000CA280000}"/>
    <cellStyle name="Input 56 2" xfId="11064" xr:uid="{00000000-0005-0000-0000-0000CB280000}"/>
    <cellStyle name="Input 56 2 2" xfId="11065" xr:uid="{00000000-0005-0000-0000-0000CC280000}"/>
    <cellStyle name="Input 56 2 2 2" xfId="11066" xr:uid="{00000000-0005-0000-0000-0000CD280000}"/>
    <cellStyle name="Input 56 2 3" xfId="11067" xr:uid="{00000000-0005-0000-0000-0000CE280000}"/>
    <cellStyle name="Input 56 3" xfId="11068" xr:uid="{00000000-0005-0000-0000-0000CF280000}"/>
    <cellStyle name="Input 56 3 2" xfId="11069" xr:uid="{00000000-0005-0000-0000-0000D0280000}"/>
    <cellStyle name="Input 56 4" xfId="11070" xr:uid="{00000000-0005-0000-0000-0000D1280000}"/>
    <cellStyle name="Input 57" xfId="11071" xr:uid="{00000000-0005-0000-0000-0000D2280000}"/>
    <cellStyle name="Input 57 2" xfId="11072" xr:uid="{00000000-0005-0000-0000-0000D3280000}"/>
    <cellStyle name="Input 57 2 2" xfId="11073" xr:uid="{00000000-0005-0000-0000-0000D4280000}"/>
    <cellStyle name="Input 57 2 2 2" xfId="11074" xr:uid="{00000000-0005-0000-0000-0000D5280000}"/>
    <cellStyle name="Input 57 2 3" xfId="11075" xr:uid="{00000000-0005-0000-0000-0000D6280000}"/>
    <cellStyle name="Input 57 3" xfId="11076" xr:uid="{00000000-0005-0000-0000-0000D7280000}"/>
    <cellStyle name="Input 57 3 2" xfId="11077" xr:uid="{00000000-0005-0000-0000-0000D8280000}"/>
    <cellStyle name="Input 57 4" xfId="11078" xr:uid="{00000000-0005-0000-0000-0000D9280000}"/>
    <cellStyle name="Input 58" xfId="11079" xr:uid="{00000000-0005-0000-0000-0000DA280000}"/>
    <cellStyle name="Input 58 2" xfId="11080" xr:uid="{00000000-0005-0000-0000-0000DB280000}"/>
    <cellStyle name="Input 58 2 2" xfId="11081" xr:uid="{00000000-0005-0000-0000-0000DC280000}"/>
    <cellStyle name="Input 58 2 2 2" xfId="11082" xr:uid="{00000000-0005-0000-0000-0000DD280000}"/>
    <cellStyle name="Input 58 2 3" xfId="11083" xr:uid="{00000000-0005-0000-0000-0000DE280000}"/>
    <cellStyle name="Input 58 3" xfId="11084" xr:uid="{00000000-0005-0000-0000-0000DF280000}"/>
    <cellStyle name="Input 58 3 2" xfId="11085" xr:uid="{00000000-0005-0000-0000-0000E0280000}"/>
    <cellStyle name="Input 58 3 2 2" xfId="11086" xr:uid="{00000000-0005-0000-0000-0000E1280000}"/>
    <cellStyle name="Input 58 3 2 2 2" xfId="11087" xr:uid="{00000000-0005-0000-0000-0000E2280000}"/>
    <cellStyle name="Input 58 3 2 3" xfId="11088" xr:uid="{00000000-0005-0000-0000-0000E3280000}"/>
    <cellStyle name="Input 58 3 3" xfId="11089" xr:uid="{00000000-0005-0000-0000-0000E4280000}"/>
    <cellStyle name="Input 58 3 3 2" xfId="11090" xr:uid="{00000000-0005-0000-0000-0000E5280000}"/>
    <cellStyle name="Input 58 3 4" xfId="11091" xr:uid="{00000000-0005-0000-0000-0000E6280000}"/>
    <cellStyle name="Input 58 4" xfId="11092" xr:uid="{00000000-0005-0000-0000-0000E7280000}"/>
    <cellStyle name="Input 58 4 2" xfId="11093" xr:uid="{00000000-0005-0000-0000-0000E8280000}"/>
    <cellStyle name="Input 58 5" xfId="11094" xr:uid="{00000000-0005-0000-0000-0000E9280000}"/>
    <cellStyle name="Input 59" xfId="11095" xr:uid="{00000000-0005-0000-0000-0000EA280000}"/>
    <cellStyle name="Input 59 2" xfId="11096" xr:uid="{00000000-0005-0000-0000-0000EB280000}"/>
    <cellStyle name="Input 59 2 2" xfId="11097" xr:uid="{00000000-0005-0000-0000-0000EC280000}"/>
    <cellStyle name="Input 59 2 2 2" xfId="11098" xr:uid="{00000000-0005-0000-0000-0000ED280000}"/>
    <cellStyle name="Input 59 2 3" xfId="11099" xr:uid="{00000000-0005-0000-0000-0000EE280000}"/>
    <cellStyle name="Input 59 3" xfId="11100" xr:uid="{00000000-0005-0000-0000-0000EF280000}"/>
    <cellStyle name="Input 59 3 2" xfId="11101" xr:uid="{00000000-0005-0000-0000-0000F0280000}"/>
    <cellStyle name="Input 59 3 2 2" xfId="11102" xr:uid="{00000000-0005-0000-0000-0000F1280000}"/>
    <cellStyle name="Input 59 3 2 2 2" xfId="11103" xr:uid="{00000000-0005-0000-0000-0000F2280000}"/>
    <cellStyle name="Input 59 3 2 3" xfId="11104" xr:uid="{00000000-0005-0000-0000-0000F3280000}"/>
    <cellStyle name="Input 59 3 3" xfId="11105" xr:uid="{00000000-0005-0000-0000-0000F4280000}"/>
    <cellStyle name="Input 59 3 3 2" xfId="11106" xr:uid="{00000000-0005-0000-0000-0000F5280000}"/>
    <cellStyle name="Input 59 3 4" xfId="11107" xr:uid="{00000000-0005-0000-0000-0000F6280000}"/>
    <cellStyle name="Input 59 4" xfId="11108" xr:uid="{00000000-0005-0000-0000-0000F7280000}"/>
    <cellStyle name="Input 59 4 2" xfId="11109" xr:uid="{00000000-0005-0000-0000-0000F8280000}"/>
    <cellStyle name="Input 59 5" xfId="11110" xr:uid="{00000000-0005-0000-0000-0000F9280000}"/>
    <cellStyle name="Input 6" xfId="11111" xr:uid="{00000000-0005-0000-0000-0000FA280000}"/>
    <cellStyle name="Input 6 2" xfId="11112" xr:uid="{00000000-0005-0000-0000-0000FB280000}"/>
    <cellStyle name="Input 6 2 2" xfId="11113" xr:uid="{00000000-0005-0000-0000-0000FC280000}"/>
    <cellStyle name="Input 6 2 2 2" xfId="11114" xr:uid="{00000000-0005-0000-0000-0000FD280000}"/>
    <cellStyle name="Input 6 2 2 2 2" xfId="11115" xr:uid="{00000000-0005-0000-0000-0000FE280000}"/>
    <cellStyle name="Input 6 2 2 3" xfId="11116" xr:uid="{00000000-0005-0000-0000-0000FF280000}"/>
    <cellStyle name="Input 6 2 3" xfId="11117" xr:uid="{00000000-0005-0000-0000-000000290000}"/>
    <cellStyle name="Input 6 2 3 2" xfId="11118" xr:uid="{00000000-0005-0000-0000-000001290000}"/>
    <cellStyle name="Input 6 2 3 2 2" xfId="11119" xr:uid="{00000000-0005-0000-0000-000002290000}"/>
    <cellStyle name="Input 6 2 3 2 2 2" xfId="11120" xr:uid="{00000000-0005-0000-0000-000003290000}"/>
    <cellStyle name="Input 6 2 3 2 3" xfId="11121" xr:uid="{00000000-0005-0000-0000-000004290000}"/>
    <cellStyle name="Input 6 2 3 3" xfId="11122" xr:uid="{00000000-0005-0000-0000-000005290000}"/>
    <cellStyle name="Input 6 2 3 3 2" xfId="11123" xr:uid="{00000000-0005-0000-0000-000006290000}"/>
    <cellStyle name="Input 6 2 3 4" xfId="11124" xr:uid="{00000000-0005-0000-0000-000007290000}"/>
    <cellStyle name="Input 6 2 4" xfId="11125" xr:uid="{00000000-0005-0000-0000-000008290000}"/>
    <cellStyle name="Input 6 2 4 2" xfId="11126" xr:uid="{00000000-0005-0000-0000-000009290000}"/>
    <cellStyle name="Input 6 2 5" xfId="11127" xr:uid="{00000000-0005-0000-0000-00000A290000}"/>
    <cellStyle name="Input 6 3" xfId="11128" xr:uid="{00000000-0005-0000-0000-00000B290000}"/>
    <cellStyle name="Input 6 3 2" xfId="11129" xr:uid="{00000000-0005-0000-0000-00000C290000}"/>
    <cellStyle name="Input 6 3 2 2" xfId="11130" xr:uid="{00000000-0005-0000-0000-00000D290000}"/>
    <cellStyle name="Input 6 3 3" xfId="11131" xr:uid="{00000000-0005-0000-0000-00000E290000}"/>
    <cellStyle name="Input 6 4" xfId="11132" xr:uid="{00000000-0005-0000-0000-00000F290000}"/>
    <cellStyle name="Input 6 4 2" xfId="11133" xr:uid="{00000000-0005-0000-0000-000010290000}"/>
    <cellStyle name="Input 6 4 2 2" xfId="11134" xr:uid="{00000000-0005-0000-0000-000011290000}"/>
    <cellStyle name="Input 6 4 2 2 2" xfId="11135" xr:uid="{00000000-0005-0000-0000-000012290000}"/>
    <cellStyle name="Input 6 4 2 2 2 2" xfId="11136" xr:uid="{00000000-0005-0000-0000-000013290000}"/>
    <cellStyle name="Input 6 4 2 2 2 2 2" xfId="11137" xr:uid="{00000000-0005-0000-0000-000014290000}"/>
    <cellStyle name="Input 6 4 2 2 2 3" xfId="11138" xr:uid="{00000000-0005-0000-0000-000015290000}"/>
    <cellStyle name="Input 6 4 2 2 3" xfId="11139" xr:uid="{00000000-0005-0000-0000-000016290000}"/>
    <cellStyle name="Input 6 4 2 2 3 2" xfId="11140" xr:uid="{00000000-0005-0000-0000-000017290000}"/>
    <cellStyle name="Input 6 4 2 2 4" xfId="11141" xr:uid="{00000000-0005-0000-0000-000018290000}"/>
    <cellStyle name="Input 6 4 2 3" xfId="11142" xr:uid="{00000000-0005-0000-0000-000019290000}"/>
    <cellStyle name="Input 6 4 2 3 2" xfId="11143" xr:uid="{00000000-0005-0000-0000-00001A290000}"/>
    <cellStyle name="Input 6 4 2 3 2 2" xfId="11144" xr:uid="{00000000-0005-0000-0000-00001B290000}"/>
    <cellStyle name="Input 6 4 2 3 3" xfId="11145" xr:uid="{00000000-0005-0000-0000-00001C290000}"/>
    <cellStyle name="Input 6 4 2 4" xfId="11146" xr:uid="{00000000-0005-0000-0000-00001D290000}"/>
    <cellStyle name="Input 6 4 2 4 2" xfId="11147" xr:uid="{00000000-0005-0000-0000-00001E290000}"/>
    <cellStyle name="Input 6 4 2 5" xfId="11148" xr:uid="{00000000-0005-0000-0000-00001F290000}"/>
    <cellStyle name="Input 6 4 3" xfId="11149" xr:uid="{00000000-0005-0000-0000-000020290000}"/>
    <cellStyle name="Input 6 4 3 2" xfId="11150" xr:uid="{00000000-0005-0000-0000-000021290000}"/>
    <cellStyle name="Input 6 4 3 2 2" xfId="11151" xr:uid="{00000000-0005-0000-0000-000022290000}"/>
    <cellStyle name="Input 6 4 3 2 2 2" xfId="11152" xr:uid="{00000000-0005-0000-0000-000023290000}"/>
    <cellStyle name="Input 6 4 3 2 3" xfId="11153" xr:uid="{00000000-0005-0000-0000-000024290000}"/>
    <cellStyle name="Input 6 4 3 3" xfId="11154" xr:uid="{00000000-0005-0000-0000-000025290000}"/>
    <cellStyle name="Input 6 4 3 3 2" xfId="11155" xr:uid="{00000000-0005-0000-0000-000026290000}"/>
    <cellStyle name="Input 6 4 3 4" xfId="11156" xr:uid="{00000000-0005-0000-0000-000027290000}"/>
    <cellStyle name="Input 6 4 4" xfId="11157" xr:uid="{00000000-0005-0000-0000-000028290000}"/>
    <cellStyle name="Input 6 4 4 2" xfId="11158" xr:uid="{00000000-0005-0000-0000-000029290000}"/>
    <cellStyle name="Input 6 4 4 2 2" xfId="11159" xr:uid="{00000000-0005-0000-0000-00002A290000}"/>
    <cellStyle name="Input 6 4 4 3" xfId="11160" xr:uid="{00000000-0005-0000-0000-00002B290000}"/>
    <cellStyle name="Input 6 4 5" xfId="11161" xr:uid="{00000000-0005-0000-0000-00002C290000}"/>
    <cellStyle name="Input 6 4 5 2" xfId="11162" xr:uid="{00000000-0005-0000-0000-00002D290000}"/>
    <cellStyle name="Input 6 4 6" xfId="11163" xr:uid="{00000000-0005-0000-0000-00002E290000}"/>
    <cellStyle name="Input 6 5" xfId="11164" xr:uid="{00000000-0005-0000-0000-00002F290000}"/>
    <cellStyle name="Input 6 5 2" xfId="11165" xr:uid="{00000000-0005-0000-0000-000030290000}"/>
    <cellStyle name="Input 6 6" xfId="11166" xr:uid="{00000000-0005-0000-0000-000031290000}"/>
    <cellStyle name="Input 60" xfId="11167" xr:uid="{00000000-0005-0000-0000-000032290000}"/>
    <cellStyle name="Input 60 2" xfId="11168" xr:uid="{00000000-0005-0000-0000-000033290000}"/>
    <cellStyle name="Input 60 2 2" xfId="11169" xr:uid="{00000000-0005-0000-0000-000034290000}"/>
    <cellStyle name="Input 60 2 2 2" xfId="11170" xr:uid="{00000000-0005-0000-0000-000035290000}"/>
    <cellStyle name="Input 60 2 3" xfId="11171" xr:uid="{00000000-0005-0000-0000-000036290000}"/>
    <cellStyle name="Input 60 3" xfId="11172" xr:uid="{00000000-0005-0000-0000-000037290000}"/>
    <cellStyle name="Input 60 3 2" xfId="11173" xr:uid="{00000000-0005-0000-0000-000038290000}"/>
    <cellStyle name="Input 60 3 2 2" xfId="11174" xr:uid="{00000000-0005-0000-0000-000039290000}"/>
    <cellStyle name="Input 60 3 2 2 2" xfId="11175" xr:uid="{00000000-0005-0000-0000-00003A290000}"/>
    <cellStyle name="Input 60 3 2 3" xfId="11176" xr:uid="{00000000-0005-0000-0000-00003B290000}"/>
    <cellStyle name="Input 60 3 3" xfId="11177" xr:uid="{00000000-0005-0000-0000-00003C290000}"/>
    <cellStyle name="Input 60 3 3 2" xfId="11178" xr:uid="{00000000-0005-0000-0000-00003D290000}"/>
    <cellStyle name="Input 60 3 4" xfId="11179" xr:uid="{00000000-0005-0000-0000-00003E290000}"/>
    <cellStyle name="Input 60 4" xfId="11180" xr:uid="{00000000-0005-0000-0000-00003F290000}"/>
    <cellStyle name="Input 60 4 2" xfId="11181" xr:uid="{00000000-0005-0000-0000-000040290000}"/>
    <cellStyle name="Input 60 5" xfId="11182" xr:uid="{00000000-0005-0000-0000-000041290000}"/>
    <cellStyle name="Input 61" xfId="11183" xr:uid="{00000000-0005-0000-0000-000042290000}"/>
    <cellStyle name="Input 61 2" xfId="11184" xr:uid="{00000000-0005-0000-0000-000043290000}"/>
    <cellStyle name="Input 61 2 2" xfId="11185" xr:uid="{00000000-0005-0000-0000-000044290000}"/>
    <cellStyle name="Input 61 2 2 2" xfId="11186" xr:uid="{00000000-0005-0000-0000-000045290000}"/>
    <cellStyle name="Input 61 2 3" xfId="11187" xr:uid="{00000000-0005-0000-0000-000046290000}"/>
    <cellStyle name="Input 61 3" xfId="11188" xr:uid="{00000000-0005-0000-0000-000047290000}"/>
    <cellStyle name="Input 61 3 2" xfId="11189" xr:uid="{00000000-0005-0000-0000-000048290000}"/>
    <cellStyle name="Input 61 3 2 2" xfId="11190" xr:uid="{00000000-0005-0000-0000-000049290000}"/>
    <cellStyle name="Input 61 3 2 2 2" xfId="11191" xr:uid="{00000000-0005-0000-0000-00004A290000}"/>
    <cellStyle name="Input 61 3 2 3" xfId="11192" xr:uid="{00000000-0005-0000-0000-00004B290000}"/>
    <cellStyle name="Input 61 3 3" xfId="11193" xr:uid="{00000000-0005-0000-0000-00004C290000}"/>
    <cellStyle name="Input 61 3 3 2" xfId="11194" xr:uid="{00000000-0005-0000-0000-00004D290000}"/>
    <cellStyle name="Input 61 3 4" xfId="11195" xr:uid="{00000000-0005-0000-0000-00004E290000}"/>
    <cellStyle name="Input 61 4" xfId="11196" xr:uid="{00000000-0005-0000-0000-00004F290000}"/>
    <cellStyle name="Input 61 4 2" xfId="11197" xr:uid="{00000000-0005-0000-0000-000050290000}"/>
    <cellStyle name="Input 61 5" xfId="11198" xr:uid="{00000000-0005-0000-0000-000051290000}"/>
    <cellStyle name="Input 62" xfId="11199" xr:uid="{00000000-0005-0000-0000-000052290000}"/>
    <cellStyle name="Input 62 2" xfId="11200" xr:uid="{00000000-0005-0000-0000-000053290000}"/>
    <cellStyle name="Input 62 2 2" xfId="11201" xr:uid="{00000000-0005-0000-0000-000054290000}"/>
    <cellStyle name="Input 62 2 2 2" xfId="11202" xr:uid="{00000000-0005-0000-0000-000055290000}"/>
    <cellStyle name="Input 62 2 3" xfId="11203" xr:uid="{00000000-0005-0000-0000-000056290000}"/>
    <cellStyle name="Input 62 3" xfId="11204" xr:uid="{00000000-0005-0000-0000-000057290000}"/>
    <cellStyle name="Input 62 3 2" xfId="11205" xr:uid="{00000000-0005-0000-0000-000058290000}"/>
    <cellStyle name="Input 62 3 2 2" xfId="11206" xr:uid="{00000000-0005-0000-0000-000059290000}"/>
    <cellStyle name="Input 62 3 2 2 2" xfId="11207" xr:uid="{00000000-0005-0000-0000-00005A290000}"/>
    <cellStyle name="Input 62 3 2 3" xfId="11208" xr:uid="{00000000-0005-0000-0000-00005B290000}"/>
    <cellStyle name="Input 62 3 3" xfId="11209" xr:uid="{00000000-0005-0000-0000-00005C290000}"/>
    <cellStyle name="Input 62 3 3 2" xfId="11210" xr:uid="{00000000-0005-0000-0000-00005D290000}"/>
    <cellStyle name="Input 62 3 4" xfId="11211" xr:uid="{00000000-0005-0000-0000-00005E290000}"/>
    <cellStyle name="Input 62 4" xfId="11212" xr:uid="{00000000-0005-0000-0000-00005F290000}"/>
    <cellStyle name="Input 62 4 2" xfId="11213" xr:uid="{00000000-0005-0000-0000-000060290000}"/>
    <cellStyle name="Input 62 5" xfId="11214" xr:uid="{00000000-0005-0000-0000-000061290000}"/>
    <cellStyle name="Input 63" xfId="11215" xr:uid="{00000000-0005-0000-0000-000062290000}"/>
    <cellStyle name="Input 63 2" xfId="11216" xr:uid="{00000000-0005-0000-0000-000063290000}"/>
    <cellStyle name="Input 63 2 2" xfId="11217" xr:uid="{00000000-0005-0000-0000-000064290000}"/>
    <cellStyle name="Input 63 2 2 2" xfId="11218" xr:uid="{00000000-0005-0000-0000-000065290000}"/>
    <cellStyle name="Input 63 2 3" xfId="11219" xr:uid="{00000000-0005-0000-0000-000066290000}"/>
    <cellStyle name="Input 63 3" xfId="11220" xr:uid="{00000000-0005-0000-0000-000067290000}"/>
    <cellStyle name="Input 63 3 2" xfId="11221" xr:uid="{00000000-0005-0000-0000-000068290000}"/>
    <cellStyle name="Input 63 3 2 2" xfId="11222" xr:uid="{00000000-0005-0000-0000-000069290000}"/>
    <cellStyle name="Input 63 3 2 2 2" xfId="11223" xr:uid="{00000000-0005-0000-0000-00006A290000}"/>
    <cellStyle name="Input 63 3 2 3" xfId="11224" xr:uid="{00000000-0005-0000-0000-00006B290000}"/>
    <cellStyle name="Input 63 3 3" xfId="11225" xr:uid="{00000000-0005-0000-0000-00006C290000}"/>
    <cellStyle name="Input 63 3 3 2" xfId="11226" xr:uid="{00000000-0005-0000-0000-00006D290000}"/>
    <cellStyle name="Input 63 3 4" xfId="11227" xr:uid="{00000000-0005-0000-0000-00006E290000}"/>
    <cellStyle name="Input 63 4" xfId="11228" xr:uid="{00000000-0005-0000-0000-00006F290000}"/>
    <cellStyle name="Input 63 4 2" xfId="11229" xr:uid="{00000000-0005-0000-0000-000070290000}"/>
    <cellStyle name="Input 63 5" xfId="11230" xr:uid="{00000000-0005-0000-0000-000071290000}"/>
    <cellStyle name="Input 64" xfId="11231" xr:uid="{00000000-0005-0000-0000-000072290000}"/>
    <cellStyle name="Input 64 2" xfId="11232" xr:uid="{00000000-0005-0000-0000-000073290000}"/>
    <cellStyle name="Input 64 2 2" xfId="11233" xr:uid="{00000000-0005-0000-0000-000074290000}"/>
    <cellStyle name="Input 64 2 2 2" xfId="11234" xr:uid="{00000000-0005-0000-0000-000075290000}"/>
    <cellStyle name="Input 64 2 3" xfId="11235" xr:uid="{00000000-0005-0000-0000-000076290000}"/>
    <cellStyle name="Input 64 3" xfId="11236" xr:uid="{00000000-0005-0000-0000-000077290000}"/>
    <cellStyle name="Input 64 3 2" xfId="11237" xr:uid="{00000000-0005-0000-0000-000078290000}"/>
    <cellStyle name="Input 64 3 2 2" xfId="11238" xr:uid="{00000000-0005-0000-0000-000079290000}"/>
    <cellStyle name="Input 64 3 2 2 2" xfId="11239" xr:uid="{00000000-0005-0000-0000-00007A290000}"/>
    <cellStyle name="Input 64 3 2 3" xfId="11240" xr:uid="{00000000-0005-0000-0000-00007B290000}"/>
    <cellStyle name="Input 64 3 3" xfId="11241" xr:uid="{00000000-0005-0000-0000-00007C290000}"/>
    <cellStyle name="Input 64 3 3 2" xfId="11242" xr:uid="{00000000-0005-0000-0000-00007D290000}"/>
    <cellStyle name="Input 64 3 4" xfId="11243" xr:uid="{00000000-0005-0000-0000-00007E290000}"/>
    <cellStyle name="Input 64 4" xfId="11244" xr:uid="{00000000-0005-0000-0000-00007F290000}"/>
    <cellStyle name="Input 64 4 2" xfId="11245" xr:uid="{00000000-0005-0000-0000-000080290000}"/>
    <cellStyle name="Input 64 5" xfId="11246" xr:uid="{00000000-0005-0000-0000-000081290000}"/>
    <cellStyle name="Input 65" xfId="11247" xr:uid="{00000000-0005-0000-0000-000082290000}"/>
    <cellStyle name="Input 65 2" xfId="11248" xr:uid="{00000000-0005-0000-0000-000083290000}"/>
    <cellStyle name="Input 65 2 2" xfId="11249" xr:uid="{00000000-0005-0000-0000-000084290000}"/>
    <cellStyle name="Input 65 2 2 2" xfId="11250" xr:uid="{00000000-0005-0000-0000-000085290000}"/>
    <cellStyle name="Input 65 2 3" xfId="11251" xr:uid="{00000000-0005-0000-0000-000086290000}"/>
    <cellStyle name="Input 65 3" xfId="11252" xr:uid="{00000000-0005-0000-0000-000087290000}"/>
    <cellStyle name="Input 65 3 2" xfId="11253" xr:uid="{00000000-0005-0000-0000-000088290000}"/>
    <cellStyle name="Input 65 3 2 2" xfId="11254" xr:uid="{00000000-0005-0000-0000-000089290000}"/>
    <cellStyle name="Input 65 3 2 2 2" xfId="11255" xr:uid="{00000000-0005-0000-0000-00008A290000}"/>
    <cellStyle name="Input 65 3 2 3" xfId="11256" xr:uid="{00000000-0005-0000-0000-00008B290000}"/>
    <cellStyle name="Input 65 3 3" xfId="11257" xr:uid="{00000000-0005-0000-0000-00008C290000}"/>
    <cellStyle name="Input 65 3 3 2" xfId="11258" xr:uid="{00000000-0005-0000-0000-00008D290000}"/>
    <cellStyle name="Input 65 3 4" xfId="11259" xr:uid="{00000000-0005-0000-0000-00008E290000}"/>
    <cellStyle name="Input 65 4" xfId="11260" xr:uid="{00000000-0005-0000-0000-00008F290000}"/>
    <cellStyle name="Input 65 4 2" xfId="11261" xr:uid="{00000000-0005-0000-0000-000090290000}"/>
    <cellStyle name="Input 65 5" xfId="11262" xr:uid="{00000000-0005-0000-0000-000091290000}"/>
    <cellStyle name="Input 66" xfId="11263" xr:uid="{00000000-0005-0000-0000-000092290000}"/>
    <cellStyle name="Input 66 2" xfId="11264" xr:uid="{00000000-0005-0000-0000-000093290000}"/>
    <cellStyle name="Input 66 2 2" xfId="11265" xr:uid="{00000000-0005-0000-0000-000094290000}"/>
    <cellStyle name="Input 66 2 2 2" xfId="11266" xr:uid="{00000000-0005-0000-0000-000095290000}"/>
    <cellStyle name="Input 66 2 3" xfId="11267" xr:uid="{00000000-0005-0000-0000-000096290000}"/>
    <cellStyle name="Input 66 3" xfId="11268" xr:uid="{00000000-0005-0000-0000-000097290000}"/>
    <cellStyle name="Input 66 3 2" xfId="11269" xr:uid="{00000000-0005-0000-0000-000098290000}"/>
    <cellStyle name="Input 66 3 2 2" xfId="11270" xr:uid="{00000000-0005-0000-0000-000099290000}"/>
    <cellStyle name="Input 66 3 2 2 2" xfId="11271" xr:uid="{00000000-0005-0000-0000-00009A290000}"/>
    <cellStyle name="Input 66 3 2 3" xfId="11272" xr:uid="{00000000-0005-0000-0000-00009B290000}"/>
    <cellStyle name="Input 66 3 3" xfId="11273" xr:uid="{00000000-0005-0000-0000-00009C290000}"/>
    <cellStyle name="Input 66 3 3 2" xfId="11274" xr:uid="{00000000-0005-0000-0000-00009D290000}"/>
    <cellStyle name="Input 66 3 4" xfId="11275" xr:uid="{00000000-0005-0000-0000-00009E290000}"/>
    <cellStyle name="Input 66 4" xfId="11276" xr:uid="{00000000-0005-0000-0000-00009F290000}"/>
    <cellStyle name="Input 66 4 2" xfId="11277" xr:uid="{00000000-0005-0000-0000-0000A0290000}"/>
    <cellStyle name="Input 66 5" xfId="11278" xr:uid="{00000000-0005-0000-0000-0000A1290000}"/>
    <cellStyle name="Input 67" xfId="11279" xr:uid="{00000000-0005-0000-0000-0000A2290000}"/>
    <cellStyle name="Input 67 2" xfId="11280" xr:uid="{00000000-0005-0000-0000-0000A3290000}"/>
    <cellStyle name="Input 67 2 2" xfId="11281" xr:uid="{00000000-0005-0000-0000-0000A4290000}"/>
    <cellStyle name="Input 67 2 2 2" xfId="11282" xr:uid="{00000000-0005-0000-0000-0000A5290000}"/>
    <cellStyle name="Input 67 2 3" xfId="11283" xr:uid="{00000000-0005-0000-0000-0000A6290000}"/>
    <cellStyle name="Input 67 3" xfId="11284" xr:uid="{00000000-0005-0000-0000-0000A7290000}"/>
    <cellStyle name="Input 67 3 2" xfId="11285" xr:uid="{00000000-0005-0000-0000-0000A8290000}"/>
    <cellStyle name="Input 67 3 2 2" xfId="11286" xr:uid="{00000000-0005-0000-0000-0000A9290000}"/>
    <cellStyle name="Input 67 3 2 2 2" xfId="11287" xr:uid="{00000000-0005-0000-0000-0000AA290000}"/>
    <cellStyle name="Input 67 3 2 3" xfId="11288" xr:uid="{00000000-0005-0000-0000-0000AB290000}"/>
    <cellStyle name="Input 67 3 3" xfId="11289" xr:uid="{00000000-0005-0000-0000-0000AC290000}"/>
    <cellStyle name="Input 67 3 3 2" xfId="11290" xr:uid="{00000000-0005-0000-0000-0000AD290000}"/>
    <cellStyle name="Input 67 3 4" xfId="11291" xr:uid="{00000000-0005-0000-0000-0000AE290000}"/>
    <cellStyle name="Input 67 4" xfId="11292" xr:uid="{00000000-0005-0000-0000-0000AF290000}"/>
    <cellStyle name="Input 67 4 2" xfId="11293" xr:uid="{00000000-0005-0000-0000-0000B0290000}"/>
    <cellStyle name="Input 67 5" xfId="11294" xr:uid="{00000000-0005-0000-0000-0000B1290000}"/>
    <cellStyle name="Input 68" xfId="11295" xr:uid="{00000000-0005-0000-0000-0000B2290000}"/>
    <cellStyle name="Input 68 2" xfId="11296" xr:uid="{00000000-0005-0000-0000-0000B3290000}"/>
    <cellStyle name="Input 68 2 2" xfId="11297" xr:uid="{00000000-0005-0000-0000-0000B4290000}"/>
    <cellStyle name="Input 68 2 2 2" xfId="11298" xr:uid="{00000000-0005-0000-0000-0000B5290000}"/>
    <cellStyle name="Input 68 2 3" xfId="11299" xr:uid="{00000000-0005-0000-0000-0000B6290000}"/>
    <cellStyle name="Input 68 3" xfId="11300" xr:uid="{00000000-0005-0000-0000-0000B7290000}"/>
    <cellStyle name="Input 68 3 2" xfId="11301" xr:uid="{00000000-0005-0000-0000-0000B8290000}"/>
    <cellStyle name="Input 68 3 2 2" xfId="11302" xr:uid="{00000000-0005-0000-0000-0000B9290000}"/>
    <cellStyle name="Input 68 3 2 2 2" xfId="11303" xr:uid="{00000000-0005-0000-0000-0000BA290000}"/>
    <cellStyle name="Input 68 3 2 3" xfId="11304" xr:uid="{00000000-0005-0000-0000-0000BB290000}"/>
    <cellStyle name="Input 68 3 3" xfId="11305" xr:uid="{00000000-0005-0000-0000-0000BC290000}"/>
    <cellStyle name="Input 68 3 3 2" xfId="11306" xr:uid="{00000000-0005-0000-0000-0000BD290000}"/>
    <cellStyle name="Input 68 3 4" xfId="11307" xr:uid="{00000000-0005-0000-0000-0000BE290000}"/>
    <cellStyle name="Input 68 4" xfId="11308" xr:uid="{00000000-0005-0000-0000-0000BF290000}"/>
    <cellStyle name="Input 68 4 2" xfId="11309" xr:uid="{00000000-0005-0000-0000-0000C0290000}"/>
    <cellStyle name="Input 68 5" xfId="11310" xr:uid="{00000000-0005-0000-0000-0000C1290000}"/>
    <cellStyle name="Input 69" xfId="11311" xr:uid="{00000000-0005-0000-0000-0000C2290000}"/>
    <cellStyle name="Input 69 2" xfId="11312" xr:uid="{00000000-0005-0000-0000-0000C3290000}"/>
    <cellStyle name="Input 69 2 2" xfId="11313" xr:uid="{00000000-0005-0000-0000-0000C4290000}"/>
    <cellStyle name="Input 69 2 2 2" xfId="11314" xr:uid="{00000000-0005-0000-0000-0000C5290000}"/>
    <cellStyle name="Input 69 2 3" xfId="11315" xr:uid="{00000000-0005-0000-0000-0000C6290000}"/>
    <cellStyle name="Input 69 3" xfId="11316" xr:uid="{00000000-0005-0000-0000-0000C7290000}"/>
    <cellStyle name="Input 69 3 2" xfId="11317" xr:uid="{00000000-0005-0000-0000-0000C8290000}"/>
    <cellStyle name="Input 69 3 2 2" xfId="11318" xr:uid="{00000000-0005-0000-0000-0000C9290000}"/>
    <cellStyle name="Input 69 3 2 2 2" xfId="11319" xr:uid="{00000000-0005-0000-0000-0000CA290000}"/>
    <cellStyle name="Input 69 3 2 3" xfId="11320" xr:uid="{00000000-0005-0000-0000-0000CB290000}"/>
    <cellStyle name="Input 69 3 3" xfId="11321" xr:uid="{00000000-0005-0000-0000-0000CC290000}"/>
    <cellStyle name="Input 69 3 3 2" xfId="11322" xr:uid="{00000000-0005-0000-0000-0000CD290000}"/>
    <cellStyle name="Input 69 3 4" xfId="11323" xr:uid="{00000000-0005-0000-0000-0000CE290000}"/>
    <cellStyle name="Input 69 4" xfId="11324" xr:uid="{00000000-0005-0000-0000-0000CF290000}"/>
    <cellStyle name="Input 69 4 2" xfId="11325" xr:uid="{00000000-0005-0000-0000-0000D0290000}"/>
    <cellStyle name="Input 69 5" xfId="11326" xr:uid="{00000000-0005-0000-0000-0000D1290000}"/>
    <cellStyle name="Input 7" xfId="11327" xr:uid="{00000000-0005-0000-0000-0000D2290000}"/>
    <cellStyle name="Input 7 2" xfId="11328" xr:uid="{00000000-0005-0000-0000-0000D3290000}"/>
    <cellStyle name="Input 7 2 2" xfId="11329" xr:uid="{00000000-0005-0000-0000-0000D4290000}"/>
    <cellStyle name="Input 7 2 2 2" xfId="11330" xr:uid="{00000000-0005-0000-0000-0000D5290000}"/>
    <cellStyle name="Input 7 2 2 2 2" xfId="11331" xr:uid="{00000000-0005-0000-0000-0000D6290000}"/>
    <cellStyle name="Input 7 2 2 3" xfId="11332" xr:uid="{00000000-0005-0000-0000-0000D7290000}"/>
    <cellStyle name="Input 7 2 3" xfId="11333" xr:uid="{00000000-0005-0000-0000-0000D8290000}"/>
    <cellStyle name="Input 7 2 3 2" xfId="11334" xr:uid="{00000000-0005-0000-0000-0000D9290000}"/>
    <cellStyle name="Input 7 2 3 2 2" xfId="11335" xr:uid="{00000000-0005-0000-0000-0000DA290000}"/>
    <cellStyle name="Input 7 2 3 2 2 2" xfId="11336" xr:uid="{00000000-0005-0000-0000-0000DB290000}"/>
    <cellStyle name="Input 7 2 3 2 3" xfId="11337" xr:uid="{00000000-0005-0000-0000-0000DC290000}"/>
    <cellStyle name="Input 7 2 3 3" xfId="11338" xr:uid="{00000000-0005-0000-0000-0000DD290000}"/>
    <cellStyle name="Input 7 2 3 3 2" xfId="11339" xr:uid="{00000000-0005-0000-0000-0000DE290000}"/>
    <cellStyle name="Input 7 2 3 4" xfId="11340" xr:uid="{00000000-0005-0000-0000-0000DF290000}"/>
    <cellStyle name="Input 7 2 4" xfId="11341" xr:uid="{00000000-0005-0000-0000-0000E0290000}"/>
    <cellStyle name="Input 7 2 4 2" xfId="11342" xr:uid="{00000000-0005-0000-0000-0000E1290000}"/>
    <cellStyle name="Input 7 2 5" xfId="11343" xr:uid="{00000000-0005-0000-0000-0000E2290000}"/>
    <cellStyle name="Input 7 3" xfId="11344" xr:uid="{00000000-0005-0000-0000-0000E3290000}"/>
    <cellStyle name="Input 7 3 2" xfId="11345" xr:uid="{00000000-0005-0000-0000-0000E4290000}"/>
    <cellStyle name="Input 7 3 2 2" xfId="11346" xr:uid="{00000000-0005-0000-0000-0000E5290000}"/>
    <cellStyle name="Input 7 3 3" xfId="11347" xr:uid="{00000000-0005-0000-0000-0000E6290000}"/>
    <cellStyle name="Input 7 4" xfId="11348" xr:uid="{00000000-0005-0000-0000-0000E7290000}"/>
    <cellStyle name="Input 7 4 2" xfId="11349" xr:uid="{00000000-0005-0000-0000-0000E8290000}"/>
    <cellStyle name="Input 7 4 2 2" xfId="11350" xr:uid="{00000000-0005-0000-0000-0000E9290000}"/>
    <cellStyle name="Input 7 4 2 2 2" xfId="11351" xr:uid="{00000000-0005-0000-0000-0000EA290000}"/>
    <cellStyle name="Input 7 4 2 2 2 2" xfId="11352" xr:uid="{00000000-0005-0000-0000-0000EB290000}"/>
    <cellStyle name="Input 7 4 2 2 2 2 2" xfId="11353" xr:uid="{00000000-0005-0000-0000-0000EC290000}"/>
    <cellStyle name="Input 7 4 2 2 2 3" xfId="11354" xr:uid="{00000000-0005-0000-0000-0000ED290000}"/>
    <cellStyle name="Input 7 4 2 2 3" xfId="11355" xr:uid="{00000000-0005-0000-0000-0000EE290000}"/>
    <cellStyle name="Input 7 4 2 2 3 2" xfId="11356" xr:uid="{00000000-0005-0000-0000-0000EF290000}"/>
    <cellStyle name="Input 7 4 2 2 4" xfId="11357" xr:uid="{00000000-0005-0000-0000-0000F0290000}"/>
    <cellStyle name="Input 7 4 2 3" xfId="11358" xr:uid="{00000000-0005-0000-0000-0000F1290000}"/>
    <cellStyle name="Input 7 4 2 3 2" xfId="11359" xr:uid="{00000000-0005-0000-0000-0000F2290000}"/>
    <cellStyle name="Input 7 4 2 3 2 2" xfId="11360" xr:uid="{00000000-0005-0000-0000-0000F3290000}"/>
    <cellStyle name="Input 7 4 2 3 3" xfId="11361" xr:uid="{00000000-0005-0000-0000-0000F4290000}"/>
    <cellStyle name="Input 7 4 2 4" xfId="11362" xr:uid="{00000000-0005-0000-0000-0000F5290000}"/>
    <cellStyle name="Input 7 4 2 4 2" xfId="11363" xr:uid="{00000000-0005-0000-0000-0000F6290000}"/>
    <cellStyle name="Input 7 4 2 5" xfId="11364" xr:uid="{00000000-0005-0000-0000-0000F7290000}"/>
    <cellStyle name="Input 7 4 3" xfId="11365" xr:uid="{00000000-0005-0000-0000-0000F8290000}"/>
    <cellStyle name="Input 7 4 3 2" xfId="11366" xr:uid="{00000000-0005-0000-0000-0000F9290000}"/>
    <cellStyle name="Input 7 4 3 2 2" xfId="11367" xr:uid="{00000000-0005-0000-0000-0000FA290000}"/>
    <cellStyle name="Input 7 4 3 2 2 2" xfId="11368" xr:uid="{00000000-0005-0000-0000-0000FB290000}"/>
    <cellStyle name="Input 7 4 3 2 3" xfId="11369" xr:uid="{00000000-0005-0000-0000-0000FC290000}"/>
    <cellStyle name="Input 7 4 3 3" xfId="11370" xr:uid="{00000000-0005-0000-0000-0000FD290000}"/>
    <cellStyle name="Input 7 4 3 3 2" xfId="11371" xr:uid="{00000000-0005-0000-0000-0000FE290000}"/>
    <cellStyle name="Input 7 4 3 4" xfId="11372" xr:uid="{00000000-0005-0000-0000-0000FF290000}"/>
    <cellStyle name="Input 7 4 4" xfId="11373" xr:uid="{00000000-0005-0000-0000-0000002A0000}"/>
    <cellStyle name="Input 7 4 4 2" xfId="11374" xr:uid="{00000000-0005-0000-0000-0000012A0000}"/>
    <cellStyle name="Input 7 4 4 2 2" xfId="11375" xr:uid="{00000000-0005-0000-0000-0000022A0000}"/>
    <cellStyle name="Input 7 4 4 3" xfId="11376" xr:uid="{00000000-0005-0000-0000-0000032A0000}"/>
    <cellStyle name="Input 7 4 5" xfId="11377" xr:uid="{00000000-0005-0000-0000-0000042A0000}"/>
    <cellStyle name="Input 7 4 5 2" xfId="11378" xr:uid="{00000000-0005-0000-0000-0000052A0000}"/>
    <cellStyle name="Input 7 4 6" xfId="11379" xr:uid="{00000000-0005-0000-0000-0000062A0000}"/>
    <cellStyle name="Input 7 5" xfId="11380" xr:uid="{00000000-0005-0000-0000-0000072A0000}"/>
    <cellStyle name="Input 7 5 2" xfId="11381" xr:uid="{00000000-0005-0000-0000-0000082A0000}"/>
    <cellStyle name="Input 7 6" xfId="11382" xr:uid="{00000000-0005-0000-0000-0000092A0000}"/>
    <cellStyle name="Input 70" xfId="11383" xr:uid="{00000000-0005-0000-0000-00000A2A0000}"/>
    <cellStyle name="Input 70 2" xfId="11384" xr:uid="{00000000-0005-0000-0000-00000B2A0000}"/>
    <cellStyle name="Input 70 2 2" xfId="11385" xr:uid="{00000000-0005-0000-0000-00000C2A0000}"/>
    <cellStyle name="Input 70 2 2 2" xfId="11386" xr:uid="{00000000-0005-0000-0000-00000D2A0000}"/>
    <cellStyle name="Input 70 2 3" xfId="11387" xr:uid="{00000000-0005-0000-0000-00000E2A0000}"/>
    <cellStyle name="Input 70 3" xfId="11388" xr:uid="{00000000-0005-0000-0000-00000F2A0000}"/>
    <cellStyle name="Input 70 3 2" xfId="11389" xr:uid="{00000000-0005-0000-0000-0000102A0000}"/>
    <cellStyle name="Input 70 3 2 2" xfId="11390" xr:uid="{00000000-0005-0000-0000-0000112A0000}"/>
    <cellStyle name="Input 70 3 2 2 2" xfId="11391" xr:uid="{00000000-0005-0000-0000-0000122A0000}"/>
    <cellStyle name="Input 70 3 2 3" xfId="11392" xr:uid="{00000000-0005-0000-0000-0000132A0000}"/>
    <cellStyle name="Input 70 3 3" xfId="11393" xr:uid="{00000000-0005-0000-0000-0000142A0000}"/>
    <cellStyle name="Input 70 3 3 2" xfId="11394" xr:uid="{00000000-0005-0000-0000-0000152A0000}"/>
    <cellStyle name="Input 70 3 4" xfId="11395" xr:uid="{00000000-0005-0000-0000-0000162A0000}"/>
    <cellStyle name="Input 70 4" xfId="11396" xr:uid="{00000000-0005-0000-0000-0000172A0000}"/>
    <cellStyle name="Input 70 4 2" xfId="11397" xr:uid="{00000000-0005-0000-0000-0000182A0000}"/>
    <cellStyle name="Input 70 5" xfId="11398" xr:uid="{00000000-0005-0000-0000-0000192A0000}"/>
    <cellStyle name="Input 71" xfId="11399" xr:uid="{00000000-0005-0000-0000-00001A2A0000}"/>
    <cellStyle name="Input 71 2" xfId="11400" xr:uid="{00000000-0005-0000-0000-00001B2A0000}"/>
    <cellStyle name="Input 71 2 2" xfId="11401" xr:uid="{00000000-0005-0000-0000-00001C2A0000}"/>
    <cellStyle name="Input 71 2 2 2" xfId="11402" xr:uid="{00000000-0005-0000-0000-00001D2A0000}"/>
    <cellStyle name="Input 71 2 3" xfId="11403" xr:uid="{00000000-0005-0000-0000-00001E2A0000}"/>
    <cellStyle name="Input 71 3" xfId="11404" xr:uid="{00000000-0005-0000-0000-00001F2A0000}"/>
    <cellStyle name="Input 71 3 2" xfId="11405" xr:uid="{00000000-0005-0000-0000-0000202A0000}"/>
    <cellStyle name="Input 71 3 2 2" xfId="11406" xr:uid="{00000000-0005-0000-0000-0000212A0000}"/>
    <cellStyle name="Input 71 3 2 2 2" xfId="11407" xr:uid="{00000000-0005-0000-0000-0000222A0000}"/>
    <cellStyle name="Input 71 3 2 3" xfId="11408" xr:uid="{00000000-0005-0000-0000-0000232A0000}"/>
    <cellStyle name="Input 71 3 3" xfId="11409" xr:uid="{00000000-0005-0000-0000-0000242A0000}"/>
    <cellStyle name="Input 71 3 3 2" xfId="11410" xr:uid="{00000000-0005-0000-0000-0000252A0000}"/>
    <cellStyle name="Input 71 3 4" xfId="11411" xr:uid="{00000000-0005-0000-0000-0000262A0000}"/>
    <cellStyle name="Input 71 4" xfId="11412" xr:uid="{00000000-0005-0000-0000-0000272A0000}"/>
    <cellStyle name="Input 71 4 2" xfId="11413" xr:uid="{00000000-0005-0000-0000-0000282A0000}"/>
    <cellStyle name="Input 71 5" xfId="11414" xr:uid="{00000000-0005-0000-0000-0000292A0000}"/>
    <cellStyle name="Input 72" xfId="11415" xr:uid="{00000000-0005-0000-0000-00002A2A0000}"/>
    <cellStyle name="Input 72 2" xfId="11416" xr:uid="{00000000-0005-0000-0000-00002B2A0000}"/>
    <cellStyle name="Input 72 2 2" xfId="11417" xr:uid="{00000000-0005-0000-0000-00002C2A0000}"/>
    <cellStyle name="Input 72 2 2 2" xfId="11418" xr:uid="{00000000-0005-0000-0000-00002D2A0000}"/>
    <cellStyle name="Input 72 2 3" xfId="11419" xr:uid="{00000000-0005-0000-0000-00002E2A0000}"/>
    <cellStyle name="Input 72 3" xfId="11420" xr:uid="{00000000-0005-0000-0000-00002F2A0000}"/>
    <cellStyle name="Input 72 3 2" xfId="11421" xr:uid="{00000000-0005-0000-0000-0000302A0000}"/>
    <cellStyle name="Input 72 3 2 2" xfId="11422" xr:uid="{00000000-0005-0000-0000-0000312A0000}"/>
    <cellStyle name="Input 72 3 2 2 2" xfId="11423" xr:uid="{00000000-0005-0000-0000-0000322A0000}"/>
    <cellStyle name="Input 72 3 2 3" xfId="11424" xr:uid="{00000000-0005-0000-0000-0000332A0000}"/>
    <cellStyle name="Input 72 3 3" xfId="11425" xr:uid="{00000000-0005-0000-0000-0000342A0000}"/>
    <cellStyle name="Input 72 3 3 2" xfId="11426" xr:uid="{00000000-0005-0000-0000-0000352A0000}"/>
    <cellStyle name="Input 72 3 4" xfId="11427" xr:uid="{00000000-0005-0000-0000-0000362A0000}"/>
    <cellStyle name="Input 72 4" xfId="11428" xr:uid="{00000000-0005-0000-0000-0000372A0000}"/>
    <cellStyle name="Input 72 4 2" xfId="11429" xr:uid="{00000000-0005-0000-0000-0000382A0000}"/>
    <cellStyle name="Input 72 5" xfId="11430" xr:uid="{00000000-0005-0000-0000-0000392A0000}"/>
    <cellStyle name="Input 73" xfId="11431" xr:uid="{00000000-0005-0000-0000-00003A2A0000}"/>
    <cellStyle name="Input 73 2" xfId="11432" xr:uid="{00000000-0005-0000-0000-00003B2A0000}"/>
    <cellStyle name="Input 73 2 2" xfId="11433" xr:uid="{00000000-0005-0000-0000-00003C2A0000}"/>
    <cellStyle name="Input 73 2 2 2" xfId="11434" xr:uid="{00000000-0005-0000-0000-00003D2A0000}"/>
    <cellStyle name="Input 73 2 3" xfId="11435" xr:uid="{00000000-0005-0000-0000-00003E2A0000}"/>
    <cellStyle name="Input 73 3" xfId="11436" xr:uid="{00000000-0005-0000-0000-00003F2A0000}"/>
    <cellStyle name="Input 73 3 2" xfId="11437" xr:uid="{00000000-0005-0000-0000-0000402A0000}"/>
    <cellStyle name="Input 73 3 2 2" xfId="11438" xr:uid="{00000000-0005-0000-0000-0000412A0000}"/>
    <cellStyle name="Input 73 3 2 2 2" xfId="11439" xr:uid="{00000000-0005-0000-0000-0000422A0000}"/>
    <cellStyle name="Input 73 3 2 3" xfId="11440" xr:uid="{00000000-0005-0000-0000-0000432A0000}"/>
    <cellStyle name="Input 73 3 3" xfId="11441" xr:uid="{00000000-0005-0000-0000-0000442A0000}"/>
    <cellStyle name="Input 73 3 3 2" xfId="11442" xr:uid="{00000000-0005-0000-0000-0000452A0000}"/>
    <cellStyle name="Input 73 3 4" xfId="11443" xr:uid="{00000000-0005-0000-0000-0000462A0000}"/>
    <cellStyle name="Input 73 4" xfId="11444" xr:uid="{00000000-0005-0000-0000-0000472A0000}"/>
    <cellStyle name="Input 73 4 2" xfId="11445" xr:uid="{00000000-0005-0000-0000-0000482A0000}"/>
    <cellStyle name="Input 73 5" xfId="11446" xr:uid="{00000000-0005-0000-0000-0000492A0000}"/>
    <cellStyle name="Input 74" xfId="11447" xr:uid="{00000000-0005-0000-0000-00004A2A0000}"/>
    <cellStyle name="Input 74 2" xfId="11448" xr:uid="{00000000-0005-0000-0000-00004B2A0000}"/>
    <cellStyle name="Input 74 2 2" xfId="11449" xr:uid="{00000000-0005-0000-0000-00004C2A0000}"/>
    <cellStyle name="Input 74 2 2 2" xfId="11450" xr:uid="{00000000-0005-0000-0000-00004D2A0000}"/>
    <cellStyle name="Input 74 2 3" xfId="11451" xr:uid="{00000000-0005-0000-0000-00004E2A0000}"/>
    <cellStyle name="Input 74 3" xfId="11452" xr:uid="{00000000-0005-0000-0000-00004F2A0000}"/>
    <cellStyle name="Input 74 3 2" xfId="11453" xr:uid="{00000000-0005-0000-0000-0000502A0000}"/>
    <cellStyle name="Input 74 3 2 2" xfId="11454" xr:uid="{00000000-0005-0000-0000-0000512A0000}"/>
    <cellStyle name="Input 74 3 2 2 2" xfId="11455" xr:uid="{00000000-0005-0000-0000-0000522A0000}"/>
    <cellStyle name="Input 74 3 2 3" xfId="11456" xr:uid="{00000000-0005-0000-0000-0000532A0000}"/>
    <cellStyle name="Input 74 3 3" xfId="11457" xr:uid="{00000000-0005-0000-0000-0000542A0000}"/>
    <cellStyle name="Input 74 3 3 2" xfId="11458" xr:uid="{00000000-0005-0000-0000-0000552A0000}"/>
    <cellStyle name="Input 74 3 4" xfId="11459" xr:uid="{00000000-0005-0000-0000-0000562A0000}"/>
    <cellStyle name="Input 74 4" xfId="11460" xr:uid="{00000000-0005-0000-0000-0000572A0000}"/>
    <cellStyle name="Input 74 4 2" xfId="11461" xr:uid="{00000000-0005-0000-0000-0000582A0000}"/>
    <cellStyle name="Input 74 5" xfId="11462" xr:uid="{00000000-0005-0000-0000-0000592A0000}"/>
    <cellStyle name="Input 75" xfId="11463" xr:uid="{00000000-0005-0000-0000-00005A2A0000}"/>
    <cellStyle name="Input 75 2" xfId="11464" xr:uid="{00000000-0005-0000-0000-00005B2A0000}"/>
    <cellStyle name="Input 75 2 2" xfId="11465" xr:uid="{00000000-0005-0000-0000-00005C2A0000}"/>
    <cellStyle name="Input 75 2 2 2" xfId="11466" xr:uid="{00000000-0005-0000-0000-00005D2A0000}"/>
    <cellStyle name="Input 75 2 3" xfId="11467" xr:uid="{00000000-0005-0000-0000-00005E2A0000}"/>
    <cellStyle name="Input 75 3" xfId="11468" xr:uid="{00000000-0005-0000-0000-00005F2A0000}"/>
    <cellStyle name="Input 75 3 2" xfId="11469" xr:uid="{00000000-0005-0000-0000-0000602A0000}"/>
    <cellStyle name="Input 75 3 2 2" xfId="11470" xr:uid="{00000000-0005-0000-0000-0000612A0000}"/>
    <cellStyle name="Input 75 3 2 2 2" xfId="11471" xr:uid="{00000000-0005-0000-0000-0000622A0000}"/>
    <cellStyle name="Input 75 3 2 3" xfId="11472" xr:uid="{00000000-0005-0000-0000-0000632A0000}"/>
    <cellStyle name="Input 75 3 3" xfId="11473" xr:uid="{00000000-0005-0000-0000-0000642A0000}"/>
    <cellStyle name="Input 75 3 3 2" xfId="11474" xr:uid="{00000000-0005-0000-0000-0000652A0000}"/>
    <cellStyle name="Input 75 3 4" xfId="11475" xr:uid="{00000000-0005-0000-0000-0000662A0000}"/>
    <cellStyle name="Input 75 4" xfId="11476" xr:uid="{00000000-0005-0000-0000-0000672A0000}"/>
    <cellStyle name="Input 75 4 2" xfId="11477" xr:uid="{00000000-0005-0000-0000-0000682A0000}"/>
    <cellStyle name="Input 75 5" xfId="11478" xr:uid="{00000000-0005-0000-0000-0000692A0000}"/>
    <cellStyle name="Input 76" xfId="11479" xr:uid="{00000000-0005-0000-0000-00006A2A0000}"/>
    <cellStyle name="Input 76 2" xfId="11480" xr:uid="{00000000-0005-0000-0000-00006B2A0000}"/>
    <cellStyle name="Input 76 2 2" xfId="11481" xr:uid="{00000000-0005-0000-0000-00006C2A0000}"/>
    <cellStyle name="Input 76 2 2 2" xfId="11482" xr:uid="{00000000-0005-0000-0000-00006D2A0000}"/>
    <cellStyle name="Input 76 2 3" xfId="11483" xr:uid="{00000000-0005-0000-0000-00006E2A0000}"/>
    <cellStyle name="Input 76 3" xfId="11484" xr:uid="{00000000-0005-0000-0000-00006F2A0000}"/>
    <cellStyle name="Input 76 3 2" xfId="11485" xr:uid="{00000000-0005-0000-0000-0000702A0000}"/>
    <cellStyle name="Input 76 3 2 2" xfId="11486" xr:uid="{00000000-0005-0000-0000-0000712A0000}"/>
    <cellStyle name="Input 76 3 2 2 2" xfId="11487" xr:uid="{00000000-0005-0000-0000-0000722A0000}"/>
    <cellStyle name="Input 76 3 2 3" xfId="11488" xr:uid="{00000000-0005-0000-0000-0000732A0000}"/>
    <cellStyle name="Input 76 3 3" xfId="11489" xr:uid="{00000000-0005-0000-0000-0000742A0000}"/>
    <cellStyle name="Input 76 3 3 2" xfId="11490" xr:uid="{00000000-0005-0000-0000-0000752A0000}"/>
    <cellStyle name="Input 76 3 4" xfId="11491" xr:uid="{00000000-0005-0000-0000-0000762A0000}"/>
    <cellStyle name="Input 76 4" xfId="11492" xr:uid="{00000000-0005-0000-0000-0000772A0000}"/>
    <cellStyle name="Input 76 4 2" xfId="11493" xr:uid="{00000000-0005-0000-0000-0000782A0000}"/>
    <cellStyle name="Input 76 5" xfId="11494" xr:uid="{00000000-0005-0000-0000-0000792A0000}"/>
    <cellStyle name="Input 77" xfId="11495" xr:uid="{00000000-0005-0000-0000-00007A2A0000}"/>
    <cellStyle name="Input 77 2" xfId="11496" xr:uid="{00000000-0005-0000-0000-00007B2A0000}"/>
    <cellStyle name="Input 77 2 2" xfId="11497" xr:uid="{00000000-0005-0000-0000-00007C2A0000}"/>
    <cellStyle name="Input 77 2 2 2" xfId="11498" xr:uid="{00000000-0005-0000-0000-00007D2A0000}"/>
    <cellStyle name="Input 77 2 3" xfId="11499" xr:uid="{00000000-0005-0000-0000-00007E2A0000}"/>
    <cellStyle name="Input 77 3" xfId="11500" xr:uid="{00000000-0005-0000-0000-00007F2A0000}"/>
    <cellStyle name="Input 77 3 2" xfId="11501" xr:uid="{00000000-0005-0000-0000-0000802A0000}"/>
    <cellStyle name="Input 77 3 2 2" xfId="11502" xr:uid="{00000000-0005-0000-0000-0000812A0000}"/>
    <cellStyle name="Input 77 3 2 2 2" xfId="11503" xr:uid="{00000000-0005-0000-0000-0000822A0000}"/>
    <cellStyle name="Input 77 3 2 3" xfId="11504" xr:uid="{00000000-0005-0000-0000-0000832A0000}"/>
    <cellStyle name="Input 77 3 3" xfId="11505" xr:uid="{00000000-0005-0000-0000-0000842A0000}"/>
    <cellStyle name="Input 77 3 3 2" xfId="11506" xr:uid="{00000000-0005-0000-0000-0000852A0000}"/>
    <cellStyle name="Input 77 3 4" xfId="11507" xr:uid="{00000000-0005-0000-0000-0000862A0000}"/>
    <cellStyle name="Input 77 4" xfId="11508" xr:uid="{00000000-0005-0000-0000-0000872A0000}"/>
    <cellStyle name="Input 77 4 2" xfId="11509" xr:uid="{00000000-0005-0000-0000-0000882A0000}"/>
    <cellStyle name="Input 77 5" xfId="11510" xr:uid="{00000000-0005-0000-0000-0000892A0000}"/>
    <cellStyle name="Input 78" xfId="11511" xr:uid="{00000000-0005-0000-0000-00008A2A0000}"/>
    <cellStyle name="Input 78 2" xfId="11512" xr:uid="{00000000-0005-0000-0000-00008B2A0000}"/>
    <cellStyle name="Input 78 2 2" xfId="11513" xr:uid="{00000000-0005-0000-0000-00008C2A0000}"/>
    <cellStyle name="Input 78 2 2 2" xfId="11514" xr:uid="{00000000-0005-0000-0000-00008D2A0000}"/>
    <cellStyle name="Input 78 2 3" xfId="11515" xr:uid="{00000000-0005-0000-0000-00008E2A0000}"/>
    <cellStyle name="Input 78 3" xfId="11516" xr:uid="{00000000-0005-0000-0000-00008F2A0000}"/>
    <cellStyle name="Input 78 3 2" xfId="11517" xr:uid="{00000000-0005-0000-0000-0000902A0000}"/>
    <cellStyle name="Input 78 3 2 2" xfId="11518" xr:uid="{00000000-0005-0000-0000-0000912A0000}"/>
    <cellStyle name="Input 78 3 2 2 2" xfId="11519" xr:uid="{00000000-0005-0000-0000-0000922A0000}"/>
    <cellStyle name="Input 78 3 2 3" xfId="11520" xr:uid="{00000000-0005-0000-0000-0000932A0000}"/>
    <cellStyle name="Input 78 3 3" xfId="11521" xr:uid="{00000000-0005-0000-0000-0000942A0000}"/>
    <cellStyle name="Input 78 3 3 2" xfId="11522" xr:uid="{00000000-0005-0000-0000-0000952A0000}"/>
    <cellStyle name="Input 78 3 4" xfId="11523" xr:uid="{00000000-0005-0000-0000-0000962A0000}"/>
    <cellStyle name="Input 78 4" xfId="11524" xr:uid="{00000000-0005-0000-0000-0000972A0000}"/>
    <cellStyle name="Input 78 4 2" xfId="11525" xr:uid="{00000000-0005-0000-0000-0000982A0000}"/>
    <cellStyle name="Input 78 5" xfId="11526" xr:uid="{00000000-0005-0000-0000-0000992A0000}"/>
    <cellStyle name="Input 79" xfId="11527" xr:uid="{00000000-0005-0000-0000-00009A2A0000}"/>
    <cellStyle name="Input 79 2" xfId="11528" xr:uid="{00000000-0005-0000-0000-00009B2A0000}"/>
    <cellStyle name="Input 79 2 2" xfId="11529" xr:uid="{00000000-0005-0000-0000-00009C2A0000}"/>
    <cellStyle name="Input 79 2 2 2" xfId="11530" xr:uid="{00000000-0005-0000-0000-00009D2A0000}"/>
    <cellStyle name="Input 79 2 3" xfId="11531" xr:uid="{00000000-0005-0000-0000-00009E2A0000}"/>
    <cellStyle name="Input 79 3" xfId="11532" xr:uid="{00000000-0005-0000-0000-00009F2A0000}"/>
    <cellStyle name="Input 79 3 2" xfId="11533" xr:uid="{00000000-0005-0000-0000-0000A02A0000}"/>
    <cellStyle name="Input 79 3 2 2" xfId="11534" xr:uid="{00000000-0005-0000-0000-0000A12A0000}"/>
    <cellStyle name="Input 79 3 2 2 2" xfId="11535" xr:uid="{00000000-0005-0000-0000-0000A22A0000}"/>
    <cellStyle name="Input 79 3 2 3" xfId="11536" xr:uid="{00000000-0005-0000-0000-0000A32A0000}"/>
    <cellStyle name="Input 79 3 3" xfId="11537" xr:uid="{00000000-0005-0000-0000-0000A42A0000}"/>
    <cellStyle name="Input 79 3 3 2" xfId="11538" xr:uid="{00000000-0005-0000-0000-0000A52A0000}"/>
    <cellStyle name="Input 79 3 4" xfId="11539" xr:uid="{00000000-0005-0000-0000-0000A62A0000}"/>
    <cellStyle name="Input 79 4" xfId="11540" xr:uid="{00000000-0005-0000-0000-0000A72A0000}"/>
    <cellStyle name="Input 79 4 2" xfId="11541" xr:uid="{00000000-0005-0000-0000-0000A82A0000}"/>
    <cellStyle name="Input 79 5" xfId="11542" xr:uid="{00000000-0005-0000-0000-0000A92A0000}"/>
    <cellStyle name="Input 8" xfId="11543" xr:uid="{00000000-0005-0000-0000-0000AA2A0000}"/>
    <cellStyle name="Input 8 2" xfId="11544" xr:uid="{00000000-0005-0000-0000-0000AB2A0000}"/>
    <cellStyle name="Input 8 2 2" xfId="11545" xr:uid="{00000000-0005-0000-0000-0000AC2A0000}"/>
    <cellStyle name="Input 8 2 2 2" xfId="11546" xr:uid="{00000000-0005-0000-0000-0000AD2A0000}"/>
    <cellStyle name="Input 8 2 3" xfId="11547" xr:uid="{00000000-0005-0000-0000-0000AE2A0000}"/>
    <cellStyle name="Input 8 3" xfId="11548" xr:uid="{00000000-0005-0000-0000-0000AF2A0000}"/>
    <cellStyle name="Input 8 3 2" xfId="11549" xr:uid="{00000000-0005-0000-0000-0000B02A0000}"/>
    <cellStyle name="Input 8 4" xfId="11550" xr:uid="{00000000-0005-0000-0000-0000B12A0000}"/>
    <cellStyle name="Input 80" xfId="11551" xr:uid="{00000000-0005-0000-0000-0000B22A0000}"/>
    <cellStyle name="Input 80 2" xfId="11552" xr:uid="{00000000-0005-0000-0000-0000B32A0000}"/>
    <cellStyle name="Input 80 2 2" xfId="11553" xr:uid="{00000000-0005-0000-0000-0000B42A0000}"/>
    <cellStyle name="Input 80 2 2 2" xfId="11554" xr:uid="{00000000-0005-0000-0000-0000B52A0000}"/>
    <cellStyle name="Input 80 2 3" xfId="11555" xr:uid="{00000000-0005-0000-0000-0000B62A0000}"/>
    <cellStyle name="Input 80 3" xfId="11556" xr:uid="{00000000-0005-0000-0000-0000B72A0000}"/>
    <cellStyle name="Input 80 3 2" xfId="11557" xr:uid="{00000000-0005-0000-0000-0000B82A0000}"/>
    <cellStyle name="Input 80 3 2 2" xfId="11558" xr:uid="{00000000-0005-0000-0000-0000B92A0000}"/>
    <cellStyle name="Input 80 3 2 2 2" xfId="11559" xr:uid="{00000000-0005-0000-0000-0000BA2A0000}"/>
    <cellStyle name="Input 80 3 2 3" xfId="11560" xr:uid="{00000000-0005-0000-0000-0000BB2A0000}"/>
    <cellStyle name="Input 80 3 3" xfId="11561" xr:uid="{00000000-0005-0000-0000-0000BC2A0000}"/>
    <cellStyle name="Input 80 3 3 2" xfId="11562" xr:uid="{00000000-0005-0000-0000-0000BD2A0000}"/>
    <cellStyle name="Input 80 3 4" xfId="11563" xr:uid="{00000000-0005-0000-0000-0000BE2A0000}"/>
    <cellStyle name="Input 80 4" xfId="11564" xr:uid="{00000000-0005-0000-0000-0000BF2A0000}"/>
    <cellStyle name="Input 80 4 2" xfId="11565" xr:uid="{00000000-0005-0000-0000-0000C02A0000}"/>
    <cellStyle name="Input 80 5" xfId="11566" xr:uid="{00000000-0005-0000-0000-0000C12A0000}"/>
    <cellStyle name="Input 81" xfId="11567" xr:uid="{00000000-0005-0000-0000-0000C22A0000}"/>
    <cellStyle name="Input 81 2" xfId="11568" xr:uid="{00000000-0005-0000-0000-0000C32A0000}"/>
    <cellStyle name="Input 81 2 2" xfId="11569" xr:uid="{00000000-0005-0000-0000-0000C42A0000}"/>
    <cellStyle name="Input 81 2 2 2" xfId="11570" xr:uid="{00000000-0005-0000-0000-0000C52A0000}"/>
    <cellStyle name="Input 81 2 3" xfId="11571" xr:uid="{00000000-0005-0000-0000-0000C62A0000}"/>
    <cellStyle name="Input 81 3" xfId="11572" xr:uid="{00000000-0005-0000-0000-0000C72A0000}"/>
    <cellStyle name="Input 81 3 2" xfId="11573" xr:uid="{00000000-0005-0000-0000-0000C82A0000}"/>
    <cellStyle name="Input 81 3 2 2" xfId="11574" xr:uid="{00000000-0005-0000-0000-0000C92A0000}"/>
    <cellStyle name="Input 81 3 2 2 2" xfId="11575" xr:uid="{00000000-0005-0000-0000-0000CA2A0000}"/>
    <cellStyle name="Input 81 3 2 3" xfId="11576" xr:uid="{00000000-0005-0000-0000-0000CB2A0000}"/>
    <cellStyle name="Input 81 3 3" xfId="11577" xr:uid="{00000000-0005-0000-0000-0000CC2A0000}"/>
    <cellStyle name="Input 81 3 3 2" xfId="11578" xr:uid="{00000000-0005-0000-0000-0000CD2A0000}"/>
    <cellStyle name="Input 81 3 4" xfId="11579" xr:uid="{00000000-0005-0000-0000-0000CE2A0000}"/>
    <cellStyle name="Input 81 4" xfId="11580" xr:uid="{00000000-0005-0000-0000-0000CF2A0000}"/>
    <cellStyle name="Input 81 4 2" xfId="11581" xr:uid="{00000000-0005-0000-0000-0000D02A0000}"/>
    <cellStyle name="Input 81 5" xfId="11582" xr:uid="{00000000-0005-0000-0000-0000D12A0000}"/>
    <cellStyle name="Input 82" xfId="11583" xr:uid="{00000000-0005-0000-0000-0000D22A0000}"/>
    <cellStyle name="Input 82 2" xfId="11584" xr:uid="{00000000-0005-0000-0000-0000D32A0000}"/>
    <cellStyle name="Input 82 2 2" xfId="11585" xr:uid="{00000000-0005-0000-0000-0000D42A0000}"/>
    <cellStyle name="Input 82 2 2 2" xfId="11586" xr:uid="{00000000-0005-0000-0000-0000D52A0000}"/>
    <cellStyle name="Input 82 2 3" xfId="11587" xr:uid="{00000000-0005-0000-0000-0000D62A0000}"/>
    <cellStyle name="Input 82 3" xfId="11588" xr:uid="{00000000-0005-0000-0000-0000D72A0000}"/>
    <cellStyle name="Input 82 3 2" xfId="11589" xr:uid="{00000000-0005-0000-0000-0000D82A0000}"/>
    <cellStyle name="Input 82 3 2 2" xfId="11590" xr:uid="{00000000-0005-0000-0000-0000D92A0000}"/>
    <cellStyle name="Input 82 3 2 2 2" xfId="11591" xr:uid="{00000000-0005-0000-0000-0000DA2A0000}"/>
    <cellStyle name="Input 82 3 2 3" xfId="11592" xr:uid="{00000000-0005-0000-0000-0000DB2A0000}"/>
    <cellStyle name="Input 82 3 3" xfId="11593" xr:uid="{00000000-0005-0000-0000-0000DC2A0000}"/>
    <cellStyle name="Input 82 3 3 2" xfId="11594" xr:uid="{00000000-0005-0000-0000-0000DD2A0000}"/>
    <cellStyle name="Input 82 3 4" xfId="11595" xr:uid="{00000000-0005-0000-0000-0000DE2A0000}"/>
    <cellStyle name="Input 82 4" xfId="11596" xr:uid="{00000000-0005-0000-0000-0000DF2A0000}"/>
    <cellStyle name="Input 82 4 2" xfId="11597" xr:uid="{00000000-0005-0000-0000-0000E02A0000}"/>
    <cellStyle name="Input 82 5" xfId="11598" xr:uid="{00000000-0005-0000-0000-0000E12A0000}"/>
    <cellStyle name="Input 83" xfId="11599" xr:uid="{00000000-0005-0000-0000-0000E22A0000}"/>
    <cellStyle name="Input 83 2" xfId="11600" xr:uid="{00000000-0005-0000-0000-0000E32A0000}"/>
    <cellStyle name="Input 83 2 2" xfId="11601" xr:uid="{00000000-0005-0000-0000-0000E42A0000}"/>
    <cellStyle name="Input 83 2 2 2" xfId="11602" xr:uid="{00000000-0005-0000-0000-0000E52A0000}"/>
    <cellStyle name="Input 83 2 3" xfId="11603" xr:uid="{00000000-0005-0000-0000-0000E62A0000}"/>
    <cellStyle name="Input 83 3" xfId="11604" xr:uid="{00000000-0005-0000-0000-0000E72A0000}"/>
    <cellStyle name="Input 83 3 2" xfId="11605" xr:uid="{00000000-0005-0000-0000-0000E82A0000}"/>
    <cellStyle name="Input 83 3 2 2" xfId="11606" xr:uid="{00000000-0005-0000-0000-0000E92A0000}"/>
    <cellStyle name="Input 83 3 2 2 2" xfId="11607" xr:uid="{00000000-0005-0000-0000-0000EA2A0000}"/>
    <cellStyle name="Input 83 3 2 3" xfId="11608" xr:uid="{00000000-0005-0000-0000-0000EB2A0000}"/>
    <cellStyle name="Input 83 3 3" xfId="11609" xr:uid="{00000000-0005-0000-0000-0000EC2A0000}"/>
    <cellStyle name="Input 83 3 3 2" xfId="11610" xr:uid="{00000000-0005-0000-0000-0000ED2A0000}"/>
    <cellStyle name="Input 83 3 4" xfId="11611" xr:uid="{00000000-0005-0000-0000-0000EE2A0000}"/>
    <cellStyle name="Input 83 4" xfId="11612" xr:uid="{00000000-0005-0000-0000-0000EF2A0000}"/>
    <cellStyle name="Input 83 4 2" xfId="11613" xr:uid="{00000000-0005-0000-0000-0000F02A0000}"/>
    <cellStyle name="Input 83 5" xfId="11614" xr:uid="{00000000-0005-0000-0000-0000F12A0000}"/>
    <cellStyle name="Input 84" xfId="11615" xr:uid="{00000000-0005-0000-0000-0000F22A0000}"/>
    <cellStyle name="Input 84 2" xfId="11616" xr:uid="{00000000-0005-0000-0000-0000F32A0000}"/>
    <cellStyle name="Input 84 2 2" xfId="11617" xr:uid="{00000000-0005-0000-0000-0000F42A0000}"/>
    <cellStyle name="Input 84 2 2 2" xfId="11618" xr:uid="{00000000-0005-0000-0000-0000F52A0000}"/>
    <cellStyle name="Input 84 2 3" xfId="11619" xr:uid="{00000000-0005-0000-0000-0000F62A0000}"/>
    <cellStyle name="Input 84 3" xfId="11620" xr:uid="{00000000-0005-0000-0000-0000F72A0000}"/>
    <cellStyle name="Input 84 3 2" xfId="11621" xr:uid="{00000000-0005-0000-0000-0000F82A0000}"/>
    <cellStyle name="Input 84 4" xfId="11622" xr:uid="{00000000-0005-0000-0000-0000F92A0000}"/>
    <cellStyle name="Input 85" xfId="11623" xr:uid="{00000000-0005-0000-0000-0000FA2A0000}"/>
    <cellStyle name="Input 85 2" xfId="11624" xr:uid="{00000000-0005-0000-0000-0000FB2A0000}"/>
    <cellStyle name="Input 85 2 2" xfId="11625" xr:uid="{00000000-0005-0000-0000-0000FC2A0000}"/>
    <cellStyle name="Input 85 2 2 2" xfId="11626" xr:uid="{00000000-0005-0000-0000-0000FD2A0000}"/>
    <cellStyle name="Input 85 2 3" xfId="11627" xr:uid="{00000000-0005-0000-0000-0000FE2A0000}"/>
    <cellStyle name="Input 85 3" xfId="11628" xr:uid="{00000000-0005-0000-0000-0000FF2A0000}"/>
    <cellStyle name="Input 85 3 2" xfId="11629" xr:uid="{00000000-0005-0000-0000-0000002B0000}"/>
    <cellStyle name="Input 85 4" xfId="11630" xr:uid="{00000000-0005-0000-0000-0000012B0000}"/>
    <cellStyle name="Input 86" xfId="11631" xr:uid="{00000000-0005-0000-0000-0000022B0000}"/>
    <cellStyle name="Input 86 2" xfId="11632" xr:uid="{00000000-0005-0000-0000-0000032B0000}"/>
    <cellStyle name="Input 86 2 2" xfId="11633" xr:uid="{00000000-0005-0000-0000-0000042B0000}"/>
    <cellStyle name="Input 86 2 2 2" xfId="11634" xr:uid="{00000000-0005-0000-0000-0000052B0000}"/>
    <cellStyle name="Input 86 2 3" xfId="11635" xr:uid="{00000000-0005-0000-0000-0000062B0000}"/>
    <cellStyle name="Input 86 3" xfId="11636" xr:uid="{00000000-0005-0000-0000-0000072B0000}"/>
    <cellStyle name="Input 86 3 2" xfId="11637" xr:uid="{00000000-0005-0000-0000-0000082B0000}"/>
    <cellStyle name="Input 86 4" xfId="11638" xr:uid="{00000000-0005-0000-0000-0000092B0000}"/>
    <cellStyle name="Input 87" xfId="11639" xr:uid="{00000000-0005-0000-0000-00000A2B0000}"/>
    <cellStyle name="Input 87 2" xfId="11640" xr:uid="{00000000-0005-0000-0000-00000B2B0000}"/>
    <cellStyle name="Input 87 2 2" xfId="11641" xr:uid="{00000000-0005-0000-0000-00000C2B0000}"/>
    <cellStyle name="Input 87 2 2 2" xfId="11642" xr:uid="{00000000-0005-0000-0000-00000D2B0000}"/>
    <cellStyle name="Input 87 2 3" xfId="11643" xr:uid="{00000000-0005-0000-0000-00000E2B0000}"/>
    <cellStyle name="Input 87 3" xfId="11644" xr:uid="{00000000-0005-0000-0000-00000F2B0000}"/>
    <cellStyle name="Input 87 3 2" xfId="11645" xr:uid="{00000000-0005-0000-0000-0000102B0000}"/>
    <cellStyle name="Input 87 4" xfId="11646" xr:uid="{00000000-0005-0000-0000-0000112B0000}"/>
    <cellStyle name="Input 88" xfId="11647" xr:uid="{00000000-0005-0000-0000-0000122B0000}"/>
    <cellStyle name="Input 88 2" xfId="11648" xr:uid="{00000000-0005-0000-0000-0000132B0000}"/>
    <cellStyle name="Input 88 2 2" xfId="11649" xr:uid="{00000000-0005-0000-0000-0000142B0000}"/>
    <cellStyle name="Input 88 2 2 2" xfId="11650" xr:uid="{00000000-0005-0000-0000-0000152B0000}"/>
    <cellStyle name="Input 88 2 3" xfId="11651" xr:uid="{00000000-0005-0000-0000-0000162B0000}"/>
    <cellStyle name="Input 88 3" xfId="11652" xr:uid="{00000000-0005-0000-0000-0000172B0000}"/>
    <cellStyle name="Input 88 3 2" xfId="11653" xr:uid="{00000000-0005-0000-0000-0000182B0000}"/>
    <cellStyle name="Input 88 4" xfId="11654" xr:uid="{00000000-0005-0000-0000-0000192B0000}"/>
    <cellStyle name="Input 89" xfId="11655" xr:uid="{00000000-0005-0000-0000-00001A2B0000}"/>
    <cellStyle name="Input 89 2" xfId="11656" xr:uid="{00000000-0005-0000-0000-00001B2B0000}"/>
    <cellStyle name="Input 89 2 2" xfId="11657" xr:uid="{00000000-0005-0000-0000-00001C2B0000}"/>
    <cellStyle name="Input 89 2 2 2" xfId="11658" xr:uid="{00000000-0005-0000-0000-00001D2B0000}"/>
    <cellStyle name="Input 89 2 3" xfId="11659" xr:uid="{00000000-0005-0000-0000-00001E2B0000}"/>
    <cellStyle name="Input 89 3" xfId="11660" xr:uid="{00000000-0005-0000-0000-00001F2B0000}"/>
    <cellStyle name="Input 89 3 2" xfId="11661" xr:uid="{00000000-0005-0000-0000-0000202B0000}"/>
    <cellStyle name="Input 89 4" xfId="11662" xr:uid="{00000000-0005-0000-0000-0000212B0000}"/>
    <cellStyle name="Input 9" xfId="11663" xr:uid="{00000000-0005-0000-0000-0000222B0000}"/>
    <cellStyle name="Input 9 2" xfId="11664" xr:uid="{00000000-0005-0000-0000-0000232B0000}"/>
    <cellStyle name="Input 9 2 2" xfId="11665" xr:uid="{00000000-0005-0000-0000-0000242B0000}"/>
    <cellStyle name="Input 9 2 2 2" xfId="11666" xr:uid="{00000000-0005-0000-0000-0000252B0000}"/>
    <cellStyle name="Input 9 2 3" xfId="11667" xr:uid="{00000000-0005-0000-0000-0000262B0000}"/>
    <cellStyle name="Input 9 3" xfId="11668" xr:uid="{00000000-0005-0000-0000-0000272B0000}"/>
    <cellStyle name="Input 9 3 2" xfId="11669" xr:uid="{00000000-0005-0000-0000-0000282B0000}"/>
    <cellStyle name="Input 9 4" xfId="11670" xr:uid="{00000000-0005-0000-0000-0000292B0000}"/>
    <cellStyle name="Input 90" xfId="11671" xr:uid="{00000000-0005-0000-0000-00002A2B0000}"/>
    <cellStyle name="Input 90 2" xfId="11672" xr:uid="{00000000-0005-0000-0000-00002B2B0000}"/>
    <cellStyle name="Input 90 2 2" xfId="11673" xr:uid="{00000000-0005-0000-0000-00002C2B0000}"/>
    <cellStyle name="Input 90 2 2 2" xfId="11674" xr:uid="{00000000-0005-0000-0000-00002D2B0000}"/>
    <cellStyle name="Input 90 2 3" xfId="11675" xr:uid="{00000000-0005-0000-0000-00002E2B0000}"/>
    <cellStyle name="Input 90 3" xfId="11676" xr:uid="{00000000-0005-0000-0000-00002F2B0000}"/>
    <cellStyle name="Input 90 3 2" xfId="11677" xr:uid="{00000000-0005-0000-0000-0000302B0000}"/>
    <cellStyle name="Input 90 4" xfId="11678" xr:uid="{00000000-0005-0000-0000-0000312B0000}"/>
    <cellStyle name="Input 91" xfId="11679" xr:uid="{00000000-0005-0000-0000-0000322B0000}"/>
    <cellStyle name="Input 91 2" xfId="11680" xr:uid="{00000000-0005-0000-0000-0000332B0000}"/>
    <cellStyle name="Input 91 2 2" xfId="11681" xr:uid="{00000000-0005-0000-0000-0000342B0000}"/>
    <cellStyle name="Input 91 2 2 2" xfId="11682" xr:uid="{00000000-0005-0000-0000-0000352B0000}"/>
    <cellStyle name="Input 91 2 3" xfId="11683" xr:uid="{00000000-0005-0000-0000-0000362B0000}"/>
    <cellStyle name="Input 91 3" xfId="11684" xr:uid="{00000000-0005-0000-0000-0000372B0000}"/>
    <cellStyle name="Input 91 3 2" xfId="11685" xr:uid="{00000000-0005-0000-0000-0000382B0000}"/>
    <cellStyle name="Input 91 4" xfId="11686" xr:uid="{00000000-0005-0000-0000-0000392B0000}"/>
    <cellStyle name="Input 92" xfId="11687" xr:uid="{00000000-0005-0000-0000-00003A2B0000}"/>
    <cellStyle name="Input 92 2" xfId="11688" xr:uid="{00000000-0005-0000-0000-00003B2B0000}"/>
    <cellStyle name="Input 92 2 2" xfId="11689" xr:uid="{00000000-0005-0000-0000-00003C2B0000}"/>
    <cellStyle name="Input 92 2 2 2" xfId="11690" xr:uid="{00000000-0005-0000-0000-00003D2B0000}"/>
    <cellStyle name="Input 92 2 3" xfId="11691" xr:uid="{00000000-0005-0000-0000-00003E2B0000}"/>
    <cellStyle name="Input 92 3" xfId="11692" xr:uid="{00000000-0005-0000-0000-00003F2B0000}"/>
    <cellStyle name="Input 92 3 2" xfId="11693" xr:uid="{00000000-0005-0000-0000-0000402B0000}"/>
    <cellStyle name="Input 92 4" xfId="11694" xr:uid="{00000000-0005-0000-0000-0000412B0000}"/>
    <cellStyle name="Input 93" xfId="11695" xr:uid="{00000000-0005-0000-0000-0000422B0000}"/>
    <cellStyle name="Input 93 2" xfId="11696" xr:uid="{00000000-0005-0000-0000-0000432B0000}"/>
    <cellStyle name="Input 93 2 2" xfId="11697" xr:uid="{00000000-0005-0000-0000-0000442B0000}"/>
    <cellStyle name="Input 93 2 2 2" xfId="11698" xr:uid="{00000000-0005-0000-0000-0000452B0000}"/>
    <cellStyle name="Input 93 2 3" xfId="11699" xr:uid="{00000000-0005-0000-0000-0000462B0000}"/>
    <cellStyle name="Input 93 3" xfId="11700" xr:uid="{00000000-0005-0000-0000-0000472B0000}"/>
    <cellStyle name="Input 93 3 2" xfId="11701" xr:uid="{00000000-0005-0000-0000-0000482B0000}"/>
    <cellStyle name="Input 93 4" xfId="11702" xr:uid="{00000000-0005-0000-0000-0000492B0000}"/>
    <cellStyle name="Input 94" xfId="11703" xr:uid="{00000000-0005-0000-0000-00004A2B0000}"/>
    <cellStyle name="Input 94 2" xfId="11704" xr:uid="{00000000-0005-0000-0000-00004B2B0000}"/>
    <cellStyle name="Input 94 2 2" xfId="11705" xr:uid="{00000000-0005-0000-0000-00004C2B0000}"/>
    <cellStyle name="Input 94 2 2 2" xfId="11706" xr:uid="{00000000-0005-0000-0000-00004D2B0000}"/>
    <cellStyle name="Input 94 2 3" xfId="11707" xr:uid="{00000000-0005-0000-0000-00004E2B0000}"/>
    <cellStyle name="Input 94 3" xfId="11708" xr:uid="{00000000-0005-0000-0000-00004F2B0000}"/>
    <cellStyle name="Input 94 3 2" xfId="11709" xr:uid="{00000000-0005-0000-0000-0000502B0000}"/>
    <cellStyle name="Input 94 4" xfId="11710" xr:uid="{00000000-0005-0000-0000-0000512B0000}"/>
    <cellStyle name="Input 95" xfId="11711" xr:uid="{00000000-0005-0000-0000-0000522B0000}"/>
    <cellStyle name="Input 95 2" xfId="11712" xr:uid="{00000000-0005-0000-0000-0000532B0000}"/>
    <cellStyle name="Input 95 2 2" xfId="11713" xr:uid="{00000000-0005-0000-0000-0000542B0000}"/>
    <cellStyle name="Input 95 2 2 2" xfId="11714" xr:uid="{00000000-0005-0000-0000-0000552B0000}"/>
    <cellStyle name="Input 95 2 3" xfId="11715" xr:uid="{00000000-0005-0000-0000-0000562B0000}"/>
    <cellStyle name="Input 95 3" xfId="11716" xr:uid="{00000000-0005-0000-0000-0000572B0000}"/>
    <cellStyle name="Input 95 3 2" xfId="11717" xr:uid="{00000000-0005-0000-0000-0000582B0000}"/>
    <cellStyle name="Input 95 4" xfId="11718" xr:uid="{00000000-0005-0000-0000-0000592B0000}"/>
    <cellStyle name="Input 96" xfId="11719" xr:uid="{00000000-0005-0000-0000-00005A2B0000}"/>
    <cellStyle name="Input 96 2" xfId="11720" xr:uid="{00000000-0005-0000-0000-00005B2B0000}"/>
    <cellStyle name="Input 96 2 2" xfId="11721" xr:uid="{00000000-0005-0000-0000-00005C2B0000}"/>
    <cellStyle name="Input 96 2 2 2" xfId="11722" xr:uid="{00000000-0005-0000-0000-00005D2B0000}"/>
    <cellStyle name="Input 96 2 3" xfId="11723" xr:uid="{00000000-0005-0000-0000-00005E2B0000}"/>
    <cellStyle name="Input 96 3" xfId="11724" xr:uid="{00000000-0005-0000-0000-00005F2B0000}"/>
    <cellStyle name="Input 96 3 2" xfId="11725" xr:uid="{00000000-0005-0000-0000-0000602B0000}"/>
    <cellStyle name="Input 96 4" xfId="11726" xr:uid="{00000000-0005-0000-0000-0000612B0000}"/>
    <cellStyle name="Input 97" xfId="11727" xr:uid="{00000000-0005-0000-0000-0000622B0000}"/>
    <cellStyle name="Input 97 2" xfId="11728" xr:uid="{00000000-0005-0000-0000-0000632B0000}"/>
    <cellStyle name="Input 97 2 2" xfId="11729" xr:uid="{00000000-0005-0000-0000-0000642B0000}"/>
    <cellStyle name="Input 97 2 2 2" xfId="11730" xr:uid="{00000000-0005-0000-0000-0000652B0000}"/>
    <cellStyle name="Input 97 2 3" xfId="11731" xr:uid="{00000000-0005-0000-0000-0000662B0000}"/>
    <cellStyle name="Input 97 3" xfId="11732" xr:uid="{00000000-0005-0000-0000-0000672B0000}"/>
    <cellStyle name="Input 97 3 2" xfId="11733" xr:uid="{00000000-0005-0000-0000-0000682B0000}"/>
    <cellStyle name="Input 97 4" xfId="11734" xr:uid="{00000000-0005-0000-0000-0000692B0000}"/>
    <cellStyle name="Input 98" xfId="11735" xr:uid="{00000000-0005-0000-0000-00006A2B0000}"/>
    <cellStyle name="Input 98 2" xfId="11736" xr:uid="{00000000-0005-0000-0000-00006B2B0000}"/>
    <cellStyle name="Input 98 2 2" xfId="11737" xr:uid="{00000000-0005-0000-0000-00006C2B0000}"/>
    <cellStyle name="Input 98 2 2 2" xfId="11738" xr:uid="{00000000-0005-0000-0000-00006D2B0000}"/>
    <cellStyle name="Input 98 2 3" xfId="11739" xr:uid="{00000000-0005-0000-0000-00006E2B0000}"/>
    <cellStyle name="Input 98 3" xfId="11740" xr:uid="{00000000-0005-0000-0000-00006F2B0000}"/>
    <cellStyle name="Input 98 3 2" xfId="11741" xr:uid="{00000000-0005-0000-0000-0000702B0000}"/>
    <cellStyle name="Input 98 4" xfId="11742" xr:uid="{00000000-0005-0000-0000-0000712B0000}"/>
    <cellStyle name="Input 99" xfId="11743" xr:uid="{00000000-0005-0000-0000-0000722B0000}"/>
    <cellStyle name="Input 99 2" xfId="11744" xr:uid="{00000000-0005-0000-0000-0000732B0000}"/>
    <cellStyle name="Input 99 2 2" xfId="11745" xr:uid="{00000000-0005-0000-0000-0000742B0000}"/>
    <cellStyle name="Input 99 2 2 2" xfId="11746" xr:uid="{00000000-0005-0000-0000-0000752B0000}"/>
    <cellStyle name="Input 99 2 3" xfId="11747" xr:uid="{00000000-0005-0000-0000-0000762B0000}"/>
    <cellStyle name="Input 99 3" xfId="11748" xr:uid="{00000000-0005-0000-0000-0000772B0000}"/>
    <cellStyle name="Input 99 3 2" xfId="11749" xr:uid="{00000000-0005-0000-0000-0000782B0000}"/>
    <cellStyle name="Input 99 4" xfId="11750" xr:uid="{00000000-0005-0000-0000-0000792B0000}"/>
    <cellStyle name="IntegerNoZero" xfId="11751" xr:uid="{00000000-0005-0000-0000-00007A2B0000}"/>
    <cellStyle name="Linked" xfId="11752" xr:uid="{00000000-0005-0000-0000-00007B2B0000}"/>
    <cellStyle name="Linked 2" xfId="11753" xr:uid="{00000000-0005-0000-0000-00007C2B0000}"/>
    <cellStyle name="Linked Cell 2" xfId="11754" xr:uid="{00000000-0005-0000-0000-00007D2B0000}"/>
    <cellStyle name="Linked Cell 2 10" xfId="11755" xr:uid="{00000000-0005-0000-0000-00007E2B0000}"/>
    <cellStyle name="Linked Cell 2 10 2" xfId="11756" xr:uid="{00000000-0005-0000-0000-00007F2B0000}"/>
    <cellStyle name="Linked Cell 2 11" xfId="11757" xr:uid="{00000000-0005-0000-0000-0000802B0000}"/>
    <cellStyle name="Linked Cell 2 12" xfId="11758" xr:uid="{00000000-0005-0000-0000-0000812B0000}"/>
    <cellStyle name="Linked Cell 2 2" xfId="11759" xr:uid="{00000000-0005-0000-0000-0000822B0000}"/>
    <cellStyle name="Linked Cell 2 2 2" xfId="11760" xr:uid="{00000000-0005-0000-0000-0000832B0000}"/>
    <cellStyle name="Linked Cell 2 2 2 2" xfId="11761" xr:uid="{00000000-0005-0000-0000-0000842B0000}"/>
    <cellStyle name="Linked Cell 2 2 3" xfId="11762" xr:uid="{00000000-0005-0000-0000-0000852B0000}"/>
    <cellStyle name="Linked Cell 2 2 3 2" xfId="11763" xr:uid="{00000000-0005-0000-0000-0000862B0000}"/>
    <cellStyle name="Linked Cell 2 2 3 2 2" xfId="11764" xr:uid="{00000000-0005-0000-0000-0000872B0000}"/>
    <cellStyle name="Linked Cell 2 2 3 3" xfId="11765" xr:uid="{00000000-0005-0000-0000-0000882B0000}"/>
    <cellStyle name="Linked Cell 2 2 4" xfId="11766" xr:uid="{00000000-0005-0000-0000-0000892B0000}"/>
    <cellStyle name="Linked Cell 2 3" xfId="11767" xr:uid="{00000000-0005-0000-0000-00008A2B0000}"/>
    <cellStyle name="Linked Cell 2 3 2" xfId="11768" xr:uid="{00000000-0005-0000-0000-00008B2B0000}"/>
    <cellStyle name="Linked Cell 2 3 2 2" xfId="11769" xr:uid="{00000000-0005-0000-0000-00008C2B0000}"/>
    <cellStyle name="Linked Cell 2 3 3" xfId="11770" xr:uid="{00000000-0005-0000-0000-00008D2B0000}"/>
    <cellStyle name="Linked Cell 2 3 3 2" xfId="11771" xr:uid="{00000000-0005-0000-0000-00008E2B0000}"/>
    <cellStyle name="Linked Cell 2 3 3 2 2" xfId="11772" xr:uid="{00000000-0005-0000-0000-00008F2B0000}"/>
    <cellStyle name="Linked Cell 2 3 3 3" xfId="11773" xr:uid="{00000000-0005-0000-0000-0000902B0000}"/>
    <cellStyle name="Linked Cell 2 3 4" xfId="11774" xr:uid="{00000000-0005-0000-0000-0000912B0000}"/>
    <cellStyle name="Linked Cell 2 4" xfId="11775" xr:uid="{00000000-0005-0000-0000-0000922B0000}"/>
    <cellStyle name="Linked Cell 2 4 2" xfId="11776" xr:uid="{00000000-0005-0000-0000-0000932B0000}"/>
    <cellStyle name="Linked Cell 2 4 2 2" xfId="11777" xr:uid="{00000000-0005-0000-0000-0000942B0000}"/>
    <cellStyle name="Linked Cell 2 4 3" xfId="11778" xr:uid="{00000000-0005-0000-0000-0000952B0000}"/>
    <cellStyle name="Linked Cell 2 5" xfId="11779" xr:uid="{00000000-0005-0000-0000-0000962B0000}"/>
    <cellStyle name="Linked Cell 2 5 2" xfId="11780" xr:uid="{00000000-0005-0000-0000-0000972B0000}"/>
    <cellStyle name="Linked Cell 2 5 2 2" xfId="11781" xr:uid="{00000000-0005-0000-0000-0000982B0000}"/>
    <cellStyle name="Linked Cell 2 5 3" xfId="11782" xr:uid="{00000000-0005-0000-0000-0000992B0000}"/>
    <cellStyle name="Linked Cell 2 5 3 2" xfId="11783" xr:uid="{00000000-0005-0000-0000-00009A2B0000}"/>
    <cellStyle name="Linked Cell 2 5 3 2 2" xfId="11784" xr:uid="{00000000-0005-0000-0000-00009B2B0000}"/>
    <cellStyle name="Linked Cell 2 5 3 3" xfId="11785" xr:uid="{00000000-0005-0000-0000-00009C2B0000}"/>
    <cellStyle name="Linked Cell 2 5 4" xfId="11786" xr:uid="{00000000-0005-0000-0000-00009D2B0000}"/>
    <cellStyle name="Linked Cell 2 6" xfId="11787" xr:uid="{00000000-0005-0000-0000-00009E2B0000}"/>
    <cellStyle name="Linked Cell 2 6 2" xfId="11788" xr:uid="{00000000-0005-0000-0000-00009F2B0000}"/>
    <cellStyle name="Linked Cell 2 6 2 2" xfId="11789" xr:uid="{00000000-0005-0000-0000-0000A02B0000}"/>
    <cellStyle name="Linked Cell 2 6 3" xfId="11790" xr:uid="{00000000-0005-0000-0000-0000A12B0000}"/>
    <cellStyle name="Linked Cell 2 6 3 2" xfId="11791" xr:uid="{00000000-0005-0000-0000-0000A22B0000}"/>
    <cellStyle name="Linked Cell 2 6 4" xfId="11792" xr:uid="{00000000-0005-0000-0000-0000A32B0000}"/>
    <cellStyle name="Linked Cell 2 7" xfId="11793" xr:uid="{00000000-0005-0000-0000-0000A42B0000}"/>
    <cellStyle name="Linked Cell 2 7 2" xfId="11794" xr:uid="{00000000-0005-0000-0000-0000A52B0000}"/>
    <cellStyle name="Linked Cell 2 8" xfId="11795" xr:uid="{00000000-0005-0000-0000-0000A62B0000}"/>
    <cellStyle name="Linked Cell 2 8 2" xfId="11796" xr:uid="{00000000-0005-0000-0000-0000A72B0000}"/>
    <cellStyle name="Linked Cell 2 8 2 2" xfId="11797" xr:uid="{00000000-0005-0000-0000-0000A82B0000}"/>
    <cellStyle name="Linked Cell 2 8 3" xfId="11798" xr:uid="{00000000-0005-0000-0000-0000A92B0000}"/>
    <cellStyle name="Linked Cell 2 9" xfId="11799" xr:uid="{00000000-0005-0000-0000-0000AA2B0000}"/>
    <cellStyle name="Linked Cell 2 9 2" xfId="11800" xr:uid="{00000000-0005-0000-0000-0000AB2B0000}"/>
    <cellStyle name="Linked Cell 2 9 2 2" xfId="11801" xr:uid="{00000000-0005-0000-0000-0000AC2B0000}"/>
    <cellStyle name="Linked Cell 2 9 3" xfId="11802" xr:uid="{00000000-0005-0000-0000-0000AD2B0000}"/>
    <cellStyle name="Linked Cell 3" xfId="11803" xr:uid="{00000000-0005-0000-0000-0000AE2B0000}"/>
    <cellStyle name="Linked Cell 3 2" xfId="11804" xr:uid="{00000000-0005-0000-0000-0000AF2B0000}"/>
    <cellStyle name="Linked Cell 3 2 2" xfId="11805" xr:uid="{00000000-0005-0000-0000-0000B02B0000}"/>
    <cellStyle name="Linked Cell 3 3" xfId="11806" xr:uid="{00000000-0005-0000-0000-0000B12B0000}"/>
    <cellStyle name="Linked Cell 3 3 2" xfId="11807" xr:uid="{00000000-0005-0000-0000-0000B22B0000}"/>
    <cellStyle name="Linked Cell 3 4" xfId="11808" xr:uid="{00000000-0005-0000-0000-0000B32B0000}"/>
    <cellStyle name="Linked Cell 3 4 2" xfId="11809" xr:uid="{00000000-0005-0000-0000-0000B42B0000}"/>
    <cellStyle name="Linked Cell 3 4 2 2" xfId="11810" xr:uid="{00000000-0005-0000-0000-0000B52B0000}"/>
    <cellStyle name="Linked Cell 3 4 3" xfId="11811" xr:uid="{00000000-0005-0000-0000-0000B62B0000}"/>
    <cellStyle name="Linked Cell 3 5" xfId="11812" xr:uid="{00000000-0005-0000-0000-0000B72B0000}"/>
    <cellStyle name="Linked Cell 4" xfId="11813" xr:uid="{00000000-0005-0000-0000-0000B82B0000}"/>
    <cellStyle name="Linked Cell 4 2" xfId="11814" xr:uid="{00000000-0005-0000-0000-0000B92B0000}"/>
    <cellStyle name="Linked Cell 4 2 2" xfId="11815" xr:uid="{00000000-0005-0000-0000-0000BA2B0000}"/>
    <cellStyle name="Linked Cell 4 3" xfId="11816" xr:uid="{00000000-0005-0000-0000-0000BB2B0000}"/>
    <cellStyle name="Linked Cell 4 3 2" xfId="11817" xr:uid="{00000000-0005-0000-0000-0000BC2B0000}"/>
    <cellStyle name="Linked Cell 4 3 2 2" xfId="11818" xr:uid="{00000000-0005-0000-0000-0000BD2B0000}"/>
    <cellStyle name="Linked Cell 4 3 3" xfId="11819" xr:uid="{00000000-0005-0000-0000-0000BE2B0000}"/>
    <cellStyle name="Linked Cell 4 4" xfId="11820" xr:uid="{00000000-0005-0000-0000-0000BF2B0000}"/>
    <cellStyle name="Linked Cell 5" xfId="11821" xr:uid="{00000000-0005-0000-0000-0000C02B0000}"/>
    <cellStyle name="Linked Cell 5 2" xfId="11822" xr:uid="{00000000-0005-0000-0000-0000C12B0000}"/>
    <cellStyle name="Linked Cell 5 2 2" xfId="11823" xr:uid="{00000000-0005-0000-0000-0000C22B0000}"/>
    <cellStyle name="Linked Cell 5 3" xfId="11824" xr:uid="{00000000-0005-0000-0000-0000C32B0000}"/>
    <cellStyle name="Linked Cell 5 3 2" xfId="11825" xr:uid="{00000000-0005-0000-0000-0000C42B0000}"/>
    <cellStyle name="Linked Cell 5 3 2 2" xfId="11826" xr:uid="{00000000-0005-0000-0000-0000C52B0000}"/>
    <cellStyle name="Linked Cell 5 3 3" xfId="11827" xr:uid="{00000000-0005-0000-0000-0000C62B0000}"/>
    <cellStyle name="Linked Cell 5 4" xfId="11828" xr:uid="{00000000-0005-0000-0000-0000C72B0000}"/>
    <cellStyle name="Linked Cell 6" xfId="11829" xr:uid="{00000000-0005-0000-0000-0000C82B0000}"/>
    <cellStyle name="Linked Cell 6 2" xfId="11830" xr:uid="{00000000-0005-0000-0000-0000C92B0000}"/>
    <cellStyle name="Linked Cell 6 2 2" xfId="11831" xr:uid="{00000000-0005-0000-0000-0000CA2B0000}"/>
    <cellStyle name="Linked Cell 6 3" xfId="11832" xr:uid="{00000000-0005-0000-0000-0000CB2B0000}"/>
    <cellStyle name="Linked Cell 7" xfId="11833" xr:uid="{00000000-0005-0000-0000-0000CC2B0000}"/>
    <cellStyle name="Linked Cell 7 2" xfId="11834" xr:uid="{00000000-0005-0000-0000-0000CD2B0000}"/>
    <cellStyle name="Linked Cell 8" xfId="11835" xr:uid="{00000000-0005-0000-0000-0000CE2B0000}"/>
    <cellStyle name="Linked Cell 9" xfId="11836" xr:uid="{00000000-0005-0000-0000-0000CF2B0000}"/>
    <cellStyle name="Missing" xfId="11837" xr:uid="{00000000-0005-0000-0000-0000D02B0000}"/>
    <cellStyle name="Missing 2" xfId="11838" xr:uid="{00000000-0005-0000-0000-0000D12B0000}"/>
    <cellStyle name="mmmyy" xfId="11839" xr:uid="{00000000-0005-0000-0000-0000D22B0000}"/>
    <cellStyle name="Neutral 2" xfId="11840" xr:uid="{00000000-0005-0000-0000-0000D32B0000}"/>
    <cellStyle name="Neutral 2 10" xfId="11841" xr:uid="{00000000-0005-0000-0000-0000D42B0000}"/>
    <cellStyle name="Neutral 2 10 2" xfId="11842" xr:uid="{00000000-0005-0000-0000-0000D52B0000}"/>
    <cellStyle name="Neutral 2 11" xfId="11843" xr:uid="{00000000-0005-0000-0000-0000D62B0000}"/>
    <cellStyle name="Neutral 2 12" xfId="11844" xr:uid="{00000000-0005-0000-0000-0000D72B0000}"/>
    <cellStyle name="Neutral 2 2" xfId="11845" xr:uid="{00000000-0005-0000-0000-0000D82B0000}"/>
    <cellStyle name="Neutral 2 2 2" xfId="11846" xr:uid="{00000000-0005-0000-0000-0000D92B0000}"/>
    <cellStyle name="Neutral 2 2 2 2" xfId="11847" xr:uid="{00000000-0005-0000-0000-0000DA2B0000}"/>
    <cellStyle name="Neutral 2 2 3" xfId="11848" xr:uid="{00000000-0005-0000-0000-0000DB2B0000}"/>
    <cellStyle name="Neutral 2 2 3 2" xfId="11849" xr:uid="{00000000-0005-0000-0000-0000DC2B0000}"/>
    <cellStyle name="Neutral 2 2 3 2 2" xfId="11850" xr:uid="{00000000-0005-0000-0000-0000DD2B0000}"/>
    <cellStyle name="Neutral 2 2 3 3" xfId="11851" xr:uid="{00000000-0005-0000-0000-0000DE2B0000}"/>
    <cellStyle name="Neutral 2 2 4" xfId="11852" xr:uid="{00000000-0005-0000-0000-0000DF2B0000}"/>
    <cellStyle name="Neutral 2 2 4 2" xfId="11853" xr:uid="{00000000-0005-0000-0000-0000E02B0000}"/>
    <cellStyle name="Neutral 2 2 5" xfId="11854" xr:uid="{00000000-0005-0000-0000-0000E12B0000}"/>
    <cellStyle name="Neutral 2 3" xfId="11855" xr:uid="{00000000-0005-0000-0000-0000E22B0000}"/>
    <cellStyle name="Neutral 2 3 2" xfId="11856" xr:uid="{00000000-0005-0000-0000-0000E32B0000}"/>
    <cellStyle name="Neutral 2 3 2 2" xfId="11857" xr:uid="{00000000-0005-0000-0000-0000E42B0000}"/>
    <cellStyle name="Neutral 2 3 3" xfId="11858" xr:uid="{00000000-0005-0000-0000-0000E52B0000}"/>
    <cellStyle name="Neutral 2 3 3 2" xfId="11859" xr:uid="{00000000-0005-0000-0000-0000E62B0000}"/>
    <cellStyle name="Neutral 2 3 3 2 2" xfId="11860" xr:uid="{00000000-0005-0000-0000-0000E72B0000}"/>
    <cellStyle name="Neutral 2 3 3 3" xfId="11861" xr:uid="{00000000-0005-0000-0000-0000E82B0000}"/>
    <cellStyle name="Neutral 2 3 4" xfId="11862" xr:uid="{00000000-0005-0000-0000-0000E92B0000}"/>
    <cellStyle name="Neutral 2 4" xfId="11863" xr:uid="{00000000-0005-0000-0000-0000EA2B0000}"/>
    <cellStyle name="Neutral 2 4 2" xfId="11864" xr:uid="{00000000-0005-0000-0000-0000EB2B0000}"/>
    <cellStyle name="Neutral 2 4 2 2" xfId="11865" xr:uid="{00000000-0005-0000-0000-0000EC2B0000}"/>
    <cellStyle name="Neutral 2 4 3" xfId="11866" xr:uid="{00000000-0005-0000-0000-0000ED2B0000}"/>
    <cellStyle name="Neutral 2 5" xfId="11867" xr:uid="{00000000-0005-0000-0000-0000EE2B0000}"/>
    <cellStyle name="Neutral 2 5 2" xfId="11868" xr:uid="{00000000-0005-0000-0000-0000EF2B0000}"/>
    <cellStyle name="Neutral 2 5 2 2" xfId="11869" xr:uid="{00000000-0005-0000-0000-0000F02B0000}"/>
    <cellStyle name="Neutral 2 5 3" xfId="11870" xr:uid="{00000000-0005-0000-0000-0000F12B0000}"/>
    <cellStyle name="Neutral 2 5 3 2" xfId="11871" xr:uid="{00000000-0005-0000-0000-0000F22B0000}"/>
    <cellStyle name="Neutral 2 5 3 2 2" xfId="11872" xr:uid="{00000000-0005-0000-0000-0000F32B0000}"/>
    <cellStyle name="Neutral 2 5 3 3" xfId="11873" xr:uid="{00000000-0005-0000-0000-0000F42B0000}"/>
    <cellStyle name="Neutral 2 5 4" xfId="11874" xr:uid="{00000000-0005-0000-0000-0000F52B0000}"/>
    <cellStyle name="Neutral 2 6" xfId="11875" xr:uid="{00000000-0005-0000-0000-0000F62B0000}"/>
    <cellStyle name="Neutral 2 6 2" xfId="11876" xr:uid="{00000000-0005-0000-0000-0000F72B0000}"/>
    <cellStyle name="Neutral 2 6 2 2" xfId="11877" xr:uid="{00000000-0005-0000-0000-0000F82B0000}"/>
    <cellStyle name="Neutral 2 6 3" xfId="11878" xr:uid="{00000000-0005-0000-0000-0000F92B0000}"/>
    <cellStyle name="Neutral 2 6 3 2" xfId="11879" xr:uid="{00000000-0005-0000-0000-0000FA2B0000}"/>
    <cellStyle name="Neutral 2 6 4" xfId="11880" xr:uid="{00000000-0005-0000-0000-0000FB2B0000}"/>
    <cellStyle name="Neutral 2 7" xfId="11881" xr:uid="{00000000-0005-0000-0000-0000FC2B0000}"/>
    <cellStyle name="Neutral 2 7 2" xfId="11882" xr:uid="{00000000-0005-0000-0000-0000FD2B0000}"/>
    <cellStyle name="Neutral 2 8" xfId="11883" xr:uid="{00000000-0005-0000-0000-0000FE2B0000}"/>
    <cellStyle name="Neutral 2 8 2" xfId="11884" xr:uid="{00000000-0005-0000-0000-0000FF2B0000}"/>
    <cellStyle name="Neutral 2 8 2 2" xfId="11885" xr:uid="{00000000-0005-0000-0000-0000002C0000}"/>
    <cellStyle name="Neutral 2 8 3" xfId="11886" xr:uid="{00000000-0005-0000-0000-0000012C0000}"/>
    <cellStyle name="Neutral 2 9" xfId="11887" xr:uid="{00000000-0005-0000-0000-0000022C0000}"/>
    <cellStyle name="Neutral 2 9 2" xfId="11888" xr:uid="{00000000-0005-0000-0000-0000032C0000}"/>
    <cellStyle name="Neutral 2 9 2 2" xfId="11889" xr:uid="{00000000-0005-0000-0000-0000042C0000}"/>
    <cellStyle name="Neutral 2 9 3" xfId="11890" xr:uid="{00000000-0005-0000-0000-0000052C0000}"/>
    <cellStyle name="Neutral 3" xfId="11891" xr:uid="{00000000-0005-0000-0000-0000062C0000}"/>
    <cellStyle name="Neutral 3 2" xfId="11892" xr:uid="{00000000-0005-0000-0000-0000072C0000}"/>
    <cellStyle name="Neutral 3 2 2" xfId="11893" xr:uid="{00000000-0005-0000-0000-0000082C0000}"/>
    <cellStyle name="Neutral 3 3" xfId="11894" xr:uid="{00000000-0005-0000-0000-0000092C0000}"/>
    <cellStyle name="Neutral 3 3 2" xfId="11895" xr:uid="{00000000-0005-0000-0000-00000A2C0000}"/>
    <cellStyle name="Neutral 3 4" xfId="11896" xr:uid="{00000000-0005-0000-0000-00000B2C0000}"/>
    <cellStyle name="Neutral 3 4 2" xfId="11897" xr:uid="{00000000-0005-0000-0000-00000C2C0000}"/>
    <cellStyle name="Neutral 3 4 2 2" xfId="11898" xr:uid="{00000000-0005-0000-0000-00000D2C0000}"/>
    <cellStyle name="Neutral 3 4 3" xfId="11899" xr:uid="{00000000-0005-0000-0000-00000E2C0000}"/>
    <cellStyle name="Neutral 3 5" xfId="11900" xr:uid="{00000000-0005-0000-0000-00000F2C0000}"/>
    <cellStyle name="Neutral 4" xfId="11901" xr:uid="{00000000-0005-0000-0000-0000102C0000}"/>
    <cellStyle name="Neutral 4 2" xfId="11902" xr:uid="{00000000-0005-0000-0000-0000112C0000}"/>
    <cellStyle name="Neutral 4 2 2" xfId="11903" xr:uid="{00000000-0005-0000-0000-0000122C0000}"/>
    <cellStyle name="Neutral 4 3" xfId="11904" xr:uid="{00000000-0005-0000-0000-0000132C0000}"/>
    <cellStyle name="Neutral 4 3 2" xfId="11905" xr:uid="{00000000-0005-0000-0000-0000142C0000}"/>
    <cellStyle name="Neutral 4 3 2 2" xfId="11906" xr:uid="{00000000-0005-0000-0000-0000152C0000}"/>
    <cellStyle name="Neutral 4 3 3" xfId="11907" xr:uid="{00000000-0005-0000-0000-0000162C0000}"/>
    <cellStyle name="Neutral 4 4" xfId="11908" xr:uid="{00000000-0005-0000-0000-0000172C0000}"/>
    <cellStyle name="Neutral 5" xfId="11909" xr:uid="{00000000-0005-0000-0000-0000182C0000}"/>
    <cellStyle name="Neutral 5 2" xfId="11910" xr:uid="{00000000-0005-0000-0000-0000192C0000}"/>
    <cellStyle name="Neutral 5 2 2" xfId="11911" xr:uid="{00000000-0005-0000-0000-00001A2C0000}"/>
    <cellStyle name="Neutral 5 3" xfId="11912" xr:uid="{00000000-0005-0000-0000-00001B2C0000}"/>
    <cellStyle name="Neutral 5 3 2" xfId="11913" xr:uid="{00000000-0005-0000-0000-00001C2C0000}"/>
    <cellStyle name="Neutral 5 3 2 2" xfId="11914" xr:uid="{00000000-0005-0000-0000-00001D2C0000}"/>
    <cellStyle name="Neutral 5 3 3" xfId="11915" xr:uid="{00000000-0005-0000-0000-00001E2C0000}"/>
    <cellStyle name="Neutral 5 4" xfId="11916" xr:uid="{00000000-0005-0000-0000-00001F2C0000}"/>
    <cellStyle name="Neutral 6" xfId="11917" xr:uid="{00000000-0005-0000-0000-0000202C0000}"/>
    <cellStyle name="Neutral 6 2" xfId="11918" xr:uid="{00000000-0005-0000-0000-0000212C0000}"/>
    <cellStyle name="Neutral 6 2 2" xfId="11919" xr:uid="{00000000-0005-0000-0000-0000222C0000}"/>
    <cellStyle name="Neutral 6 3" xfId="11920" xr:uid="{00000000-0005-0000-0000-0000232C0000}"/>
    <cellStyle name="Neutral 7" xfId="11921" xr:uid="{00000000-0005-0000-0000-0000242C0000}"/>
    <cellStyle name="Neutral 7 2" xfId="11922" xr:uid="{00000000-0005-0000-0000-0000252C0000}"/>
    <cellStyle name="Neutral 8" xfId="11923" xr:uid="{00000000-0005-0000-0000-0000262C0000}"/>
    <cellStyle name="Neutral 9" xfId="11924" xr:uid="{00000000-0005-0000-0000-0000272C0000}"/>
    <cellStyle name="no dec" xfId="11925" xr:uid="{00000000-0005-0000-0000-0000282C0000}"/>
    <cellStyle name="Normal" xfId="0" builtinId="0"/>
    <cellStyle name="Normal - Style1" xfId="11926" xr:uid="{00000000-0005-0000-0000-00002A2C0000}"/>
    <cellStyle name="Normal - Style1 2" xfId="11927" xr:uid="{00000000-0005-0000-0000-00002B2C0000}"/>
    <cellStyle name="Normal - Style1 2 2" xfId="11928" xr:uid="{00000000-0005-0000-0000-00002C2C0000}"/>
    <cellStyle name="Normal 10" xfId="125" xr:uid="{00000000-0005-0000-0000-00002D2C0000}"/>
    <cellStyle name="Normal 10 2" xfId="11929" xr:uid="{00000000-0005-0000-0000-00002E2C0000}"/>
    <cellStyle name="Normal 10 2 2" xfId="11930" xr:uid="{00000000-0005-0000-0000-00002F2C0000}"/>
    <cellStyle name="Normal 10 2 2 2" xfId="11931" xr:uid="{00000000-0005-0000-0000-0000302C0000}"/>
    <cellStyle name="Normal 10 2 3" xfId="11932" xr:uid="{00000000-0005-0000-0000-0000312C0000}"/>
    <cellStyle name="Normal 10 2 3 2" xfId="11933" xr:uid="{00000000-0005-0000-0000-0000322C0000}"/>
    <cellStyle name="Normal 10 2 3 2 2" xfId="11934" xr:uid="{00000000-0005-0000-0000-0000332C0000}"/>
    <cellStyle name="Normal 10 2 3 3" xfId="11935" xr:uid="{00000000-0005-0000-0000-0000342C0000}"/>
    <cellStyle name="Normal 10 2 4" xfId="11936" xr:uid="{00000000-0005-0000-0000-0000352C0000}"/>
    <cellStyle name="Normal 10 3" xfId="11937" xr:uid="{00000000-0005-0000-0000-0000362C0000}"/>
    <cellStyle name="Normal 10 3 2" xfId="11938" xr:uid="{00000000-0005-0000-0000-0000372C0000}"/>
    <cellStyle name="Normal 10 3 2 2" xfId="11939" xr:uid="{00000000-0005-0000-0000-0000382C0000}"/>
    <cellStyle name="Normal 10 3 2 2 2" xfId="11940" xr:uid="{00000000-0005-0000-0000-0000392C0000}"/>
    <cellStyle name="Normal 10 3 2 3" xfId="11941" xr:uid="{00000000-0005-0000-0000-00003A2C0000}"/>
    <cellStyle name="Normal 10 3 3" xfId="11942" xr:uid="{00000000-0005-0000-0000-00003B2C0000}"/>
    <cellStyle name="Normal 10 3 3 2" xfId="11943" xr:uid="{00000000-0005-0000-0000-00003C2C0000}"/>
    <cellStyle name="Normal 10 3 3 2 2" xfId="11944" xr:uid="{00000000-0005-0000-0000-00003D2C0000}"/>
    <cellStyle name="Normal 10 3 3 3" xfId="11945" xr:uid="{00000000-0005-0000-0000-00003E2C0000}"/>
    <cellStyle name="Normal 10 3 4" xfId="11946" xr:uid="{00000000-0005-0000-0000-00003F2C0000}"/>
    <cellStyle name="Normal 10 4" xfId="11947" xr:uid="{00000000-0005-0000-0000-0000402C0000}"/>
    <cellStyle name="Normal 10 4 2" xfId="11948" xr:uid="{00000000-0005-0000-0000-0000412C0000}"/>
    <cellStyle name="Normal 10 5" xfId="11949" xr:uid="{00000000-0005-0000-0000-0000422C0000}"/>
    <cellStyle name="Normal 10 5 2" xfId="11950" xr:uid="{00000000-0005-0000-0000-0000432C0000}"/>
    <cellStyle name="Normal 10 5 2 2" xfId="11951" xr:uid="{00000000-0005-0000-0000-0000442C0000}"/>
    <cellStyle name="Normal 10 5 3" xfId="11952" xr:uid="{00000000-0005-0000-0000-0000452C0000}"/>
    <cellStyle name="Normal 10 6" xfId="135" xr:uid="{00000000-0005-0000-0000-0000462C0000}"/>
    <cellStyle name="Normal 10 6 2" xfId="11953" xr:uid="{00000000-0005-0000-0000-0000472C0000}"/>
    <cellStyle name="Normal 10 6 2 2" xfId="11954" xr:uid="{00000000-0005-0000-0000-0000482C0000}"/>
    <cellStyle name="Normal 10 6 3" xfId="11955" xr:uid="{00000000-0005-0000-0000-0000492C0000}"/>
    <cellStyle name="Normal 10 7" xfId="11956" xr:uid="{00000000-0005-0000-0000-00004A2C0000}"/>
    <cellStyle name="Normal 10 7 2" xfId="11957" xr:uid="{00000000-0005-0000-0000-00004B2C0000}"/>
    <cellStyle name="Normal 10 7 2 2" xfId="11958" xr:uid="{00000000-0005-0000-0000-00004C2C0000}"/>
    <cellStyle name="Normal 10 7 3" xfId="11959" xr:uid="{00000000-0005-0000-0000-00004D2C0000}"/>
    <cellStyle name="Normal 10 8" xfId="11960" xr:uid="{00000000-0005-0000-0000-00004E2C0000}"/>
    <cellStyle name="Normal 10 9" xfId="670" xr:uid="{00000000-0005-0000-0000-00004F2C0000}"/>
    <cellStyle name="Normal 100" xfId="11961" xr:uid="{00000000-0005-0000-0000-0000502C0000}"/>
    <cellStyle name="Normal 100 2" xfId="11962" xr:uid="{00000000-0005-0000-0000-0000512C0000}"/>
    <cellStyle name="Normal 100 2 2" xfId="11963" xr:uid="{00000000-0005-0000-0000-0000522C0000}"/>
    <cellStyle name="Normal 100 2 2 2" xfId="11964" xr:uid="{00000000-0005-0000-0000-0000532C0000}"/>
    <cellStyle name="Normal 100 2 3" xfId="11965" xr:uid="{00000000-0005-0000-0000-0000542C0000}"/>
    <cellStyle name="Normal 100 3" xfId="11966" xr:uid="{00000000-0005-0000-0000-0000552C0000}"/>
    <cellStyle name="Normal 100 3 2" xfId="11967" xr:uid="{00000000-0005-0000-0000-0000562C0000}"/>
    <cellStyle name="Normal 100 3 2 2" xfId="11968" xr:uid="{00000000-0005-0000-0000-0000572C0000}"/>
    <cellStyle name="Normal 100 3 3" xfId="11969" xr:uid="{00000000-0005-0000-0000-0000582C0000}"/>
    <cellStyle name="Normal 100 3 3 2" xfId="11970" xr:uid="{00000000-0005-0000-0000-0000592C0000}"/>
    <cellStyle name="Normal 100 3 3 2 2" xfId="11971" xr:uid="{00000000-0005-0000-0000-00005A2C0000}"/>
    <cellStyle name="Normal 100 3 3 3" xfId="11972" xr:uid="{00000000-0005-0000-0000-00005B2C0000}"/>
    <cellStyle name="Normal 100 3 4" xfId="11973" xr:uid="{00000000-0005-0000-0000-00005C2C0000}"/>
    <cellStyle name="Normal 100 4" xfId="11974" xr:uid="{00000000-0005-0000-0000-00005D2C0000}"/>
    <cellStyle name="Normal 100 4 2" xfId="11975" xr:uid="{00000000-0005-0000-0000-00005E2C0000}"/>
    <cellStyle name="Normal 100 4 2 2" xfId="11976" xr:uid="{00000000-0005-0000-0000-00005F2C0000}"/>
    <cellStyle name="Normal 100 4 3" xfId="11977" xr:uid="{00000000-0005-0000-0000-0000602C0000}"/>
    <cellStyle name="Normal 100 5" xfId="11978" xr:uid="{00000000-0005-0000-0000-0000612C0000}"/>
    <cellStyle name="Normal 101" xfId="11979" xr:uid="{00000000-0005-0000-0000-0000622C0000}"/>
    <cellStyle name="Normal 101 2" xfId="11980" xr:uid="{00000000-0005-0000-0000-0000632C0000}"/>
    <cellStyle name="Normal 101 2 2" xfId="11981" xr:uid="{00000000-0005-0000-0000-0000642C0000}"/>
    <cellStyle name="Normal 101 2 2 2" xfId="11982" xr:uid="{00000000-0005-0000-0000-0000652C0000}"/>
    <cellStyle name="Normal 101 2 3" xfId="11983" xr:uid="{00000000-0005-0000-0000-0000662C0000}"/>
    <cellStyle name="Normal 101 3" xfId="11984" xr:uid="{00000000-0005-0000-0000-0000672C0000}"/>
    <cellStyle name="Normal 101 3 2" xfId="11985" xr:uid="{00000000-0005-0000-0000-0000682C0000}"/>
    <cellStyle name="Normal 101 3 2 2" xfId="11986" xr:uid="{00000000-0005-0000-0000-0000692C0000}"/>
    <cellStyle name="Normal 101 3 3" xfId="11987" xr:uid="{00000000-0005-0000-0000-00006A2C0000}"/>
    <cellStyle name="Normal 101 3 3 2" xfId="11988" xr:uid="{00000000-0005-0000-0000-00006B2C0000}"/>
    <cellStyle name="Normal 101 3 3 2 2" xfId="11989" xr:uid="{00000000-0005-0000-0000-00006C2C0000}"/>
    <cellStyle name="Normal 101 3 3 3" xfId="11990" xr:uid="{00000000-0005-0000-0000-00006D2C0000}"/>
    <cellStyle name="Normal 101 3 4" xfId="11991" xr:uid="{00000000-0005-0000-0000-00006E2C0000}"/>
    <cellStyle name="Normal 101 4" xfId="11992" xr:uid="{00000000-0005-0000-0000-00006F2C0000}"/>
    <cellStyle name="Normal 101 4 2" xfId="11993" xr:uid="{00000000-0005-0000-0000-0000702C0000}"/>
    <cellStyle name="Normal 101 4 2 2" xfId="11994" xr:uid="{00000000-0005-0000-0000-0000712C0000}"/>
    <cellStyle name="Normal 101 4 3" xfId="11995" xr:uid="{00000000-0005-0000-0000-0000722C0000}"/>
    <cellStyle name="Normal 101 5" xfId="11996" xr:uid="{00000000-0005-0000-0000-0000732C0000}"/>
    <cellStyle name="Normal 102" xfId="11997" xr:uid="{00000000-0005-0000-0000-0000742C0000}"/>
    <cellStyle name="Normal 102 2" xfId="11998" xr:uid="{00000000-0005-0000-0000-0000752C0000}"/>
    <cellStyle name="Normal 102 2 2" xfId="11999" xr:uid="{00000000-0005-0000-0000-0000762C0000}"/>
    <cellStyle name="Normal 102 2 2 2" xfId="12000" xr:uid="{00000000-0005-0000-0000-0000772C0000}"/>
    <cellStyle name="Normal 102 2 3" xfId="12001" xr:uid="{00000000-0005-0000-0000-0000782C0000}"/>
    <cellStyle name="Normal 102 3" xfId="12002" xr:uid="{00000000-0005-0000-0000-0000792C0000}"/>
    <cellStyle name="Normal 102 3 2" xfId="12003" xr:uid="{00000000-0005-0000-0000-00007A2C0000}"/>
    <cellStyle name="Normal 102 3 2 2" xfId="12004" xr:uid="{00000000-0005-0000-0000-00007B2C0000}"/>
    <cellStyle name="Normal 102 3 3" xfId="12005" xr:uid="{00000000-0005-0000-0000-00007C2C0000}"/>
    <cellStyle name="Normal 102 3 3 2" xfId="12006" xr:uid="{00000000-0005-0000-0000-00007D2C0000}"/>
    <cellStyle name="Normal 102 3 3 2 2" xfId="12007" xr:uid="{00000000-0005-0000-0000-00007E2C0000}"/>
    <cellStyle name="Normal 102 3 3 3" xfId="12008" xr:uid="{00000000-0005-0000-0000-00007F2C0000}"/>
    <cellStyle name="Normal 102 3 4" xfId="12009" xr:uid="{00000000-0005-0000-0000-0000802C0000}"/>
    <cellStyle name="Normal 102 4" xfId="12010" xr:uid="{00000000-0005-0000-0000-0000812C0000}"/>
    <cellStyle name="Normal 102 4 2" xfId="12011" xr:uid="{00000000-0005-0000-0000-0000822C0000}"/>
    <cellStyle name="Normal 102 4 2 2" xfId="12012" xr:uid="{00000000-0005-0000-0000-0000832C0000}"/>
    <cellStyle name="Normal 102 4 3" xfId="12013" xr:uid="{00000000-0005-0000-0000-0000842C0000}"/>
    <cellStyle name="Normal 102 5" xfId="12014" xr:uid="{00000000-0005-0000-0000-0000852C0000}"/>
    <cellStyle name="Normal 103" xfId="12015" xr:uid="{00000000-0005-0000-0000-0000862C0000}"/>
    <cellStyle name="Normal 103 2" xfId="12016" xr:uid="{00000000-0005-0000-0000-0000872C0000}"/>
    <cellStyle name="Normal 103 2 2" xfId="12017" xr:uid="{00000000-0005-0000-0000-0000882C0000}"/>
    <cellStyle name="Normal 103 2 2 2" xfId="12018" xr:uid="{00000000-0005-0000-0000-0000892C0000}"/>
    <cellStyle name="Normal 103 2 3" xfId="12019" xr:uid="{00000000-0005-0000-0000-00008A2C0000}"/>
    <cellStyle name="Normal 103 3" xfId="12020" xr:uid="{00000000-0005-0000-0000-00008B2C0000}"/>
    <cellStyle name="Normal 103 3 2" xfId="12021" xr:uid="{00000000-0005-0000-0000-00008C2C0000}"/>
    <cellStyle name="Normal 103 3 2 2" xfId="12022" xr:uid="{00000000-0005-0000-0000-00008D2C0000}"/>
    <cellStyle name="Normal 103 3 3" xfId="12023" xr:uid="{00000000-0005-0000-0000-00008E2C0000}"/>
    <cellStyle name="Normal 103 3 3 2" xfId="12024" xr:uid="{00000000-0005-0000-0000-00008F2C0000}"/>
    <cellStyle name="Normal 103 3 3 2 2" xfId="12025" xr:uid="{00000000-0005-0000-0000-0000902C0000}"/>
    <cellStyle name="Normal 103 3 3 3" xfId="12026" xr:uid="{00000000-0005-0000-0000-0000912C0000}"/>
    <cellStyle name="Normal 103 3 4" xfId="12027" xr:uid="{00000000-0005-0000-0000-0000922C0000}"/>
    <cellStyle name="Normal 103 4" xfId="12028" xr:uid="{00000000-0005-0000-0000-0000932C0000}"/>
    <cellStyle name="Normal 103 4 2" xfId="12029" xr:uid="{00000000-0005-0000-0000-0000942C0000}"/>
    <cellStyle name="Normal 103 4 2 2" xfId="12030" xr:uid="{00000000-0005-0000-0000-0000952C0000}"/>
    <cellStyle name="Normal 103 4 3" xfId="12031" xr:uid="{00000000-0005-0000-0000-0000962C0000}"/>
    <cellStyle name="Normal 103 5" xfId="12032" xr:uid="{00000000-0005-0000-0000-0000972C0000}"/>
    <cellStyle name="Normal 104" xfId="12033" xr:uid="{00000000-0005-0000-0000-0000982C0000}"/>
    <cellStyle name="Normal 104 2" xfId="12034" xr:uid="{00000000-0005-0000-0000-0000992C0000}"/>
    <cellStyle name="Normal 104 2 2" xfId="12035" xr:uid="{00000000-0005-0000-0000-00009A2C0000}"/>
    <cellStyle name="Normal 104 2 2 2" xfId="12036" xr:uid="{00000000-0005-0000-0000-00009B2C0000}"/>
    <cellStyle name="Normal 104 2 3" xfId="12037" xr:uid="{00000000-0005-0000-0000-00009C2C0000}"/>
    <cellStyle name="Normal 104 3" xfId="12038" xr:uid="{00000000-0005-0000-0000-00009D2C0000}"/>
    <cellStyle name="Normal 104 3 2" xfId="12039" xr:uid="{00000000-0005-0000-0000-00009E2C0000}"/>
    <cellStyle name="Normal 104 3 2 2" xfId="12040" xr:uid="{00000000-0005-0000-0000-00009F2C0000}"/>
    <cellStyle name="Normal 104 3 3" xfId="12041" xr:uid="{00000000-0005-0000-0000-0000A02C0000}"/>
    <cellStyle name="Normal 104 3 3 2" xfId="12042" xr:uid="{00000000-0005-0000-0000-0000A12C0000}"/>
    <cellStyle name="Normal 104 3 3 2 2" xfId="12043" xr:uid="{00000000-0005-0000-0000-0000A22C0000}"/>
    <cellStyle name="Normal 104 3 3 3" xfId="12044" xr:uid="{00000000-0005-0000-0000-0000A32C0000}"/>
    <cellStyle name="Normal 104 3 4" xfId="12045" xr:uid="{00000000-0005-0000-0000-0000A42C0000}"/>
    <cellStyle name="Normal 104 4" xfId="12046" xr:uid="{00000000-0005-0000-0000-0000A52C0000}"/>
    <cellStyle name="Normal 104 4 2" xfId="12047" xr:uid="{00000000-0005-0000-0000-0000A62C0000}"/>
    <cellStyle name="Normal 104 4 2 2" xfId="12048" xr:uid="{00000000-0005-0000-0000-0000A72C0000}"/>
    <cellStyle name="Normal 104 4 3" xfId="12049" xr:uid="{00000000-0005-0000-0000-0000A82C0000}"/>
    <cellStyle name="Normal 104 5" xfId="12050" xr:uid="{00000000-0005-0000-0000-0000A92C0000}"/>
    <cellStyle name="Normal 105" xfId="12051" xr:uid="{00000000-0005-0000-0000-0000AA2C0000}"/>
    <cellStyle name="Normal 105 2" xfId="12052" xr:uid="{00000000-0005-0000-0000-0000AB2C0000}"/>
    <cellStyle name="Normal 105 2 2" xfId="12053" xr:uid="{00000000-0005-0000-0000-0000AC2C0000}"/>
    <cellStyle name="Normal 105 2 2 2" xfId="12054" xr:uid="{00000000-0005-0000-0000-0000AD2C0000}"/>
    <cellStyle name="Normal 105 2 3" xfId="12055" xr:uid="{00000000-0005-0000-0000-0000AE2C0000}"/>
    <cellStyle name="Normal 105 3" xfId="12056" xr:uid="{00000000-0005-0000-0000-0000AF2C0000}"/>
    <cellStyle name="Normal 105 3 2" xfId="12057" xr:uid="{00000000-0005-0000-0000-0000B02C0000}"/>
    <cellStyle name="Normal 105 3 2 2" xfId="12058" xr:uid="{00000000-0005-0000-0000-0000B12C0000}"/>
    <cellStyle name="Normal 105 3 3" xfId="12059" xr:uid="{00000000-0005-0000-0000-0000B22C0000}"/>
    <cellStyle name="Normal 105 3 3 2" xfId="12060" xr:uid="{00000000-0005-0000-0000-0000B32C0000}"/>
    <cellStyle name="Normal 105 3 3 2 2" xfId="12061" xr:uid="{00000000-0005-0000-0000-0000B42C0000}"/>
    <cellStyle name="Normal 105 3 3 3" xfId="12062" xr:uid="{00000000-0005-0000-0000-0000B52C0000}"/>
    <cellStyle name="Normal 105 3 4" xfId="12063" xr:uid="{00000000-0005-0000-0000-0000B62C0000}"/>
    <cellStyle name="Normal 105 4" xfId="12064" xr:uid="{00000000-0005-0000-0000-0000B72C0000}"/>
    <cellStyle name="Normal 105 4 2" xfId="12065" xr:uid="{00000000-0005-0000-0000-0000B82C0000}"/>
    <cellStyle name="Normal 105 4 2 2" xfId="12066" xr:uid="{00000000-0005-0000-0000-0000B92C0000}"/>
    <cellStyle name="Normal 105 4 3" xfId="12067" xr:uid="{00000000-0005-0000-0000-0000BA2C0000}"/>
    <cellStyle name="Normal 105 5" xfId="12068" xr:uid="{00000000-0005-0000-0000-0000BB2C0000}"/>
    <cellStyle name="Normal 106" xfId="12069" xr:uid="{00000000-0005-0000-0000-0000BC2C0000}"/>
    <cellStyle name="Normal 106 2" xfId="12070" xr:uid="{00000000-0005-0000-0000-0000BD2C0000}"/>
    <cellStyle name="Normal 106 2 2" xfId="12071" xr:uid="{00000000-0005-0000-0000-0000BE2C0000}"/>
    <cellStyle name="Normal 106 2 2 2" xfId="12072" xr:uid="{00000000-0005-0000-0000-0000BF2C0000}"/>
    <cellStyle name="Normal 106 2 3" xfId="12073" xr:uid="{00000000-0005-0000-0000-0000C02C0000}"/>
    <cellStyle name="Normal 106 3" xfId="12074" xr:uid="{00000000-0005-0000-0000-0000C12C0000}"/>
    <cellStyle name="Normal 106 3 2" xfId="12075" xr:uid="{00000000-0005-0000-0000-0000C22C0000}"/>
    <cellStyle name="Normal 106 3 2 2" xfId="12076" xr:uid="{00000000-0005-0000-0000-0000C32C0000}"/>
    <cellStyle name="Normal 106 3 3" xfId="12077" xr:uid="{00000000-0005-0000-0000-0000C42C0000}"/>
    <cellStyle name="Normal 106 3 3 2" xfId="12078" xr:uid="{00000000-0005-0000-0000-0000C52C0000}"/>
    <cellStyle name="Normal 106 3 3 2 2" xfId="12079" xr:uid="{00000000-0005-0000-0000-0000C62C0000}"/>
    <cellStyle name="Normal 106 3 3 3" xfId="12080" xr:uid="{00000000-0005-0000-0000-0000C72C0000}"/>
    <cellStyle name="Normal 106 3 4" xfId="12081" xr:uid="{00000000-0005-0000-0000-0000C82C0000}"/>
    <cellStyle name="Normal 106 4" xfId="12082" xr:uid="{00000000-0005-0000-0000-0000C92C0000}"/>
    <cellStyle name="Normal 106 4 2" xfId="12083" xr:uid="{00000000-0005-0000-0000-0000CA2C0000}"/>
    <cellStyle name="Normal 106 4 2 2" xfId="12084" xr:uid="{00000000-0005-0000-0000-0000CB2C0000}"/>
    <cellStyle name="Normal 106 4 3" xfId="12085" xr:uid="{00000000-0005-0000-0000-0000CC2C0000}"/>
    <cellStyle name="Normal 106 5" xfId="12086" xr:uid="{00000000-0005-0000-0000-0000CD2C0000}"/>
    <cellStyle name="Normal 107" xfId="12087" xr:uid="{00000000-0005-0000-0000-0000CE2C0000}"/>
    <cellStyle name="Normal 107 2" xfId="12088" xr:uid="{00000000-0005-0000-0000-0000CF2C0000}"/>
    <cellStyle name="Normal 107 2 2" xfId="12089" xr:uid="{00000000-0005-0000-0000-0000D02C0000}"/>
    <cellStyle name="Normal 107 2 2 2" xfId="12090" xr:uid="{00000000-0005-0000-0000-0000D12C0000}"/>
    <cellStyle name="Normal 107 2 3" xfId="12091" xr:uid="{00000000-0005-0000-0000-0000D22C0000}"/>
    <cellStyle name="Normal 107 3" xfId="12092" xr:uid="{00000000-0005-0000-0000-0000D32C0000}"/>
    <cellStyle name="Normal 107 3 2" xfId="12093" xr:uid="{00000000-0005-0000-0000-0000D42C0000}"/>
    <cellStyle name="Normal 107 3 2 2" xfId="12094" xr:uid="{00000000-0005-0000-0000-0000D52C0000}"/>
    <cellStyle name="Normal 107 3 3" xfId="12095" xr:uid="{00000000-0005-0000-0000-0000D62C0000}"/>
    <cellStyle name="Normal 107 3 3 2" xfId="12096" xr:uid="{00000000-0005-0000-0000-0000D72C0000}"/>
    <cellStyle name="Normal 107 3 3 2 2" xfId="12097" xr:uid="{00000000-0005-0000-0000-0000D82C0000}"/>
    <cellStyle name="Normal 107 3 3 3" xfId="12098" xr:uid="{00000000-0005-0000-0000-0000D92C0000}"/>
    <cellStyle name="Normal 107 3 4" xfId="12099" xr:uid="{00000000-0005-0000-0000-0000DA2C0000}"/>
    <cellStyle name="Normal 107 4" xfId="12100" xr:uid="{00000000-0005-0000-0000-0000DB2C0000}"/>
    <cellStyle name="Normal 107 4 2" xfId="12101" xr:uid="{00000000-0005-0000-0000-0000DC2C0000}"/>
    <cellStyle name="Normal 107 4 2 2" xfId="12102" xr:uid="{00000000-0005-0000-0000-0000DD2C0000}"/>
    <cellStyle name="Normal 107 4 3" xfId="12103" xr:uid="{00000000-0005-0000-0000-0000DE2C0000}"/>
    <cellStyle name="Normal 107 5" xfId="12104" xr:uid="{00000000-0005-0000-0000-0000DF2C0000}"/>
    <cellStyle name="Normal 108" xfId="12105" xr:uid="{00000000-0005-0000-0000-0000E02C0000}"/>
    <cellStyle name="Normal 108 2" xfId="12106" xr:uid="{00000000-0005-0000-0000-0000E12C0000}"/>
    <cellStyle name="Normal 108 2 2" xfId="12107" xr:uid="{00000000-0005-0000-0000-0000E22C0000}"/>
    <cellStyle name="Normal 108 2 2 2" xfId="12108" xr:uid="{00000000-0005-0000-0000-0000E32C0000}"/>
    <cellStyle name="Normal 108 2 3" xfId="12109" xr:uid="{00000000-0005-0000-0000-0000E42C0000}"/>
    <cellStyle name="Normal 108 3" xfId="12110" xr:uid="{00000000-0005-0000-0000-0000E52C0000}"/>
    <cellStyle name="Normal 108 3 2" xfId="12111" xr:uid="{00000000-0005-0000-0000-0000E62C0000}"/>
    <cellStyle name="Normal 108 3 2 2" xfId="12112" xr:uid="{00000000-0005-0000-0000-0000E72C0000}"/>
    <cellStyle name="Normal 108 3 3" xfId="12113" xr:uid="{00000000-0005-0000-0000-0000E82C0000}"/>
    <cellStyle name="Normal 108 3 3 2" xfId="12114" xr:uid="{00000000-0005-0000-0000-0000E92C0000}"/>
    <cellStyle name="Normal 108 3 3 2 2" xfId="12115" xr:uid="{00000000-0005-0000-0000-0000EA2C0000}"/>
    <cellStyle name="Normal 108 3 3 3" xfId="12116" xr:uid="{00000000-0005-0000-0000-0000EB2C0000}"/>
    <cellStyle name="Normal 108 3 4" xfId="12117" xr:uid="{00000000-0005-0000-0000-0000EC2C0000}"/>
    <cellStyle name="Normal 108 4" xfId="12118" xr:uid="{00000000-0005-0000-0000-0000ED2C0000}"/>
    <cellStyle name="Normal 108 4 2" xfId="12119" xr:uid="{00000000-0005-0000-0000-0000EE2C0000}"/>
    <cellStyle name="Normal 108 4 2 2" xfId="12120" xr:uid="{00000000-0005-0000-0000-0000EF2C0000}"/>
    <cellStyle name="Normal 108 4 3" xfId="12121" xr:uid="{00000000-0005-0000-0000-0000F02C0000}"/>
    <cellStyle name="Normal 108 5" xfId="12122" xr:uid="{00000000-0005-0000-0000-0000F12C0000}"/>
    <cellStyle name="Normal 109" xfId="12123" xr:uid="{00000000-0005-0000-0000-0000F22C0000}"/>
    <cellStyle name="Normal 109 2" xfId="12124" xr:uid="{00000000-0005-0000-0000-0000F32C0000}"/>
    <cellStyle name="Normal 109 2 2" xfId="12125" xr:uid="{00000000-0005-0000-0000-0000F42C0000}"/>
    <cellStyle name="Normal 109 2 2 2" xfId="12126" xr:uid="{00000000-0005-0000-0000-0000F52C0000}"/>
    <cellStyle name="Normal 109 2 3" xfId="12127" xr:uid="{00000000-0005-0000-0000-0000F62C0000}"/>
    <cellStyle name="Normal 109 3" xfId="12128" xr:uid="{00000000-0005-0000-0000-0000F72C0000}"/>
    <cellStyle name="Normal 109 3 2" xfId="12129" xr:uid="{00000000-0005-0000-0000-0000F82C0000}"/>
    <cellStyle name="Normal 109 3 2 2" xfId="12130" xr:uid="{00000000-0005-0000-0000-0000F92C0000}"/>
    <cellStyle name="Normal 109 3 3" xfId="12131" xr:uid="{00000000-0005-0000-0000-0000FA2C0000}"/>
    <cellStyle name="Normal 109 3 3 2" xfId="12132" xr:uid="{00000000-0005-0000-0000-0000FB2C0000}"/>
    <cellStyle name="Normal 109 3 3 2 2" xfId="12133" xr:uid="{00000000-0005-0000-0000-0000FC2C0000}"/>
    <cellStyle name="Normal 109 3 3 3" xfId="12134" xr:uid="{00000000-0005-0000-0000-0000FD2C0000}"/>
    <cellStyle name="Normal 109 3 4" xfId="12135" xr:uid="{00000000-0005-0000-0000-0000FE2C0000}"/>
    <cellStyle name="Normal 109 4" xfId="12136" xr:uid="{00000000-0005-0000-0000-0000FF2C0000}"/>
    <cellStyle name="Normal 109 4 2" xfId="12137" xr:uid="{00000000-0005-0000-0000-0000002D0000}"/>
    <cellStyle name="Normal 109 4 2 2" xfId="12138" xr:uid="{00000000-0005-0000-0000-0000012D0000}"/>
    <cellStyle name="Normal 109 4 3" xfId="12139" xr:uid="{00000000-0005-0000-0000-0000022D0000}"/>
    <cellStyle name="Normal 109 5" xfId="12140" xr:uid="{00000000-0005-0000-0000-0000032D0000}"/>
    <cellStyle name="Normal 11" xfId="244" xr:uid="{00000000-0005-0000-0000-0000042D0000}"/>
    <cellStyle name="Normal 11 2" xfId="253" xr:uid="{00000000-0005-0000-0000-0000052D0000}"/>
    <cellStyle name="Normal 11 2 2" xfId="12143" xr:uid="{00000000-0005-0000-0000-0000062D0000}"/>
    <cellStyle name="Normal 11 2 2 2" xfId="12144" xr:uid="{00000000-0005-0000-0000-0000072D0000}"/>
    <cellStyle name="Normal 11 2 3" xfId="12145" xr:uid="{00000000-0005-0000-0000-0000082D0000}"/>
    <cellStyle name="Normal 11 2 3 2" xfId="12146" xr:uid="{00000000-0005-0000-0000-0000092D0000}"/>
    <cellStyle name="Normal 11 2 3 2 2" xfId="12147" xr:uid="{00000000-0005-0000-0000-00000A2D0000}"/>
    <cellStyle name="Normal 11 2 3 3" xfId="12148" xr:uid="{00000000-0005-0000-0000-00000B2D0000}"/>
    <cellStyle name="Normal 11 2 4" xfId="12149" xr:uid="{00000000-0005-0000-0000-00000C2D0000}"/>
    <cellStyle name="Normal 11 2 5" xfId="12142" xr:uid="{00000000-0005-0000-0000-00000D2D0000}"/>
    <cellStyle name="Normal 11 3" xfId="12150" xr:uid="{00000000-0005-0000-0000-00000E2D0000}"/>
    <cellStyle name="Normal 11 3 2" xfId="12151" xr:uid="{00000000-0005-0000-0000-00000F2D0000}"/>
    <cellStyle name="Normal 11 3 2 2" xfId="12152" xr:uid="{00000000-0005-0000-0000-0000102D0000}"/>
    <cellStyle name="Normal 11 3 2 2 2" xfId="12153" xr:uid="{00000000-0005-0000-0000-0000112D0000}"/>
    <cellStyle name="Normal 11 3 2 3" xfId="12154" xr:uid="{00000000-0005-0000-0000-0000122D0000}"/>
    <cellStyle name="Normal 11 3 3" xfId="12155" xr:uid="{00000000-0005-0000-0000-0000132D0000}"/>
    <cellStyle name="Normal 11 3 3 2" xfId="12156" xr:uid="{00000000-0005-0000-0000-0000142D0000}"/>
    <cellStyle name="Normal 11 3 3 2 2" xfId="12157" xr:uid="{00000000-0005-0000-0000-0000152D0000}"/>
    <cellStyle name="Normal 11 3 3 3" xfId="12158" xr:uid="{00000000-0005-0000-0000-0000162D0000}"/>
    <cellStyle name="Normal 11 3 4" xfId="12159" xr:uid="{00000000-0005-0000-0000-0000172D0000}"/>
    <cellStyle name="Normal 11 4" xfId="12160" xr:uid="{00000000-0005-0000-0000-0000182D0000}"/>
    <cellStyle name="Normal 11 4 2" xfId="12161" xr:uid="{00000000-0005-0000-0000-0000192D0000}"/>
    <cellStyle name="Normal 11 5" xfId="12162" xr:uid="{00000000-0005-0000-0000-00001A2D0000}"/>
    <cellStyle name="Normal 11 5 2" xfId="12163" xr:uid="{00000000-0005-0000-0000-00001B2D0000}"/>
    <cellStyle name="Normal 11 5 2 2" xfId="12164" xr:uid="{00000000-0005-0000-0000-00001C2D0000}"/>
    <cellStyle name="Normal 11 5 3" xfId="12165" xr:uid="{00000000-0005-0000-0000-00001D2D0000}"/>
    <cellStyle name="Normal 11 6" xfId="12166" xr:uid="{00000000-0005-0000-0000-00001E2D0000}"/>
    <cellStyle name="Normal 11 6 2" xfId="12167" xr:uid="{00000000-0005-0000-0000-00001F2D0000}"/>
    <cellStyle name="Normal 11 6 2 2" xfId="12168" xr:uid="{00000000-0005-0000-0000-0000202D0000}"/>
    <cellStyle name="Normal 11 6 3" xfId="12169" xr:uid="{00000000-0005-0000-0000-0000212D0000}"/>
    <cellStyle name="Normal 11 7" xfId="12170" xr:uid="{00000000-0005-0000-0000-0000222D0000}"/>
    <cellStyle name="Normal 11 7 2" xfId="12171" xr:uid="{00000000-0005-0000-0000-0000232D0000}"/>
    <cellStyle name="Normal 11 8" xfId="12172" xr:uid="{00000000-0005-0000-0000-0000242D0000}"/>
    <cellStyle name="Normal 11 9" xfId="12141" xr:uid="{00000000-0005-0000-0000-0000252D0000}"/>
    <cellStyle name="Normal 110" xfId="12173" xr:uid="{00000000-0005-0000-0000-0000262D0000}"/>
    <cellStyle name="Normal 110 2" xfId="12174" xr:uid="{00000000-0005-0000-0000-0000272D0000}"/>
    <cellStyle name="Normal 110 2 2" xfId="12175" xr:uid="{00000000-0005-0000-0000-0000282D0000}"/>
    <cellStyle name="Normal 110 2 2 2" xfId="12176" xr:uid="{00000000-0005-0000-0000-0000292D0000}"/>
    <cellStyle name="Normal 110 2 3" xfId="12177" xr:uid="{00000000-0005-0000-0000-00002A2D0000}"/>
    <cellStyle name="Normal 110 3" xfId="12178" xr:uid="{00000000-0005-0000-0000-00002B2D0000}"/>
    <cellStyle name="Normal 110 3 2" xfId="12179" xr:uid="{00000000-0005-0000-0000-00002C2D0000}"/>
    <cellStyle name="Normal 110 3 2 2" xfId="12180" xr:uid="{00000000-0005-0000-0000-00002D2D0000}"/>
    <cellStyle name="Normal 110 3 3" xfId="12181" xr:uid="{00000000-0005-0000-0000-00002E2D0000}"/>
    <cellStyle name="Normal 110 3 3 2" xfId="12182" xr:uid="{00000000-0005-0000-0000-00002F2D0000}"/>
    <cellStyle name="Normal 110 3 3 2 2" xfId="12183" xr:uid="{00000000-0005-0000-0000-0000302D0000}"/>
    <cellStyle name="Normal 110 3 3 3" xfId="12184" xr:uid="{00000000-0005-0000-0000-0000312D0000}"/>
    <cellStyle name="Normal 110 3 4" xfId="12185" xr:uid="{00000000-0005-0000-0000-0000322D0000}"/>
    <cellStyle name="Normal 110 4" xfId="12186" xr:uid="{00000000-0005-0000-0000-0000332D0000}"/>
    <cellStyle name="Normal 110 4 2" xfId="12187" xr:uid="{00000000-0005-0000-0000-0000342D0000}"/>
    <cellStyle name="Normal 110 4 2 2" xfId="12188" xr:uid="{00000000-0005-0000-0000-0000352D0000}"/>
    <cellStyle name="Normal 110 4 3" xfId="12189" xr:uid="{00000000-0005-0000-0000-0000362D0000}"/>
    <cellStyle name="Normal 110 5" xfId="12190" xr:uid="{00000000-0005-0000-0000-0000372D0000}"/>
    <cellStyle name="Normal 111" xfId="12191" xr:uid="{00000000-0005-0000-0000-0000382D0000}"/>
    <cellStyle name="Normal 111 2" xfId="12192" xr:uid="{00000000-0005-0000-0000-0000392D0000}"/>
    <cellStyle name="Normal 111 2 2" xfId="12193" xr:uid="{00000000-0005-0000-0000-00003A2D0000}"/>
    <cellStyle name="Normal 111 2 2 2" xfId="12194" xr:uid="{00000000-0005-0000-0000-00003B2D0000}"/>
    <cellStyle name="Normal 111 2 3" xfId="12195" xr:uid="{00000000-0005-0000-0000-00003C2D0000}"/>
    <cellStyle name="Normal 111 3" xfId="12196" xr:uid="{00000000-0005-0000-0000-00003D2D0000}"/>
    <cellStyle name="Normal 111 3 2" xfId="12197" xr:uid="{00000000-0005-0000-0000-00003E2D0000}"/>
    <cellStyle name="Normal 111 3 2 2" xfId="12198" xr:uid="{00000000-0005-0000-0000-00003F2D0000}"/>
    <cellStyle name="Normal 111 3 3" xfId="12199" xr:uid="{00000000-0005-0000-0000-0000402D0000}"/>
    <cellStyle name="Normal 111 3 3 2" xfId="12200" xr:uid="{00000000-0005-0000-0000-0000412D0000}"/>
    <cellStyle name="Normal 111 3 3 2 2" xfId="12201" xr:uid="{00000000-0005-0000-0000-0000422D0000}"/>
    <cellStyle name="Normal 111 3 3 3" xfId="12202" xr:uid="{00000000-0005-0000-0000-0000432D0000}"/>
    <cellStyle name="Normal 111 3 4" xfId="12203" xr:uid="{00000000-0005-0000-0000-0000442D0000}"/>
    <cellStyle name="Normal 111 4" xfId="12204" xr:uid="{00000000-0005-0000-0000-0000452D0000}"/>
    <cellStyle name="Normal 111 4 2" xfId="12205" xr:uid="{00000000-0005-0000-0000-0000462D0000}"/>
    <cellStyle name="Normal 111 4 2 2" xfId="12206" xr:uid="{00000000-0005-0000-0000-0000472D0000}"/>
    <cellStyle name="Normal 111 4 3" xfId="12207" xr:uid="{00000000-0005-0000-0000-0000482D0000}"/>
    <cellStyle name="Normal 111 5" xfId="12208" xr:uid="{00000000-0005-0000-0000-0000492D0000}"/>
    <cellStyle name="Normal 112" xfId="12209" xr:uid="{00000000-0005-0000-0000-00004A2D0000}"/>
    <cellStyle name="Normal 112 2" xfId="12210" xr:uid="{00000000-0005-0000-0000-00004B2D0000}"/>
    <cellStyle name="Normal 112 2 2" xfId="12211" xr:uid="{00000000-0005-0000-0000-00004C2D0000}"/>
    <cellStyle name="Normal 112 2 2 2" xfId="12212" xr:uid="{00000000-0005-0000-0000-00004D2D0000}"/>
    <cellStyle name="Normal 112 2 3" xfId="12213" xr:uid="{00000000-0005-0000-0000-00004E2D0000}"/>
    <cellStyle name="Normal 112 3" xfId="12214" xr:uid="{00000000-0005-0000-0000-00004F2D0000}"/>
    <cellStyle name="Normal 112 3 2" xfId="12215" xr:uid="{00000000-0005-0000-0000-0000502D0000}"/>
    <cellStyle name="Normal 112 3 2 2" xfId="12216" xr:uid="{00000000-0005-0000-0000-0000512D0000}"/>
    <cellStyle name="Normal 112 3 3" xfId="12217" xr:uid="{00000000-0005-0000-0000-0000522D0000}"/>
    <cellStyle name="Normal 112 3 3 2" xfId="12218" xr:uid="{00000000-0005-0000-0000-0000532D0000}"/>
    <cellStyle name="Normal 112 3 3 2 2" xfId="12219" xr:uid="{00000000-0005-0000-0000-0000542D0000}"/>
    <cellStyle name="Normal 112 3 3 3" xfId="12220" xr:uid="{00000000-0005-0000-0000-0000552D0000}"/>
    <cellStyle name="Normal 112 3 4" xfId="12221" xr:uid="{00000000-0005-0000-0000-0000562D0000}"/>
    <cellStyle name="Normal 112 4" xfId="12222" xr:uid="{00000000-0005-0000-0000-0000572D0000}"/>
    <cellStyle name="Normal 112 4 2" xfId="12223" xr:uid="{00000000-0005-0000-0000-0000582D0000}"/>
    <cellStyle name="Normal 112 4 2 2" xfId="12224" xr:uid="{00000000-0005-0000-0000-0000592D0000}"/>
    <cellStyle name="Normal 112 4 3" xfId="12225" xr:uid="{00000000-0005-0000-0000-00005A2D0000}"/>
    <cellStyle name="Normal 112 5" xfId="12226" xr:uid="{00000000-0005-0000-0000-00005B2D0000}"/>
    <cellStyle name="Normal 113" xfId="12227" xr:uid="{00000000-0005-0000-0000-00005C2D0000}"/>
    <cellStyle name="Normal 113 2" xfId="12228" xr:uid="{00000000-0005-0000-0000-00005D2D0000}"/>
    <cellStyle name="Normal 113 2 2" xfId="12229" xr:uid="{00000000-0005-0000-0000-00005E2D0000}"/>
    <cellStyle name="Normal 113 2 2 2" xfId="12230" xr:uid="{00000000-0005-0000-0000-00005F2D0000}"/>
    <cellStyle name="Normal 113 2 3" xfId="12231" xr:uid="{00000000-0005-0000-0000-0000602D0000}"/>
    <cellStyle name="Normal 113 3" xfId="12232" xr:uid="{00000000-0005-0000-0000-0000612D0000}"/>
    <cellStyle name="Normal 113 3 2" xfId="12233" xr:uid="{00000000-0005-0000-0000-0000622D0000}"/>
    <cellStyle name="Normal 113 3 2 2" xfId="12234" xr:uid="{00000000-0005-0000-0000-0000632D0000}"/>
    <cellStyle name="Normal 113 3 3" xfId="12235" xr:uid="{00000000-0005-0000-0000-0000642D0000}"/>
    <cellStyle name="Normal 113 3 3 2" xfId="12236" xr:uid="{00000000-0005-0000-0000-0000652D0000}"/>
    <cellStyle name="Normal 113 3 3 2 2" xfId="12237" xr:uid="{00000000-0005-0000-0000-0000662D0000}"/>
    <cellStyle name="Normal 113 3 3 3" xfId="12238" xr:uid="{00000000-0005-0000-0000-0000672D0000}"/>
    <cellStyle name="Normal 113 3 4" xfId="12239" xr:uid="{00000000-0005-0000-0000-0000682D0000}"/>
    <cellStyle name="Normal 113 4" xfId="12240" xr:uid="{00000000-0005-0000-0000-0000692D0000}"/>
    <cellStyle name="Normal 113 4 2" xfId="12241" xr:uid="{00000000-0005-0000-0000-00006A2D0000}"/>
    <cellStyle name="Normal 113 4 2 2" xfId="12242" xr:uid="{00000000-0005-0000-0000-00006B2D0000}"/>
    <cellStyle name="Normal 113 4 3" xfId="12243" xr:uid="{00000000-0005-0000-0000-00006C2D0000}"/>
    <cellStyle name="Normal 113 5" xfId="12244" xr:uid="{00000000-0005-0000-0000-00006D2D0000}"/>
    <cellStyle name="Normal 114" xfId="12245" xr:uid="{00000000-0005-0000-0000-00006E2D0000}"/>
    <cellStyle name="Normal 114 2" xfId="12246" xr:uid="{00000000-0005-0000-0000-00006F2D0000}"/>
    <cellStyle name="Normal 114 2 2" xfId="12247" xr:uid="{00000000-0005-0000-0000-0000702D0000}"/>
    <cellStyle name="Normal 114 2 2 2" xfId="12248" xr:uid="{00000000-0005-0000-0000-0000712D0000}"/>
    <cellStyle name="Normal 114 2 3" xfId="12249" xr:uid="{00000000-0005-0000-0000-0000722D0000}"/>
    <cellStyle name="Normal 114 3" xfId="12250" xr:uid="{00000000-0005-0000-0000-0000732D0000}"/>
    <cellStyle name="Normal 114 3 2" xfId="12251" xr:uid="{00000000-0005-0000-0000-0000742D0000}"/>
    <cellStyle name="Normal 114 3 2 2" xfId="12252" xr:uid="{00000000-0005-0000-0000-0000752D0000}"/>
    <cellStyle name="Normal 114 3 3" xfId="12253" xr:uid="{00000000-0005-0000-0000-0000762D0000}"/>
    <cellStyle name="Normal 114 3 3 2" xfId="12254" xr:uid="{00000000-0005-0000-0000-0000772D0000}"/>
    <cellStyle name="Normal 114 3 3 2 2" xfId="12255" xr:uid="{00000000-0005-0000-0000-0000782D0000}"/>
    <cellStyle name="Normal 114 3 3 3" xfId="12256" xr:uid="{00000000-0005-0000-0000-0000792D0000}"/>
    <cellStyle name="Normal 114 3 4" xfId="12257" xr:uid="{00000000-0005-0000-0000-00007A2D0000}"/>
    <cellStyle name="Normal 114 4" xfId="12258" xr:uid="{00000000-0005-0000-0000-00007B2D0000}"/>
    <cellStyle name="Normal 114 4 2" xfId="12259" xr:uid="{00000000-0005-0000-0000-00007C2D0000}"/>
    <cellStyle name="Normal 114 4 2 2" xfId="12260" xr:uid="{00000000-0005-0000-0000-00007D2D0000}"/>
    <cellStyle name="Normal 114 4 3" xfId="12261" xr:uid="{00000000-0005-0000-0000-00007E2D0000}"/>
    <cellStyle name="Normal 114 5" xfId="12262" xr:uid="{00000000-0005-0000-0000-00007F2D0000}"/>
    <cellStyle name="Normal 115" xfId="12263" xr:uid="{00000000-0005-0000-0000-0000802D0000}"/>
    <cellStyle name="Normal 115 2" xfId="12264" xr:uid="{00000000-0005-0000-0000-0000812D0000}"/>
    <cellStyle name="Normal 115 2 2" xfId="12265" xr:uid="{00000000-0005-0000-0000-0000822D0000}"/>
    <cellStyle name="Normal 115 2 2 2" xfId="12266" xr:uid="{00000000-0005-0000-0000-0000832D0000}"/>
    <cellStyle name="Normal 115 2 3" xfId="12267" xr:uid="{00000000-0005-0000-0000-0000842D0000}"/>
    <cellStyle name="Normal 115 3" xfId="12268" xr:uid="{00000000-0005-0000-0000-0000852D0000}"/>
    <cellStyle name="Normal 115 3 2" xfId="12269" xr:uid="{00000000-0005-0000-0000-0000862D0000}"/>
    <cellStyle name="Normal 115 3 2 2" xfId="12270" xr:uid="{00000000-0005-0000-0000-0000872D0000}"/>
    <cellStyle name="Normal 115 3 3" xfId="12271" xr:uid="{00000000-0005-0000-0000-0000882D0000}"/>
    <cellStyle name="Normal 115 3 3 2" xfId="12272" xr:uid="{00000000-0005-0000-0000-0000892D0000}"/>
    <cellStyle name="Normal 115 3 3 2 2" xfId="12273" xr:uid="{00000000-0005-0000-0000-00008A2D0000}"/>
    <cellStyle name="Normal 115 3 3 3" xfId="12274" xr:uid="{00000000-0005-0000-0000-00008B2D0000}"/>
    <cellStyle name="Normal 115 3 4" xfId="12275" xr:uid="{00000000-0005-0000-0000-00008C2D0000}"/>
    <cellStyle name="Normal 115 4" xfId="12276" xr:uid="{00000000-0005-0000-0000-00008D2D0000}"/>
    <cellStyle name="Normal 115 4 2" xfId="12277" xr:uid="{00000000-0005-0000-0000-00008E2D0000}"/>
    <cellStyle name="Normal 115 4 2 2" xfId="12278" xr:uid="{00000000-0005-0000-0000-00008F2D0000}"/>
    <cellStyle name="Normal 115 4 3" xfId="12279" xr:uid="{00000000-0005-0000-0000-0000902D0000}"/>
    <cellStyle name="Normal 115 5" xfId="12280" xr:uid="{00000000-0005-0000-0000-0000912D0000}"/>
    <cellStyle name="Normal 116" xfId="12281" xr:uid="{00000000-0005-0000-0000-0000922D0000}"/>
    <cellStyle name="Normal 116 2" xfId="12282" xr:uid="{00000000-0005-0000-0000-0000932D0000}"/>
    <cellStyle name="Normal 116 2 2" xfId="12283" xr:uid="{00000000-0005-0000-0000-0000942D0000}"/>
    <cellStyle name="Normal 116 2 2 2" xfId="12284" xr:uid="{00000000-0005-0000-0000-0000952D0000}"/>
    <cellStyle name="Normal 116 2 3" xfId="12285" xr:uid="{00000000-0005-0000-0000-0000962D0000}"/>
    <cellStyle name="Normal 116 3" xfId="12286" xr:uid="{00000000-0005-0000-0000-0000972D0000}"/>
    <cellStyle name="Normal 116 3 2" xfId="12287" xr:uid="{00000000-0005-0000-0000-0000982D0000}"/>
    <cellStyle name="Normal 116 3 2 2" xfId="12288" xr:uid="{00000000-0005-0000-0000-0000992D0000}"/>
    <cellStyle name="Normal 116 3 3" xfId="12289" xr:uid="{00000000-0005-0000-0000-00009A2D0000}"/>
    <cellStyle name="Normal 116 3 3 2" xfId="12290" xr:uid="{00000000-0005-0000-0000-00009B2D0000}"/>
    <cellStyle name="Normal 116 3 3 2 2" xfId="12291" xr:uid="{00000000-0005-0000-0000-00009C2D0000}"/>
    <cellStyle name="Normal 116 3 3 3" xfId="12292" xr:uid="{00000000-0005-0000-0000-00009D2D0000}"/>
    <cellStyle name="Normal 116 3 4" xfId="12293" xr:uid="{00000000-0005-0000-0000-00009E2D0000}"/>
    <cellStyle name="Normal 116 4" xfId="12294" xr:uid="{00000000-0005-0000-0000-00009F2D0000}"/>
    <cellStyle name="Normal 116 4 2" xfId="12295" xr:uid="{00000000-0005-0000-0000-0000A02D0000}"/>
    <cellStyle name="Normal 116 4 2 2" xfId="12296" xr:uid="{00000000-0005-0000-0000-0000A12D0000}"/>
    <cellStyle name="Normal 116 4 3" xfId="12297" xr:uid="{00000000-0005-0000-0000-0000A22D0000}"/>
    <cellStyle name="Normal 116 5" xfId="12298" xr:uid="{00000000-0005-0000-0000-0000A32D0000}"/>
    <cellStyle name="Normal 117" xfId="12299" xr:uid="{00000000-0005-0000-0000-0000A42D0000}"/>
    <cellStyle name="Normal 117 2" xfId="12300" xr:uid="{00000000-0005-0000-0000-0000A52D0000}"/>
    <cellStyle name="Normal 117 2 2" xfId="12301" xr:uid="{00000000-0005-0000-0000-0000A62D0000}"/>
    <cellStyle name="Normal 117 2 2 2" xfId="12302" xr:uid="{00000000-0005-0000-0000-0000A72D0000}"/>
    <cellStyle name="Normal 117 2 3" xfId="12303" xr:uid="{00000000-0005-0000-0000-0000A82D0000}"/>
    <cellStyle name="Normal 117 3" xfId="12304" xr:uid="{00000000-0005-0000-0000-0000A92D0000}"/>
    <cellStyle name="Normal 117 3 2" xfId="12305" xr:uid="{00000000-0005-0000-0000-0000AA2D0000}"/>
    <cellStyle name="Normal 117 3 2 2" xfId="12306" xr:uid="{00000000-0005-0000-0000-0000AB2D0000}"/>
    <cellStyle name="Normal 117 3 3" xfId="12307" xr:uid="{00000000-0005-0000-0000-0000AC2D0000}"/>
    <cellStyle name="Normal 117 3 3 2" xfId="12308" xr:uid="{00000000-0005-0000-0000-0000AD2D0000}"/>
    <cellStyle name="Normal 117 3 3 2 2" xfId="12309" xr:uid="{00000000-0005-0000-0000-0000AE2D0000}"/>
    <cellStyle name="Normal 117 3 3 3" xfId="12310" xr:uid="{00000000-0005-0000-0000-0000AF2D0000}"/>
    <cellStyle name="Normal 117 3 4" xfId="12311" xr:uid="{00000000-0005-0000-0000-0000B02D0000}"/>
    <cellStyle name="Normal 117 4" xfId="12312" xr:uid="{00000000-0005-0000-0000-0000B12D0000}"/>
    <cellStyle name="Normal 117 4 2" xfId="12313" xr:uid="{00000000-0005-0000-0000-0000B22D0000}"/>
    <cellStyle name="Normal 117 4 2 2" xfId="12314" xr:uid="{00000000-0005-0000-0000-0000B32D0000}"/>
    <cellStyle name="Normal 117 4 3" xfId="12315" xr:uid="{00000000-0005-0000-0000-0000B42D0000}"/>
    <cellStyle name="Normal 117 5" xfId="12316" xr:uid="{00000000-0005-0000-0000-0000B52D0000}"/>
    <cellStyle name="Normal 118" xfId="12317" xr:uid="{00000000-0005-0000-0000-0000B62D0000}"/>
    <cellStyle name="Normal 118 2" xfId="12318" xr:uid="{00000000-0005-0000-0000-0000B72D0000}"/>
    <cellStyle name="Normal 118 2 2" xfId="12319" xr:uid="{00000000-0005-0000-0000-0000B82D0000}"/>
    <cellStyle name="Normal 118 2 2 2" xfId="12320" xr:uid="{00000000-0005-0000-0000-0000B92D0000}"/>
    <cellStyle name="Normal 118 2 3" xfId="12321" xr:uid="{00000000-0005-0000-0000-0000BA2D0000}"/>
    <cellStyle name="Normal 118 3" xfId="12322" xr:uid="{00000000-0005-0000-0000-0000BB2D0000}"/>
    <cellStyle name="Normal 118 3 2" xfId="12323" xr:uid="{00000000-0005-0000-0000-0000BC2D0000}"/>
    <cellStyle name="Normal 118 3 2 2" xfId="12324" xr:uid="{00000000-0005-0000-0000-0000BD2D0000}"/>
    <cellStyle name="Normal 118 3 3" xfId="12325" xr:uid="{00000000-0005-0000-0000-0000BE2D0000}"/>
    <cellStyle name="Normal 118 3 3 2" xfId="12326" xr:uid="{00000000-0005-0000-0000-0000BF2D0000}"/>
    <cellStyle name="Normal 118 3 3 2 2" xfId="12327" xr:uid="{00000000-0005-0000-0000-0000C02D0000}"/>
    <cellStyle name="Normal 118 3 3 3" xfId="12328" xr:uid="{00000000-0005-0000-0000-0000C12D0000}"/>
    <cellStyle name="Normal 118 3 4" xfId="12329" xr:uid="{00000000-0005-0000-0000-0000C22D0000}"/>
    <cellStyle name="Normal 118 4" xfId="12330" xr:uid="{00000000-0005-0000-0000-0000C32D0000}"/>
    <cellStyle name="Normal 118 4 2" xfId="12331" xr:uid="{00000000-0005-0000-0000-0000C42D0000}"/>
    <cellStyle name="Normal 118 4 2 2" xfId="12332" xr:uid="{00000000-0005-0000-0000-0000C52D0000}"/>
    <cellStyle name="Normal 118 4 3" xfId="12333" xr:uid="{00000000-0005-0000-0000-0000C62D0000}"/>
    <cellStyle name="Normal 118 5" xfId="12334" xr:uid="{00000000-0005-0000-0000-0000C72D0000}"/>
    <cellStyle name="Normal 119" xfId="12335" xr:uid="{00000000-0005-0000-0000-0000C82D0000}"/>
    <cellStyle name="Normal 119 2" xfId="12336" xr:uid="{00000000-0005-0000-0000-0000C92D0000}"/>
    <cellStyle name="Normal 119 2 2" xfId="12337" xr:uid="{00000000-0005-0000-0000-0000CA2D0000}"/>
    <cellStyle name="Normal 119 2 2 2" xfId="12338" xr:uid="{00000000-0005-0000-0000-0000CB2D0000}"/>
    <cellStyle name="Normal 119 2 2 2 2" xfId="12339" xr:uid="{00000000-0005-0000-0000-0000CC2D0000}"/>
    <cellStyle name="Normal 119 2 2 3" xfId="12340" xr:uid="{00000000-0005-0000-0000-0000CD2D0000}"/>
    <cellStyle name="Normal 119 2 3" xfId="12341" xr:uid="{00000000-0005-0000-0000-0000CE2D0000}"/>
    <cellStyle name="Normal 119 2 3 2" xfId="12342" xr:uid="{00000000-0005-0000-0000-0000CF2D0000}"/>
    <cellStyle name="Normal 119 2 3 2 2" xfId="12343" xr:uid="{00000000-0005-0000-0000-0000D02D0000}"/>
    <cellStyle name="Normal 119 2 3 3" xfId="12344" xr:uid="{00000000-0005-0000-0000-0000D12D0000}"/>
    <cellStyle name="Normal 119 2 3 3 2" xfId="12345" xr:uid="{00000000-0005-0000-0000-0000D22D0000}"/>
    <cellStyle name="Normal 119 2 3 3 2 2" xfId="12346" xr:uid="{00000000-0005-0000-0000-0000D32D0000}"/>
    <cellStyle name="Normal 119 2 3 3 3" xfId="12347" xr:uid="{00000000-0005-0000-0000-0000D42D0000}"/>
    <cellStyle name="Normal 119 2 3 4" xfId="12348" xr:uid="{00000000-0005-0000-0000-0000D52D0000}"/>
    <cellStyle name="Normal 119 2 4" xfId="12349" xr:uid="{00000000-0005-0000-0000-0000D62D0000}"/>
    <cellStyle name="Normal 119 2 4 2" xfId="12350" xr:uid="{00000000-0005-0000-0000-0000D72D0000}"/>
    <cellStyle name="Normal 119 2 4 2 2" xfId="12351" xr:uid="{00000000-0005-0000-0000-0000D82D0000}"/>
    <cellStyle name="Normal 119 2 4 3" xfId="12352" xr:uid="{00000000-0005-0000-0000-0000D92D0000}"/>
    <cellStyle name="Normal 119 2 5" xfId="12353" xr:uid="{00000000-0005-0000-0000-0000DA2D0000}"/>
    <cellStyle name="Normal 119 3" xfId="12354" xr:uid="{00000000-0005-0000-0000-0000DB2D0000}"/>
    <cellStyle name="Normal 119 3 2" xfId="12355" xr:uid="{00000000-0005-0000-0000-0000DC2D0000}"/>
    <cellStyle name="Normal 119 3 2 2" xfId="12356" xr:uid="{00000000-0005-0000-0000-0000DD2D0000}"/>
    <cellStyle name="Normal 119 3 3" xfId="12357" xr:uid="{00000000-0005-0000-0000-0000DE2D0000}"/>
    <cellStyle name="Normal 119 4" xfId="12358" xr:uid="{00000000-0005-0000-0000-0000DF2D0000}"/>
    <cellStyle name="Normal 119 4 2" xfId="12359" xr:uid="{00000000-0005-0000-0000-0000E02D0000}"/>
    <cellStyle name="Normal 119 4 2 2" xfId="12360" xr:uid="{00000000-0005-0000-0000-0000E12D0000}"/>
    <cellStyle name="Normal 119 4 3" xfId="12361" xr:uid="{00000000-0005-0000-0000-0000E22D0000}"/>
    <cellStyle name="Normal 119 4 3 2" xfId="12362" xr:uid="{00000000-0005-0000-0000-0000E32D0000}"/>
    <cellStyle name="Normal 119 4 3 2 2" xfId="12363" xr:uid="{00000000-0005-0000-0000-0000E42D0000}"/>
    <cellStyle name="Normal 119 4 3 3" xfId="12364" xr:uid="{00000000-0005-0000-0000-0000E52D0000}"/>
    <cellStyle name="Normal 119 4 4" xfId="12365" xr:uid="{00000000-0005-0000-0000-0000E62D0000}"/>
    <cellStyle name="Normal 119 5" xfId="12366" xr:uid="{00000000-0005-0000-0000-0000E72D0000}"/>
    <cellStyle name="Normal 119 5 2" xfId="12367" xr:uid="{00000000-0005-0000-0000-0000E82D0000}"/>
    <cellStyle name="Normal 119 5 2 2" xfId="12368" xr:uid="{00000000-0005-0000-0000-0000E92D0000}"/>
    <cellStyle name="Normal 119 5 3" xfId="12369" xr:uid="{00000000-0005-0000-0000-0000EA2D0000}"/>
    <cellStyle name="Normal 119 6" xfId="12370" xr:uid="{00000000-0005-0000-0000-0000EB2D0000}"/>
    <cellStyle name="Normal 12" xfId="128" xr:uid="{00000000-0005-0000-0000-0000EC2D0000}"/>
    <cellStyle name="Normal 12 2" xfId="12372" xr:uid="{00000000-0005-0000-0000-0000ED2D0000}"/>
    <cellStyle name="Normal 12 2 2" xfId="12373" xr:uid="{00000000-0005-0000-0000-0000EE2D0000}"/>
    <cellStyle name="Normal 12 2 2 2" xfId="12374" xr:uid="{00000000-0005-0000-0000-0000EF2D0000}"/>
    <cellStyle name="Normal 12 2 3" xfId="12375" xr:uid="{00000000-0005-0000-0000-0000F02D0000}"/>
    <cellStyle name="Normal 12 2 3 2" xfId="12376" xr:uid="{00000000-0005-0000-0000-0000F12D0000}"/>
    <cellStyle name="Normal 12 2 3 2 2" xfId="12377" xr:uid="{00000000-0005-0000-0000-0000F22D0000}"/>
    <cellStyle name="Normal 12 2 3 3" xfId="12378" xr:uid="{00000000-0005-0000-0000-0000F32D0000}"/>
    <cellStyle name="Normal 12 2 4" xfId="12379" xr:uid="{00000000-0005-0000-0000-0000F42D0000}"/>
    <cellStyle name="Normal 12 3" xfId="12380" xr:uid="{00000000-0005-0000-0000-0000F52D0000}"/>
    <cellStyle name="Normal 12 3 2" xfId="12381" xr:uid="{00000000-0005-0000-0000-0000F62D0000}"/>
    <cellStyle name="Normal 12 3 2 2" xfId="12382" xr:uid="{00000000-0005-0000-0000-0000F72D0000}"/>
    <cellStyle name="Normal 12 3 2 2 2" xfId="12383" xr:uid="{00000000-0005-0000-0000-0000F82D0000}"/>
    <cellStyle name="Normal 12 3 2 3" xfId="12384" xr:uid="{00000000-0005-0000-0000-0000F92D0000}"/>
    <cellStyle name="Normal 12 3 3" xfId="12385" xr:uid="{00000000-0005-0000-0000-0000FA2D0000}"/>
    <cellStyle name="Normal 12 3 3 2" xfId="12386" xr:uid="{00000000-0005-0000-0000-0000FB2D0000}"/>
    <cellStyle name="Normal 12 3 3 2 2" xfId="12387" xr:uid="{00000000-0005-0000-0000-0000FC2D0000}"/>
    <cellStyle name="Normal 12 3 3 3" xfId="12388" xr:uid="{00000000-0005-0000-0000-0000FD2D0000}"/>
    <cellStyle name="Normal 12 3 4" xfId="12389" xr:uid="{00000000-0005-0000-0000-0000FE2D0000}"/>
    <cellStyle name="Normal 12 4" xfId="12390" xr:uid="{00000000-0005-0000-0000-0000FF2D0000}"/>
    <cellStyle name="Normal 12 4 2" xfId="12391" xr:uid="{00000000-0005-0000-0000-0000002E0000}"/>
    <cellStyle name="Normal 12 5" xfId="12392" xr:uid="{00000000-0005-0000-0000-0000012E0000}"/>
    <cellStyle name="Normal 12 5 2" xfId="12393" xr:uid="{00000000-0005-0000-0000-0000022E0000}"/>
    <cellStyle name="Normal 12 5 2 2" xfId="12394" xr:uid="{00000000-0005-0000-0000-0000032E0000}"/>
    <cellStyle name="Normal 12 5 3" xfId="12395" xr:uid="{00000000-0005-0000-0000-0000042E0000}"/>
    <cellStyle name="Normal 12 6" xfId="12396" xr:uid="{00000000-0005-0000-0000-0000052E0000}"/>
    <cellStyle name="Normal 12 6 2" xfId="12397" xr:uid="{00000000-0005-0000-0000-0000062E0000}"/>
    <cellStyle name="Normal 12 6 2 2" xfId="12398" xr:uid="{00000000-0005-0000-0000-0000072E0000}"/>
    <cellStyle name="Normal 12 6 3" xfId="12399" xr:uid="{00000000-0005-0000-0000-0000082E0000}"/>
    <cellStyle name="Normal 12 7" xfId="12400" xr:uid="{00000000-0005-0000-0000-0000092E0000}"/>
    <cellStyle name="Normal 12 7 2" xfId="12401" xr:uid="{00000000-0005-0000-0000-00000A2E0000}"/>
    <cellStyle name="Normal 12 8" xfId="12402" xr:uid="{00000000-0005-0000-0000-00000B2E0000}"/>
    <cellStyle name="Normal 12 9" xfId="12371" xr:uid="{00000000-0005-0000-0000-00000C2E0000}"/>
    <cellStyle name="Normal 120" xfId="12403" xr:uid="{00000000-0005-0000-0000-00000D2E0000}"/>
    <cellStyle name="Normal 120 2" xfId="12404" xr:uid="{00000000-0005-0000-0000-00000E2E0000}"/>
    <cellStyle name="Normal 120 2 2" xfId="12405" xr:uid="{00000000-0005-0000-0000-00000F2E0000}"/>
    <cellStyle name="Normal 120 2 2 2" xfId="12406" xr:uid="{00000000-0005-0000-0000-0000102E0000}"/>
    <cellStyle name="Normal 120 2 2 2 2" xfId="12407" xr:uid="{00000000-0005-0000-0000-0000112E0000}"/>
    <cellStyle name="Normal 120 2 2 3" xfId="12408" xr:uid="{00000000-0005-0000-0000-0000122E0000}"/>
    <cellStyle name="Normal 120 2 3" xfId="12409" xr:uid="{00000000-0005-0000-0000-0000132E0000}"/>
    <cellStyle name="Normal 120 2 3 2" xfId="12410" xr:uid="{00000000-0005-0000-0000-0000142E0000}"/>
    <cellStyle name="Normal 120 2 3 2 2" xfId="12411" xr:uid="{00000000-0005-0000-0000-0000152E0000}"/>
    <cellStyle name="Normal 120 2 3 3" xfId="12412" xr:uid="{00000000-0005-0000-0000-0000162E0000}"/>
    <cellStyle name="Normal 120 2 3 3 2" xfId="12413" xr:uid="{00000000-0005-0000-0000-0000172E0000}"/>
    <cellStyle name="Normal 120 2 3 3 2 2" xfId="12414" xr:uid="{00000000-0005-0000-0000-0000182E0000}"/>
    <cellStyle name="Normal 120 2 3 3 3" xfId="12415" xr:uid="{00000000-0005-0000-0000-0000192E0000}"/>
    <cellStyle name="Normal 120 2 3 4" xfId="12416" xr:uid="{00000000-0005-0000-0000-00001A2E0000}"/>
    <cellStyle name="Normal 120 2 4" xfId="12417" xr:uid="{00000000-0005-0000-0000-00001B2E0000}"/>
    <cellStyle name="Normal 120 2 4 2" xfId="12418" xr:uid="{00000000-0005-0000-0000-00001C2E0000}"/>
    <cellStyle name="Normal 120 2 4 2 2" xfId="12419" xr:uid="{00000000-0005-0000-0000-00001D2E0000}"/>
    <cellStyle name="Normal 120 2 4 3" xfId="12420" xr:uid="{00000000-0005-0000-0000-00001E2E0000}"/>
    <cellStyle name="Normal 120 2 5" xfId="12421" xr:uid="{00000000-0005-0000-0000-00001F2E0000}"/>
    <cellStyle name="Normal 120 3" xfId="12422" xr:uid="{00000000-0005-0000-0000-0000202E0000}"/>
    <cellStyle name="Normal 120 3 2" xfId="12423" xr:uid="{00000000-0005-0000-0000-0000212E0000}"/>
    <cellStyle name="Normal 120 3 2 2" xfId="12424" xr:uid="{00000000-0005-0000-0000-0000222E0000}"/>
    <cellStyle name="Normal 120 3 3" xfId="12425" xr:uid="{00000000-0005-0000-0000-0000232E0000}"/>
    <cellStyle name="Normal 120 4" xfId="12426" xr:uid="{00000000-0005-0000-0000-0000242E0000}"/>
    <cellStyle name="Normal 120 4 2" xfId="12427" xr:uid="{00000000-0005-0000-0000-0000252E0000}"/>
    <cellStyle name="Normal 120 4 2 2" xfId="12428" xr:uid="{00000000-0005-0000-0000-0000262E0000}"/>
    <cellStyle name="Normal 120 4 3" xfId="12429" xr:uid="{00000000-0005-0000-0000-0000272E0000}"/>
    <cellStyle name="Normal 120 4 3 2" xfId="12430" xr:uid="{00000000-0005-0000-0000-0000282E0000}"/>
    <cellStyle name="Normal 120 4 3 2 2" xfId="12431" xr:uid="{00000000-0005-0000-0000-0000292E0000}"/>
    <cellStyle name="Normal 120 4 3 3" xfId="12432" xr:uid="{00000000-0005-0000-0000-00002A2E0000}"/>
    <cellStyle name="Normal 120 4 4" xfId="12433" xr:uid="{00000000-0005-0000-0000-00002B2E0000}"/>
    <cellStyle name="Normal 120 5" xfId="12434" xr:uid="{00000000-0005-0000-0000-00002C2E0000}"/>
    <cellStyle name="Normal 120 5 2" xfId="12435" xr:uid="{00000000-0005-0000-0000-00002D2E0000}"/>
    <cellStyle name="Normal 120 5 2 2" xfId="12436" xr:uid="{00000000-0005-0000-0000-00002E2E0000}"/>
    <cellStyle name="Normal 120 5 3" xfId="12437" xr:uid="{00000000-0005-0000-0000-00002F2E0000}"/>
    <cellStyle name="Normal 120 6" xfId="12438" xr:uid="{00000000-0005-0000-0000-0000302E0000}"/>
    <cellStyle name="Normal 121" xfId="12439" xr:uid="{00000000-0005-0000-0000-0000312E0000}"/>
    <cellStyle name="Normal 121 2" xfId="12440" xr:uid="{00000000-0005-0000-0000-0000322E0000}"/>
    <cellStyle name="Normal 121 2 2" xfId="12441" xr:uid="{00000000-0005-0000-0000-0000332E0000}"/>
    <cellStyle name="Normal 121 2 2 2" xfId="12442" xr:uid="{00000000-0005-0000-0000-0000342E0000}"/>
    <cellStyle name="Normal 121 2 2 2 2" xfId="12443" xr:uid="{00000000-0005-0000-0000-0000352E0000}"/>
    <cellStyle name="Normal 121 2 2 3" xfId="12444" xr:uid="{00000000-0005-0000-0000-0000362E0000}"/>
    <cellStyle name="Normal 121 2 3" xfId="12445" xr:uid="{00000000-0005-0000-0000-0000372E0000}"/>
    <cellStyle name="Normal 121 2 3 2" xfId="12446" xr:uid="{00000000-0005-0000-0000-0000382E0000}"/>
    <cellStyle name="Normal 121 2 3 2 2" xfId="12447" xr:uid="{00000000-0005-0000-0000-0000392E0000}"/>
    <cellStyle name="Normal 121 2 3 3" xfId="12448" xr:uid="{00000000-0005-0000-0000-00003A2E0000}"/>
    <cellStyle name="Normal 121 2 3 3 2" xfId="12449" xr:uid="{00000000-0005-0000-0000-00003B2E0000}"/>
    <cellStyle name="Normal 121 2 3 3 2 2" xfId="12450" xr:uid="{00000000-0005-0000-0000-00003C2E0000}"/>
    <cellStyle name="Normal 121 2 3 3 3" xfId="12451" xr:uid="{00000000-0005-0000-0000-00003D2E0000}"/>
    <cellStyle name="Normal 121 2 3 4" xfId="12452" xr:uid="{00000000-0005-0000-0000-00003E2E0000}"/>
    <cellStyle name="Normal 121 2 4" xfId="12453" xr:uid="{00000000-0005-0000-0000-00003F2E0000}"/>
    <cellStyle name="Normal 121 2 4 2" xfId="12454" xr:uid="{00000000-0005-0000-0000-0000402E0000}"/>
    <cellStyle name="Normal 121 2 4 2 2" xfId="12455" xr:uid="{00000000-0005-0000-0000-0000412E0000}"/>
    <cellStyle name="Normal 121 2 4 3" xfId="12456" xr:uid="{00000000-0005-0000-0000-0000422E0000}"/>
    <cellStyle name="Normal 121 2 5" xfId="12457" xr:uid="{00000000-0005-0000-0000-0000432E0000}"/>
    <cellStyle name="Normal 121 3" xfId="12458" xr:uid="{00000000-0005-0000-0000-0000442E0000}"/>
    <cellStyle name="Normal 121 3 2" xfId="12459" xr:uid="{00000000-0005-0000-0000-0000452E0000}"/>
    <cellStyle name="Normal 121 3 2 2" xfId="12460" xr:uid="{00000000-0005-0000-0000-0000462E0000}"/>
    <cellStyle name="Normal 121 3 3" xfId="12461" xr:uid="{00000000-0005-0000-0000-0000472E0000}"/>
    <cellStyle name="Normal 121 4" xfId="12462" xr:uid="{00000000-0005-0000-0000-0000482E0000}"/>
    <cellStyle name="Normal 121 4 2" xfId="12463" xr:uid="{00000000-0005-0000-0000-0000492E0000}"/>
    <cellStyle name="Normal 121 4 2 2" xfId="12464" xr:uid="{00000000-0005-0000-0000-00004A2E0000}"/>
    <cellStyle name="Normal 121 4 3" xfId="12465" xr:uid="{00000000-0005-0000-0000-00004B2E0000}"/>
    <cellStyle name="Normal 121 4 3 2" xfId="12466" xr:uid="{00000000-0005-0000-0000-00004C2E0000}"/>
    <cellStyle name="Normal 121 4 3 2 2" xfId="12467" xr:uid="{00000000-0005-0000-0000-00004D2E0000}"/>
    <cellStyle name="Normal 121 4 3 3" xfId="12468" xr:uid="{00000000-0005-0000-0000-00004E2E0000}"/>
    <cellStyle name="Normal 121 4 4" xfId="12469" xr:uid="{00000000-0005-0000-0000-00004F2E0000}"/>
    <cellStyle name="Normal 121 5" xfId="12470" xr:uid="{00000000-0005-0000-0000-0000502E0000}"/>
    <cellStyle name="Normal 121 5 2" xfId="12471" xr:uid="{00000000-0005-0000-0000-0000512E0000}"/>
    <cellStyle name="Normal 121 5 2 2" xfId="12472" xr:uid="{00000000-0005-0000-0000-0000522E0000}"/>
    <cellStyle name="Normal 121 5 3" xfId="12473" xr:uid="{00000000-0005-0000-0000-0000532E0000}"/>
    <cellStyle name="Normal 121 6" xfId="12474" xr:uid="{00000000-0005-0000-0000-0000542E0000}"/>
    <cellStyle name="Normal 122" xfId="12475" xr:uid="{00000000-0005-0000-0000-0000552E0000}"/>
    <cellStyle name="Normal 122 2" xfId="12476" xr:uid="{00000000-0005-0000-0000-0000562E0000}"/>
    <cellStyle name="Normal 122 2 2" xfId="12477" xr:uid="{00000000-0005-0000-0000-0000572E0000}"/>
    <cellStyle name="Normal 122 2 2 2" xfId="12478" xr:uid="{00000000-0005-0000-0000-0000582E0000}"/>
    <cellStyle name="Normal 122 2 3" xfId="12479" xr:uid="{00000000-0005-0000-0000-0000592E0000}"/>
    <cellStyle name="Normal 122 3" xfId="12480" xr:uid="{00000000-0005-0000-0000-00005A2E0000}"/>
    <cellStyle name="Normal 122 3 2" xfId="12481" xr:uid="{00000000-0005-0000-0000-00005B2E0000}"/>
    <cellStyle name="Normal 122 3 2 2" xfId="12482" xr:uid="{00000000-0005-0000-0000-00005C2E0000}"/>
    <cellStyle name="Normal 122 3 3" xfId="12483" xr:uid="{00000000-0005-0000-0000-00005D2E0000}"/>
    <cellStyle name="Normal 122 3 3 2" xfId="12484" xr:uid="{00000000-0005-0000-0000-00005E2E0000}"/>
    <cellStyle name="Normal 122 3 3 2 2" xfId="12485" xr:uid="{00000000-0005-0000-0000-00005F2E0000}"/>
    <cellStyle name="Normal 122 3 3 3" xfId="12486" xr:uid="{00000000-0005-0000-0000-0000602E0000}"/>
    <cellStyle name="Normal 122 3 4" xfId="12487" xr:uid="{00000000-0005-0000-0000-0000612E0000}"/>
    <cellStyle name="Normal 122 4" xfId="12488" xr:uid="{00000000-0005-0000-0000-0000622E0000}"/>
    <cellStyle name="Normal 122 4 2" xfId="12489" xr:uid="{00000000-0005-0000-0000-0000632E0000}"/>
    <cellStyle name="Normal 122 4 2 2" xfId="12490" xr:uid="{00000000-0005-0000-0000-0000642E0000}"/>
    <cellStyle name="Normal 122 4 3" xfId="12491" xr:uid="{00000000-0005-0000-0000-0000652E0000}"/>
    <cellStyle name="Normal 122 5" xfId="12492" xr:uid="{00000000-0005-0000-0000-0000662E0000}"/>
    <cellStyle name="Normal 123" xfId="12493" xr:uid="{00000000-0005-0000-0000-0000672E0000}"/>
    <cellStyle name="Normal 123 2" xfId="12494" xr:uid="{00000000-0005-0000-0000-0000682E0000}"/>
    <cellStyle name="Normal 123 2 2" xfId="12495" xr:uid="{00000000-0005-0000-0000-0000692E0000}"/>
    <cellStyle name="Normal 123 2 2 2" xfId="12496" xr:uid="{00000000-0005-0000-0000-00006A2E0000}"/>
    <cellStyle name="Normal 123 2 3" xfId="12497" xr:uid="{00000000-0005-0000-0000-00006B2E0000}"/>
    <cellStyle name="Normal 123 3" xfId="12498" xr:uid="{00000000-0005-0000-0000-00006C2E0000}"/>
    <cellStyle name="Normal 123 3 2" xfId="12499" xr:uid="{00000000-0005-0000-0000-00006D2E0000}"/>
    <cellStyle name="Normal 123 3 2 2" xfId="12500" xr:uid="{00000000-0005-0000-0000-00006E2E0000}"/>
    <cellStyle name="Normal 123 3 3" xfId="12501" xr:uid="{00000000-0005-0000-0000-00006F2E0000}"/>
    <cellStyle name="Normal 123 3 3 2" xfId="12502" xr:uid="{00000000-0005-0000-0000-0000702E0000}"/>
    <cellStyle name="Normal 123 3 3 2 2" xfId="12503" xr:uid="{00000000-0005-0000-0000-0000712E0000}"/>
    <cellStyle name="Normal 123 3 3 3" xfId="12504" xr:uid="{00000000-0005-0000-0000-0000722E0000}"/>
    <cellStyle name="Normal 123 3 4" xfId="12505" xr:uid="{00000000-0005-0000-0000-0000732E0000}"/>
    <cellStyle name="Normal 123 4" xfId="12506" xr:uid="{00000000-0005-0000-0000-0000742E0000}"/>
    <cellStyle name="Normal 123 4 2" xfId="12507" xr:uid="{00000000-0005-0000-0000-0000752E0000}"/>
    <cellStyle name="Normal 123 4 2 2" xfId="12508" xr:uid="{00000000-0005-0000-0000-0000762E0000}"/>
    <cellStyle name="Normal 123 4 3" xfId="12509" xr:uid="{00000000-0005-0000-0000-0000772E0000}"/>
    <cellStyle name="Normal 123 5" xfId="12510" xr:uid="{00000000-0005-0000-0000-0000782E0000}"/>
    <cellStyle name="Normal 124" xfId="12511" xr:uid="{00000000-0005-0000-0000-0000792E0000}"/>
    <cellStyle name="Normal 124 2" xfId="12512" xr:uid="{00000000-0005-0000-0000-00007A2E0000}"/>
    <cellStyle name="Normal 124 2 2" xfId="12513" xr:uid="{00000000-0005-0000-0000-00007B2E0000}"/>
    <cellStyle name="Normal 124 2 2 2" xfId="12514" xr:uid="{00000000-0005-0000-0000-00007C2E0000}"/>
    <cellStyle name="Normal 124 2 3" xfId="12515" xr:uid="{00000000-0005-0000-0000-00007D2E0000}"/>
    <cellStyle name="Normal 124 3" xfId="12516" xr:uid="{00000000-0005-0000-0000-00007E2E0000}"/>
    <cellStyle name="Normal 124 3 2" xfId="12517" xr:uid="{00000000-0005-0000-0000-00007F2E0000}"/>
    <cellStyle name="Normal 124 3 2 2" xfId="12518" xr:uid="{00000000-0005-0000-0000-0000802E0000}"/>
    <cellStyle name="Normal 124 3 3" xfId="12519" xr:uid="{00000000-0005-0000-0000-0000812E0000}"/>
    <cellStyle name="Normal 124 3 3 2" xfId="12520" xr:uid="{00000000-0005-0000-0000-0000822E0000}"/>
    <cellStyle name="Normal 124 3 3 2 2" xfId="12521" xr:uid="{00000000-0005-0000-0000-0000832E0000}"/>
    <cellStyle name="Normal 124 3 3 3" xfId="12522" xr:uid="{00000000-0005-0000-0000-0000842E0000}"/>
    <cellStyle name="Normal 124 3 4" xfId="12523" xr:uid="{00000000-0005-0000-0000-0000852E0000}"/>
    <cellStyle name="Normal 124 4" xfId="12524" xr:uid="{00000000-0005-0000-0000-0000862E0000}"/>
    <cellStyle name="Normal 124 4 2" xfId="12525" xr:uid="{00000000-0005-0000-0000-0000872E0000}"/>
    <cellStyle name="Normal 124 4 2 2" xfId="12526" xr:uid="{00000000-0005-0000-0000-0000882E0000}"/>
    <cellStyle name="Normal 124 4 3" xfId="12527" xr:uid="{00000000-0005-0000-0000-0000892E0000}"/>
    <cellStyle name="Normal 124 5" xfId="12528" xr:uid="{00000000-0005-0000-0000-00008A2E0000}"/>
    <cellStyle name="Normal 125" xfId="12529" xr:uid="{00000000-0005-0000-0000-00008B2E0000}"/>
    <cellStyle name="Normal 125 2" xfId="12530" xr:uid="{00000000-0005-0000-0000-00008C2E0000}"/>
    <cellStyle name="Normal 125 2 2" xfId="12531" xr:uid="{00000000-0005-0000-0000-00008D2E0000}"/>
    <cellStyle name="Normal 125 2 2 2" xfId="12532" xr:uid="{00000000-0005-0000-0000-00008E2E0000}"/>
    <cellStyle name="Normal 125 2 3" xfId="12533" xr:uid="{00000000-0005-0000-0000-00008F2E0000}"/>
    <cellStyle name="Normal 125 3" xfId="12534" xr:uid="{00000000-0005-0000-0000-0000902E0000}"/>
    <cellStyle name="Normal 125 3 2" xfId="12535" xr:uid="{00000000-0005-0000-0000-0000912E0000}"/>
    <cellStyle name="Normal 125 3 2 2" xfId="12536" xr:uid="{00000000-0005-0000-0000-0000922E0000}"/>
    <cellStyle name="Normal 125 3 3" xfId="12537" xr:uid="{00000000-0005-0000-0000-0000932E0000}"/>
    <cellStyle name="Normal 125 3 3 2" xfId="12538" xr:uid="{00000000-0005-0000-0000-0000942E0000}"/>
    <cellStyle name="Normal 125 3 3 2 2" xfId="12539" xr:uid="{00000000-0005-0000-0000-0000952E0000}"/>
    <cellStyle name="Normal 125 3 3 3" xfId="12540" xr:uid="{00000000-0005-0000-0000-0000962E0000}"/>
    <cellStyle name="Normal 125 3 4" xfId="12541" xr:uid="{00000000-0005-0000-0000-0000972E0000}"/>
    <cellStyle name="Normal 125 4" xfId="12542" xr:uid="{00000000-0005-0000-0000-0000982E0000}"/>
    <cellStyle name="Normal 125 4 2" xfId="12543" xr:uid="{00000000-0005-0000-0000-0000992E0000}"/>
    <cellStyle name="Normal 125 4 2 2" xfId="12544" xr:uid="{00000000-0005-0000-0000-00009A2E0000}"/>
    <cellStyle name="Normal 125 4 3" xfId="12545" xr:uid="{00000000-0005-0000-0000-00009B2E0000}"/>
    <cellStyle name="Normal 125 5" xfId="12546" xr:uid="{00000000-0005-0000-0000-00009C2E0000}"/>
    <cellStyle name="Normal 126" xfId="12547" xr:uid="{00000000-0005-0000-0000-00009D2E0000}"/>
    <cellStyle name="Normal 126 2" xfId="12548" xr:uid="{00000000-0005-0000-0000-00009E2E0000}"/>
    <cellStyle name="Normal 126 2 2" xfId="12549" xr:uid="{00000000-0005-0000-0000-00009F2E0000}"/>
    <cellStyle name="Normal 126 2 2 2" xfId="12550" xr:uid="{00000000-0005-0000-0000-0000A02E0000}"/>
    <cellStyle name="Normal 126 2 3" xfId="12551" xr:uid="{00000000-0005-0000-0000-0000A12E0000}"/>
    <cellStyle name="Normal 126 3" xfId="12552" xr:uid="{00000000-0005-0000-0000-0000A22E0000}"/>
    <cellStyle name="Normal 126 3 2" xfId="12553" xr:uid="{00000000-0005-0000-0000-0000A32E0000}"/>
    <cellStyle name="Normal 126 3 2 2" xfId="12554" xr:uid="{00000000-0005-0000-0000-0000A42E0000}"/>
    <cellStyle name="Normal 126 3 3" xfId="12555" xr:uid="{00000000-0005-0000-0000-0000A52E0000}"/>
    <cellStyle name="Normal 126 3 3 2" xfId="12556" xr:uid="{00000000-0005-0000-0000-0000A62E0000}"/>
    <cellStyle name="Normal 126 3 3 2 2" xfId="12557" xr:uid="{00000000-0005-0000-0000-0000A72E0000}"/>
    <cellStyle name="Normal 126 3 3 3" xfId="12558" xr:uid="{00000000-0005-0000-0000-0000A82E0000}"/>
    <cellStyle name="Normal 126 3 4" xfId="12559" xr:uid="{00000000-0005-0000-0000-0000A92E0000}"/>
    <cellStyle name="Normal 126 4" xfId="12560" xr:uid="{00000000-0005-0000-0000-0000AA2E0000}"/>
    <cellStyle name="Normal 126 4 2" xfId="12561" xr:uid="{00000000-0005-0000-0000-0000AB2E0000}"/>
    <cellStyle name="Normal 126 4 2 2" xfId="12562" xr:uid="{00000000-0005-0000-0000-0000AC2E0000}"/>
    <cellStyle name="Normal 126 4 3" xfId="12563" xr:uid="{00000000-0005-0000-0000-0000AD2E0000}"/>
    <cellStyle name="Normal 126 5" xfId="12564" xr:uid="{00000000-0005-0000-0000-0000AE2E0000}"/>
    <cellStyle name="Normal 127" xfId="12565" xr:uid="{00000000-0005-0000-0000-0000AF2E0000}"/>
    <cellStyle name="Normal 127 2" xfId="12566" xr:uid="{00000000-0005-0000-0000-0000B02E0000}"/>
    <cellStyle name="Normal 127 2 2" xfId="12567" xr:uid="{00000000-0005-0000-0000-0000B12E0000}"/>
    <cellStyle name="Normal 127 2 2 2" xfId="12568" xr:uid="{00000000-0005-0000-0000-0000B22E0000}"/>
    <cellStyle name="Normal 127 2 3" xfId="12569" xr:uid="{00000000-0005-0000-0000-0000B32E0000}"/>
    <cellStyle name="Normal 127 3" xfId="12570" xr:uid="{00000000-0005-0000-0000-0000B42E0000}"/>
    <cellStyle name="Normal 127 3 2" xfId="12571" xr:uid="{00000000-0005-0000-0000-0000B52E0000}"/>
    <cellStyle name="Normal 127 3 2 2" xfId="12572" xr:uid="{00000000-0005-0000-0000-0000B62E0000}"/>
    <cellStyle name="Normal 127 3 3" xfId="12573" xr:uid="{00000000-0005-0000-0000-0000B72E0000}"/>
    <cellStyle name="Normal 127 3 3 2" xfId="12574" xr:uid="{00000000-0005-0000-0000-0000B82E0000}"/>
    <cellStyle name="Normal 127 3 3 2 2" xfId="12575" xr:uid="{00000000-0005-0000-0000-0000B92E0000}"/>
    <cellStyle name="Normal 127 3 3 3" xfId="12576" xr:uid="{00000000-0005-0000-0000-0000BA2E0000}"/>
    <cellStyle name="Normal 127 3 4" xfId="12577" xr:uid="{00000000-0005-0000-0000-0000BB2E0000}"/>
    <cellStyle name="Normal 127 4" xfId="12578" xr:uid="{00000000-0005-0000-0000-0000BC2E0000}"/>
    <cellStyle name="Normal 127 4 2" xfId="12579" xr:uid="{00000000-0005-0000-0000-0000BD2E0000}"/>
    <cellStyle name="Normal 127 4 2 2" xfId="12580" xr:uid="{00000000-0005-0000-0000-0000BE2E0000}"/>
    <cellStyle name="Normal 127 4 3" xfId="12581" xr:uid="{00000000-0005-0000-0000-0000BF2E0000}"/>
    <cellStyle name="Normal 127 5" xfId="12582" xr:uid="{00000000-0005-0000-0000-0000C02E0000}"/>
    <cellStyle name="Normal 128" xfId="12583" xr:uid="{00000000-0005-0000-0000-0000C12E0000}"/>
    <cellStyle name="Normal 128 2" xfId="12584" xr:uid="{00000000-0005-0000-0000-0000C22E0000}"/>
    <cellStyle name="Normal 128 2 2" xfId="12585" xr:uid="{00000000-0005-0000-0000-0000C32E0000}"/>
    <cellStyle name="Normal 128 2 2 2" xfId="12586" xr:uid="{00000000-0005-0000-0000-0000C42E0000}"/>
    <cellStyle name="Normal 128 2 3" xfId="12587" xr:uid="{00000000-0005-0000-0000-0000C52E0000}"/>
    <cellStyle name="Normal 128 3" xfId="12588" xr:uid="{00000000-0005-0000-0000-0000C62E0000}"/>
    <cellStyle name="Normal 128 3 2" xfId="12589" xr:uid="{00000000-0005-0000-0000-0000C72E0000}"/>
    <cellStyle name="Normal 128 3 2 2" xfId="12590" xr:uid="{00000000-0005-0000-0000-0000C82E0000}"/>
    <cellStyle name="Normal 128 3 3" xfId="12591" xr:uid="{00000000-0005-0000-0000-0000C92E0000}"/>
    <cellStyle name="Normal 128 3 3 2" xfId="12592" xr:uid="{00000000-0005-0000-0000-0000CA2E0000}"/>
    <cellStyle name="Normal 128 3 3 2 2" xfId="12593" xr:uid="{00000000-0005-0000-0000-0000CB2E0000}"/>
    <cellStyle name="Normal 128 3 3 3" xfId="12594" xr:uid="{00000000-0005-0000-0000-0000CC2E0000}"/>
    <cellStyle name="Normal 128 3 4" xfId="12595" xr:uid="{00000000-0005-0000-0000-0000CD2E0000}"/>
    <cellStyle name="Normal 128 4" xfId="12596" xr:uid="{00000000-0005-0000-0000-0000CE2E0000}"/>
    <cellStyle name="Normal 128 4 2" xfId="12597" xr:uid="{00000000-0005-0000-0000-0000CF2E0000}"/>
    <cellStyle name="Normal 128 4 2 2" xfId="12598" xr:uid="{00000000-0005-0000-0000-0000D02E0000}"/>
    <cellStyle name="Normal 128 4 3" xfId="12599" xr:uid="{00000000-0005-0000-0000-0000D12E0000}"/>
    <cellStyle name="Normal 128 5" xfId="12600" xr:uid="{00000000-0005-0000-0000-0000D22E0000}"/>
    <cellStyle name="Normal 129" xfId="12601" xr:uid="{00000000-0005-0000-0000-0000D32E0000}"/>
    <cellStyle name="Normal 129 2" xfId="12602" xr:uid="{00000000-0005-0000-0000-0000D42E0000}"/>
    <cellStyle name="Normal 129 2 2" xfId="12603" xr:uid="{00000000-0005-0000-0000-0000D52E0000}"/>
    <cellStyle name="Normal 129 2 2 2" xfId="12604" xr:uid="{00000000-0005-0000-0000-0000D62E0000}"/>
    <cellStyle name="Normal 129 2 3" xfId="12605" xr:uid="{00000000-0005-0000-0000-0000D72E0000}"/>
    <cellStyle name="Normal 129 3" xfId="12606" xr:uid="{00000000-0005-0000-0000-0000D82E0000}"/>
    <cellStyle name="Normal 129 3 2" xfId="12607" xr:uid="{00000000-0005-0000-0000-0000D92E0000}"/>
    <cellStyle name="Normal 129 3 2 2" xfId="12608" xr:uid="{00000000-0005-0000-0000-0000DA2E0000}"/>
    <cellStyle name="Normal 129 3 3" xfId="12609" xr:uid="{00000000-0005-0000-0000-0000DB2E0000}"/>
    <cellStyle name="Normal 129 3 3 2" xfId="12610" xr:uid="{00000000-0005-0000-0000-0000DC2E0000}"/>
    <cellStyle name="Normal 129 3 3 2 2" xfId="12611" xr:uid="{00000000-0005-0000-0000-0000DD2E0000}"/>
    <cellStyle name="Normal 129 3 3 3" xfId="12612" xr:uid="{00000000-0005-0000-0000-0000DE2E0000}"/>
    <cellStyle name="Normal 129 3 4" xfId="12613" xr:uid="{00000000-0005-0000-0000-0000DF2E0000}"/>
    <cellStyle name="Normal 129 4" xfId="12614" xr:uid="{00000000-0005-0000-0000-0000E02E0000}"/>
    <cellStyle name="Normal 129 4 2" xfId="12615" xr:uid="{00000000-0005-0000-0000-0000E12E0000}"/>
    <cellStyle name="Normal 129 4 2 2" xfId="12616" xr:uid="{00000000-0005-0000-0000-0000E22E0000}"/>
    <cellStyle name="Normal 129 4 3" xfId="12617" xr:uid="{00000000-0005-0000-0000-0000E32E0000}"/>
    <cellStyle name="Normal 129 5" xfId="12618" xr:uid="{00000000-0005-0000-0000-0000E42E0000}"/>
    <cellStyle name="Normal 13" xfId="130" xr:uid="{00000000-0005-0000-0000-0000E52E0000}"/>
    <cellStyle name="Normal 13 2" xfId="12620" xr:uid="{00000000-0005-0000-0000-0000E62E0000}"/>
    <cellStyle name="Normal 13 2 2" xfId="12621" xr:uid="{00000000-0005-0000-0000-0000E72E0000}"/>
    <cellStyle name="Normal 13 2 2 2" xfId="12622" xr:uid="{00000000-0005-0000-0000-0000E82E0000}"/>
    <cellStyle name="Normal 13 2 3" xfId="12623" xr:uid="{00000000-0005-0000-0000-0000E92E0000}"/>
    <cellStyle name="Normal 13 2 3 2" xfId="12624" xr:uid="{00000000-0005-0000-0000-0000EA2E0000}"/>
    <cellStyle name="Normal 13 2 3 2 2" xfId="12625" xr:uid="{00000000-0005-0000-0000-0000EB2E0000}"/>
    <cellStyle name="Normal 13 2 3 3" xfId="12626" xr:uid="{00000000-0005-0000-0000-0000EC2E0000}"/>
    <cellStyle name="Normal 13 2 4" xfId="12627" xr:uid="{00000000-0005-0000-0000-0000ED2E0000}"/>
    <cellStyle name="Normal 13 3" xfId="12628" xr:uid="{00000000-0005-0000-0000-0000EE2E0000}"/>
    <cellStyle name="Normal 13 3 2" xfId="12629" xr:uid="{00000000-0005-0000-0000-0000EF2E0000}"/>
    <cellStyle name="Normal 13 3 2 2" xfId="12630" xr:uid="{00000000-0005-0000-0000-0000F02E0000}"/>
    <cellStyle name="Normal 13 3 2 2 2" xfId="12631" xr:uid="{00000000-0005-0000-0000-0000F12E0000}"/>
    <cellStyle name="Normal 13 3 2 3" xfId="12632" xr:uid="{00000000-0005-0000-0000-0000F22E0000}"/>
    <cellStyle name="Normal 13 3 3" xfId="12633" xr:uid="{00000000-0005-0000-0000-0000F32E0000}"/>
    <cellStyle name="Normal 13 3 3 2" xfId="12634" xr:uid="{00000000-0005-0000-0000-0000F42E0000}"/>
    <cellStyle name="Normal 13 3 3 2 2" xfId="12635" xr:uid="{00000000-0005-0000-0000-0000F52E0000}"/>
    <cellStyle name="Normal 13 3 3 3" xfId="12636" xr:uid="{00000000-0005-0000-0000-0000F62E0000}"/>
    <cellStyle name="Normal 13 3 4" xfId="12637" xr:uid="{00000000-0005-0000-0000-0000F72E0000}"/>
    <cellStyle name="Normal 13 4" xfId="12638" xr:uid="{00000000-0005-0000-0000-0000F82E0000}"/>
    <cellStyle name="Normal 13 4 2" xfId="12639" xr:uid="{00000000-0005-0000-0000-0000F92E0000}"/>
    <cellStyle name="Normal 13 5" xfId="12640" xr:uid="{00000000-0005-0000-0000-0000FA2E0000}"/>
    <cellStyle name="Normal 13 5 2" xfId="12641" xr:uid="{00000000-0005-0000-0000-0000FB2E0000}"/>
    <cellStyle name="Normal 13 5 2 2" xfId="12642" xr:uid="{00000000-0005-0000-0000-0000FC2E0000}"/>
    <cellStyle name="Normal 13 5 3" xfId="12643" xr:uid="{00000000-0005-0000-0000-0000FD2E0000}"/>
    <cellStyle name="Normal 13 6" xfId="12644" xr:uid="{00000000-0005-0000-0000-0000FE2E0000}"/>
    <cellStyle name="Normal 13 6 2" xfId="12645" xr:uid="{00000000-0005-0000-0000-0000FF2E0000}"/>
    <cellStyle name="Normal 13 6 2 2" xfId="12646" xr:uid="{00000000-0005-0000-0000-0000002F0000}"/>
    <cellStyle name="Normal 13 6 3" xfId="12647" xr:uid="{00000000-0005-0000-0000-0000012F0000}"/>
    <cellStyle name="Normal 13 7" xfId="12648" xr:uid="{00000000-0005-0000-0000-0000022F0000}"/>
    <cellStyle name="Normal 13 7 2" xfId="12649" xr:uid="{00000000-0005-0000-0000-0000032F0000}"/>
    <cellStyle name="Normal 13 8" xfId="12650" xr:uid="{00000000-0005-0000-0000-0000042F0000}"/>
    <cellStyle name="Normal 13 9" xfId="12619" xr:uid="{00000000-0005-0000-0000-0000052F0000}"/>
    <cellStyle name="Normal 130" xfId="12651" xr:uid="{00000000-0005-0000-0000-0000062F0000}"/>
    <cellStyle name="Normal 130 2" xfId="12652" xr:uid="{00000000-0005-0000-0000-0000072F0000}"/>
    <cellStyle name="Normal 130 2 2" xfId="12653" xr:uid="{00000000-0005-0000-0000-0000082F0000}"/>
    <cellStyle name="Normal 130 2 2 2" xfId="12654" xr:uid="{00000000-0005-0000-0000-0000092F0000}"/>
    <cellStyle name="Normal 130 2 3" xfId="12655" xr:uid="{00000000-0005-0000-0000-00000A2F0000}"/>
    <cellStyle name="Normal 130 3" xfId="12656" xr:uid="{00000000-0005-0000-0000-00000B2F0000}"/>
    <cellStyle name="Normal 130 3 2" xfId="12657" xr:uid="{00000000-0005-0000-0000-00000C2F0000}"/>
    <cellStyle name="Normal 130 3 2 2" xfId="12658" xr:uid="{00000000-0005-0000-0000-00000D2F0000}"/>
    <cellStyle name="Normal 130 3 3" xfId="12659" xr:uid="{00000000-0005-0000-0000-00000E2F0000}"/>
    <cellStyle name="Normal 130 3 3 2" xfId="12660" xr:uid="{00000000-0005-0000-0000-00000F2F0000}"/>
    <cellStyle name="Normal 130 3 3 2 2" xfId="12661" xr:uid="{00000000-0005-0000-0000-0000102F0000}"/>
    <cellStyle name="Normal 130 3 3 3" xfId="12662" xr:uid="{00000000-0005-0000-0000-0000112F0000}"/>
    <cellStyle name="Normal 130 3 4" xfId="12663" xr:uid="{00000000-0005-0000-0000-0000122F0000}"/>
    <cellStyle name="Normal 130 4" xfId="12664" xr:uid="{00000000-0005-0000-0000-0000132F0000}"/>
    <cellStyle name="Normal 130 4 2" xfId="12665" xr:uid="{00000000-0005-0000-0000-0000142F0000}"/>
    <cellStyle name="Normal 130 4 2 2" xfId="12666" xr:uid="{00000000-0005-0000-0000-0000152F0000}"/>
    <cellStyle name="Normal 130 4 3" xfId="12667" xr:uid="{00000000-0005-0000-0000-0000162F0000}"/>
    <cellStyle name="Normal 130 5" xfId="12668" xr:uid="{00000000-0005-0000-0000-0000172F0000}"/>
    <cellStyle name="Normal 131" xfId="12669" xr:uid="{00000000-0005-0000-0000-0000182F0000}"/>
    <cellStyle name="Normal 131 2" xfId="12670" xr:uid="{00000000-0005-0000-0000-0000192F0000}"/>
    <cellStyle name="Normal 131 2 2" xfId="12671" xr:uid="{00000000-0005-0000-0000-00001A2F0000}"/>
    <cellStyle name="Normal 131 2 2 2" xfId="12672" xr:uid="{00000000-0005-0000-0000-00001B2F0000}"/>
    <cellStyle name="Normal 131 2 3" xfId="12673" xr:uid="{00000000-0005-0000-0000-00001C2F0000}"/>
    <cellStyle name="Normal 131 3" xfId="12674" xr:uid="{00000000-0005-0000-0000-00001D2F0000}"/>
    <cellStyle name="Normal 131 3 2" xfId="12675" xr:uid="{00000000-0005-0000-0000-00001E2F0000}"/>
    <cellStyle name="Normal 131 3 2 2" xfId="12676" xr:uid="{00000000-0005-0000-0000-00001F2F0000}"/>
    <cellStyle name="Normal 131 3 3" xfId="12677" xr:uid="{00000000-0005-0000-0000-0000202F0000}"/>
    <cellStyle name="Normal 131 3 3 2" xfId="12678" xr:uid="{00000000-0005-0000-0000-0000212F0000}"/>
    <cellStyle name="Normal 131 3 3 2 2" xfId="12679" xr:uid="{00000000-0005-0000-0000-0000222F0000}"/>
    <cellStyle name="Normal 131 3 3 3" xfId="12680" xr:uid="{00000000-0005-0000-0000-0000232F0000}"/>
    <cellStyle name="Normal 131 3 4" xfId="12681" xr:uid="{00000000-0005-0000-0000-0000242F0000}"/>
    <cellStyle name="Normal 131 4" xfId="12682" xr:uid="{00000000-0005-0000-0000-0000252F0000}"/>
    <cellStyle name="Normal 131 4 2" xfId="12683" xr:uid="{00000000-0005-0000-0000-0000262F0000}"/>
    <cellStyle name="Normal 131 4 2 2" xfId="12684" xr:uid="{00000000-0005-0000-0000-0000272F0000}"/>
    <cellStyle name="Normal 131 4 3" xfId="12685" xr:uid="{00000000-0005-0000-0000-0000282F0000}"/>
    <cellStyle name="Normal 131 5" xfId="12686" xr:uid="{00000000-0005-0000-0000-0000292F0000}"/>
    <cellStyle name="Normal 132" xfId="12687" xr:uid="{00000000-0005-0000-0000-00002A2F0000}"/>
    <cellStyle name="Normal 132 2" xfId="12688" xr:uid="{00000000-0005-0000-0000-00002B2F0000}"/>
    <cellStyle name="Normal 132 2 2" xfId="12689" xr:uid="{00000000-0005-0000-0000-00002C2F0000}"/>
    <cellStyle name="Normal 132 2 2 2" xfId="12690" xr:uid="{00000000-0005-0000-0000-00002D2F0000}"/>
    <cellStyle name="Normal 132 2 3" xfId="12691" xr:uid="{00000000-0005-0000-0000-00002E2F0000}"/>
    <cellStyle name="Normal 132 3" xfId="12692" xr:uid="{00000000-0005-0000-0000-00002F2F0000}"/>
    <cellStyle name="Normal 132 3 2" xfId="12693" xr:uid="{00000000-0005-0000-0000-0000302F0000}"/>
    <cellStyle name="Normal 132 3 2 2" xfId="12694" xr:uid="{00000000-0005-0000-0000-0000312F0000}"/>
    <cellStyle name="Normal 132 3 3" xfId="12695" xr:uid="{00000000-0005-0000-0000-0000322F0000}"/>
    <cellStyle name="Normal 132 3 3 2" xfId="12696" xr:uid="{00000000-0005-0000-0000-0000332F0000}"/>
    <cellStyle name="Normal 132 3 3 2 2" xfId="12697" xr:uid="{00000000-0005-0000-0000-0000342F0000}"/>
    <cellStyle name="Normal 132 3 3 3" xfId="12698" xr:uid="{00000000-0005-0000-0000-0000352F0000}"/>
    <cellStyle name="Normal 132 3 4" xfId="12699" xr:uid="{00000000-0005-0000-0000-0000362F0000}"/>
    <cellStyle name="Normal 132 4" xfId="12700" xr:uid="{00000000-0005-0000-0000-0000372F0000}"/>
    <cellStyle name="Normal 132 4 2" xfId="12701" xr:uid="{00000000-0005-0000-0000-0000382F0000}"/>
    <cellStyle name="Normal 132 4 2 2" xfId="12702" xr:uid="{00000000-0005-0000-0000-0000392F0000}"/>
    <cellStyle name="Normal 132 4 3" xfId="12703" xr:uid="{00000000-0005-0000-0000-00003A2F0000}"/>
    <cellStyle name="Normal 132 5" xfId="12704" xr:uid="{00000000-0005-0000-0000-00003B2F0000}"/>
    <cellStyle name="Normal 133" xfId="12705" xr:uid="{00000000-0005-0000-0000-00003C2F0000}"/>
    <cellStyle name="Normal 133 2" xfId="12706" xr:uid="{00000000-0005-0000-0000-00003D2F0000}"/>
    <cellStyle name="Normal 133 2 2" xfId="12707" xr:uid="{00000000-0005-0000-0000-00003E2F0000}"/>
    <cellStyle name="Normal 133 2 2 2" xfId="12708" xr:uid="{00000000-0005-0000-0000-00003F2F0000}"/>
    <cellStyle name="Normal 133 2 3" xfId="12709" xr:uid="{00000000-0005-0000-0000-0000402F0000}"/>
    <cellStyle name="Normal 133 3" xfId="12710" xr:uid="{00000000-0005-0000-0000-0000412F0000}"/>
    <cellStyle name="Normal 133 3 2" xfId="12711" xr:uid="{00000000-0005-0000-0000-0000422F0000}"/>
    <cellStyle name="Normal 133 3 2 2" xfId="12712" xr:uid="{00000000-0005-0000-0000-0000432F0000}"/>
    <cellStyle name="Normal 133 3 3" xfId="12713" xr:uid="{00000000-0005-0000-0000-0000442F0000}"/>
    <cellStyle name="Normal 133 3 3 2" xfId="12714" xr:uid="{00000000-0005-0000-0000-0000452F0000}"/>
    <cellStyle name="Normal 133 3 3 2 2" xfId="12715" xr:uid="{00000000-0005-0000-0000-0000462F0000}"/>
    <cellStyle name="Normal 133 3 3 3" xfId="12716" xr:uid="{00000000-0005-0000-0000-0000472F0000}"/>
    <cellStyle name="Normal 133 3 4" xfId="12717" xr:uid="{00000000-0005-0000-0000-0000482F0000}"/>
    <cellStyle name="Normal 133 4" xfId="12718" xr:uid="{00000000-0005-0000-0000-0000492F0000}"/>
    <cellStyle name="Normal 133 4 2" xfId="12719" xr:uid="{00000000-0005-0000-0000-00004A2F0000}"/>
    <cellStyle name="Normal 133 4 2 2" xfId="12720" xr:uid="{00000000-0005-0000-0000-00004B2F0000}"/>
    <cellStyle name="Normal 133 4 3" xfId="12721" xr:uid="{00000000-0005-0000-0000-00004C2F0000}"/>
    <cellStyle name="Normal 133 5" xfId="12722" xr:uid="{00000000-0005-0000-0000-00004D2F0000}"/>
    <cellStyle name="Normal 134" xfId="12723" xr:uid="{00000000-0005-0000-0000-00004E2F0000}"/>
    <cellStyle name="Normal 134 2" xfId="12724" xr:uid="{00000000-0005-0000-0000-00004F2F0000}"/>
    <cellStyle name="Normal 134 2 2" xfId="12725" xr:uid="{00000000-0005-0000-0000-0000502F0000}"/>
    <cellStyle name="Normal 134 2 2 2" xfId="12726" xr:uid="{00000000-0005-0000-0000-0000512F0000}"/>
    <cellStyle name="Normal 134 2 3" xfId="12727" xr:uid="{00000000-0005-0000-0000-0000522F0000}"/>
    <cellStyle name="Normal 134 3" xfId="12728" xr:uid="{00000000-0005-0000-0000-0000532F0000}"/>
    <cellStyle name="Normal 134 3 2" xfId="12729" xr:uid="{00000000-0005-0000-0000-0000542F0000}"/>
    <cellStyle name="Normal 134 3 2 2" xfId="12730" xr:uid="{00000000-0005-0000-0000-0000552F0000}"/>
    <cellStyle name="Normal 134 3 3" xfId="12731" xr:uid="{00000000-0005-0000-0000-0000562F0000}"/>
    <cellStyle name="Normal 134 3 3 2" xfId="12732" xr:uid="{00000000-0005-0000-0000-0000572F0000}"/>
    <cellStyle name="Normal 134 3 3 2 2" xfId="12733" xr:uid="{00000000-0005-0000-0000-0000582F0000}"/>
    <cellStyle name="Normal 134 3 3 3" xfId="12734" xr:uid="{00000000-0005-0000-0000-0000592F0000}"/>
    <cellStyle name="Normal 134 3 4" xfId="12735" xr:uid="{00000000-0005-0000-0000-00005A2F0000}"/>
    <cellStyle name="Normal 134 4" xfId="12736" xr:uid="{00000000-0005-0000-0000-00005B2F0000}"/>
    <cellStyle name="Normal 134 4 2" xfId="12737" xr:uid="{00000000-0005-0000-0000-00005C2F0000}"/>
    <cellStyle name="Normal 134 4 2 2" xfId="12738" xr:uid="{00000000-0005-0000-0000-00005D2F0000}"/>
    <cellStyle name="Normal 134 4 3" xfId="12739" xr:uid="{00000000-0005-0000-0000-00005E2F0000}"/>
    <cellStyle name="Normal 134 5" xfId="12740" xr:uid="{00000000-0005-0000-0000-00005F2F0000}"/>
    <cellStyle name="Normal 135" xfId="12741" xr:uid="{00000000-0005-0000-0000-0000602F0000}"/>
    <cellStyle name="Normal 135 2" xfId="12742" xr:uid="{00000000-0005-0000-0000-0000612F0000}"/>
    <cellStyle name="Normal 135 2 2" xfId="12743" xr:uid="{00000000-0005-0000-0000-0000622F0000}"/>
    <cellStyle name="Normal 135 2 2 2" xfId="12744" xr:uid="{00000000-0005-0000-0000-0000632F0000}"/>
    <cellStyle name="Normal 135 2 3" xfId="12745" xr:uid="{00000000-0005-0000-0000-0000642F0000}"/>
    <cellStyle name="Normal 135 3" xfId="12746" xr:uid="{00000000-0005-0000-0000-0000652F0000}"/>
    <cellStyle name="Normal 135 3 2" xfId="12747" xr:uid="{00000000-0005-0000-0000-0000662F0000}"/>
    <cellStyle name="Normal 135 3 2 2" xfId="12748" xr:uid="{00000000-0005-0000-0000-0000672F0000}"/>
    <cellStyle name="Normal 135 3 3" xfId="12749" xr:uid="{00000000-0005-0000-0000-0000682F0000}"/>
    <cellStyle name="Normal 135 3 3 2" xfId="12750" xr:uid="{00000000-0005-0000-0000-0000692F0000}"/>
    <cellStyle name="Normal 135 3 3 2 2" xfId="12751" xr:uid="{00000000-0005-0000-0000-00006A2F0000}"/>
    <cellStyle name="Normal 135 3 3 3" xfId="12752" xr:uid="{00000000-0005-0000-0000-00006B2F0000}"/>
    <cellStyle name="Normal 135 3 4" xfId="12753" xr:uid="{00000000-0005-0000-0000-00006C2F0000}"/>
    <cellStyle name="Normal 135 4" xfId="12754" xr:uid="{00000000-0005-0000-0000-00006D2F0000}"/>
    <cellStyle name="Normal 135 4 2" xfId="12755" xr:uid="{00000000-0005-0000-0000-00006E2F0000}"/>
    <cellStyle name="Normal 135 4 2 2" xfId="12756" xr:uid="{00000000-0005-0000-0000-00006F2F0000}"/>
    <cellStyle name="Normal 135 4 3" xfId="12757" xr:uid="{00000000-0005-0000-0000-0000702F0000}"/>
    <cellStyle name="Normal 135 5" xfId="12758" xr:uid="{00000000-0005-0000-0000-0000712F0000}"/>
    <cellStyle name="Normal 136" xfId="12759" xr:uid="{00000000-0005-0000-0000-0000722F0000}"/>
    <cellStyle name="Normal 136 2" xfId="12760" xr:uid="{00000000-0005-0000-0000-0000732F0000}"/>
    <cellStyle name="Normal 136 2 2" xfId="12761" xr:uid="{00000000-0005-0000-0000-0000742F0000}"/>
    <cellStyle name="Normal 136 2 2 2" xfId="12762" xr:uid="{00000000-0005-0000-0000-0000752F0000}"/>
    <cellStyle name="Normal 136 2 3" xfId="12763" xr:uid="{00000000-0005-0000-0000-0000762F0000}"/>
    <cellStyle name="Normal 136 2 3 2" xfId="12764" xr:uid="{00000000-0005-0000-0000-0000772F0000}"/>
    <cellStyle name="Normal 136 2 3 2 2" xfId="12765" xr:uid="{00000000-0005-0000-0000-0000782F0000}"/>
    <cellStyle name="Normal 136 2 3 3" xfId="12766" xr:uid="{00000000-0005-0000-0000-0000792F0000}"/>
    <cellStyle name="Normal 136 2 4" xfId="12767" xr:uid="{00000000-0005-0000-0000-00007A2F0000}"/>
    <cellStyle name="Normal 136 2 4 2" xfId="12768" xr:uid="{00000000-0005-0000-0000-00007B2F0000}"/>
    <cellStyle name="Normal 136 2 4 2 2" xfId="12769" xr:uid="{00000000-0005-0000-0000-00007C2F0000}"/>
    <cellStyle name="Normal 136 2 4 3" xfId="12770" xr:uid="{00000000-0005-0000-0000-00007D2F0000}"/>
    <cellStyle name="Normal 136 2 5" xfId="12771" xr:uid="{00000000-0005-0000-0000-00007E2F0000}"/>
    <cellStyle name="Normal 136 3" xfId="12772" xr:uid="{00000000-0005-0000-0000-00007F2F0000}"/>
    <cellStyle name="Normal 136 3 2" xfId="12773" xr:uid="{00000000-0005-0000-0000-0000802F0000}"/>
    <cellStyle name="Normal 136 3 2 2" xfId="12774" xr:uid="{00000000-0005-0000-0000-0000812F0000}"/>
    <cellStyle name="Normal 136 3 2 2 2" xfId="12775" xr:uid="{00000000-0005-0000-0000-0000822F0000}"/>
    <cellStyle name="Normal 136 3 2 3" xfId="12776" xr:uid="{00000000-0005-0000-0000-0000832F0000}"/>
    <cellStyle name="Normal 136 3 2 3 2" xfId="12777" xr:uid="{00000000-0005-0000-0000-0000842F0000}"/>
    <cellStyle name="Normal 136 3 2 3 2 2" xfId="12778" xr:uid="{00000000-0005-0000-0000-0000852F0000}"/>
    <cellStyle name="Normal 136 3 2 3 3" xfId="12779" xr:uid="{00000000-0005-0000-0000-0000862F0000}"/>
    <cellStyle name="Normal 136 3 2 4" xfId="12780" xr:uid="{00000000-0005-0000-0000-0000872F0000}"/>
    <cellStyle name="Normal 136 3 3" xfId="12781" xr:uid="{00000000-0005-0000-0000-0000882F0000}"/>
    <cellStyle name="Normal 136 3 3 2" xfId="12782" xr:uid="{00000000-0005-0000-0000-0000892F0000}"/>
    <cellStyle name="Normal 136 3 3 2 2" xfId="12783" xr:uid="{00000000-0005-0000-0000-00008A2F0000}"/>
    <cellStyle name="Normal 136 3 3 3" xfId="12784" xr:uid="{00000000-0005-0000-0000-00008B2F0000}"/>
    <cellStyle name="Normal 136 3 4" xfId="12785" xr:uid="{00000000-0005-0000-0000-00008C2F0000}"/>
    <cellStyle name="Normal 136 3 4 2" xfId="12786" xr:uid="{00000000-0005-0000-0000-00008D2F0000}"/>
    <cellStyle name="Normal 136 3 4 2 2" xfId="12787" xr:uid="{00000000-0005-0000-0000-00008E2F0000}"/>
    <cellStyle name="Normal 136 3 4 3" xfId="12788" xr:uid="{00000000-0005-0000-0000-00008F2F0000}"/>
    <cellStyle name="Normal 136 3 5" xfId="12789" xr:uid="{00000000-0005-0000-0000-0000902F0000}"/>
    <cellStyle name="Normal 136 3 5 2" xfId="12790" xr:uid="{00000000-0005-0000-0000-0000912F0000}"/>
    <cellStyle name="Normal 136 3 5 2 2" xfId="12791" xr:uid="{00000000-0005-0000-0000-0000922F0000}"/>
    <cellStyle name="Normal 136 3 5 3" xfId="12792" xr:uid="{00000000-0005-0000-0000-0000932F0000}"/>
    <cellStyle name="Normal 136 3 6" xfId="12793" xr:uid="{00000000-0005-0000-0000-0000942F0000}"/>
    <cellStyle name="Normal 136 4" xfId="12794" xr:uid="{00000000-0005-0000-0000-0000952F0000}"/>
    <cellStyle name="Normal 136 4 2" xfId="12795" xr:uid="{00000000-0005-0000-0000-0000962F0000}"/>
    <cellStyle name="Normal 136 4 2 2" xfId="12796" xr:uid="{00000000-0005-0000-0000-0000972F0000}"/>
    <cellStyle name="Normal 136 4 3" xfId="12797" xr:uid="{00000000-0005-0000-0000-0000982F0000}"/>
    <cellStyle name="Normal 136 5" xfId="12798" xr:uid="{00000000-0005-0000-0000-0000992F0000}"/>
    <cellStyle name="Normal 136 5 2" xfId="12799" xr:uid="{00000000-0005-0000-0000-00009A2F0000}"/>
    <cellStyle name="Normal 136 5 2 2" xfId="12800" xr:uid="{00000000-0005-0000-0000-00009B2F0000}"/>
    <cellStyle name="Normal 136 5 3" xfId="12801" xr:uid="{00000000-0005-0000-0000-00009C2F0000}"/>
    <cellStyle name="Normal 136 6" xfId="12802" xr:uid="{00000000-0005-0000-0000-00009D2F0000}"/>
    <cellStyle name="Normal 136 6 2" xfId="12803" xr:uid="{00000000-0005-0000-0000-00009E2F0000}"/>
    <cellStyle name="Normal 136 6 2 2" xfId="12804" xr:uid="{00000000-0005-0000-0000-00009F2F0000}"/>
    <cellStyle name="Normal 136 6 3" xfId="12805" xr:uid="{00000000-0005-0000-0000-0000A02F0000}"/>
    <cellStyle name="Normal 136 7" xfId="12806" xr:uid="{00000000-0005-0000-0000-0000A12F0000}"/>
    <cellStyle name="Normal 137" xfId="12807" xr:uid="{00000000-0005-0000-0000-0000A22F0000}"/>
    <cellStyle name="Normal 137 2" xfId="12808" xr:uid="{00000000-0005-0000-0000-0000A32F0000}"/>
    <cellStyle name="Normal 137 2 2" xfId="12809" xr:uid="{00000000-0005-0000-0000-0000A42F0000}"/>
    <cellStyle name="Normal 137 2 2 2" xfId="12810" xr:uid="{00000000-0005-0000-0000-0000A52F0000}"/>
    <cellStyle name="Normal 137 2 3" xfId="12811" xr:uid="{00000000-0005-0000-0000-0000A62F0000}"/>
    <cellStyle name="Normal 137 2 3 2" xfId="12812" xr:uid="{00000000-0005-0000-0000-0000A72F0000}"/>
    <cellStyle name="Normal 137 2 3 2 2" xfId="12813" xr:uid="{00000000-0005-0000-0000-0000A82F0000}"/>
    <cellStyle name="Normal 137 2 3 3" xfId="12814" xr:uid="{00000000-0005-0000-0000-0000A92F0000}"/>
    <cellStyle name="Normal 137 2 4" xfId="12815" xr:uid="{00000000-0005-0000-0000-0000AA2F0000}"/>
    <cellStyle name="Normal 137 2 4 2" xfId="12816" xr:uid="{00000000-0005-0000-0000-0000AB2F0000}"/>
    <cellStyle name="Normal 137 2 4 2 2" xfId="12817" xr:uid="{00000000-0005-0000-0000-0000AC2F0000}"/>
    <cellStyle name="Normal 137 2 4 3" xfId="12818" xr:uid="{00000000-0005-0000-0000-0000AD2F0000}"/>
    <cellStyle name="Normal 137 2 5" xfId="12819" xr:uid="{00000000-0005-0000-0000-0000AE2F0000}"/>
    <cellStyle name="Normal 137 3" xfId="12820" xr:uid="{00000000-0005-0000-0000-0000AF2F0000}"/>
    <cellStyle name="Normal 137 3 2" xfId="12821" xr:uid="{00000000-0005-0000-0000-0000B02F0000}"/>
    <cellStyle name="Normal 137 3 2 2" xfId="12822" xr:uid="{00000000-0005-0000-0000-0000B12F0000}"/>
    <cellStyle name="Normal 137 3 2 2 2" xfId="12823" xr:uid="{00000000-0005-0000-0000-0000B22F0000}"/>
    <cellStyle name="Normal 137 3 2 3" xfId="12824" xr:uid="{00000000-0005-0000-0000-0000B32F0000}"/>
    <cellStyle name="Normal 137 3 2 3 2" xfId="12825" xr:uid="{00000000-0005-0000-0000-0000B42F0000}"/>
    <cellStyle name="Normal 137 3 2 3 2 2" xfId="12826" xr:uid="{00000000-0005-0000-0000-0000B52F0000}"/>
    <cellStyle name="Normal 137 3 2 3 3" xfId="12827" xr:uid="{00000000-0005-0000-0000-0000B62F0000}"/>
    <cellStyle name="Normal 137 3 2 4" xfId="12828" xr:uid="{00000000-0005-0000-0000-0000B72F0000}"/>
    <cellStyle name="Normal 137 3 3" xfId="12829" xr:uid="{00000000-0005-0000-0000-0000B82F0000}"/>
    <cellStyle name="Normal 137 3 3 2" xfId="12830" xr:uid="{00000000-0005-0000-0000-0000B92F0000}"/>
    <cellStyle name="Normal 137 3 3 2 2" xfId="12831" xr:uid="{00000000-0005-0000-0000-0000BA2F0000}"/>
    <cellStyle name="Normal 137 3 3 3" xfId="12832" xr:uid="{00000000-0005-0000-0000-0000BB2F0000}"/>
    <cellStyle name="Normal 137 3 4" xfId="12833" xr:uid="{00000000-0005-0000-0000-0000BC2F0000}"/>
    <cellStyle name="Normal 137 3 4 2" xfId="12834" xr:uid="{00000000-0005-0000-0000-0000BD2F0000}"/>
    <cellStyle name="Normal 137 3 4 2 2" xfId="12835" xr:uid="{00000000-0005-0000-0000-0000BE2F0000}"/>
    <cellStyle name="Normal 137 3 4 3" xfId="12836" xr:uid="{00000000-0005-0000-0000-0000BF2F0000}"/>
    <cellStyle name="Normal 137 3 5" xfId="12837" xr:uid="{00000000-0005-0000-0000-0000C02F0000}"/>
    <cellStyle name="Normal 137 3 5 2" xfId="12838" xr:uid="{00000000-0005-0000-0000-0000C12F0000}"/>
    <cellStyle name="Normal 137 3 5 2 2" xfId="12839" xr:uid="{00000000-0005-0000-0000-0000C22F0000}"/>
    <cellStyle name="Normal 137 3 5 3" xfId="12840" xr:uid="{00000000-0005-0000-0000-0000C32F0000}"/>
    <cellStyle name="Normal 137 3 6" xfId="12841" xr:uid="{00000000-0005-0000-0000-0000C42F0000}"/>
    <cellStyle name="Normal 137 4" xfId="12842" xr:uid="{00000000-0005-0000-0000-0000C52F0000}"/>
    <cellStyle name="Normal 137 4 2" xfId="12843" xr:uid="{00000000-0005-0000-0000-0000C62F0000}"/>
    <cellStyle name="Normal 137 4 2 2" xfId="12844" xr:uid="{00000000-0005-0000-0000-0000C72F0000}"/>
    <cellStyle name="Normal 137 4 3" xfId="12845" xr:uid="{00000000-0005-0000-0000-0000C82F0000}"/>
    <cellStyle name="Normal 137 5" xfId="12846" xr:uid="{00000000-0005-0000-0000-0000C92F0000}"/>
    <cellStyle name="Normal 137 5 2" xfId="12847" xr:uid="{00000000-0005-0000-0000-0000CA2F0000}"/>
    <cellStyle name="Normal 137 5 2 2" xfId="12848" xr:uid="{00000000-0005-0000-0000-0000CB2F0000}"/>
    <cellStyle name="Normal 137 5 3" xfId="12849" xr:uid="{00000000-0005-0000-0000-0000CC2F0000}"/>
    <cellStyle name="Normal 137 6" xfId="12850" xr:uid="{00000000-0005-0000-0000-0000CD2F0000}"/>
    <cellStyle name="Normal 137 6 2" xfId="12851" xr:uid="{00000000-0005-0000-0000-0000CE2F0000}"/>
    <cellStyle name="Normal 137 6 2 2" xfId="12852" xr:uid="{00000000-0005-0000-0000-0000CF2F0000}"/>
    <cellStyle name="Normal 137 6 3" xfId="12853" xr:uid="{00000000-0005-0000-0000-0000D02F0000}"/>
    <cellStyle name="Normal 137 7" xfId="12854" xr:uid="{00000000-0005-0000-0000-0000D12F0000}"/>
    <cellStyle name="Normal 138" xfId="12855" xr:uid="{00000000-0005-0000-0000-0000D22F0000}"/>
    <cellStyle name="Normal 138 2" xfId="12856" xr:uid="{00000000-0005-0000-0000-0000D32F0000}"/>
    <cellStyle name="Normal 138 2 2" xfId="12857" xr:uid="{00000000-0005-0000-0000-0000D42F0000}"/>
    <cellStyle name="Normal 138 2 2 2" xfId="12858" xr:uid="{00000000-0005-0000-0000-0000D52F0000}"/>
    <cellStyle name="Normal 138 2 3" xfId="12859" xr:uid="{00000000-0005-0000-0000-0000D62F0000}"/>
    <cellStyle name="Normal 138 2 3 2" xfId="12860" xr:uid="{00000000-0005-0000-0000-0000D72F0000}"/>
    <cellStyle name="Normal 138 2 3 2 2" xfId="12861" xr:uid="{00000000-0005-0000-0000-0000D82F0000}"/>
    <cellStyle name="Normal 138 2 3 3" xfId="12862" xr:uid="{00000000-0005-0000-0000-0000D92F0000}"/>
    <cellStyle name="Normal 138 2 4" xfId="12863" xr:uid="{00000000-0005-0000-0000-0000DA2F0000}"/>
    <cellStyle name="Normal 138 2 4 2" xfId="12864" xr:uid="{00000000-0005-0000-0000-0000DB2F0000}"/>
    <cellStyle name="Normal 138 2 4 2 2" xfId="12865" xr:uid="{00000000-0005-0000-0000-0000DC2F0000}"/>
    <cellStyle name="Normal 138 2 4 3" xfId="12866" xr:uid="{00000000-0005-0000-0000-0000DD2F0000}"/>
    <cellStyle name="Normal 138 2 5" xfId="12867" xr:uid="{00000000-0005-0000-0000-0000DE2F0000}"/>
    <cellStyle name="Normal 138 3" xfId="12868" xr:uid="{00000000-0005-0000-0000-0000DF2F0000}"/>
    <cellStyle name="Normal 138 3 2" xfId="12869" xr:uid="{00000000-0005-0000-0000-0000E02F0000}"/>
    <cellStyle name="Normal 138 3 2 2" xfId="12870" xr:uid="{00000000-0005-0000-0000-0000E12F0000}"/>
    <cellStyle name="Normal 138 3 2 2 2" xfId="12871" xr:uid="{00000000-0005-0000-0000-0000E22F0000}"/>
    <cellStyle name="Normal 138 3 2 3" xfId="12872" xr:uid="{00000000-0005-0000-0000-0000E32F0000}"/>
    <cellStyle name="Normal 138 3 2 3 2" xfId="12873" xr:uid="{00000000-0005-0000-0000-0000E42F0000}"/>
    <cellStyle name="Normal 138 3 2 3 2 2" xfId="12874" xr:uid="{00000000-0005-0000-0000-0000E52F0000}"/>
    <cellStyle name="Normal 138 3 2 3 3" xfId="12875" xr:uid="{00000000-0005-0000-0000-0000E62F0000}"/>
    <cellStyle name="Normal 138 3 2 4" xfId="12876" xr:uid="{00000000-0005-0000-0000-0000E72F0000}"/>
    <cellStyle name="Normal 138 3 3" xfId="12877" xr:uid="{00000000-0005-0000-0000-0000E82F0000}"/>
    <cellStyle name="Normal 138 3 3 2" xfId="12878" xr:uid="{00000000-0005-0000-0000-0000E92F0000}"/>
    <cellStyle name="Normal 138 3 3 2 2" xfId="12879" xr:uid="{00000000-0005-0000-0000-0000EA2F0000}"/>
    <cellStyle name="Normal 138 3 3 3" xfId="12880" xr:uid="{00000000-0005-0000-0000-0000EB2F0000}"/>
    <cellStyle name="Normal 138 3 4" xfId="12881" xr:uid="{00000000-0005-0000-0000-0000EC2F0000}"/>
    <cellStyle name="Normal 138 3 4 2" xfId="12882" xr:uid="{00000000-0005-0000-0000-0000ED2F0000}"/>
    <cellStyle name="Normal 138 3 4 2 2" xfId="12883" xr:uid="{00000000-0005-0000-0000-0000EE2F0000}"/>
    <cellStyle name="Normal 138 3 4 3" xfId="12884" xr:uid="{00000000-0005-0000-0000-0000EF2F0000}"/>
    <cellStyle name="Normal 138 3 5" xfId="12885" xr:uid="{00000000-0005-0000-0000-0000F02F0000}"/>
    <cellStyle name="Normal 138 3 5 2" xfId="12886" xr:uid="{00000000-0005-0000-0000-0000F12F0000}"/>
    <cellStyle name="Normal 138 3 5 2 2" xfId="12887" xr:uid="{00000000-0005-0000-0000-0000F22F0000}"/>
    <cellStyle name="Normal 138 3 5 3" xfId="12888" xr:uid="{00000000-0005-0000-0000-0000F32F0000}"/>
    <cellStyle name="Normal 138 3 6" xfId="12889" xr:uid="{00000000-0005-0000-0000-0000F42F0000}"/>
    <cellStyle name="Normal 138 4" xfId="12890" xr:uid="{00000000-0005-0000-0000-0000F52F0000}"/>
    <cellStyle name="Normal 138 4 2" xfId="12891" xr:uid="{00000000-0005-0000-0000-0000F62F0000}"/>
    <cellStyle name="Normal 138 4 2 2" xfId="12892" xr:uid="{00000000-0005-0000-0000-0000F72F0000}"/>
    <cellStyle name="Normal 138 4 3" xfId="12893" xr:uid="{00000000-0005-0000-0000-0000F82F0000}"/>
    <cellStyle name="Normal 138 5" xfId="12894" xr:uid="{00000000-0005-0000-0000-0000F92F0000}"/>
    <cellStyle name="Normal 138 5 2" xfId="12895" xr:uid="{00000000-0005-0000-0000-0000FA2F0000}"/>
    <cellStyle name="Normal 138 5 2 2" xfId="12896" xr:uid="{00000000-0005-0000-0000-0000FB2F0000}"/>
    <cellStyle name="Normal 138 5 3" xfId="12897" xr:uid="{00000000-0005-0000-0000-0000FC2F0000}"/>
    <cellStyle name="Normal 138 6" xfId="12898" xr:uid="{00000000-0005-0000-0000-0000FD2F0000}"/>
    <cellStyle name="Normal 138 6 2" xfId="12899" xr:uid="{00000000-0005-0000-0000-0000FE2F0000}"/>
    <cellStyle name="Normal 138 6 2 2" xfId="12900" xr:uid="{00000000-0005-0000-0000-0000FF2F0000}"/>
    <cellStyle name="Normal 138 6 3" xfId="12901" xr:uid="{00000000-0005-0000-0000-000000300000}"/>
    <cellStyle name="Normal 138 7" xfId="12902" xr:uid="{00000000-0005-0000-0000-000001300000}"/>
    <cellStyle name="Normal 139" xfId="12903" xr:uid="{00000000-0005-0000-0000-000002300000}"/>
    <cellStyle name="Normal 139 2" xfId="12904" xr:uid="{00000000-0005-0000-0000-000003300000}"/>
    <cellStyle name="Normal 139 2 2" xfId="12905" xr:uid="{00000000-0005-0000-0000-000004300000}"/>
    <cellStyle name="Normal 139 2 2 2" xfId="12906" xr:uid="{00000000-0005-0000-0000-000005300000}"/>
    <cellStyle name="Normal 139 2 3" xfId="12907" xr:uid="{00000000-0005-0000-0000-000006300000}"/>
    <cellStyle name="Normal 139 2 3 2" xfId="12908" xr:uid="{00000000-0005-0000-0000-000007300000}"/>
    <cellStyle name="Normal 139 2 3 2 2" xfId="12909" xr:uid="{00000000-0005-0000-0000-000008300000}"/>
    <cellStyle name="Normal 139 2 3 3" xfId="12910" xr:uid="{00000000-0005-0000-0000-000009300000}"/>
    <cellStyle name="Normal 139 2 4" xfId="12911" xr:uid="{00000000-0005-0000-0000-00000A300000}"/>
    <cellStyle name="Normal 139 2 4 2" xfId="12912" xr:uid="{00000000-0005-0000-0000-00000B300000}"/>
    <cellStyle name="Normal 139 2 4 2 2" xfId="12913" xr:uid="{00000000-0005-0000-0000-00000C300000}"/>
    <cellStyle name="Normal 139 2 4 3" xfId="12914" xr:uid="{00000000-0005-0000-0000-00000D300000}"/>
    <cellStyle name="Normal 139 2 5" xfId="12915" xr:uid="{00000000-0005-0000-0000-00000E300000}"/>
    <cellStyle name="Normal 139 3" xfId="12916" xr:uid="{00000000-0005-0000-0000-00000F300000}"/>
    <cellStyle name="Normal 139 3 2" xfId="12917" xr:uid="{00000000-0005-0000-0000-000010300000}"/>
    <cellStyle name="Normal 139 3 2 2" xfId="12918" xr:uid="{00000000-0005-0000-0000-000011300000}"/>
    <cellStyle name="Normal 139 3 2 2 2" xfId="12919" xr:uid="{00000000-0005-0000-0000-000012300000}"/>
    <cellStyle name="Normal 139 3 2 3" xfId="12920" xr:uid="{00000000-0005-0000-0000-000013300000}"/>
    <cellStyle name="Normal 139 3 2 3 2" xfId="12921" xr:uid="{00000000-0005-0000-0000-000014300000}"/>
    <cellStyle name="Normal 139 3 2 3 2 2" xfId="12922" xr:uid="{00000000-0005-0000-0000-000015300000}"/>
    <cellStyle name="Normal 139 3 2 3 3" xfId="12923" xr:uid="{00000000-0005-0000-0000-000016300000}"/>
    <cellStyle name="Normal 139 3 2 4" xfId="12924" xr:uid="{00000000-0005-0000-0000-000017300000}"/>
    <cellStyle name="Normal 139 3 3" xfId="12925" xr:uid="{00000000-0005-0000-0000-000018300000}"/>
    <cellStyle name="Normal 139 3 3 2" xfId="12926" xr:uid="{00000000-0005-0000-0000-000019300000}"/>
    <cellStyle name="Normal 139 3 3 2 2" xfId="12927" xr:uid="{00000000-0005-0000-0000-00001A300000}"/>
    <cellStyle name="Normal 139 3 3 3" xfId="12928" xr:uid="{00000000-0005-0000-0000-00001B300000}"/>
    <cellStyle name="Normal 139 3 4" xfId="12929" xr:uid="{00000000-0005-0000-0000-00001C300000}"/>
    <cellStyle name="Normal 139 3 4 2" xfId="12930" xr:uid="{00000000-0005-0000-0000-00001D300000}"/>
    <cellStyle name="Normal 139 3 4 2 2" xfId="12931" xr:uid="{00000000-0005-0000-0000-00001E300000}"/>
    <cellStyle name="Normal 139 3 4 3" xfId="12932" xr:uid="{00000000-0005-0000-0000-00001F300000}"/>
    <cellStyle name="Normal 139 3 5" xfId="12933" xr:uid="{00000000-0005-0000-0000-000020300000}"/>
    <cellStyle name="Normal 139 3 5 2" xfId="12934" xr:uid="{00000000-0005-0000-0000-000021300000}"/>
    <cellStyle name="Normal 139 3 5 2 2" xfId="12935" xr:uid="{00000000-0005-0000-0000-000022300000}"/>
    <cellStyle name="Normal 139 3 5 3" xfId="12936" xr:uid="{00000000-0005-0000-0000-000023300000}"/>
    <cellStyle name="Normal 139 3 6" xfId="12937" xr:uid="{00000000-0005-0000-0000-000024300000}"/>
    <cellStyle name="Normal 139 4" xfId="12938" xr:uid="{00000000-0005-0000-0000-000025300000}"/>
    <cellStyle name="Normal 139 4 2" xfId="12939" xr:uid="{00000000-0005-0000-0000-000026300000}"/>
    <cellStyle name="Normal 139 4 2 2" xfId="12940" xr:uid="{00000000-0005-0000-0000-000027300000}"/>
    <cellStyle name="Normal 139 4 3" xfId="12941" xr:uid="{00000000-0005-0000-0000-000028300000}"/>
    <cellStyle name="Normal 139 5" xfId="12942" xr:uid="{00000000-0005-0000-0000-000029300000}"/>
    <cellStyle name="Normal 139 5 2" xfId="12943" xr:uid="{00000000-0005-0000-0000-00002A300000}"/>
    <cellStyle name="Normal 139 5 2 2" xfId="12944" xr:uid="{00000000-0005-0000-0000-00002B300000}"/>
    <cellStyle name="Normal 139 5 3" xfId="12945" xr:uid="{00000000-0005-0000-0000-00002C300000}"/>
    <cellStyle name="Normal 139 6" xfId="12946" xr:uid="{00000000-0005-0000-0000-00002D300000}"/>
    <cellStyle name="Normal 139 6 2" xfId="12947" xr:uid="{00000000-0005-0000-0000-00002E300000}"/>
    <cellStyle name="Normal 139 6 2 2" xfId="12948" xr:uid="{00000000-0005-0000-0000-00002F300000}"/>
    <cellStyle name="Normal 139 6 3" xfId="12949" xr:uid="{00000000-0005-0000-0000-000030300000}"/>
    <cellStyle name="Normal 139 7" xfId="12950" xr:uid="{00000000-0005-0000-0000-000031300000}"/>
    <cellStyle name="Normal 14" xfId="129" xr:uid="{00000000-0005-0000-0000-000032300000}"/>
    <cellStyle name="Normal 14 2" xfId="12952" xr:uid="{00000000-0005-0000-0000-000033300000}"/>
    <cellStyle name="Normal 14 2 2" xfId="12953" xr:uid="{00000000-0005-0000-0000-000034300000}"/>
    <cellStyle name="Normal 14 2 2 2" xfId="12954" xr:uid="{00000000-0005-0000-0000-000035300000}"/>
    <cellStyle name="Normal 14 2 2 2 2" xfId="12955" xr:uid="{00000000-0005-0000-0000-000036300000}"/>
    <cellStyle name="Normal 14 2 2 3" xfId="12956" xr:uid="{00000000-0005-0000-0000-000037300000}"/>
    <cellStyle name="Normal 14 2 2 3 2" xfId="12957" xr:uid="{00000000-0005-0000-0000-000038300000}"/>
    <cellStyle name="Normal 14 2 2 3 2 2" xfId="12958" xr:uid="{00000000-0005-0000-0000-000039300000}"/>
    <cellStyle name="Normal 14 2 2 3 3" xfId="12959" xr:uid="{00000000-0005-0000-0000-00003A300000}"/>
    <cellStyle name="Normal 14 2 2 4" xfId="12960" xr:uid="{00000000-0005-0000-0000-00003B300000}"/>
    <cellStyle name="Normal 14 2 2 4 2" xfId="12961" xr:uid="{00000000-0005-0000-0000-00003C300000}"/>
    <cellStyle name="Normal 14 2 2 4 2 2" xfId="12962" xr:uid="{00000000-0005-0000-0000-00003D300000}"/>
    <cellStyle name="Normal 14 2 2 4 3" xfId="12963" xr:uid="{00000000-0005-0000-0000-00003E300000}"/>
    <cellStyle name="Normal 14 2 2 5" xfId="12964" xr:uid="{00000000-0005-0000-0000-00003F300000}"/>
    <cellStyle name="Normal 14 2 3" xfId="12965" xr:uid="{00000000-0005-0000-0000-000040300000}"/>
    <cellStyle name="Normal 14 2 3 2" xfId="12966" xr:uid="{00000000-0005-0000-0000-000041300000}"/>
    <cellStyle name="Normal 14 2 3 2 2" xfId="12967" xr:uid="{00000000-0005-0000-0000-000042300000}"/>
    <cellStyle name="Normal 14 2 3 2 2 2" xfId="12968" xr:uid="{00000000-0005-0000-0000-000043300000}"/>
    <cellStyle name="Normal 14 2 3 2 3" xfId="12969" xr:uid="{00000000-0005-0000-0000-000044300000}"/>
    <cellStyle name="Normal 14 2 3 2 3 2" xfId="12970" xr:uid="{00000000-0005-0000-0000-000045300000}"/>
    <cellStyle name="Normal 14 2 3 2 3 2 2" xfId="12971" xr:uid="{00000000-0005-0000-0000-000046300000}"/>
    <cellStyle name="Normal 14 2 3 2 3 3" xfId="12972" xr:uid="{00000000-0005-0000-0000-000047300000}"/>
    <cellStyle name="Normal 14 2 3 2 4" xfId="12973" xr:uid="{00000000-0005-0000-0000-000048300000}"/>
    <cellStyle name="Normal 14 2 3 3" xfId="12974" xr:uid="{00000000-0005-0000-0000-000049300000}"/>
    <cellStyle name="Normal 14 2 3 3 2" xfId="12975" xr:uid="{00000000-0005-0000-0000-00004A300000}"/>
    <cellStyle name="Normal 14 2 3 3 2 2" xfId="12976" xr:uid="{00000000-0005-0000-0000-00004B300000}"/>
    <cellStyle name="Normal 14 2 3 3 3" xfId="12977" xr:uid="{00000000-0005-0000-0000-00004C300000}"/>
    <cellStyle name="Normal 14 2 3 4" xfId="12978" xr:uid="{00000000-0005-0000-0000-00004D300000}"/>
    <cellStyle name="Normal 14 2 3 4 2" xfId="12979" xr:uid="{00000000-0005-0000-0000-00004E300000}"/>
    <cellStyle name="Normal 14 2 3 4 2 2" xfId="12980" xr:uid="{00000000-0005-0000-0000-00004F300000}"/>
    <cellStyle name="Normal 14 2 3 4 3" xfId="12981" xr:uid="{00000000-0005-0000-0000-000050300000}"/>
    <cellStyle name="Normal 14 2 3 5" xfId="12982" xr:uid="{00000000-0005-0000-0000-000051300000}"/>
    <cellStyle name="Normal 14 2 3 5 2" xfId="12983" xr:uid="{00000000-0005-0000-0000-000052300000}"/>
    <cellStyle name="Normal 14 2 3 5 2 2" xfId="12984" xr:uid="{00000000-0005-0000-0000-000053300000}"/>
    <cellStyle name="Normal 14 2 3 5 3" xfId="12985" xr:uid="{00000000-0005-0000-0000-000054300000}"/>
    <cellStyle name="Normal 14 2 3 6" xfId="12986" xr:uid="{00000000-0005-0000-0000-000055300000}"/>
    <cellStyle name="Normal 14 2 4" xfId="12987" xr:uid="{00000000-0005-0000-0000-000056300000}"/>
    <cellStyle name="Normal 14 3" xfId="12988" xr:uid="{00000000-0005-0000-0000-000057300000}"/>
    <cellStyle name="Normal 14 3 2" xfId="12989" xr:uid="{00000000-0005-0000-0000-000058300000}"/>
    <cellStyle name="Normal 14 3 2 2" xfId="12990" xr:uid="{00000000-0005-0000-0000-000059300000}"/>
    <cellStyle name="Normal 14 3 2 2 2" xfId="12991" xr:uid="{00000000-0005-0000-0000-00005A300000}"/>
    <cellStyle name="Normal 14 3 2 3" xfId="12992" xr:uid="{00000000-0005-0000-0000-00005B300000}"/>
    <cellStyle name="Normal 14 3 2 3 2" xfId="12993" xr:uid="{00000000-0005-0000-0000-00005C300000}"/>
    <cellStyle name="Normal 14 3 2 3 2 2" xfId="12994" xr:uid="{00000000-0005-0000-0000-00005D300000}"/>
    <cellStyle name="Normal 14 3 2 3 3" xfId="12995" xr:uid="{00000000-0005-0000-0000-00005E300000}"/>
    <cellStyle name="Normal 14 3 2 4" xfId="12996" xr:uid="{00000000-0005-0000-0000-00005F300000}"/>
    <cellStyle name="Normal 14 3 2 4 2" xfId="12997" xr:uid="{00000000-0005-0000-0000-000060300000}"/>
    <cellStyle name="Normal 14 3 2 4 2 2" xfId="12998" xr:uid="{00000000-0005-0000-0000-000061300000}"/>
    <cellStyle name="Normal 14 3 2 4 3" xfId="12999" xr:uid="{00000000-0005-0000-0000-000062300000}"/>
    <cellStyle name="Normal 14 3 2 5" xfId="13000" xr:uid="{00000000-0005-0000-0000-000063300000}"/>
    <cellStyle name="Normal 14 3 3" xfId="13001" xr:uid="{00000000-0005-0000-0000-000064300000}"/>
    <cellStyle name="Normal 14 3 3 2" xfId="13002" xr:uid="{00000000-0005-0000-0000-000065300000}"/>
    <cellStyle name="Normal 14 3 3 2 2" xfId="13003" xr:uid="{00000000-0005-0000-0000-000066300000}"/>
    <cellStyle name="Normal 14 3 3 3" xfId="13004" xr:uid="{00000000-0005-0000-0000-000067300000}"/>
    <cellStyle name="Normal 14 3 4" xfId="13005" xr:uid="{00000000-0005-0000-0000-000068300000}"/>
    <cellStyle name="Normal 14 3 4 2" xfId="13006" xr:uid="{00000000-0005-0000-0000-000069300000}"/>
    <cellStyle name="Normal 14 3 4 2 2" xfId="13007" xr:uid="{00000000-0005-0000-0000-00006A300000}"/>
    <cellStyle name="Normal 14 3 4 3" xfId="13008" xr:uid="{00000000-0005-0000-0000-00006B300000}"/>
    <cellStyle name="Normal 14 3 5" xfId="13009" xr:uid="{00000000-0005-0000-0000-00006C300000}"/>
    <cellStyle name="Normal 14 3 5 2" xfId="13010" xr:uid="{00000000-0005-0000-0000-00006D300000}"/>
    <cellStyle name="Normal 14 3 5 2 2" xfId="13011" xr:uid="{00000000-0005-0000-0000-00006E300000}"/>
    <cellStyle name="Normal 14 3 5 3" xfId="13012" xr:uid="{00000000-0005-0000-0000-00006F300000}"/>
    <cellStyle name="Normal 14 3 6" xfId="13013" xr:uid="{00000000-0005-0000-0000-000070300000}"/>
    <cellStyle name="Normal 14 4" xfId="13014" xr:uid="{00000000-0005-0000-0000-000071300000}"/>
    <cellStyle name="Normal 14 4 2" xfId="13015" xr:uid="{00000000-0005-0000-0000-000072300000}"/>
    <cellStyle name="Normal 14 4 2 2" xfId="13016" xr:uid="{00000000-0005-0000-0000-000073300000}"/>
    <cellStyle name="Normal 14 4 3" xfId="13017" xr:uid="{00000000-0005-0000-0000-000074300000}"/>
    <cellStyle name="Normal 14 4 3 2" xfId="13018" xr:uid="{00000000-0005-0000-0000-000075300000}"/>
    <cellStyle name="Normal 14 4 3 2 2" xfId="13019" xr:uid="{00000000-0005-0000-0000-000076300000}"/>
    <cellStyle name="Normal 14 4 3 3" xfId="13020" xr:uid="{00000000-0005-0000-0000-000077300000}"/>
    <cellStyle name="Normal 14 4 4" xfId="13021" xr:uid="{00000000-0005-0000-0000-000078300000}"/>
    <cellStyle name="Normal 14 4 4 2" xfId="13022" xr:uid="{00000000-0005-0000-0000-000079300000}"/>
    <cellStyle name="Normal 14 4 4 2 2" xfId="13023" xr:uid="{00000000-0005-0000-0000-00007A300000}"/>
    <cellStyle name="Normal 14 4 4 3" xfId="13024" xr:uid="{00000000-0005-0000-0000-00007B300000}"/>
    <cellStyle name="Normal 14 4 5" xfId="13025" xr:uid="{00000000-0005-0000-0000-00007C300000}"/>
    <cellStyle name="Normal 14 5" xfId="13026" xr:uid="{00000000-0005-0000-0000-00007D300000}"/>
    <cellStyle name="Normal 14 5 2" xfId="13027" xr:uid="{00000000-0005-0000-0000-00007E300000}"/>
    <cellStyle name="Normal 14 5 2 2" xfId="13028" xr:uid="{00000000-0005-0000-0000-00007F300000}"/>
    <cellStyle name="Normal 14 5 2 2 2" xfId="13029" xr:uid="{00000000-0005-0000-0000-000080300000}"/>
    <cellStyle name="Normal 14 5 2 3" xfId="13030" xr:uid="{00000000-0005-0000-0000-000081300000}"/>
    <cellStyle name="Normal 14 5 2 3 2" xfId="13031" xr:uid="{00000000-0005-0000-0000-000082300000}"/>
    <cellStyle name="Normal 14 5 2 3 2 2" xfId="13032" xr:uid="{00000000-0005-0000-0000-000083300000}"/>
    <cellStyle name="Normal 14 5 2 3 3" xfId="13033" xr:uid="{00000000-0005-0000-0000-000084300000}"/>
    <cellStyle name="Normal 14 5 2 4" xfId="13034" xr:uid="{00000000-0005-0000-0000-000085300000}"/>
    <cellStyle name="Normal 14 5 3" xfId="13035" xr:uid="{00000000-0005-0000-0000-000086300000}"/>
    <cellStyle name="Normal 14 5 3 2" xfId="13036" xr:uid="{00000000-0005-0000-0000-000087300000}"/>
    <cellStyle name="Normal 14 5 3 2 2" xfId="13037" xr:uid="{00000000-0005-0000-0000-000088300000}"/>
    <cellStyle name="Normal 14 5 3 3" xfId="13038" xr:uid="{00000000-0005-0000-0000-000089300000}"/>
    <cellStyle name="Normal 14 5 4" xfId="13039" xr:uid="{00000000-0005-0000-0000-00008A300000}"/>
    <cellStyle name="Normal 14 5 4 2" xfId="13040" xr:uid="{00000000-0005-0000-0000-00008B300000}"/>
    <cellStyle name="Normal 14 5 4 2 2" xfId="13041" xr:uid="{00000000-0005-0000-0000-00008C300000}"/>
    <cellStyle name="Normal 14 5 4 3" xfId="13042" xr:uid="{00000000-0005-0000-0000-00008D300000}"/>
    <cellStyle name="Normal 14 5 5" xfId="13043" xr:uid="{00000000-0005-0000-0000-00008E300000}"/>
    <cellStyle name="Normal 14 5 5 2" xfId="13044" xr:uid="{00000000-0005-0000-0000-00008F300000}"/>
    <cellStyle name="Normal 14 5 5 2 2" xfId="13045" xr:uid="{00000000-0005-0000-0000-000090300000}"/>
    <cellStyle name="Normal 14 5 5 3" xfId="13046" xr:uid="{00000000-0005-0000-0000-000091300000}"/>
    <cellStyle name="Normal 14 5 6" xfId="13047" xr:uid="{00000000-0005-0000-0000-000092300000}"/>
    <cellStyle name="Normal 14 6" xfId="13048" xr:uid="{00000000-0005-0000-0000-000093300000}"/>
    <cellStyle name="Normal 14 6 2" xfId="13049" xr:uid="{00000000-0005-0000-0000-000094300000}"/>
    <cellStyle name="Normal 14 6 2 2" xfId="13050" xr:uid="{00000000-0005-0000-0000-000095300000}"/>
    <cellStyle name="Normal 14 6 2 2 2" xfId="13051" xr:uid="{00000000-0005-0000-0000-000096300000}"/>
    <cellStyle name="Normal 14 6 2 3" xfId="13052" xr:uid="{00000000-0005-0000-0000-000097300000}"/>
    <cellStyle name="Normal 14 6 2 3 2" xfId="13053" xr:uid="{00000000-0005-0000-0000-000098300000}"/>
    <cellStyle name="Normal 14 6 2 3 2 2" xfId="13054" xr:uid="{00000000-0005-0000-0000-000099300000}"/>
    <cellStyle name="Normal 14 6 2 3 3" xfId="13055" xr:uid="{00000000-0005-0000-0000-00009A300000}"/>
    <cellStyle name="Normal 14 6 2 4" xfId="13056" xr:uid="{00000000-0005-0000-0000-00009B300000}"/>
    <cellStyle name="Normal 14 6 3" xfId="13057" xr:uid="{00000000-0005-0000-0000-00009C300000}"/>
    <cellStyle name="Normal 14 6 3 2" xfId="13058" xr:uid="{00000000-0005-0000-0000-00009D300000}"/>
    <cellStyle name="Normal 14 6 3 2 2" xfId="13059" xr:uid="{00000000-0005-0000-0000-00009E300000}"/>
    <cellStyle name="Normal 14 6 3 3" xfId="13060" xr:uid="{00000000-0005-0000-0000-00009F300000}"/>
    <cellStyle name="Normal 14 6 4" xfId="13061" xr:uid="{00000000-0005-0000-0000-0000A0300000}"/>
    <cellStyle name="Normal 14 6 4 2" xfId="13062" xr:uid="{00000000-0005-0000-0000-0000A1300000}"/>
    <cellStyle name="Normal 14 6 4 2 2" xfId="13063" xr:uid="{00000000-0005-0000-0000-0000A2300000}"/>
    <cellStyle name="Normal 14 6 4 3" xfId="13064" xr:uid="{00000000-0005-0000-0000-0000A3300000}"/>
    <cellStyle name="Normal 14 6 5" xfId="13065" xr:uid="{00000000-0005-0000-0000-0000A4300000}"/>
    <cellStyle name="Normal 14 7" xfId="13066" xr:uid="{00000000-0005-0000-0000-0000A5300000}"/>
    <cellStyle name="Normal 14 7 2" xfId="13067" xr:uid="{00000000-0005-0000-0000-0000A6300000}"/>
    <cellStyle name="Normal 14 8" xfId="13068" xr:uid="{00000000-0005-0000-0000-0000A7300000}"/>
    <cellStyle name="Normal 14 9" xfId="12951" xr:uid="{00000000-0005-0000-0000-0000A8300000}"/>
    <cellStyle name="Normal 140" xfId="13069" xr:uid="{00000000-0005-0000-0000-0000A9300000}"/>
    <cellStyle name="Normal 140 2" xfId="13070" xr:uid="{00000000-0005-0000-0000-0000AA300000}"/>
    <cellStyle name="Normal 140 2 2" xfId="13071" xr:uid="{00000000-0005-0000-0000-0000AB300000}"/>
    <cellStyle name="Normal 140 2 2 2" xfId="13072" xr:uid="{00000000-0005-0000-0000-0000AC300000}"/>
    <cellStyle name="Normal 140 2 3" xfId="13073" xr:uid="{00000000-0005-0000-0000-0000AD300000}"/>
    <cellStyle name="Normal 140 2 3 2" xfId="13074" xr:uid="{00000000-0005-0000-0000-0000AE300000}"/>
    <cellStyle name="Normal 140 2 3 2 2" xfId="13075" xr:uid="{00000000-0005-0000-0000-0000AF300000}"/>
    <cellStyle name="Normal 140 2 3 3" xfId="13076" xr:uid="{00000000-0005-0000-0000-0000B0300000}"/>
    <cellStyle name="Normal 140 2 4" xfId="13077" xr:uid="{00000000-0005-0000-0000-0000B1300000}"/>
    <cellStyle name="Normal 140 2 4 2" xfId="13078" xr:uid="{00000000-0005-0000-0000-0000B2300000}"/>
    <cellStyle name="Normal 140 2 4 2 2" xfId="13079" xr:uid="{00000000-0005-0000-0000-0000B3300000}"/>
    <cellStyle name="Normal 140 2 4 3" xfId="13080" xr:uid="{00000000-0005-0000-0000-0000B4300000}"/>
    <cellStyle name="Normal 140 2 5" xfId="13081" xr:uid="{00000000-0005-0000-0000-0000B5300000}"/>
    <cellStyle name="Normal 140 3" xfId="13082" xr:uid="{00000000-0005-0000-0000-0000B6300000}"/>
    <cellStyle name="Normal 140 3 2" xfId="13083" xr:uid="{00000000-0005-0000-0000-0000B7300000}"/>
    <cellStyle name="Normal 140 3 2 2" xfId="13084" xr:uid="{00000000-0005-0000-0000-0000B8300000}"/>
    <cellStyle name="Normal 140 3 2 2 2" xfId="13085" xr:uid="{00000000-0005-0000-0000-0000B9300000}"/>
    <cellStyle name="Normal 140 3 2 3" xfId="13086" xr:uid="{00000000-0005-0000-0000-0000BA300000}"/>
    <cellStyle name="Normal 140 3 2 3 2" xfId="13087" xr:uid="{00000000-0005-0000-0000-0000BB300000}"/>
    <cellStyle name="Normal 140 3 2 3 2 2" xfId="13088" xr:uid="{00000000-0005-0000-0000-0000BC300000}"/>
    <cellStyle name="Normal 140 3 2 3 3" xfId="13089" xr:uid="{00000000-0005-0000-0000-0000BD300000}"/>
    <cellStyle name="Normal 140 3 2 4" xfId="13090" xr:uid="{00000000-0005-0000-0000-0000BE300000}"/>
    <cellStyle name="Normal 140 3 3" xfId="13091" xr:uid="{00000000-0005-0000-0000-0000BF300000}"/>
    <cellStyle name="Normal 140 3 3 2" xfId="13092" xr:uid="{00000000-0005-0000-0000-0000C0300000}"/>
    <cellStyle name="Normal 140 3 3 2 2" xfId="13093" xr:uid="{00000000-0005-0000-0000-0000C1300000}"/>
    <cellStyle name="Normal 140 3 3 3" xfId="13094" xr:uid="{00000000-0005-0000-0000-0000C2300000}"/>
    <cellStyle name="Normal 140 3 4" xfId="13095" xr:uid="{00000000-0005-0000-0000-0000C3300000}"/>
    <cellStyle name="Normal 140 3 4 2" xfId="13096" xr:uid="{00000000-0005-0000-0000-0000C4300000}"/>
    <cellStyle name="Normal 140 3 4 2 2" xfId="13097" xr:uid="{00000000-0005-0000-0000-0000C5300000}"/>
    <cellStyle name="Normal 140 3 4 3" xfId="13098" xr:uid="{00000000-0005-0000-0000-0000C6300000}"/>
    <cellStyle name="Normal 140 3 5" xfId="13099" xr:uid="{00000000-0005-0000-0000-0000C7300000}"/>
    <cellStyle name="Normal 140 3 5 2" xfId="13100" xr:uid="{00000000-0005-0000-0000-0000C8300000}"/>
    <cellStyle name="Normal 140 3 5 2 2" xfId="13101" xr:uid="{00000000-0005-0000-0000-0000C9300000}"/>
    <cellStyle name="Normal 140 3 5 3" xfId="13102" xr:uid="{00000000-0005-0000-0000-0000CA300000}"/>
    <cellStyle name="Normal 140 3 6" xfId="13103" xr:uid="{00000000-0005-0000-0000-0000CB300000}"/>
    <cellStyle name="Normal 140 4" xfId="13104" xr:uid="{00000000-0005-0000-0000-0000CC300000}"/>
    <cellStyle name="Normal 140 4 2" xfId="13105" xr:uid="{00000000-0005-0000-0000-0000CD300000}"/>
    <cellStyle name="Normal 140 4 2 2" xfId="13106" xr:uid="{00000000-0005-0000-0000-0000CE300000}"/>
    <cellStyle name="Normal 140 4 3" xfId="13107" xr:uid="{00000000-0005-0000-0000-0000CF300000}"/>
    <cellStyle name="Normal 140 5" xfId="13108" xr:uid="{00000000-0005-0000-0000-0000D0300000}"/>
    <cellStyle name="Normal 140 5 2" xfId="13109" xr:uid="{00000000-0005-0000-0000-0000D1300000}"/>
    <cellStyle name="Normal 140 5 2 2" xfId="13110" xr:uid="{00000000-0005-0000-0000-0000D2300000}"/>
    <cellStyle name="Normal 140 5 3" xfId="13111" xr:uid="{00000000-0005-0000-0000-0000D3300000}"/>
    <cellStyle name="Normal 140 6" xfId="13112" xr:uid="{00000000-0005-0000-0000-0000D4300000}"/>
    <cellStyle name="Normal 140 6 2" xfId="13113" xr:uid="{00000000-0005-0000-0000-0000D5300000}"/>
    <cellStyle name="Normal 140 6 2 2" xfId="13114" xr:uid="{00000000-0005-0000-0000-0000D6300000}"/>
    <cellStyle name="Normal 140 6 3" xfId="13115" xr:uid="{00000000-0005-0000-0000-0000D7300000}"/>
    <cellStyle name="Normal 140 7" xfId="13116" xr:uid="{00000000-0005-0000-0000-0000D8300000}"/>
    <cellStyle name="Normal 141" xfId="13117" xr:uid="{00000000-0005-0000-0000-0000D9300000}"/>
    <cellStyle name="Normal 141 2" xfId="13118" xr:uid="{00000000-0005-0000-0000-0000DA300000}"/>
    <cellStyle name="Normal 141 2 2" xfId="13119" xr:uid="{00000000-0005-0000-0000-0000DB300000}"/>
    <cellStyle name="Normal 141 2 2 2" xfId="13120" xr:uid="{00000000-0005-0000-0000-0000DC300000}"/>
    <cellStyle name="Normal 141 2 3" xfId="13121" xr:uid="{00000000-0005-0000-0000-0000DD300000}"/>
    <cellStyle name="Normal 141 2 3 2" xfId="13122" xr:uid="{00000000-0005-0000-0000-0000DE300000}"/>
    <cellStyle name="Normal 141 2 3 2 2" xfId="13123" xr:uid="{00000000-0005-0000-0000-0000DF300000}"/>
    <cellStyle name="Normal 141 2 3 3" xfId="13124" xr:uid="{00000000-0005-0000-0000-0000E0300000}"/>
    <cellStyle name="Normal 141 2 4" xfId="13125" xr:uid="{00000000-0005-0000-0000-0000E1300000}"/>
    <cellStyle name="Normal 141 2 4 2" xfId="13126" xr:uid="{00000000-0005-0000-0000-0000E2300000}"/>
    <cellStyle name="Normal 141 2 4 2 2" xfId="13127" xr:uid="{00000000-0005-0000-0000-0000E3300000}"/>
    <cellStyle name="Normal 141 2 4 3" xfId="13128" xr:uid="{00000000-0005-0000-0000-0000E4300000}"/>
    <cellStyle name="Normal 141 2 5" xfId="13129" xr:uid="{00000000-0005-0000-0000-0000E5300000}"/>
    <cellStyle name="Normal 141 3" xfId="13130" xr:uid="{00000000-0005-0000-0000-0000E6300000}"/>
    <cellStyle name="Normal 141 3 2" xfId="13131" xr:uid="{00000000-0005-0000-0000-0000E7300000}"/>
    <cellStyle name="Normal 141 3 2 2" xfId="13132" xr:uid="{00000000-0005-0000-0000-0000E8300000}"/>
    <cellStyle name="Normal 141 3 2 2 2" xfId="13133" xr:uid="{00000000-0005-0000-0000-0000E9300000}"/>
    <cellStyle name="Normal 141 3 2 3" xfId="13134" xr:uid="{00000000-0005-0000-0000-0000EA300000}"/>
    <cellStyle name="Normal 141 3 2 3 2" xfId="13135" xr:uid="{00000000-0005-0000-0000-0000EB300000}"/>
    <cellStyle name="Normal 141 3 2 3 2 2" xfId="13136" xr:uid="{00000000-0005-0000-0000-0000EC300000}"/>
    <cellStyle name="Normal 141 3 2 3 3" xfId="13137" xr:uid="{00000000-0005-0000-0000-0000ED300000}"/>
    <cellStyle name="Normal 141 3 2 4" xfId="13138" xr:uid="{00000000-0005-0000-0000-0000EE300000}"/>
    <cellStyle name="Normal 141 3 3" xfId="13139" xr:uid="{00000000-0005-0000-0000-0000EF300000}"/>
    <cellStyle name="Normal 141 3 3 2" xfId="13140" xr:uid="{00000000-0005-0000-0000-0000F0300000}"/>
    <cellStyle name="Normal 141 3 3 2 2" xfId="13141" xr:uid="{00000000-0005-0000-0000-0000F1300000}"/>
    <cellStyle name="Normal 141 3 3 3" xfId="13142" xr:uid="{00000000-0005-0000-0000-0000F2300000}"/>
    <cellStyle name="Normal 141 3 4" xfId="13143" xr:uid="{00000000-0005-0000-0000-0000F3300000}"/>
    <cellStyle name="Normal 141 3 4 2" xfId="13144" xr:uid="{00000000-0005-0000-0000-0000F4300000}"/>
    <cellStyle name="Normal 141 3 4 2 2" xfId="13145" xr:uid="{00000000-0005-0000-0000-0000F5300000}"/>
    <cellStyle name="Normal 141 3 4 3" xfId="13146" xr:uid="{00000000-0005-0000-0000-0000F6300000}"/>
    <cellStyle name="Normal 141 3 5" xfId="13147" xr:uid="{00000000-0005-0000-0000-0000F7300000}"/>
    <cellStyle name="Normal 141 3 5 2" xfId="13148" xr:uid="{00000000-0005-0000-0000-0000F8300000}"/>
    <cellStyle name="Normal 141 3 5 2 2" xfId="13149" xr:uid="{00000000-0005-0000-0000-0000F9300000}"/>
    <cellStyle name="Normal 141 3 5 3" xfId="13150" xr:uid="{00000000-0005-0000-0000-0000FA300000}"/>
    <cellStyle name="Normal 141 3 6" xfId="13151" xr:uid="{00000000-0005-0000-0000-0000FB300000}"/>
    <cellStyle name="Normal 141 4" xfId="13152" xr:uid="{00000000-0005-0000-0000-0000FC300000}"/>
    <cellStyle name="Normal 141 4 2" xfId="13153" xr:uid="{00000000-0005-0000-0000-0000FD300000}"/>
    <cellStyle name="Normal 141 4 2 2" xfId="13154" xr:uid="{00000000-0005-0000-0000-0000FE300000}"/>
    <cellStyle name="Normal 141 4 3" xfId="13155" xr:uid="{00000000-0005-0000-0000-0000FF300000}"/>
    <cellStyle name="Normal 141 5" xfId="13156" xr:uid="{00000000-0005-0000-0000-000000310000}"/>
    <cellStyle name="Normal 141 5 2" xfId="13157" xr:uid="{00000000-0005-0000-0000-000001310000}"/>
    <cellStyle name="Normal 141 5 2 2" xfId="13158" xr:uid="{00000000-0005-0000-0000-000002310000}"/>
    <cellStyle name="Normal 141 5 3" xfId="13159" xr:uid="{00000000-0005-0000-0000-000003310000}"/>
    <cellStyle name="Normal 141 6" xfId="13160" xr:uid="{00000000-0005-0000-0000-000004310000}"/>
    <cellStyle name="Normal 141 6 2" xfId="13161" xr:uid="{00000000-0005-0000-0000-000005310000}"/>
    <cellStyle name="Normal 141 6 2 2" xfId="13162" xr:uid="{00000000-0005-0000-0000-000006310000}"/>
    <cellStyle name="Normal 141 6 3" xfId="13163" xr:uid="{00000000-0005-0000-0000-000007310000}"/>
    <cellStyle name="Normal 141 7" xfId="13164" xr:uid="{00000000-0005-0000-0000-000008310000}"/>
    <cellStyle name="Normal 142" xfId="13165" xr:uid="{00000000-0005-0000-0000-000009310000}"/>
    <cellStyle name="Normal 142 2" xfId="13166" xr:uid="{00000000-0005-0000-0000-00000A310000}"/>
    <cellStyle name="Normal 142 2 2" xfId="13167" xr:uid="{00000000-0005-0000-0000-00000B310000}"/>
    <cellStyle name="Normal 142 2 2 2" xfId="13168" xr:uid="{00000000-0005-0000-0000-00000C310000}"/>
    <cellStyle name="Normal 142 2 3" xfId="13169" xr:uid="{00000000-0005-0000-0000-00000D310000}"/>
    <cellStyle name="Normal 142 2 3 2" xfId="13170" xr:uid="{00000000-0005-0000-0000-00000E310000}"/>
    <cellStyle name="Normal 142 2 3 2 2" xfId="13171" xr:uid="{00000000-0005-0000-0000-00000F310000}"/>
    <cellStyle name="Normal 142 2 3 3" xfId="13172" xr:uid="{00000000-0005-0000-0000-000010310000}"/>
    <cellStyle name="Normal 142 2 4" xfId="13173" xr:uid="{00000000-0005-0000-0000-000011310000}"/>
    <cellStyle name="Normal 142 2 4 2" xfId="13174" xr:uid="{00000000-0005-0000-0000-000012310000}"/>
    <cellStyle name="Normal 142 2 4 2 2" xfId="13175" xr:uid="{00000000-0005-0000-0000-000013310000}"/>
    <cellStyle name="Normal 142 2 4 3" xfId="13176" xr:uid="{00000000-0005-0000-0000-000014310000}"/>
    <cellStyle name="Normal 142 2 5" xfId="13177" xr:uid="{00000000-0005-0000-0000-000015310000}"/>
    <cellStyle name="Normal 142 3" xfId="13178" xr:uid="{00000000-0005-0000-0000-000016310000}"/>
    <cellStyle name="Normal 142 3 2" xfId="13179" xr:uid="{00000000-0005-0000-0000-000017310000}"/>
    <cellStyle name="Normal 142 3 2 2" xfId="13180" xr:uid="{00000000-0005-0000-0000-000018310000}"/>
    <cellStyle name="Normal 142 3 2 2 2" xfId="13181" xr:uid="{00000000-0005-0000-0000-000019310000}"/>
    <cellStyle name="Normal 142 3 2 3" xfId="13182" xr:uid="{00000000-0005-0000-0000-00001A310000}"/>
    <cellStyle name="Normal 142 3 2 3 2" xfId="13183" xr:uid="{00000000-0005-0000-0000-00001B310000}"/>
    <cellStyle name="Normal 142 3 2 3 2 2" xfId="13184" xr:uid="{00000000-0005-0000-0000-00001C310000}"/>
    <cellStyle name="Normal 142 3 2 3 3" xfId="13185" xr:uid="{00000000-0005-0000-0000-00001D310000}"/>
    <cellStyle name="Normal 142 3 2 4" xfId="13186" xr:uid="{00000000-0005-0000-0000-00001E310000}"/>
    <cellStyle name="Normal 142 3 3" xfId="13187" xr:uid="{00000000-0005-0000-0000-00001F310000}"/>
    <cellStyle name="Normal 142 3 3 2" xfId="13188" xr:uid="{00000000-0005-0000-0000-000020310000}"/>
    <cellStyle name="Normal 142 3 3 2 2" xfId="13189" xr:uid="{00000000-0005-0000-0000-000021310000}"/>
    <cellStyle name="Normal 142 3 3 3" xfId="13190" xr:uid="{00000000-0005-0000-0000-000022310000}"/>
    <cellStyle name="Normal 142 3 4" xfId="13191" xr:uid="{00000000-0005-0000-0000-000023310000}"/>
    <cellStyle name="Normal 142 3 4 2" xfId="13192" xr:uid="{00000000-0005-0000-0000-000024310000}"/>
    <cellStyle name="Normal 142 3 4 2 2" xfId="13193" xr:uid="{00000000-0005-0000-0000-000025310000}"/>
    <cellStyle name="Normal 142 3 4 3" xfId="13194" xr:uid="{00000000-0005-0000-0000-000026310000}"/>
    <cellStyle name="Normal 142 3 5" xfId="13195" xr:uid="{00000000-0005-0000-0000-000027310000}"/>
    <cellStyle name="Normal 142 3 5 2" xfId="13196" xr:uid="{00000000-0005-0000-0000-000028310000}"/>
    <cellStyle name="Normal 142 3 5 2 2" xfId="13197" xr:uid="{00000000-0005-0000-0000-000029310000}"/>
    <cellStyle name="Normal 142 3 5 3" xfId="13198" xr:uid="{00000000-0005-0000-0000-00002A310000}"/>
    <cellStyle name="Normal 142 3 6" xfId="13199" xr:uid="{00000000-0005-0000-0000-00002B310000}"/>
    <cellStyle name="Normal 142 4" xfId="13200" xr:uid="{00000000-0005-0000-0000-00002C310000}"/>
    <cellStyle name="Normal 142 4 2" xfId="13201" xr:uid="{00000000-0005-0000-0000-00002D310000}"/>
    <cellStyle name="Normal 142 4 2 2" xfId="13202" xr:uid="{00000000-0005-0000-0000-00002E310000}"/>
    <cellStyle name="Normal 142 4 3" xfId="13203" xr:uid="{00000000-0005-0000-0000-00002F310000}"/>
    <cellStyle name="Normal 142 5" xfId="13204" xr:uid="{00000000-0005-0000-0000-000030310000}"/>
    <cellStyle name="Normal 142 5 2" xfId="13205" xr:uid="{00000000-0005-0000-0000-000031310000}"/>
    <cellStyle name="Normal 142 5 2 2" xfId="13206" xr:uid="{00000000-0005-0000-0000-000032310000}"/>
    <cellStyle name="Normal 142 5 3" xfId="13207" xr:uid="{00000000-0005-0000-0000-000033310000}"/>
    <cellStyle name="Normal 142 6" xfId="13208" xr:uid="{00000000-0005-0000-0000-000034310000}"/>
    <cellStyle name="Normal 142 6 2" xfId="13209" xr:uid="{00000000-0005-0000-0000-000035310000}"/>
    <cellStyle name="Normal 142 6 2 2" xfId="13210" xr:uid="{00000000-0005-0000-0000-000036310000}"/>
    <cellStyle name="Normal 142 6 3" xfId="13211" xr:uid="{00000000-0005-0000-0000-000037310000}"/>
    <cellStyle name="Normal 142 7" xfId="13212" xr:uid="{00000000-0005-0000-0000-000038310000}"/>
    <cellStyle name="Normal 143" xfId="13213" xr:uid="{00000000-0005-0000-0000-000039310000}"/>
    <cellStyle name="Normal 143 2" xfId="13214" xr:uid="{00000000-0005-0000-0000-00003A310000}"/>
    <cellStyle name="Normal 143 2 2" xfId="13215" xr:uid="{00000000-0005-0000-0000-00003B310000}"/>
    <cellStyle name="Normal 143 2 2 2" xfId="13216" xr:uid="{00000000-0005-0000-0000-00003C310000}"/>
    <cellStyle name="Normal 143 2 3" xfId="13217" xr:uid="{00000000-0005-0000-0000-00003D310000}"/>
    <cellStyle name="Normal 143 2 3 2" xfId="13218" xr:uid="{00000000-0005-0000-0000-00003E310000}"/>
    <cellStyle name="Normal 143 2 3 2 2" xfId="13219" xr:uid="{00000000-0005-0000-0000-00003F310000}"/>
    <cellStyle name="Normal 143 2 3 3" xfId="13220" xr:uid="{00000000-0005-0000-0000-000040310000}"/>
    <cellStyle name="Normal 143 2 4" xfId="13221" xr:uid="{00000000-0005-0000-0000-000041310000}"/>
    <cellStyle name="Normal 143 2 4 2" xfId="13222" xr:uid="{00000000-0005-0000-0000-000042310000}"/>
    <cellStyle name="Normal 143 2 4 2 2" xfId="13223" xr:uid="{00000000-0005-0000-0000-000043310000}"/>
    <cellStyle name="Normal 143 2 4 3" xfId="13224" xr:uid="{00000000-0005-0000-0000-000044310000}"/>
    <cellStyle name="Normal 143 2 5" xfId="13225" xr:uid="{00000000-0005-0000-0000-000045310000}"/>
    <cellStyle name="Normal 143 3" xfId="13226" xr:uid="{00000000-0005-0000-0000-000046310000}"/>
    <cellStyle name="Normal 143 3 2" xfId="13227" xr:uid="{00000000-0005-0000-0000-000047310000}"/>
    <cellStyle name="Normal 143 3 2 2" xfId="13228" xr:uid="{00000000-0005-0000-0000-000048310000}"/>
    <cellStyle name="Normal 143 3 2 2 2" xfId="13229" xr:uid="{00000000-0005-0000-0000-000049310000}"/>
    <cellStyle name="Normal 143 3 2 3" xfId="13230" xr:uid="{00000000-0005-0000-0000-00004A310000}"/>
    <cellStyle name="Normal 143 3 2 3 2" xfId="13231" xr:uid="{00000000-0005-0000-0000-00004B310000}"/>
    <cellStyle name="Normal 143 3 2 3 2 2" xfId="13232" xr:uid="{00000000-0005-0000-0000-00004C310000}"/>
    <cellStyle name="Normal 143 3 2 3 3" xfId="13233" xr:uid="{00000000-0005-0000-0000-00004D310000}"/>
    <cellStyle name="Normal 143 3 2 4" xfId="13234" xr:uid="{00000000-0005-0000-0000-00004E310000}"/>
    <cellStyle name="Normal 143 3 3" xfId="13235" xr:uid="{00000000-0005-0000-0000-00004F310000}"/>
    <cellStyle name="Normal 143 3 3 2" xfId="13236" xr:uid="{00000000-0005-0000-0000-000050310000}"/>
    <cellStyle name="Normal 143 3 3 2 2" xfId="13237" xr:uid="{00000000-0005-0000-0000-000051310000}"/>
    <cellStyle name="Normal 143 3 3 3" xfId="13238" xr:uid="{00000000-0005-0000-0000-000052310000}"/>
    <cellStyle name="Normal 143 3 4" xfId="13239" xr:uid="{00000000-0005-0000-0000-000053310000}"/>
    <cellStyle name="Normal 143 3 4 2" xfId="13240" xr:uid="{00000000-0005-0000-0000-000054310000}"/>
    <cellStyle name="Normal 143 3 4 2 2" xfId="13241" xr:uid="{00000000-0005-0000-0000-000055310000}"/>
    <cellStyle name="Normal 143 3 4 3" xfId="13242" xr:uid="{00000000-0005-0000-0000-000056310000}"/>
    <cellStyle name="Normal 143 3 5" xfId="13243" xr:uid="{00000000-0005-0000-0000-000057310000}"/>
    <cellStyle name="Normal 143 3 5 2" xfId="13244" xr:uid="{00000000-0005-0000-0000-000058310000}"/>
    <cellStyle name="Normal 143 3 5 2 2" xfId="13245" xr:uid="{00000000-0005-0000-0000-000059310000}"/>
    <cellStyle name="Normal 143 3 5 3" xfId="13246" xr:uid="{00000000-0005-0000-0000-00005A310000}"/>
    <cellStyle name="Normal 143 3 6" xfId="13247" xr:uid="{00000000-0005-0000-0000-00005B310000}"/>
    <cellStyle name="Normal 143 4" xfId="13248" xr:uid="{00000000-0005-0000-0000-00005C310000}"/>
    <cellStyle name="Normal 143 4 2" xfId="13249" xr:uid="{00000000-0005-0000-0000-00005D310000}"/>
    <cellStyle name="Normal 143 4 2 2" xfId="13250" xr:uid="{00000000-0005-0000-0000-00005E310000}"/>
    <cellStyle name="Normal 143 4 3" xfId="13251" xr:uid="{00000000-0005-0000-0000-00005F310000}"/>
    <cellStyle name="Normal 143 5" xfId="13252" xr:uid="{00000000-0005-0000-0000-000060310000}"/>
    <cellStyle name="Normal 143 5 2" xfId="13253" xr:uid="{00000000-0005-0000-0000-000061310000}"/>
    <cellStyle name="Normal 143 5 2 2" xfId="13254" xr:uid="{00000000-0005-0000-0000-000062310000}"/>
    <cellStyle name="Normal 143 5 3" xfId="13255" xr:uid="{00000000-0005-0000-0000-000063310000}"/>
    <cellStyle name="Normal 143 6" xfId="13256" xr:uid="{00000000-0005-0000-0000-000064310000}"/>
    <cellStyle name="Normal 143 6 2" xfId="13257" xr:uid="{00000000-0005-0000-0000-000065310000}"/>
    <cellStyle name="Normal 143 6 2 2" xfId="13258" xr:uid="{00000000-0005-0000-0000-000066310000}"/>
    <cellStyle name="Normal 143 6 3" xfId="13259" xr:uid="{00000000-0005-0000-0000-000067310000}"/>
    <cellStyle name="Normal 143 7" xfId="13260" xr:uid="{00000000-0005-0000-0000-000068310000}"/>
    <cellStyle name="Normal 144" xfId="13261" xr:uid="{00000000-0005-0000-0000-000069310000}"/>
    <cellStyle name="Normal 144 2" xfId="13262" xr:uid="{00000000-0005-0000-0000-00006A310000}"/>
    <cellStyle name="Normal 144 2 2" xfId="13263" xr:uid="{00000000-0005-0000-0000-00006B310000}"/>
    <cellStyle name="Normal 144 2 2 2" xfId="13264" xr:uid="{00000000-0005-0000-0000-00006C310000}"/>
    <cellStyle name="Normal 144 2 3" xfId="13265" xr:uid="{00000000-0005-0000-0000-00006D310000}"/>
    <cellStyle name="Normal 144 2 3 2" xfId="13266" xr:uid="{00000000-0005-0000-0000-00006E310000}"/>
    <cellStyle name="Normal 144 2 3 2 2" xfId="13267" xr:uid="{00000000-0005-0000-0000-00006F310000}"/>
    <cellStyle name="Normal 144 2 3 3" xfId="13268" xr:uid="{00000000-0005-0000-0000-000070310000}"/>
    <cellStyle name="Normal 144 2 4" xfId="13269" xr:uid="{00000000-0005-0000-0000-000071310000}"/>
    <cellStyle name="Normal 144 2 4 2" xfId="13270" xr:uid="{00000000-0005-0000-0000-000072310000}"/>
    <cellStyle name="Normal 144 2 4 2 2" xfId="13271" xr:uid="{00000000-0005-0000-0000-000073310000}"/>
    <cellStyle name="Normal 144 2 4 3" xfId="13272" xr:uid="{00000000-0005-0000-0000-000074310000}"/>
    <cellStyle name="Normal 144 2 5" xfId="13273" xr:uid="{00000000-0005-0000-0000-000075310000}"/>
    <cellStyle name="Normal 144 3" xfId="13274" xr:uid="{00000000-0005-0000-0000-000076310000}"/>
    <cellStyle name="Normal 144 3 2" xfId="13275" xr:uid="{00000000-0005-0000-0000-000077310000}"/>
    <cellStyle name="Normal 144 3 2 2" xfId="13276" xr:uid="{00000000-0005-0000-0000-000078310000}"/>
    <cellStyle name="Normal 144 3 2 2 2" xfId="13277" xr:uid="{00000000-0005-0000-0000-000079310000}"/>
    <cellStyle name="Normal 144 3 2 3" xfId="13278" xr:uid="{00000000-0005-0000-0000-00007A310000}"/>
    <cellStyle name="Normal 144 3 2 3 2" xfId="13279" xr:uid="{00000000-0005-0000-0000-00007B310000}"/>
    <cellStyle name="Normal 144 3 2 3 2 2" xfId="13280" xr:uid="{00000000-0005-0000-0000-00007C310000}"/>
    <cellStyle name="Normal 144 3 2 3 3" xfId="13281" xr:uid="{00000000-0005-0000-0000-00007D310000}"/>
    <cellStyle name="Normal 144 3 2 4" xfId="13282" xr:uid="{00000000-0005-0000-0000-00007E310000}"/>
    <cellStyle name="Normal 144 3 3" xfId="13283" xr:uid="{00000000-0005-0000-0000-00007F310000}"/>
    <cellStyle name="Normal 144 3 3 2" xfId="13284" xr:uid="{00000000-0005-0000-0000-000080310000}"/>
    <cellStyle name="Normal 144 3 3 2 2" xfId="13285" xr:uid="{00000000-0005-0000-0000-000081310000}"/>
    <cellStyle name="Normal 144 3 3 3" xfId="13286" xr:uid="{00000000-0005-0000-0000-000082310000}"/>
    <cellStyle name="Normal 144 3 4" xfId="13287" xr:uid="{00000000-0005-0000-0000-000083310000}"/>
    <cellStyle name="Normal 144 3 4 2" xfId="13288" xr:uid="{00000000-0005-0000-0000-000084310000}"/>
    <cellStyle name="Normal 144 3 4 2 2" xfId="13289" xr:uid="{00000000-0005-0000-0000-000085310000}"/>
    <cellStyle name="Normal 144 3 4 3" xfId="13290" xr:uid="{00000000-0005-0000-0000-000086310000}"/>
    <cellStyle name="Normal 144 3 5" xfId="13291" xr:uid="{00000000-0005-0000-0000-000087310000}"/>
    <cellStyle name="Normal 144 3 5 2" xfId="13292" xr:uid="{00000000-0005-0000-0000-000088310000}"/>
    <cellStyle name="Normal 144 3 5 2 2" xfId="13293" xr:uid="{00000000-0005-0000-0000-000089310000}"/>
    <cellStyle name="Normal 144 3 5 3" xfId="13294" xr:uid="{00000000-0005-0000-0000-00008A310000}"/>
    <cellStyle name="Normal 144 3 6" xfId="13295" xr:uid="{00000000-0005-0000-0000-00008B310000}"/>
    <cellStyle name="Normal 144 4" xfId="13296" xr:uid="{00000000-0005-0000-0000-00008C310000}"/>
    <cellStyle name="Normal 144 4 2" xfId="13297" xr:uid="{00000000-0005-0000-0000-00008D310000}"/>
    <cellStyle name="Normal 144 4 2 2" xfId="13298" xr:uid="{00000000-0005-0000-0000-00008E310000}"/>
    <cellStyle name="Normal 144 4 3" xfId="13299" xr:uid="{00000000-0005-0000-0000-00008F310000}"/>
    <cellStyle name="Normal 144 5" xfId="13300" xr:uid="{00000000-0005-0000-0000-000090310000}"/>
    <cellStyle name="Normal 144 5 2" xfId="13301" xr:uid="{00000000-0005-0000-0000-000091310000}"/>
    <cellStyle name="Normal 144 5 2 2" xfId="13302" xr:uid="{00000000-0005-0000-0000-000092310000}"/>
    <cellStyle name="Normal 144 5 3" xfId="13303" xr:uid="{00000000-0005-0000-0000-000093310000}"/>
    <cellStyle name="Normal 144 6" xfId="13304" xr:uid="{00000000-0005-0000-0000-000094310000}"/>
    <cellStyle name="Normal 144 6 2" xfId="13305" xr:uid="{00000000-0005-0000-0000-000095310000}"/>
    <cellStyle name="Normal 144 6 2 2" xfId="13306" xr:uid="{00000000-0005-0000-0000-000096310000}"/>
    <cellStyle name="Normal 144 6 3" xfId="13307" xr:uid="{00000000-0005-0000-0000-000097310000}"/>
    <cellStyle name="Normal 144 7" xfId="13308" xr:uid="{00000000-0005-0000-0000-000098310000}"/>
    <cellStyle name="Normal 145" xfId="13309" xr:uid="{00000000-0005-0000-0000-000099310000}"/>
    <cellStyle name="Normal 145 2" xfId="13310" xr:uid="{00000000-0005-0000-0000-00009A310000}"/>
    <cellStyle name="Normal 145 2 2" xfId="13311" xr:uid="{00000000-0005-0000-0000-00009B310000}"/>
    <cellStyle name="Normal 145 2 2 2" xfId="13312" xr:uid="{00000000-0005-0000-0000-00009C310000}"/>
    <cellStyle name="Normal 145 2 3" xfId="13313" xr:uid="{00000000-0005-0000-0000-00009D310000}"/>
    <cellStyle name="Normal 145 2 3 2" xfId="13314" xr:uid="{00000000-0005-0000-0000-00009E310000}"/>
    <cellStyle name="Normal 145 2 3 2 2" xfId="13315" xr:uid="{00000000-0005-0000-0000-00009F310000}"/>
    <cellStyle name="Normal 145 2 3 3" xfId="13316" xr:uid="{00000000-0005-0000-0000-0000A0310000}"/>
    <cellStyle name="Normal 145 2 4" xfId="13317" xr:uid="{00000000-0005-0000-0000-0000A1310000}"/>
    <cellStyle name="Normal 145 2 4 2" xfId="13318" xr:uid="{00000000-0005-0000-0000-0000A2310000}"/>
    <cellStyle name="Normal 145 2 4 2 2" xfId="13319" xr:uid="{00000000-0005-0000-0000-0000A3310000}"/>
    <cellStyle name="Normal 145 2 4 3" xfId="13320" xr:uid="{00000000-0005-0000-0000-0000A4310000}"/>
    <cellStyle name="Normal 145 2 5" xfId="13321" xr:uid="{00000000-0005-0000-0000-0000A5310000}"/>
    <cellStyle name="Normal 145 3" xfId="13322" xr:uid="{00000000-0005-0000-0000-0000A6310000}"/>
    <cellStyle name="Normal 145 3 2" xfId="13323" xr:uid="{00000000-0005-0000-0000-0000A7310000}"/>
    <cellStyle name="Normal 145 3 2 2" xfId="13324" xr:uid="{00000000-0005-0000-0000-0000A8310000}"/>
    <cellStyle name="Normal 145 3 2 2 2" xfId="13325" xr:uid="{00000000-0005-0000-0000-0000A9310000}"/>
    <cellStyle name="Normal 145 3 2 3" xfId="13326" xr:uid="{00000000-0005-0000-0000-0000AA310000}"/>
    <cellStyle name="Normal 145 3 2 3 2" xfId="13327" xr:uid="{00000000-0005-0000-0000-0000AB310000}"/>
    <cellStyle name="Normal 145 3 2 3 2 2" xfId="13328" xr:uid="{00000000-0005-0000-0000-0000AC310000}"/>
    <cellStyle name="Normal 145 3 2 3 3" xfId="13329" xr:uid="{00000000-0005-0000-0000-0000AD310000}"/>
    <cellStyle name="Normal 145 3 2 4" xfId="13330" xr:uid="{00000000-0005-0000-0000-0000AE310000}"/>
    <cellStyle name="Normal 145 3 3" xfId="13331" xr:uid="{00000000-0005-0000-0000-0000AF310000}"/>
    <cellStyle name="Normal 145 3 3 2" xfId="13332" xr:uid="{00000000-0005-0000-0000-0000B0310000}"/>
    <cellStyle name="Normal 145 3 3 2 2" xfId="13333" xr:uid="{00000000-0005-0000-0000-0000B1310000}"/>
    <cellStyle name="Normal 145 3 3 3" xfId="13334" xr:uid="{00000000-0005-0000-0000-0000B2310000}"/>
    <cellStyle name="Normal 145 3 4" xfId="13335" xr:uid="{00000000-0005-0000-0000-0000B3310000}"/>
    <cellStyle name="Normal 145 3 4 2" xfId="13336" xr:uid="{00000000-0005-0000-0000-0000B4310000}"/>
    <cellStyle name="Normal 145 3 4 2 2" xfId="13337" xr:uid="{00000000-0005-0000-0000-0000B5310000}"/>
    <cellStyle name="Normal 145 3 4 3" xfId="13338" xr:uid="{00000000-0005-0000-0000-0000B6310000}"/>
    <cellStyle name="Normal 145 3 5" xfId="13339" xr:uid="{00000000-0005-0000-0000-0000B7310000}"/>
    <cellStyle name="Normal 145 3 5 2" xfId="13340" xr:uid="{00000000-0005-0000-0000-0000B8310000}"/>
    <cellStyle name="Normal 145 3 5 2 2" xfId="13341" xr:uid="{00000000-0005-0000-0000-0000B9310000}"/>
    <cellStyle name="Normal 145 3 5 3" xfId="13342" xr:uid="{00000000-0005-0000-0000-0000BA310000}"/>
    <cellStyle name="Normal 145 3 6" xfId="13343" xr:uid="{00000000-0005-0000-0000-0000BB310000}"/>
    <cellStyle name="Normal 145 4" xfId="13344" xr:uid="{00000000-0005-0000-0000-0000BC310000}"/>
    <cellStyle name="Normal 145 4 2" xfId="13345" xr:uid="{00000000-0005-0000-0000-0000BD310000}"/>
    <cellStyle name="Normal 145 4 2 2" xfId="13346" xr:uid="{00000000-0005-0000-0000-0000BE310000}"/>
    <cellStyle name="Normal 145 4 3" xfId="13347" xr:uid="{00000000-0005-0000-0000-0000BF310000}"/>
    <cellStyle name="Normal 145 5" xfId="13348" xr:uid="{00000000-0005-0000-0000-0000C0310000}"/>
    <cellStyle name="Normal 145 5 2" xfId="13349" xr:uid="{00000000-0005-0000-0000-0000C1310000}"/>
    <cellStyle name="Normal 145 5 2 2" xfId="13350" xr:uid="{00000000-0005-0000-0000-0000C2310000}"/>
    <cellStyle name="Normal 145 5 3" xfId="13351" xr:uid="{00000000-0005-0000-0000-0000C3310000}"/>
    <cellStyle name="Normal 145 6" xfId="13352" xr:uid="{00000000-0005-0000-0000-0000C4310000}"/>
    <cellStyle name="Normal 145 6 2" xfId="13353" xr:uid="{00000000-0005-0000-0000-0000C5310000}"/>
    <cellStyle name="Normal 145 6 2 2" xfId="13354" xr:uid="{00000000-0005-0000-0000-0000C6310000}"/>
    <cellStyle name="Normal 145 6 3" xfId="13355" xr:uid="{00000000-0005-0000-0000-0000C7310000}"/>
    <cellStyle name="Normal 145 7" xfId="13356" xr:uid="{00000000-0005-0000-0000-0000C8310000}"/>
    <cellStyle name="Normal 146" xfId="13357" xr:uid="{00000000-0005-0000-0000-0000C9310000}"/>
    <cellStyle name="Normal 146 2" xfId="13358" xr:uid="{00000000-0005-0000-0000-0000CA310000}"/>
    <cellStyle name="Normal 146 2 2" xfId="13359" xr:uid="{00000000-0005-0000-0000-0000CB310000}"/>
    <cellStyle name="Normal 146 2 2 2" xfId="13360" xr:uid="{00000000-0005-0000-0000-0000CC310000}"/>
    <cellStyle name="Normal 146 2 3" xfId="13361" xr:uid="{00000000-0005-0000-0000-0000CD310000}"/>
    <cellStyle name="Normal 146 2 3 2" xfId="13362" xr:uid="{00000000-0005-0000-0000-0000CE310000}"/>
    <cellStyle name="Normal 146 2 3 2 2" xfId="13363" xr:uid="{00000000-0005-0000-0000-0000CF310000}"/>
    <cellStyle name="Normal 146 2 3 3" xfId="13364" xr:uid="{00000000-0005-0000-0000-0000D0310000}"/>
    <cellStyle name="Normal 146 2 4" xfId="13365" xr:uid="{00000000-0005-0000-0000-0000D1310000}"/>
    <cellStyle name="Normal 146 2 4 2" xfId="13366" xr:uid="{00000000-0005-0000-0000-0000D2310000}"/>
    <cellStyle name="Normal 146 2 4 2 2" xfId="13367" xr:uid="{00000000-0005-0000-0000-0000D3310000}"/>
    <cellStyle name="Normal 146 2 4 3" xfId="13368" xr:uid="{00000000-0005-0000-0000-0000D4310000}"/>
    <cellStyle name="Normal 146 2 5" xfId="13369" xr:uid="{00000000-0005-0000-0000-0000D5310000}"/>
    <cellStyle name="Normal 146 3" xfId="13370" xr:uid="{00000000-0005-0000-0000-0000D6310000}"/>
    <cellStyle name="Normal 146 3 2" xfId="13371" xr:uid="{00000000-0005-0000-0000-0000D7310000}"/>
    <cellStyle name="Normal 146 3 2 2" xfId="13372" xr:uid="{00000000-0005-0000-0000-0000D8310000}"/>
    <cellStyle name="Normal 146 3 2 2 2" xfId="13373" xr:uid="{00000000-0005-0000-0000-0000D9310000}"/>
    <cellStyle name="Normal 146 3 2 3" xfId="13374" xr:uid="{00000000-0005-0000-0000-0000DA310000}"/>
    <cellStyle name="Normal 146 3 2 3 2" xfId="13375" xr:uid="{00000000-0005-0000-0000-0000DB310000}"/>
    <cellStyle name="Normal 146 3 2 3 2 2" xfId="13376" xr:uid="{00000000-0005-0000-0000-0000DC310000}"/>
    <cellStyle name="Normal 146 3 2 3 3" xfId="13377" xr:uid="{00000000-0005-0000-0000-0000DD310000}"/>
    <cellStyle name="Normal 146 3 2 4" xfId="13378" xr:uid="{00000000-0005-0000-0000-0000DE310000}"/>
    <cellStyle name="Normal 146 3 3" xfId="13379" xr:uid="{00000000-0005-0000-0000-0000DF310000}"/>
    <cellStyle name="Normal 146 3 3 2" xfId="13380" xr:uid="{00000000-0005-0000-0000-0000E0310000}"/>
    <cellStyle name="Normal 146 3 3 2 2" xfId="13381" xr:uid="{00000000-0005-0000-0000-0000E1310000}"/>
    <cellStyle name="Normal 146 3 3 3" xfId="13382" xr:uid="{00000000-0005-0000-0000-0000E2310000}"/>
    <cellStyle name="Normal 146 3 4" xfId="13383" xr:uid="{00000000-0005-0000-0000-0000E3310000}"/>
    <cellStyle name="Normal 146 3 4 2" xfId="13384" xr:uid="{00000000-0005-0000-0000-0000E4310000}"/>
    <cellStyle name="Normal 146 3 4 2 2" xfId="13385" xr:uid="{00000000-0005-0000-0000-0000E5310000}"/>
    <cellStyle name="Normal 146 3 4 3" xfId="13386" xr:uid="{00000000-0005-0000-0000-0000E6310000}"/>
    <cellStyle name="Normal 146 3 5" xfId="13387" xr:uid="{00000000-0005-0000-0000-0000E7310000}"/>
    <cellStyle name="Normal 146 3 5 2" xfId="13388" xr:uid="{00000000-0005-0000-0000-0000E8310000}"/>
    <cellStyle name="Normal 146 3 5 2 2" xfId="13389" xr:uid="{00000000-0005-0000-0000-0000E9310000}"/>
    <cellStyle name="Normal 146 3 5 3" xfId="13390" xr:uid="{00000000-0005-0000-0000-0000EA310000}"/>
    <cellStyle name="Normal 146 3 6" xfId="13391" xr:uid="{00000000-0005-0000-0000-0000EB310000}"/>
    <cellStyle name="Normal 146 4" xfId="13392" xr:uid="{00000000-0005-0000-0000-0000EC310000}"/>
    <cellStyle name="Normal 146 4 2" xfId="13393" xr:uid="{00000000-0005-0000-0000-0000ED310000}"/>
    <cellStyle name="Normal 146 4 2 2" xfId="13394" xr:uid="{00000000-0005-0000-0000-0000EE310000}"/>
    <cellStyle name="Normal 146 4 3" xfId="13395" xr:uid="{00000000-0005-0000-0000-0000EF310000}"/>
    <cellStyle name="Normal 146 5" xfId="13396" xr:uid="{00000000-0005-0000-0000-0000F0310000}"/>
    <cellStyle name="Normal 146 5 2" xfId="13397" xr:uid="{00000000-0005-0000-0000-0000F1310000}"/>
    <cellStyle name="Normal 146 5 2 2" xfId="13398" xr:uid="{00000000-0005-0000-0000-0000F2310000}"/>
    <cellStyle name="Normal 146 5 3" xfId="13399" xr:uid="{00000000-0005-0000-0000-0000F3310000}"/>
    <cellStyle name="Normal 146 6" xfId="13400" xr:uid="{00000000-0005-0000-0000-0000F4310000}"/>
    <cellStyle name="Normal 146 6 2" xfId="13401" xr:uid="{00000000-0005-0000-0000-0000F5310000}"/>
    <cellStyle name="Normal 146 6 2 2" xfId="13402" xr:uid="{00000000-0005-0000-0000-0000F6310000}"/>
    <cellStyle name="Normal 146 6 3" xfId="13403" xr:uid="{00000000-0005-0000-0000-0000F7310000}"/>
    <cellStyle name="Normal 146 7" xfId="13404" xr:uid="{00000000-0005-0000-0000-0000F8310000}"/>
    <cellStyle name="Normal 147" xfId="13405" xr:uid="{00000000-0005-0000-0000-0000F9310000}"/>
    <cellStyle name="Normal 147 2" xfId="13406" xr:uid="{00000000-0005-0000-0000-0000FA310000}"/>
    <cellStyle name="Normal 147 2 2" xfId="13407" xr:uid="{00000000-0005-0000-0000-0000FB310000}"/>
    <cellStyle name="Normal 147 2 2 2" xfId="13408" xr:uid="{00000000-0005-0000-0000-0000FC310000}"/>
    <cellStyle name="Normal 147 2 3" xfId="13409" xr:uid="{00000000-0005-0000-0000-0000FD310000}"/>
    <cellStyle name="Normal 147 2 3 2" xfId="13410" xr:uid="{00000000-0005-0000-0000-0000FE310000}"/>
    <cellStyle name="Normal 147 2 3 2 2" xfId="13411" xr:uid="{00000000-0005-0000-0000-0000FF310000}"/>
    <cellStyle name="Normal 147 2 3 3" xfId="13412" xr:uid="{00000000-0005-0000-0000-000000320000}"/>
    <cellStyle name="Normal 147 2 4" xfId="13413" xr:uid="{00000000-0005-0000-0000-000001320000}"/>
    <cellStyle name="Normal 147 2 4 2" xfId="13414" xr:uid="{00000000-0005-0000-0000-000002320000}"/>
    <cellStyle name="Normal 147 2 4 2 2" xfId="13415" xr:uid="{00000000-0005-0000-0000-000003320000}"/>
    <cellStyle name="Normal 147 2 4 3" xfId="13416" xr:uid="{00000000-0005-0000-0000-000004320000}"/>
    <cellStyle name="Normal 147 2 5" xfId="13417" xr:uid="{00000000-0005-0000-0000-000005320000}"/>
    <cellStyle name="Normal 147 3" xfId="13418" xr:uid="{00000000-0005-0000-0000-000006320000}"/>
    <cellStyle name="Normal 147 3 2" xfId="13419" xr:uid="{00000000-0005-0000-0000-000007320000}"/>
    <cellStyle name="Normal 147 3 2 2" xfId="13420" xr:uid="{00000000-0005-0000-0000-000008320000}"/>
    <cellStyle name="Normal 147 3 2 2 2" xfId="13421" xr:uid="{00000000-0005-0000-0000-000009320000}"/>
    <cellStyle name="Normal 147 3 2 3" xfId="13422" xr:uid="{00000000-0005-0000-0000-00000A320000}"/>
    <cellStyle name="Normal 147 3 2 3 2" xfId="13423" xr:uid="{00000000-0005-0000-0000-00000B320000}"/>
    <cellStyle name="Normal 147 3 2 3 2 2" xfId="13424" xr:uid="{00000000-0005-0000-0000-00000C320000}"/>
    <cellStyle name="Normal 147 3 2 3 3" xfId="13425" xr:uid="{00000000-0005-0000-0000-00000D320000}"/>
    <cellStyle name="Normal 147 3 2 4" xfId="13426" xr:uid="{00000000-0005-0000-0000-00000E320000}"/>
    <cellStyle name="Normal 147 3 3" xfId="13427" xr:uid="{00000000-0005-0000-0000-00000F320000}"/>
    <cellStyle name="Normal 147 3 3 2" xfId="13428" xr:uid="{00000000-0005-0000-0000-000010320000}"/>
    <cellStyle name="Normal 147 3 3 2 2" xfId="13429" xr:uid="{00000000-0005-0000-0000-000011320000}"/>
    <cellStyle name="Normal 147 3 3 3" xfId="13430" xr:uid="{00000000-0005-0000-0000-000012320000}"/>
    <cellStyle name="Normal 147 3 4" xfId="13431" xr:uid="{00000000-0005-0000-0000-000013320000}"/>
    <cellStyle name="Normal 147 3 4 2" xfId="13432" xr:uid="{00000000-0005-0000-0000-000014320000}"/>
    <cellStyle name="Normal 147 3 4 2 2" xfId="13433" xr:uid="{00000000-0005-0000-0000-000015320000}"/>
    <cellStyle name="Normal 147 3 4 3" xfId="13434" xr:uid="{00000000-0005-0000-0000-000016320000}"/>
    <cellStyle name="Normal 147 3 5" xfId="13435" xr:uid="{00000000-0005-0000-0000-000017320000}"/>
    <cellStyle name="Normal 147 3 5 2" xfId="13436" xr:uid="{00000000-0005-0000-0000-000018320000}"/>
    <cellStyle name="Normal 147 3 5 2 2" xfId="13437" xr:uid="{00000000-0005-0000-0000-000019320000}"/>
    <cellStyle name="Normal 147 3 5 3" xfId="13438" xr:uid="{00000000-0005-0000-0000-00001A320000}"/>
    <cellStyle name="Normal 147 3 6" xfId="13439" xr:uid="{00000000-0005-0000-0000-00001B320000}"/>
    <cellStyle name="Normal 147 4" xfId="13440" xr:uid="{00000000-0005-0000-0000-00001C320000}"/>
    <cellStyle name="Normal 147 4 2" xfId="13441" xr:uid="{00000000-0005-0000-0000-00001D320000}"/>
    <cellStyle name="Normal 147 4 2 2" xfId="13442" xr:uid="{00000000-0005-0000-0000-00001E320000}"/>
    <cellStyle name="Normal 147 4 3" xfId="13443" xr:uid="{00000000-0005-0000-0000-00001F320000}"/>
    <cellStyle name="Normal 147 5" xfId="13444" xr:uid="{00000000-0005-0000-0000-000020320000}"/>
    <cellStyle name="Normal 147 5 2" xfId="13445" xr:uid="{00000000-0005-0000-0000-000021320000}"/>
    <cellStyle name="Normal 147 5 2 2" xfId="13446" xr:uid="{00000000-0005-0000-0000-000022320000}"/>
    <cellStyle name="Normal 147 5 3" xfId="13447" xr:uid="{00000000-0005-0000-0000-000023320000}"/>
    <cellStyle name="Normal 147 6" xfId="13448" xr:uid="{00000000-0005-0000-0000-000024320000}"/>
    <cellStyle name="Normal 147 6 2" xfId="13449" xr:uid="{00000000-0005-0000-0000-000025320000}"/>
    <cellStyle name="Normal 147 6 2 2" xfId="13450" xr:uid="{00000000-0005-0000-0000-000026320000}"/>
    <cellStyle name="Normal 147 6 3" xfId="13451" xr:uid="{00000000-0005-0000-0000-000027320000}"/>
    <cellStyle name="Normal 147 7" xfId="13452" xr:uid="{00000000-0005-0000-0000-000028320000}"/>
    <cellStyle name="Normal 148" xfId="13453" xr:uid="{00000000-0005-0000-0000-000029320000}"/>
    <cellStyle name="Normal 148 2" xfId="13454" xr:uid="{00000000-0005-0000-0000-00002A320000}"/>
    <cellStyle name="Normal 148 2 2" xfId="13455" xr:uid="{00000000-0005-0000-0000-00002B320000}"/>
    <cellStyle name="Normal 148 2 2 2" xfId="13456" xr:uid="{00000000-0005-0000-0000-00002C320000}"/>
    <cellStyle name="Normal 148 2 3" xfId="13457" xr:uid="{00000000-0005-0000-0000-00002D320000}"/>
    <cellStyle name="Normal 148 2 3 2" xfId="13458" xr:uid="{00000000-0005-0000-0000-00002E320000}"/>
    <cellStyle name="Normal 148 2 3 2 2" xfId="13459" xr:uid="{00000000-0005-0000-0000-00002F320000}"/>
    <cellStyle name="Normal 148 2 3 3" xfId="13460" xr:uid="{00000000-0005-0000-0000-000030320000}"/>
    <cellStyle name="Normal 148 2 4" xfId="13461" xr:uid="{00000000-0005-0000-0000-000031320000}"/>
    <cellStyle name="Normal 148 2 4 2" xfId="13462" xr:uid="{00000000-0005-0000-0000-000032320000}"/>
    <cellStyle name="Normal 148 2 4 2 2" xfId="13463" xr:uid="{00000000-0005-0000-0000-000033320000}"/>
    <cellStyle name="Normal 148 2 4 3" xfId="13464" xr:uid="{00000000-0005-0000-0000-000034320000}"/>
    <cellStyle name="Normal 148 2 5" xfId="13465" xr:uid="{00000000-0005-0000-0000-000035320000}"/>
    <cellStyle name="Normal 148 3" xfId="13466" xr:uid="{00000000-0005-0000-0000-000036320000}"/>
    <cellStyle name="Normal 148 3 2" xfId="13467" xr:uid="{00000000-0005-0000-0000-000037320000}"/>
    <cellStyle name="Normal 148 3 2 2" xfId="13468" xr:uid="{00000000-0005-0000-0000-000038320000}"/>
    <cellStyle name="Normal 148 3 2 2 2" xfId="13469" xr:uid="{00000000-0005-0000-0000-000039320000}"/>
    <cellStyle name="Normal 148 3 2 3" xfId="13470" xr:uid="{00000000-0005-0000-0000-00003A320000}"/>
    <cellStyle name="Normal 148 3 2 3 2" xfId="13471" xr:uid="{00000000-0005-0000-0000-00003B320000}"/>
    <cellStyle name="Normal 148 3 2 3 2 2" xfId="13472" xr:uid="{00000000-0005-0000-0000-00003C320000}"/>
    <cellStyle name="Normal 148 3 2 3 3" xfId="13473" xr:uid="{00000000-0005-0000-0000-00003D320000}"/>
    <cellStyle name="Normal 148 3 2 4" xfId="13474" xr:uid="{00000000-0005-0000-0000-00003E320000}"/>
    <cellStyle name="Normal 148 3 3" xfId="13475" xr:uid="{00000000-0005-0000-0000-00003F320000}"/>
    <cellStyle name="Normal 148 3 3 2" xfId="13476" xr:uid="{00000000-0005-0000-0000-000040320000}"/>
    <cellStyle name="Normal 148 3 3 2 2" xfId="13477" xr:uid="{00000000-0005-0000-0000-000041320000}"/>
    <cellStyle name="Normal 148 3 3 3" xfId="13478" xr:uid="{00000000-0005-0000-0000-000042320000}"/>
    <cellStyle name="Normal 148 3 4" xfId="13479" xr:uid="{00000000-0005-0000-0000-000043320000}"/>
    <cellStyle name="Normal 148 3 4 2" xfId="13480" xr:uid="{00000000-0005-0000-0000-000044320000}"/>
    <cellStyle name="Normal 148 3 4 2 2" xfId="13481" xr:uid="{00000000-0005-0000-0000-000045320000}"/>
    <cellStyle name="Normal 148 3 4 3" xfId="13482" xr:uid="{00000000-0005-0000-0000-000046320000}"/>
    <cellStyle name="Normal 148 3 5" xfId="13483" xr:uid="{00000000-0005-0000-0000-000047320000}"/>
    <cellStyle name="Normal 148 3 5 2" xfId="13484" xr:uid="{00000000-0005-0000-0000-000048320000}"/>
    <cellStyle name="Normal 148 3 5 2 2" xfId="13485" xr:uid="{00000000-0005-0000-0000-000049320000}"/>
    <cellStyle name="Normal 148 3 5 3" xfId="13486" xr:uid="{00000000-0005-0000-0000-00004A320000}"/>
    <cellStyle name="Normal 148 3 6" xfId="13487" xr:uid="{00000000-0005-0000-0000-00004B320000}"/>
    <cellStyle name="Normal 148 4" xfId="13488" xr:uid="{00000000-0005-0000-0000-00004C320000}"/>
    <cellStyle name="Normal 148 4 2" xfId="13489" xr:uid="{00000000-0005-0000-0000-00004D320000}"/>
    <cellStyle name="Normal 148 4 2 2" xfId="13490" xr:uid="{00000000-0005-0000-0000-00004E320000}"/>
    <cellStyle name="Normal 148 4 3" xfId="13491" xr:uid="{00000000-0005-0000-0000-00004F320000}"/>
    <cellStyle name="Normal 148 5" xfId="13492" xr:uid="{00000000-0005-0000-0000-000050320000}"/>
    <cellStyle name="Normal 148 5 2" xfId="13493" xr:uid="{00000000-0005-0000-0000-000051320000}"/>
    <cellStyle name="Normal 148 5 2 2" xfId="13494" xr:uid="{00000000-0005-0000-0000-000052320000}"/>
    <cellStyle name="Normal 148 5 3" xfId="13495" xr:uid="{00000000-0005-0000-0000-000053320000}"/>
    <cellStyle name="Normal 148 6" xfId="13496" xr:uid="{00000000-0005-0000-0000-000054320000}"/>
    <cellStyle name="Normal 148 6 2" xfId="13497" xr:uid="{00000000-0005-0000-0000-000055320000}"/>
    <cellStyle name="Normal 148 6 2 2" xfId="13498" xr:uid="{00000000-0005-0000-0000-000056320000}"/>
    <cellStyle name="Normal 148 6 3" xfId="13499" xr:uid="{00000000-0005-0000-0000-000057320000}"/>
    <cellStyle name="Normal 148 7" xfId="13500" xr:uid="{00000000-0005-0000-0000-000058320000}"/>
    <cellStyle name="Normal 149" xfId="13501" xr:uid="{00000000-0005-0000-0000-000059320000}"/>
    <cellStyle name="Normal 149 2" xfId="13502" xr:uid="{00000000-0005-0000-0000-00005A320000}"/>
    <cellStyle name="Normal 149 2 2" xfId="13503" xr:uid="{00000000-0005-0000-0000-00005B320000}"/>
    <cellStyle name="Normal 149 2 2 2" xfId="13504" xr:uid="{00000000-0005-0000-0000-00005C320000}"/>
    <cellStyle name="Normal 149 2 3" xfId="13505" xr:uid="{00000000-0005-0000-0000-00005D320000}"/>
    <cellStyle name="Normal 149 2 3 2" xfId="13506" xr:uid="{00000000-0005-0000-0000-00005E320000}"/>
    <cellStyle name="Normal 149 2 3 2 2" xfId="13507" xr:uid="{00000000-0005-0000-0000-00005F320000}"/>
    <cellStyle name="Normal 149 2 3 3" xfId="13508" xr:uid="{00000000-0005-0000-0000-000060320000}"/>
    <cellStyle name="Normal 149 2 4" xfId="13509" xr:uid="{00000000-0005-0000-0000-000061320000}"/>
    <cellStyle name="Normal 149 2 4 2" xfId="13510" xr:uid="{00000000-0005-0000-0000-000062320000}"/>
    <cellStyle name="Normal 149 2 4 2 2" xfId="13511" xr:uid="{00000000-0005-0000-0000-000063320000}"/>
    <cellStyle name="Normal 149 2 4 3" xfId="13512" xr:uid="{00000000-0005-0000-0000-000064320000}"/>
    <cellStyle name="Normal 149 2 5" xfId="13513" xr:uid="{00000000-0005-0000-0000-000065320000}"/>
    <cellStyle name="Normal 149 3" xfId="13514" xr:uid="{00000000-0005-0000-0000-000066320000}"/>
    <cellStyle name="Normal 149 3 2" xfId="13515" xr:uid="{00000000-0005-0000-0000-000067320000}"/>
    <cellStyle name="Normal 149 3 2 2" xfId="13516" xr:uid="{00000000-0005-0000-0000-000068320000}"/>
    <cellStyle name="Normal 149 3 2 2 2" xfId="13517" xr:uid="{00000000-0005-0000-0000-000069320000}"/>
    <cellStyle name="Normal 149 3 2 3" xfId="13518" xr:uid="{00000000-0005-0000-0000-00006A320000}"/>
    <cellStyle name="Normal 149 3 2 3 2" xfId="13519" xr:uid="{00000000-0005-0000-0000-00006B320000}"/>
    <cellStyle name="Normal 149 3 2 3 2 2" xfId="13520" xr:uid="{00000000-0005-0000-0000-00006C320000}"/>
    <cellStyle name="Normal 149 3 2 3 3" xfId="13521" xr:uid="{00000000-0005-0000-0000-00006D320000}"/>
    <cellStyle name="Normal 149 3 2 4" xfId="13522" xr:uid="{00000000-0005-0000-0000-00006E320000}"/>
    <cellStyle name="Normal 149 3 3" xfId="13523" xr:uid="{00000000-0005-0000-0000-00006F320000}"/>
    <cellStyle name="Normal 149 3 3 2" xfId="13524" xr:uid="{00000000-0005-0000-0000-000070320000}"/>
    <cellStyle name="Normal 149 3 3 2 2" xfId="13525" xr:uid="{00000000-0005-0000-0000-000071320000}"/>
    <cellStyle name="Normal 149 3 3 3" xfId="13526" xr:uid="{00000000-0005-0000-0000-000072320000}"/>
    <cellStyle name="Normal 149 3 4" xfId="13527" xr:uid="{00000000-0005-0000-0000-000073320000}"/>
    <cellStyle name="Normal 149 3 4 2" xfId="13528" xr:uid="{00000000-0005-0000-0000-000074320000}"/>
    <cellStyle name="Normal 149 3 4 2 2" xfId="13529" xr:uid="{00000000-0005-0000-0000-000075320000}"/>
    <cellStyle name="Normal 149 3 4 3" xfId="13530" xr:uid="{00000000-0005-0000-0000-000076320000}"/>
    <cellStyle name="Normal 149 3 5" xfId="13531" xr:uid="{00000000-0005-0000-0000-000077320000}"/>
    <cellStyle name="Normal 149 3 5 2" xfId="13532" xr:uid="{00000000-0005-0000-0000-000078320000}"/>
    <cellStyle name="Normal 149 3 5 2 2" xfId="13533" xr:uid="{00000000-0005-0000-0000-000079320000}"/>
    <cellStyle name="Normal 149 3 5 3" xfId="13534" xr:uid="{00000000-0005-0000-0000-00007A320000}"/>
    <cellStyle name="Normal 149 3 6" xfId="13535" xr:uid="{00000000-0005-0000-0000-00007B320000}"/>
    <cellStyle name="Normal 149 4" xfId="13536" xr:uid="{00000000-0005-0000-0000-00007C320000}"/>
    <cellStyle name="Normal 149 4 2" xfId="13537" xr:uid="{00000000-0005-0000-0000-00007D320000}"/>
    <cellStyle name="Normal 149 4 2 2" xfId="13538" xr:uid="{00000000-0005-0000-0000-00007E320000}"/>
    <cellStyle name="Normal 149 4 3" xfId="13539" xr:uid="{00000000-0005-0000-0000-00007F320000}"/>
    <cellStyle name="Normal 149 5" xfId="13540" xr:uid="{00000000-0005-0000-0000-000080320000}"/>
    <cellStyle name="Normal 149 5 2" xfId="13541" xr:uid="{00000000-0005-0000-0000-000081320000}"/>
    <cellStyle name="Normal 149 5 2 2" xfId="13542" xr:uid="{00000000-0005-0000-0000-000082320000}"/>
    <cellStyle name="Normal 149 5 3" xfId="13543" xr:uid="{00000000-0005-0000-0000-000083320000}"/>
    <cellStyle name="Normal 149 6" xfId="13544" xr:uid="{00000000-0005-0000-0000-000084320000}"/>
    <cellStyle name="Normal 149 6 2" xfId="13545" xr:uid="{00000000-0005-0000-0000-000085320000}"/>
    <cellStyle name="Normal 149 6 2 2" xfId="13546" xr:uid="{00000000-0005-0000-0000-000086320000}"/>
    <cellStyle name="Normal 149 6 3" xfId="13547" xr:uid="{00000000-0005-0000-0000-000087320000}"/>
    <cellStyle name="Normal 149 7" xfId="13548" xr:uid="{00000000-0005-0000-0000-000088320000}"/>
    <cellStyle name="Normal 15" xfId="132" xr:uid="{00000000-0005-0000-0000-000089320000}"/>
    <cellStyle name="Normal 15 2" xfId="13550" xr:uid="{00000000-0005-0000-0000-00008A320000}"/>
    <cellStyle name="Normal 15 2 2" xfId="13551" xr:uid="{00000000-0005-0000-0000-00008B320000}"/>
    <cellStyle name="Normal 15 2 2 2" xfId="13552" xr:uid="{00000000-0005-0000-0000-00008C320000}"/>
    <cellStyle name="Normal 15 2 2 2 2" xfId="13553" xr:uid="{00000000-0005-0000-0000-00008D320000}"/>
    <cellStyle name="Normal 15 2 2 3" xfId="13554" xr:uid="{00000000-0005-0000-0000-00008E320000}"/>
    <cellStyle name="Normal 15 2 2 3 2" xfId="13555" xr:uid="{00000000-0005-0000-0000-00008F320000}"/>
    <cellStyle name="Normal 15 2 2 3 2 2" xfId="13556" xr:uid="{00000000-0005-0000-0000-000090320000}"/>
    <cellStyle name="Normal 15 2 2 3 3" xfId="13557" xr:uid="{00000000-0005-0000-0000-000091320000}"/>
    <cellStyle name="Normal 15 2 2 4" xfId="13558" xr:uid="{00000000-0005-0000-0000-000092320000}"/>
    <cellStyle name="Normal 15 2 2 4 2" xfId="13559" xr:uid="{00000000-0005-0000-0000-000093320000}"/>
    <cellStyle name="Normal 15 2 2 4 2 2" xfId="13560" xr:uid="{00000000-0005-0000-0000-000094320000}"/>
    <cellStyle name="Normal 15 2 2 4 3" xfId="13561" xr:uid="{00000000-0005-0000-0000-000095320000}"/>
    <cellStyle name="Normal 15 2 2 5" xfId="13562" xr:uid="{00000000-0005-0000-0000-000096320000}"/>
    <cellStyle name="Normal 15 2 3" xfId="13563" xr:uid="{00000000-0005-0000-0000-000097320000}"/>
    <cellStyle name="Normal 15 2 3 2" xfId="13564" xr:uid="{00000000-0005-0000-0000-000098320000}"/>
    <cellStyle name="Normal 15 2 3 2 2" xfId="13565" xr:uid="{00000000-0005-0000-0000-000099320000}"/>
    <cellStyle name="Normal 15 2 3 2 2 2" xfId="13566" xr:uid="{00000000-0005-0000-0000-00009A320000}"/>
    <cellStyle name="Normal 15 2 3 2 3" xfId="13567" xr:uid="{00000000-0005-0000-0000-00009B320000}"/>
    <cellStyle name="Normal 15 2 3 2 3 2" xfId="13568" xr:uid="{00000000-0005-0000-0000-00009C320000}"/>
    <cellStyle name="Normal 15 2 3 2 3 2 2" xfId="13569" xr:uid="{00000000-0005-0000-0000-00009D320000}"/>
    <cellStyle name="Normal 15 2 3 2 3 3" xfId="13570" xr:uid="{00000000-0005-0000-0000-00009E320000}"/>
    <cellStyle name="Normal 15 2 3 2 4" xfId="13571" xr:uid="{00000000-0005-0000-0000-00009F320000}"/>
    <cellStyle name="Normal 15 2 3 3" xfId="13572" xr:uid="{00000000-0005-0000-0000-0000A0320000}"/>
    <cellStyle name="Normal 15 2 3 3 2" xfId="13573" xr:uid="{00000000-0005-0000-0000-0000A1320000}"/>
    <cellStyle name="Normal 15 2 3 3 2 2" xfId="13574" xr:uid="{00000000-0005-0000-0000-0000A2320000}"/>
    <cellStyle name="Normal 15 2 3 3 3" xfId="13575" xr:uid="{00000000-0005-0000-0000-0000A3320000}"/>
    <cellStyle name="Normal 15 2 3 4" xfId="13576" xr:uid="{00000000-0005-0000-0000-0000A4320000}"/>
    <cellStyle name="Normal 15 2 3 4 2" xfId="13577" xr:uid="{00000000-0005-0000-0000-0000A5320000}"/>
    <cellStyle name="Normal 15 2 3 4 2 2" xfId="13578" xr:uid="{00000000-0005-0000-0000-0000A6320000}"/>
    <cellStyle name="Normal 15 2 3 4 3" xfId="13579" xr:uid="{00000000-0005-0000-0000-0000A7320000}"/>
    <cellStyle name="Normal 15 2 3 5" xfId="13580" xr:uid="{00000000-0005-0000-0000-0000A8320000}"/>
    <cellStyle name="Normal 15 2 3 5 2" xfId="13581" xr:uid="{00000000-0005-0000-0000-0000A9320000}"/>
    <cellStyle name="Normal 15 2 3 5 2 2" xfId="13582" xr:uid="{00000000-0005-0000-0000-0000AA320000}"/>
    <cellStyle name="Normal 15 2 3 5 3" xfId="13583" xr:uid="{00000000-0005-0000-0000-0000AB320000}"/>
    <cellStyle name="Normal 15 2 3 6" xfId="13584" xr:uid="{00000000-0005-0000-0000-0000AC320000}"/>
    <cellStyle name="Normal 15 2 4" xfId="13585" xr:uid="{00000000-0005-0000-0000-0000AD320000}"/>
    <cellStyle name="Normal 15 3" xfId="13586" xr:uid="{00000000-0005-0000-0000-0000AE320000}"/>
    <cellStyle name="Normal 15 3 2" xfId="13587" xr:uid="{00000000-0005-0000-0000-0000AF320000}"/>
    <cellStyle name="Normal 15 3 2 2" xfId="13588" xr:uid="{00000000-0005-0000-0000-0000B0320000}"/>
    <cellStyle name="Normal 15 3 2 2 2" xfId="13589" xr:uid="{00000000-0005-0000-0000-0000B1320000}"/>
    <cellStyle name="Normal 15 3 2 3" xfId="13590" xr:uid="{00000000-0005-0000-0000-0000B2320000}"/>
    <cellStyle name="Normal 15 3 2 3 2" xfId="13591" xr:uid="{00000000-0005-0000-0000-0000B3320000}"/>
    <cellStyle name="Normal 15 3 2 3 2 2" xfId="13592" xr:uid="{00000000-0005-0000-0000-0000B4320000}"/>
    <cellStyle name="Normal 15 3 2 3 3" xfId="13593" xr:uid="{00000000-0005-0000-0000-0000B5320000}"/>
    <cellStyle name="Normal 15 3 2 4" xfId="13594" xr:uid="{00000000-0005-0000-0000-0000B6320000}"/>
    <cellStyle name="Normal 15 3 2 4 2" xfId="13595" xr:uid="{00000000-0005-0000-0000-0000B7320000}"/>
    <cellStyle name="Normal 15 3 2 4 2 2" xfId="13596" xr:uid="{00000000-0005-0000-0000-0000B8320000}"/>
    <cellStyle name="Normal 15 3 2 4 3" xfId="13597" xr:uid="{00000000-0005-0000-0000-0000B9320000}"/>
    <cellStyle name="Normal 15 3 2 5" xfId="13598" xr:uid="{00000000-0005-0000-0000-0000BA320000}"/>
    <cellStyle name="Normal 15 3 3" xfId="13599" xr:uid="{00000000-0005-0000-0000-0000BB320000}"/>
    <cellStyle name="Normal 15 3 3 2" xfId="13600" xr:uid="{00000000-0005-0000-0000-0000BC320000}"/>
    <cellStyle name="Normal 15 3 3 2 2" xfId="13601" xr:uid="{00000000-0005-0000-0000-0000BD320000}"/>
    <cellStyle name="Normal 15 3 3 3" xfId="13602" xr:uid="{00000000-0005-0000-0000-0000BE320000}"/>
    <cellStyle name="Normal 15 3 4" xfId="13603" xr:uid="{00000000-0005-0000-0000-0000BF320000}"/>
    <cellStyle name="Normal 15 3 4 2" xfId="13604" xr:uid="{00000000-0005-0000-0000-0000C0320000}"/>
    <cellStyle name="Normal 15 3 4 2 2" xfId="13605" xr:uid="{00000000-0005-0000-0000-0000C1320000}"/>
    <cellStyle name="Normal 15 3 4 3" xfId="13606" xr:uid="{00000000-0005-0000-0000-0000C2320000}"/>
    <cellStyle name="Normal 15 3 5" xfId="13607" xr:uid="{00000000-0005-0000-0000-0000C3320000}"/>
    <cellStyle name="Normal 15 3 5 2" xfId="13608" xr:uid="{00000000-0005-0000-0000-0000C4320000}"/>
    <cellStyle name="Normal 15 3 5 2 2" xfId="13609" xr:uid="{00000000-0005-0000-0000-0000C5320000}"/>
    <cellStyle name="Normal 15 3 5 3" xfId="13610" xr:uid="{00000000-0005-0000-0000-0000C6320000}"/>
    <cellStyle name="Normal 15 3 6" xfId="13611" xr:uid="{00000000-0005-0000-0000-0000C7320000}"/>
    <cellStyle name="Normal 15 4" xfId="13612" xr:uid="{00000000-0005-0000-0000-0000C8320000}"/>
    <cellStyle name="Normal 15 4 2" xfId="13613" xr:uid="{00000000-0005-0000-0000-0000C9320000}"/>
    <cellStyle name="Normal 15 4 2 2" xfId="13614" xr:uid="{00000000-0005-0000-0000-0000CA320000}"/>
    <cellStyle name="Normal 15 4 3" xfId="13615" xr:uid="{00000000-0005-0000-0000-0000CB320000}"/>
    <cellStyle name="Normal 15 4 3 2" xfId="13616" xr:uid="{00000000-0005-0000-0000-0000CC320000}"/>
    <cellStyle name="Normal 15 4 3 2 2" xfId="13617" xr:uid="{00000000-0005-0000-0000-0000CD320000}"/>
    <cellStyle name="Normal 15 4 3 3" xfId="13618" xr:uid="{00000000-0005-0000-0000-0000CE320000}"/>
    <cellStyle name="Normal 15 4 4" xfId="13619" xr:uid="{00000000-0005-0000-0000-0000CF320000}"/>
    <cellStyle name="Normal 15 4 4 2" xfId="13620" xr:uid="{00000000-0005-0000-0000-0000D0320000}"/>
    <cellStyle name="Normal 15 4 4 2 2" xfId="13621" xr:uid="{00000000-0005-0000-0000-0000D1320000}"/>
    <cellStyle name="Normal 15 4 4 3" xfId="13622" xr:uid="{00000000-0005-0000-0000-0000D2320000}"/>
    <cellStyle name="Normal 15 4 5" xfId="13623" xr:uid="{00000000-0005-0000-0000-0000D3320000}"/>
    <cellStyle name="Normal 15 5" xfId="13624" xr:uid="{00000000-0005-0000-0000-0000D4320000}"/>
    <cellStyle name="Normal 15 5 2" xfId="13625" xr:uid="{00000000-0005-0000-0000-0000D5320000}"/>
    <cellStyle name="Normal 15 5 2 2" xfId="13626" xr:uid="{00000000-0005-0000-0000-0000D6320000}"/>
    <cellStyle name="Normal 15 5 2 2 2" xfId="13627" xr:uid="{00000000-0005-0000-0000-0000D7320000}"/>
    <cellStyle name="Normal 15 5 2 3" xfId="13628" xr:uid="{00000000-0005-0000-0000-0000D8320000}"/>
    <cellStyle name="Normal 15 5 2 3 2" xfId="13629" xr:uid="{00000000-0005-0000-0000-0000D9320000}"/>
    <cellStyle name="Normal 15 5 2 3 2 2" xfId="13630" xr:uid="{00000000-0005-0000-0000-0000DA320000}"/>
    <cellStyle name="Normal 15 5 2 3 3" xfId="13631" xr:uid="{00000000-0005-0000-0000-0000DB320000}"/>
    <cellStyle name="Normal 15 5 2 4" xfId="13632" xr:uid="{00000000-0005-0000-0000-0000DC320000}"/>
    <cellStyle name="Normal 15 5 3" xfId="13633" xr:uid="{00000000-0005-0000-0000-0000DD320000}"/>
    <cellStyle name="Normal 15 5 3 2" xfId="13634" xr:uid="{00000000-0005-0000-0000-0000DE320000}"/>
    <cellStyle name="Normal 15 5 3 2 2" xfId="13635" xr:uid="{00000000-0005-0000-0000-0000DF320000}"/>
    <cellStyle name="Normal 15 5 3 3" xfId="13636" xr:uid="{00000000-0005-0000-0000-0000E0320000}"/>
    <cellStyle name="Normal 15 5 4" xfId="13637" xr:uid="{00000000-0005-0000-0000-0000E1320000}"/>
    <cellStyle name="Normal 15 5 4 2" xfId="13638" xr:uid="{00000000-0005-0000-0000-0000E2320000}"/>
    <cellStyle name="Normal 15 5 4 2 2" xfId="13639" xr:uid="{00000000-0005-0000-0000-0000E3320000}"/>
    <cellStyle name="Normal 15 5 4 3" xfId="13640" xr:uid="{00000000-0005-0000-0000-0000E4320000}"/>
    <cellStyle name="Normal 15 5 5" xfId="13641" xr:uid="{00000000-0005-0000-0000-0000E5320000}"/>
    <cellStyle name="Normal 15 5 5 2" xfId="13642" xr:uid="{00000000-0005-0000-0000-0000E6320000}"/>
    <cellStyle name="Normal 15 5 5 2 2" xfId="13643" xr:uid="{00000000-0005-0000-0000-0000E7320000}"/>
    <cellStyle name="Normal 15 5 5 3" xfId="13644" xr:uid="{00000000-0005-0000-0000-0000E8320000}"/>
    <cellStyle name="Normal 15 5 6" xfId="13645" xr:uid="{00000000-0005-0000-0000-0000E9320000}"/>
    <cellStyle name="Normal 15 6" xfId="13646" xr:uid="{00000000-0005-0000-0000-0000EA320000}"/>
    <cellStyle name="Normal 15 6 2" xfId="13647" xr:uid="{00000000-0005-0000-0000-0000EB320000}"/>
    <cellStyle name="Normal 15 6 2 2" xfId="13648" xr:uid="{00000000-0005-0000-0000-0000EC320000}"/>
    <cellStyle name="Normal 15 6 2 2 2" xfId="13649" xr:uid="{00000000-0005-0000-0000-0000ED320000}"/>
    <cellStyle name="Normal 15 6 2 3" xfId="13650" xr:uid="{00000000-0005-0000-0000-0000EE320000}"/>
    <cellStyle name="Normal 15 6 2 3 2" xfId="13651" xr:uid="{00000000-0005-0000-0000-0000EF320000}"/>
    <cellStyle name="Normal 15 6 2 3 2 2" xfId="13652" xr:uid="{00000000-0005-0000-0000-0000F0320000}"/>
    <cellStyle name="Normal 15 6 2 3 3" xfId="13653" xr:uid="{00000000-0005-0000-0000-0000F1320000}"/>
    <cellStyle name="Normal 15 6 2 4" xfId="13654" xr:uid="{00000000-0005-0000-0000-0000F2320000}"/>
    <cellStyle name="Normal 15 6 3" xfId="13655" xr:uid="{00000000-0005-0000-0000-0000F3320000}"/>
    <cellStyle name="Normal 15 6 3 2" xfId="13656" xr:uid="{00000000-0005-0000-0000-0000F4320000}"/>
    <cellStyle name="Normal 15 6 3 2 2" xfId="13657" xr:uid="{00000000-0005-0000-0000-0000F5320000}"/>
    <cellStyle name="Normal 15 6 3 3" xfId="13658" xr:uid="{00000000-0005-0000-0000-0000F6320000}"/>
    <cellStyle name="Normal 15 6 4" xfId="13659" xr:uid="{00000000-0005-0000-0000-0000F7320000}"/>
    <cellStyle name="Normal 15 6 4 2" xfId="13660" xr:uid="{00000000-0005-0000-0000-0000F8320000}"/>
    <cellStyle name="Normal 15 6 4 2 2" xfId="13661" xr:uid="{00000000-0005-0000-0000-0000F9320000}"/>
    <cellStyle name="Normal 15 6 4 3" xfId="13662" xr:uid="{00000000-0005-0000-0000-0000FA320000}"/>
    <cellStyle name="Normal 15 6 5" xfId="13663" xr:uid="{00000000-0005-0000-0000-0000FB320000}"/>
    <cellStyle name="Normal 15 7" xfId="13664" xr:uid="{00000000-0005-0000-0000-0000FC320000}"/>
    <cellStyle name="Normal 15 8" xfId="13549" xr:uid="{00000000-0005-0000-0000-0000FD320000}"/>
    <cellStyle name="Normal 150" xfId="13665" xr:uid="{00000000-0005-0000-0000-0000FE320000}"/>
    <cellStyle name="Normal 150 2" xfId="13666" xr:uid="{00000000-0005-0000-0000-0000FF320000}"/>
    <cellStyle name="Normal 150 2 2" xfId="13667" xr:uid="{00000000-0005-0000-0000-000000330000}"/>
    <cellStyle name="Normal 150 2 2 2" xfId="13668" xr:uid="{00000000-0005-0000-0000-000001330000}"/>
    <cellStyle name="Normal 150 2 3" xfId="13669" xr:uid="{00000000-0005-0000-0000-000002330000}"/>
    <cellStyle name="Normal 150 2 3 2" xfId="13670" xr:uid="{00000000-0005-0000-0000-000003330000}"/>
    <cellStyle name="Normal 150 2 3 2 2" xfId="13671" xr:uid="{00000000-0005-0000-0000-000004330000}"/>
    <cellStyle name="Normal 150 2 3 3" xfId="13672" xr:uid="{00000000-0005-0000-0000-000005330000}"/>
    <cellStyle name="Normal 150 2 4" xfId="13673" xr:uid="{00000000-0005-0000-0000-000006330000}"/>
    <cellStyle name="Normal 150 2 4 2" xfId="13674" xr:uid="{00000000-0005-0000-0000-000007330000}"/>
    <cellStyle name="Normal 150 2 4 2 2" xfId="13675" xr:uid="{00000000-0005-0000-0000-000008330000}"/>
    <cellStyle name="Normal 150 2 4 3" xfId="13676" xr:uid="{00000000-0005-0000-0000-000009330000}"/>
    <cellStyle name="Normal 150 2 5" xfId="13677" xr:uid="{00000000-0005-0000-0000-00000A330000}"/>
    <cellStyle name="Normal 150 3" xfId="13678" xr:uid="{00000000-0005-0000-0000-00000B330000}"/>
    <cellStyle name="Normal 150 3 2" xfId="13679" xr:uid="{00000000-0005-0000-0000-00000C330000}"/>
    <cellStyle name="Normal 150 3 2 2" xfId="13680" xr:uid="{00000000-0005-0000-0000-00000D330000}"/>
    <cellStyle name="Normal 150 3 2 2 2" xfId="13681" xr:uid="{00000000-0005-0000-0000-00000E330000}"/>
    <cellStyle name="Normal 150 3 2 3" xfId="13682" xr:uid="{00000000-0005-0000-0000-00000F330000}"/>
    <cellStyle name="Normal 150 3 2 3 2" xfId="13683" xr:uid="{00000000-0005-0000-0000-000010330000}"/>
    <cellStyle name="Normal 150 3 2 3 2 2" xfId="13684" xr:uid="{00000000-0005-0000-0000-000011330000}"/>
    <cellStyle name="Normal 150 3 2 3 3" xfId="13685" xr:uid="{00000000-0005-0000-0000-000012330000}"/>
    <cellStyle name="Normal 150 3 2 4" xfId="13686" xr:uid="{00000000-0005-0000-0000-000013330000}"/>
    <cellStyle name="Normal 150 3 3" xfId="13687" xr:uid="{00000000-0005-0000-0000-000014330000}"/>
    <cellStyle name="Normal 150 3 3 2" xfId="13688" xr:uid="{00000000-0005-0000-0000-000015330000}"/>
    <cellStyle name="Normal 150 3 3 2 2" xfId="13689" xr:uid="{00000000-0005-0000-0000-000016330000}"/>
    <cellStyle name="Normal 150 3 3 3" xfId="13690" xr:uid="{00000000-0005-0000-0000-000017330000}"/>
    <cellStyle name="Normal 150 3 4" xfId="13691" xr:uid="{00000000-0005-0000-0000-000018330000}"/>
    <cellStyle name="Normal 150 3 4 2" xfId="13692" xr:uid="{00000000-0005-0000-0000-000019330000}"/>
    <cellStyle name="Normal 150 3 4 2 2" xfId="13693" xr:uid="{00000000-0005-0000-0000-00001A330000}"/>
    <cellStyle name="Normal 150 3 4 3" xfId="13694" xr:uid="{00000000-0005-0000-0000-00001B330000}"/>
    <cellStyle name="Normal 150 3 5" xfId="13695" xr:uid="{00000000-0005-0000-0000-00001C330000}"/>
    <cellStyle name="Normal 150 3 5 2" xfId="13696" xr:uid="{00000000-0005-0000-0000-00001D330000}"/>
    <cellStyle name="Normal 150 3 5 2 2" xfId="13697" xr:uid="{00000000-0005-0000-0000-00001E330000}"/>
    <cellStyle name="Normal 150 3 5 3" xfId="13698" xr:uid="{00000000-0005-0000-0000-00001F330000}"/>
    <cellStyle name="Normal 150 3 6" xfId="13699" xr:uid="{00000000-0005-0000-0000-000020330000}"/>
    <cellStyle name="Normal 150 4" xfId="13700" xr:uid="{00000000-0005-0000-0000-000021330000}"/>
    <cellStyle name="Normal 150 4 2" xfId="13701" xr:uid="{00000000-0005-0000-0000-000022330000}"/>
    <cellStyle name="Normal 150 4 2 2" xfId="13702" xr:uid="{00000000-0005-0000-0000-000023330000}"/>
    <cellStyle name="Normal 150 4 3" xfId="13703" xr:uid="{00000000-0005-0000-0000-000024330000}"/>
    <cellStyle name="Normal 150 5" xfId="13704" xr:uid="{00000000-0005-0000-0000-000025330000}"/>
    <cellStyle name="Normal 150 5 2" xfId="13705" xr:uid="{00000000-0005-0000-0000-000026330000}"/>
    <cellStyle name="Normal 150 5 2 2" xfId="13706" xr:uid="{00000000-0005-0000-0000-000027330000}"/>
    <cellStyle name="Normal 150 5 3" xfId="13707" xr:uid="{00000000-0005-0000-0000-000028330000}"/>
    <cellStyle name="Normal 150 6" xfId="13708" xr:uid="{00000000-0005-0000-0000-000029330000}"/>
    <cellStyle name="Normal 150 6 2" xfId="13709" xr:uid="{00000000-0005-0000-0000-00002A330000}"/>
    <cellStyle name="Normal 150 6 2 2" xfId="13710" xr:uid="{00000000-0005-0000-0000-00002B330000}"/>
    <cellStyle name="Normal 150 6 3" xfId="13711" xr:uid="{00000000-0005-0000-0000-00002C330000}"/>
    <cellStyle name="Normal 150 7" xfId="13712" xr:uid="{00000000-0005-0000-0000-00002D330000}"/>
    <cellStyle name="Normal 151" xfId="13713" xr:uid="{00000000-0005-0000-0000-00002E330000}"/>
    <cellStyle name="Normal 151 2" xfId="13714" xr:uid="{00000000-0005-0000-0000-00002F330000}"/>
    <cellStyle name="Normal 151 2 2" xfId="13715" xr:uid="{00000000-0005-0000-0000-000030330000}"/>
    <cellStyle name="Normal 151 2 2 2" xfId="13716" xr:uid="{00000000-0005-0000-0000-000031330000}"/>
    <cellStyle name="Normal 151 2 3" xfId="13717" xr:uid="{00000000-0005-0000-0000-000032330000}"/>
    <cellStyle name="Normal 151 2 3 2" xfId="13718" xr:uid="{00000000-0005-0000-0000-000033330000}"/>
    <cellStyle name="Normal 151 2 3 2 2" xfId="13719" xr:uid="{00000000-0005-0000-0000-000034330000}"/>
    <cellStyle name="Normal 151 2 3 3" xfId="13720" xr:uid="{00000000-0005-0000-0000-000035330000}"/>
    <cellStyle name="Normal 151 2 4" xfId="13721" xr:uid="{00000000-0005-0000-0000-000036330000}"/>
    <cellStyle name="Normal 151 2 4 2" xfId="13722" xr:uid="{00000000-0005-0000-0000-000037330000}"/>
    <cellStyle name="Normal 151 2 4 2 2" xfId="13723" xr:uid="{00000000-0005-0000-0000-000038330000}"/>
    <cellStyle name="Normal 151 2 4 3" xfId="13724" xr:uid="{00000000-0005-0000-0000-000039330000}"/>
    <cellStyle name="Normal 151 2 5" xfId="13725" xr:uid="{00000000-0005-0000-0000-00003A330000}"/>
    <cellStyle name="Normal 151 3" xfId="13726" xr:uid="{00000000-0005-0000-0000-00003B330000}"/>
    <cellStyle name="Normal 151 3 2" xfId="13727" xr:uid="{00000000-0005-0000-0000-00003C330000}"/>
    <cellStyle name="Normal 151 3 2 2" xfId="13728" xr:uid="{00000000-0005-0000-0000-00003D330000}"/>
    <cellStyle name="Normal 151 3 2 2 2" xfId="13729" xr:uid="{00000000-0005-0000-0000-00003E330000}"/>
    <cellStyle name="Normal 151 3 2 3" xfId="13730" xr:uid="{00000000-0005-0000-0000-00003F330000}"/>
    <cellStyle name="Normal 151 3 2 3 2" xfId="13731" xr:uid="{00000000-0005-0000-0000-000040330000}"/>
    <cellStyle name="Normal 151 3 2 3 2 2" xfId="13732" xr:uid="{00000000-0005-0000-0000-000041330000}"/>
    <cellStyle name="Normal 151 3 2 3 3" xfId="13733" xr:uid="{00000000-0005-0000-0000-000042330000}"/>
    <cellStyle name="Normal 151 3 2 4" xfId="13734" xr:uid="{00000000-0005-0000-0000-000043330000}"/>
    <cellStyle name="Normal 151 3 3" xfId="13735" xr:uid="{00000000-0005-0000-0000-000044330000}"/>
    <cellStyle name="Normal 151 3 3 2" xfId="13736" xr:uid="{00000000-0005-0000-0000-000045330000}"/>
    <cellStyle name="Normal 151 3 3 2 2" xfId="13737" xr:uid="{00000000-0005-0000-0000-000046330000}"/>
    <cellStyle name="Normal 151 3 3 3" xfId="13738" xr:uid="{00000000-0005-0000-0000-000047330000}"/>
    <cellStyle name="Normal 151 3 4" xfId="13739" xr:uid="{00000000-0005-0000-0000-000048330000}"/>
    <cellStyle name="Normal 151 3 4 2" xfId="13740" xr:uid="{00000000-0005-0000-0000-000049330000}"/>
    <cellStyle name="Normal 151 3 4 2 2" xfId="13741" xr:uid="{00000000-0005-0000-0000-00004A330000}"/>
    <cellStyle name="Normal 151 3 4 3" xfId="13742" xr:uid="{00000000-0005-0000-0000-00004B330000}"/>
    <cellStyle name="Normal 151 3 5" xfId="13743" xr:uid="{00000000-0005-0000-0000-00004C330000}"/>
    <cellStyle name="Normal 151 3 5 2" xfId="13744" xr:uid="{00000000-0005-0000-0000-00004D330000}"/>
    <cellStyle name="Normal 151 3 5 2 2" xfId="13745" xr:uid="{00000000-0005-0000-0000-00004E330000}"/>
    <cellStyle name="Normal 151 3 5 3" xfId="13746" xr:uid="{00000000-0005-0000-0000-00004F330000}"/>
    <cellStyle name="Normal 151 3 6" xfId="13747" xr:uid="{00000000-0005-0000-0000-000050330000}"/>
    <cellStyle name="Normal 151 4" xfId="13748" xr:uid="{00000000-0005-0000-0000-000051330000}"/>
    <cellStyle name="Normal 151 4 2" xfId="13749" xr:uid="{00000000-0005-0000-0000-000052330000}"/>
    <cellStyle name="Normal 151 4 2 2" xfId="13750" xr:uid="{00000000-0005-0000-0000-000053330000}"/>
    <cellStyle name="Normal 151 4 3" xfId="13751" xr:uid="{00000000-0005-0000-0000-000054330000}"/>
    <cellStyle name="Normal 151 5" xfId="13752" xr:uid="{00000000-0005-0000-0000-000055330000}"/>
    <cellStyle name="Normal 151 5 2" xfId="13753" xr:uid="{00000000-0005-0000-0000-000056330000}"/>
    <cellStyle name="Normal 151 5 2 2" xfId="13754" xr:uid="{00000000-0005-0000-0000-000057330000}"/>
    <cellStyle name="Normal 151 5 3" xfId="13755" xr:uid="{00000000-0005-0000-0000-000058330000}"/>
    <cellStyle name="Normal 151 6" xfId="13756" xr:uid="{00000000-0005-0000-0000-000059330000}"/>
    <cellStyle name="Normal 151 6 2" xfId="13757" xr:uid="{00000000-0005-0000-0000-00005A330000}"/>
    <cellStyle name="Normal 151 6 2 2" xfId="13758" xr:uid="{00000000-0005-0000-0000-00005B330000}"/>
    <cellStyle name="Normal 151 6 3" xfId="13759" xr:uid="{00000000-0005-0000-0000-00005C330000}"/>
    <cellStyle name="Normal 151 7" xfId="13760" xr:uid="{00000000-0005-0000-0000-00005D330000}"/>
    <cellStyle name="Normal 152" xfId="13761" xr:uid="{00000000-0005-0000-0000-00005E330000}"/>
    <cellStyle name="Normal 152 2" xfId="13762" xr:uid="{00000000-0005-0000-0000-00005F330000}"/>
    <cellStyle name="Normal 152 2 2" xfId="13763" xr:uid="{00000000-0005-0000-0000-000060330000}"/>
    <cellStyle name="Normal 152 2 2 2" xfId="13764" xr:uid="{00000000-0005-0000-0000-000061330000}"/>
    <cellStyle name="Normal 152 2 3" xfId="13765" xr:uid="{00000000-0005-0000-0000-000062330000}"/>
    <cellStyle name="Normal 152 2 3 2" xfId="13766" xr:uid="{00000000-0005-0000-0000-000063330000}"/>
    <cellStyle name="Normal 152 2 3 2 2" xfId="13767" xr:uid="{00000000-0005-0000-0000-000064330000}"/>
    <cellStyle name="Normal 152 2 3 3" xfId="13768" xr:uid="{00000000-0005-0000-0000-000065330000}"/>
    <cellStyle name="Normal 152 2 4" xfId="13769" xr:uid="{00000000-0005-0000-0000-000066330000}"/>
    <cellStyle name="Normal 152 2 4 2" xfId="13770" xr:uid="{00000000-0005-0000-0000-000067330000}"/>
    <cellStyle name="Normal 152 2 4 2 2" xfId="13771" xr:uid="{00000000-0005-0000-0000-000068330000}"/>
    <cellStyle name="Normal 152 2 4 3" xfId="13772" xr:uid="{00000000-0005-0000-0000-000069330000}"/>
    <cellStyle name="Normal 152 2 5" xfId="13773" xr:uid="{00000000-0005-0000-0000-00006A330000}"/>
    <cellStyle name="Normal 152 3" xfId="13774" xr:uid="{00000000-0005-0000-0000-00006B330000}"/>
    <cellStyle name="Normal 152 3 2" xfId="13775" xr:uid="{00000000-0005-0000-0000-00006C330000}"/>
    <cellStyle name="Normal 152 3 2 2" xfId="13776" xr:uid="{00000000-0005-0000-0000-00006D330000}"/>
    <cellStyle name="Normal 152 3 2 2 2" xfId="13777" xr:uid="{00000000-0005-0000-0000-00006E330000}"/>
    <cellStyle name="Normal 152 3 2 3" xfId="13778" xr:uid="{00000000-0005-0000-0000-00006F330000}"/>
    <cellStyle name="Normal 152 3 2 3 2" xfId="13779" xr:uid="{00000000-0005-0000-0000-000070330000}"/>
    <cellStyle name="Normal 152 3 2 3 2 2" xfId="13780" xr:uid="{00000000-0005-0000-0000-000071330000}"/>
    <cellStyle name="Normal 152 3 2 3 3" xfId="13781" xr:uid="{00000000-0005-0000-0000-000072330000}"/>
    <cellStyle name="Normal 152 3 2 4" xfId="13782" xr:uid="{00000000-0005-0000-0000-000073330000}"/>
    <cellStyle name="Normal 152 3 3" xfId="13783" xr:uid="{00000000-0005-0000-0000-000074330000}"/>
    <cellStyle name="Normal 152 3 3 2" xfId="13784" xr:uid="{00000000-0005-0000-0000-000075330000}"/>
    <cellStyle name="Normal 152 3 3 2 2" xfId="13785" xr:uid="{00000000-0005-0000-0000-000076330000}"/>
    <cellStyle name="Normal 152 3 3 3" xfId="13786" xr:uid="{00000000-0005-0000-0000-000077330000}"/>
    <cellStyle name="Normal 152 3 4" xfId="13787" xr:uid="{00000000-0005-0000-0000-000078330000}"/>
    <cellStyle name="Normal 152 3 4 2" xfId="13788" xr:uid="{00000000-0005-0000-0000-000079330000}"/>
    <cellStyle name="Normal 152 3 4 2 2" xfId="13789" xr:uid="{00000000-0005-0000-0000-00007A330000}"/>
    <cellStyle name="Normal 152 3 4 3" xfId="13790" xr:uid="{00000000-0005-0000-0000-00007B330000}"/>
    <cellStyle name="Normal 152 3 5" xfId="13791" xr:uid="{00000000-0005-0000-0000-00007C330000}"/>
    <cellStyle name="Normal 152 3 5 2" xfId="13792" xr:uid="{00000000-0005-0000-0000-00007D330000}"/>
    <cellStyle name="Normal 152 3 5 2 2" xfId="13793" xr:uid="{00000000-0005-0000-0000-00007E330000}"/>
    <cellStyle name="Normal 152 3 5 3" xfId="13794" xr:uid="{00000000-0005-0000-0000-00007F330000}"/>
    <cellStyle name="Normal 152 3 6" xfId="13795" xr:uid="{00000000-0005-0000-0000-000080330000}"/>
    <cellStyle name="Normal 152 4" xfId="13796" xr:uid="{00000000-0005-0000-0000-000081330000}"/>
    <cellStyle name="Normal 152 4 2" xfId="13797" xr:uid="{00000000-0005-0000-0000-000082330000}"/>
    <cellStyle name="Normal 152 4 2 2" xfId="13798" xr:uid="{00000000-0005-0000-0000-000083330000}"/>
    <cellStyle name="Normal 152 4 3" xfId="13799" xr:uid="{00000000-0005-0000-0000-000084330000}"/>
    <cellStyle name="Normal 152 5" xfId="13800" xr:uid="{00000000-0005-0000-0000-000085330000}"/>
    <cellStyle name="Normal 152 5 2" xfId="13801" xr:uid="{00000000-0005-0000-0000-000086330000}"/>
    <cellStyle name="Normal 152 5 2 2" xfId="13802" xr:uid="{00000000-0005-0000-0000-000087330000}"/>
    <cellStyle name="Normal 152 5 3" xfId="13803" xr:uid="{00000000-0005-0000-0000-000088330000}"/>
    <cellStyle name="Normal 152 6" xfId="13804" xr:uid="{00000000-0005-0000-0000-000089330000}"/>
    <cellStyle name="Normal 152 6 2" xfId="13805" xr:uid="{00000000-0005-0000-0000-00008A330000}"/>
    <cellStyle name="Normal 152 6 2 2" xfId="13806" xr:uid="{00000000-0005-0000-0000-00008B330000}"/>
    <cellStyle name="Normal 152 6 3" xfId="13807" xr:uid="{00000000-0005-0000-0000-00008C330000}"/>
    <cellStyle name="Normal 152 7" xfId="13808" xr:uid="{00000000-0005-0000-0000-00008D330000}"/>
    <cellStyle name="Normal 153" xfId="13809" xr:uid="{00000000-0005-0000-0000-00008E330000}"/>
    <cellStyle name="Normal 153 2" xfId="13810" xr:uid="{00000000-0005-0000-0000-00008F330000}"/>
    <cellStyle name="Normal 153 2 2" xfId="13811" xr:uid="{00000000-0005-0000-0000-000090330000}"/>
    <cellStyle name="Normal 153 2 2 2" xfId="13812" xr:uid="{00000000-0005-0000-0000-000091330000}"/>
    <cellStyle name="Normal 153 2 3" xfId="13813" xr:uid="{00000000-0005-0000-0000-000092330000}"/>
    <cellStyle name="Normal 153 2 3 2" xfId="13814" xr:uid="{00000000-0005-0000-0000-000093330000}"/>
    <cellStyle name="Normal 153 2 3 2 2" xfId="13815" xr:uid="{00000000-0005-0000-0000-000094330000}"/>
    <cellStyle name="Normal 153 2 3 3" xfId="13816" xr:uid="{00000000-0005-0000-0000-000095330000}"/>
    <cellStyle name="Normal 153 2 4" xfId="13817" xr:uid="{00000000-0005-0000-0000-000096330000}"/>
    <cellStyle name="Normal 153 2 4 2" xfId="13818" xr:uid="{00000000-0005-0000-0000-000097330000}"/>
    <cellStyle name="Normal 153 2 4 2 2" xfId="13819" xr:uid="{00000000-0005-0000-0000-000098330000}"/>
    <cellStyle name="Normal 153 2 4 3" xfId="13820" xr:uid="{00000000-0005-0000-0000-000099330000}"/>
    <cellStyle name="Normal 153 2 5" xfId="13821" xr:uid="{00000000-0005-0000-0000-00009A330000}"/>
    <cellStyle name="Normal 153 3" xfId="13822" xr:uid="{00000000-0005-0000-0000-00009B330000}"/>
    <cellStyle name="Normal 153 3 2" xfId="13823" xr:uid="{00000000-0005-0000-0000-00009C330000}"/>
    <cellStyle name="Normal 153 3 2 2" xfId="13824" xr:uid="{00000000-0005-0000-0000-00009D330000}"/>
    <cellStyle name="Normal 153 3 2 2 2" xfId="13825" xr:uid="{00000000-0005-0000-0000-00009E330000}"/>
    <cellStyle name="Normal 153 3 2 3" xfId="13826" xr:uid="{00000000-0005-0000-0000-00009F330000}"/>
    <cellStyle name="Normal 153 3 2 3 2" xfId="13827" xr:uid="{00000000-0005-0000-0000-0000A0330000}"/>
    <cellStyle name="Normal 153 3 2 3 2 2" xfId="13828" xr:uid="{00000000-0005-0000-0000-0000A1330000}"/>
    <cellStyle name="Normal 153 3 2 3 3" xfId="13829" xr:uid="{00000000-0005-0000-0000-0000A2330000}"/>
    <cellStyle name="Normal 153 3 2 4" xfId="13830" xr:uid="{00000000-0005-0000-0000-0000A3330000}"/>
    <cellStyle name="Normal 153 3 3" xfId="13831" xr:uid="{00000000-0005-0000-0000-0000A4330000}"/>
    <cellStyle name="Normal 153 3 3 2" xfId="13832" xr:uid="{00000000-0005-0000-0000-0000A5330000}"/>
    <cellStyle name="Normal 153 3 3 2 2" xfId="13833" xr:uid="{00000000-0005-0000-0000-0000A6330000}"/>
    <cellStyle name="Normal 153 3 3 3" xfId="13834" xr:uid="{00000000-0005-0000-0000-0000A7330000}"/>
    <cellStyle name="Normal 153 3 4" xfId="13835" xr:uid="{00000000-0005-0000-0000-0000A8330000}"/>
    <cellStyle name="Normal 153 3 4 2" xfId="13836" xr:uid="{00000000-0005-0000-0000-0000A9330000}"/>
    <cellStyle name="Normal 153 3 4 2 2" xfId="13837" xr:uid="{00000000-0005-0000-0000-0000AA330000}"/>
    <cellStyle name="Normal 153 3 4 3" xfId="13838" xr:uid="{00000000-0005-0000-0000-0000AB330000}"/>
    <cellStyle name="Normal 153 3 5" xfId="13839" xr:uid="{00000000-0005-0000-0000-0000AC330000}"/>
    <cellStyle name="Normal 153 3 5 2" xfId="13840" xr:uid="{00000000-0005-0000-0000-0000AD330000}"/>
    <cellStyle name="Normal 153 3 5 2 2" xfId="13841" xr:uid="{00000000-0005-0000-0000-0000AE330000}"/>
    <cellStyle name="Normal 153 3 5 3" xfId="13842" xr:uid="{00000000-0005-0000-0000-0000AF330000}"/>
    <cellStyle name="Normal 153 3 6" xfId="13843" xr:uid="{00000000-0005-0000-0000-0000B0330000}"/>
    <cellStyle name="Normal 153 4" xfId="13844" xr:uid="{00000000-0005-0000-0000-0000B1330000}"/>
    <cellStyle name="Normal 153 4 2" xfId="13845" xr:uid="{00000000-0005-0000-0000-0000B2330000}"/>
    <cellStyle name="Normal 153 4 2 2" xfId="13846" xr:uid="{00000000-0005-0000-0000-0000B3330000}"/>
    <cellStyle name="Normal 153 4 3" xfId="13847" xr:uid="{00000000-0005-0000-0000-0000B4330000}"/>
    <cellStyle name="Normal 153 5" xfId="13848" xr:uid="{00000000-0005-0000-0000-0000B5330000}"/>
    <cellStyle name="Normal 153 5 2" xfId="13849" xr:uid="{00000000-0005-0000-0000-0000B6330000}"/>
    <cellStyle name="Normal 153 5 2 2" xfId="13850" xr:uid="{00000000-0005-0000-0000-0000B7330000}"/>
    <cellStyle name="Normal 153 5 3" xfId="13851" xr:uid="{00000000-0005-0000-0000-0000B8330000}"/>
    <cellStyle name="Normal 153 6" xfId="13852" xr:uid="{00000000-0005-0000-0000-0000B9330000}"/>
    <cellStyle name="Normal 153 6 2" xfId="13853" xr:uid="{00000000-0005-0000-0000-0000BA330000}"/>
    <cellStyle name="Normal 153 6 2 2" xfId="13854" xr:uid="{00000000-0005-0000-0000-0000BB330000}"/>
    <cellStyle name="Normal 153 6 3" xfId="13855" xr:uid="{00000000-0005-0000-0000-0000BC330000}"/>
    <cellStyle name="Normal 153 7" xfId="13856" xr:uid="{00000000-0005-0000-0000-0000BD330000}"/>
    <cellStyle name="Normal 154" xfId="13857" xr:uid="{00000000-0005-0000-0000-0000BE330000}"/>
    <cellStyle name="Normal 154 2" xfId="13858" xr:uid="{00000000-0005-0000-0000-0000BF330000}"/>
    <cellStyle name="Normal 154 2 2" xfId="13859" xr:uid="{00000000-0005-0000-0000-0000C0330000}"/>
    <cellStyle name="Normal 154 2 2 2" xfId="13860" xr:uid="{00000000-0005-0000-0000-0000C1330000}"/>
    <cellStyle name="Normal 154 2 3" xfId="13861" xr:uid="{00000000-0005-0000-0000-0000C2330000}"/>
    <cellStyle name="Normal 154 2 3 2" xfId="13862" xr:uid="{00000000-0005-0000-0000-0000C3330000}"/>
    <cellStyle name="Normal 154 2 3 2 2" xfId="13863" xr:uid="{00000000-0005-0000-0000-0000C4330000}"/>
    <cellStyle name="Normal 154 2 3 3" xfId="13864" xr:uid="{00000000-0005-0000-0000-0000C5330000}"/>
    <cellStyle name="Normal 154 2 4" xfId="13865" xr:uid="{00000000-0005-0000-0000-0000C6330000}"/>
    <cellStyle name="Normal 154 2 4 2" xfId="13866" xr:uid="{00000000-0005-0000-0000-0000C7330000}"/>
    <cellStyle name="Normal 154 2 4 2 2" xfId="13867" xr:uid="{00000000-0005-0000-0000-0000C8330000}"/>
    <cellStyle name="Normal 154 2 4 3" xfId="13868" xr:uid="{00000000-0005-0000-0000-0000C9330000}"/>
    <cellStyle name="Normal 154 2 5" xfId="13869" xr:uid="{00000000-0005-0000-0000-0000CA330000}"/>
    <cellStyle name="Normal 154 3" xfId="13870" xr:uid="{00000000-0005-0000-0000-0000CB330000}"/>
    <cellStyle name="Normal 154 3 2" xfId="13871" xr:uid="{00000000-0005-0000-0000-0000CC330000}"/>
    <cellStyle name="Normal 154 3 2 2" xfId="13872" xr:uid="{00000000-0005-0000-0000-0000CD330000}"/>
    <cellStyle name="Normal 154 3 2 2 2" xfId="13873" xr:uid="{00000000-0005-0000-0000-0000CE330000}"/>
    <cellStyle name="Normal 154 3 2 3" xfId="13874" xr:uid="{00000000-0005-0000-0000-0000CF330000}"/>
    <cellStyle name="Normal 154 3 2 3 2" xfId="13875" xr:uid="{00000000-0005-0000-0000-0000D0330000}"/>
    <cellStyle name="Normal 154 3 2 3 2 2" xfId="13876" xr:uid="{00000000-0005-0000-0000-0000D1330000}"/>
    <cellStyle name="Normal 154 3 2 3 3" xfId="13877" xr:uid="{00000000-0005-0000-0000-0000D2330000}"/>
    <cellStyle name="Normal 154 3 2 4" xfId="13878" xr:uid="{00000000-0005-0000-0000-0000D3330000}"/>
    <cellStyle name="Normal 154 3 3" xfId="13879" xr:uid="{00000000-0005-0000-0000-0000D4330000}"/>
    <cellStyle name="Normal 154 3 3 2" xfId="13880" xr:uid="{00000000-0005-0000-0000-0000D5330000}"/>
    <cellStyle name="Normal 154 3 3 2 2" xfId="13881" xr:uid="{00000000-0005-0000-0000-0000D6330000}"/>
    <cellStyle name="Normal 154 3 3 3" xfId="13882" xr:uid="{00000000-0005-0000-0000-0000D7330000}"/>
    <cellStyle name="Normal 154 3 4" xfId="13883" xr:uid="{00000000-0005-0000-0000-0000D8330000}"/>
    <cellStyle name="Normal 154 3 4 2" xfId="13884" xr:uid="{00000000-0005-0000-0000-0000D9330000}"/>
    <cellStyle name="Normal 154 3 4 2 2" xfId="13885" xr:uid="{00000000-0005-0000-0000-0000DA330000}"/>
    <cellStyle name="Normal 154 3 4 3" xfId="13886" xr:uid="{00000000-0005-0000-0000-0000DB330000}"/>
    <cellStyle name="Normal 154 3 5" xfId="13887" xr:uid="{00000000-0005-0000-0000-0000DC330000}"/>
    <cellStyle name="Normal 154 3 5 2" xfId="13888" xr:uid="{00000000-0005-0000-0000-0000DD330000}"/>
    <cellStyle name="Normal 154 3 5 2 2" xfId="13889" xr:uid="{00000000-0005-0000-0000-0000DE330000}"/>
    <cellStyle name="Normal 154 3 5 3" xfId="13890" xr:uid="{00000000-0005-0000-0000-0000DF330000}"/>
    <cellStyle name="Normal 154 3 6" xfId="13891" xr:uid="{00000000-0005-0000-0000-0000E0330000}"/>
    <cellStyle name="Normal 154 4" xfId="13892" xr:uid="{00000000-0005-0000-0000-0000E1330000}"/>
    <cellStyle name="Normal 154 4 2" xfId="13893" xr:uid="{00000000-0005-0000-0000-0000E2330000}"/>
    <cellStyle name="Normal 154 4 2 2" xfId="13894" xr:uid="{00000000-0005-0000-0000-0000E3330000}"/>
    <cellStyle name="Normal 154 4 3" xfId="13895" xr:uid="{00000000-0005-0000-0000-0000E4330000}"/>
    <cellStyle name="Normal 154 5" xfId="13896" xr:uid="{00000000-0005-0000-0000-0000E5330000}"/>
    <cellStyle name="Normal 154 5 2" xfId="13897" xr:uid="{00000000-0005-0000-0000-0000E6330000}"/>
    <cellStyle name="Normal 154 5 2 2" xfId="13898" xr:uid="{00000000-0005-0000-0000-0000E7330000}"/>
    <cellStyle name="Normal 154 5 3" xfId="13899" xr:uid="{00000000-0005-0000-0000-0000E8330000}"/>
    <cellStyle name="Normal 154 6" xfId="13900" xr:uid="{00000000-0005-0000-0000-0000E9330000}"/>
    <cellStyle name="Normal 154 6 2" xfId="13901" xr:uid="{00000000-0005-0000-0000-0000EA330000}"/>
    <cellStyle name="Normal 154 6 2 2" xfId="13902" xr:uid="{00000000-0005-0000-0000-0000EB330000}"/>
    <cellStyle name="Normal 154 6 3" xfId="13903" xr:uid="{00000000-0005-0000-0000-0000EC330000}"/>
    <cellStyle name="Normal 154 7" xfId="13904" xr:uid="{00000000-0005-0000-0000-0000ED330000}"/>
    <cellStyle name="Normal 155" xfId="13905" xr:uid="{00000000-0005-0000-0000-0000EE330000}"/>
    <cellStyle name="Normal 155 2" xfId="13906" xr:uid="{00000000-0005-0000-0000-0000EF330000}"/>
    <cellStyle name="Normal 155 2 2" xfId="13907" xr:uid="{00000000-0005-0000-0000-0000F0330000}"/>
    <cellStyle name="Normal 155 2 2 2" xfId="13908" xr:uid="{00000000-0005-0000-0000-0000F1330000}"/>
    <cellStyle name="Normal 155 2 3" xfId="13909" xr:uid="{00000000-0005-0000-0000-0000F2330000}"/>
    <cellStyle name="Normal 155 2 3 2" xfId="13910" xr:uid="{00000000-0005-0000-0000-0000F3330000}"/>
    <cellStyle name="Normal 155 2 3 2 2" xfId="13911" xr:uid="{00000000-0005-0000-0000-0000F4330000}"/>
    <cellStyle name="Normal 155 2 3 3" xfId="13912" xr:uid="{00000000-0005-0000-0000-0000F5330000}"/>
    <cellStyle name="Normal 155 2 4" xfId="13913" xr:uid="{00000000-0005-0000-0000-0000F6330000}"/>
    <cellStyle name="Normal 155 2 4 2" xfId="13914" xr:uid="{00000000-0005-0000-0000-0000F7330000}"/>
    <cellStyle name="Normal 155 2 4 2 2" xfId="13915" xr:uid="{00000000-0005-0000-0000-0000F8330000}"/>
    <cellStyle name="Normal 155 2 4 3" xfId="13916" xr:uid="{00000000-0005-0000-0000-0000F9330000}"/>
    <cellStyle name="Normal 155 2 5" xfId="13917" xr:uid="{00000000-0005-0000-0000-0000FA330000}"/>
    <cellStyle name="Normal 155 3" xfId="13918" xr:uid="{00000000-0005-0000-0000-0000FB330000}"/>
    <cellStyle name="Normal 155 3 2" xfId="13919" xr:uid="{00000000-0005-0000-0000-0000FC330000}"/>
    <cellStyle name="Normal 155 3 2 2" xfId="13920" xr:uid="{00000000-0005-0000-0000-0000FD330000}"/>
    <cellStyle name="Normal 155 3 2 2 2" xfId="13921" xr:uid="{00000000-0005-0000-0000-0000FE330000}"/>
    <cellStyle name="Normal 155 3 2 3" xfId="13922" xr:uid="{00000000-0005-0000-0000-0000FF330000}"/>
    <cellStyle name="Normal 155 3 2 3 2" xfId="13923" xr:uid="{00000000-0005-0000-0000-000000340000}"/>
    <cellStyle name="Normal 155 3 2 3 2 2" xfId="13924" xr:uid="{00000000-0005-0000-0000-000001340000}"/>
    <cellStyle name="Normal 155 3 2 3 3" xfId="13925" xr:uid="{00000000-0005-0000-0000-000002340000}"/>
    <cellStyle name="Normal 155 3 2 4" xfId="13926" xr:uid="{00000000-0005-0000-0000-000003340000}"/>
    <cellStyle name="Normal 155 3 3" xfId="13927" xr:uid="{00000000-0005-0000-0000-000004340000}"/>
    <cellStyle name="Normal 155 3 3 2" xfId="13928" xr:uid="{00000000-0005-0000-0000-000005340000}"/>
    <cellStyle name="Normal 155 3 3 2 2" xfId="13929" xr:uid="{00000000-0005-0000-0000-000006340000}"/>
    <cellStyle name="Normal 155 3 3 3" xfId="13930" xr:uid="{00000000-0005-0000-0000-000007340000}"/>
    <cellStyle name="Normal 155 3 4" xfId="13931" xr:uid="{00000000-0005-0000-0000-000008340000}"/>
    <cellStyle name="Normal 155 3 4 2" xfId="13932" xr:uid="{00000000-0005-0000-0000-000009340000}"/>
    <cellStyle name="Normal 155 3 4 2 2" xfId="13933" xr:uid="{00000000-0005-0000-0000-00000A340000}"/>
    <cellStyle name="Normal 155 3 4 3" xfId="13934" xr:uid="{00000000-0005-0000-0000-00000B340000}"/>
    <cellStyle name="Normal 155 3 5" xfId="13935" xr:uid="{00000000-0005-0000-0000-00000C340000}"/>
    <cellStyle name="Normal 155 3 5 2" xfId="13936" xr:uid="{00000000-0005-0000-0000-00000D340000}"/>
    <cellStyle name="Normal 155 3 5 2 2" xfId="13937" xr:uid="{00000000-0005-0000-0000-00000E340000}"/>
    <cellStyle name="Normal 155 3 5 3" xfId="13938" xr:uid="{00000000-0005-0000-0000-00000F340000}"/>
    <cellStyle name="Normal 155 3 6" xfId="13939" xr:uid="{00000000-0005-0000-0000-000010340000}"/>
    <cellStyle name="Normal 155 4" xfId="13940" xr:uid="{00000000-0005-0000-0000-000011340000}"/>
    <cellStyle name="Normal 155 4 2" xfId="13941" xr:uid="{00000000-0005-0000-0000-000012340000}"/>
    <cellStyle name="Normal 155 4 2 2" xfId="13942" xr:uid="{00000000-0005-0000-0000-000013340000}"/>
    <cellStyle name="Normal 155 4 3" xfId="13943" xr:uid="{00000000-0005-0000-0000-000014340000}"/>
    <cellStyle name="Normal 155 5" xfId="13944" xr:uid="{00000000-0005-0000-0000-000015340000}"/>
    <cellStyle name="Normal 155 5 2" xfId="13945" xr:uid="{00000000-0005-0000-0000-000016340000}"/>
    <cellStyle name="Normal 155 5 2 2" xfId="13946" xr:uid="{00000000-0005-0000-0000-000017340000}"/>
    <cellStyle name="Normal 155 5 3" xfId="13947" xr:uid="{00000000-0005-0000-0000-000018340000}"/>
    <cellStyle name="Normal 155 6" xfId="13948" xr:uid="{00000000-0005-0000-0000-000019340000}"/>
    <cellStyle name="Normal 155 6 2" xfId="13949" xr:uid="{00000000-0005-0000-0000-00001A340000}"/>
    <cellStyle name="Normal 155 6 2 2" xfId="13950" xr:uid="{00000000-0005-0000-0000-00001B340000}"/>
    <cellStyle name="Normal 155 6 3" xfId="13951" xr:uid="{00000000-0005-0000-0000-00001C340000}"/>
    <cellStyle name="Normal 155 7" xfId="13952" xr:uid="{00000000-0005-0000-0000-00001D340000}"/>
    <cellStyle name="Normal 156" xfId="13953" xr:uid="{00000000-0005-0000-0000-00001E340000}"/>
    <cellStyle name="Normal 156 2" xfId="13954" xr:uid="{00000000-0005-0000-0000-00001F340000}"/>
    <cellStyle name="Normal 156 2 2" xfId="13955" xr:uid="{00000000-0005-0000-0000-000020340000}"/>
    <cellStyle name="Normal 156 2 2 2" xfId="13956" xr:uid="{00000000-0005-0000-0000-000021340000}"/>
    <cellStyle name="Normal 156 2 3" xfId="13957" xr:uid="{00000000-0005-0000-0000-000022340000}"/>
    <cellStyle name="Normal 156 2 3 2" xfId="13958" xr:uid="{00000000-0005-0000-0000-000023340000}"/>
    <cellStyle name="Normal 156 2 3 2 2" xfId="13959" xr:uid="{00000000-0005-0000-0000-000024340000}"/>
    <cellStyle name="Normal 156 2 3 3" xfId="13960" xr:uid="{00000000-0005-0000-0000-000025340000}"/>
    <cellStyle name="Normal 156 2 4" xfId="13961" xr:uid="{00000000-0005-0000-0000-000026340000}"/>
    <cellStyle name="Normal 156 2 4 2" xfId="13962" xr:uid="{00000000-0005-0000-0000-000027340000}"/>
    <cellStyle name="Normal 156 2 4 2 2" xfId="13963" xr:uid="{00000000-0005-0000-0000-000028340000}"/>
    <cellStyle name="Normal 156 2 4 3" xfId="13964" xr:uid="{00000000-0005-0000-0000-000029340000}"/>
    <cellStyle name="Normal 156 2 5" xfId="13965" xr:uid="{00000000-0005-0000-0000-00002A340000}"/>
    <cellStyle name="Normal 156 3" xfId="13966" xr:uid="{00000000-0005-0000-0000-00002B340000}"/>
    <cellStyle name="Normal 156 3 2" xfId="13967" xr:uid="{00000000-0005-0000-0000-00002C340000}"/>
    <cellStyle name="Normal 156 3 2 2" xfId="13968" xr:uid="{00000000-0005-0000-0000-00002D340000}"/>
    <cellStyle name="Normal 156 3 2 2 2" xfId="13969" xr:uid="{00000000-0005-0000-0000-00002E340000}"/>
    <cellStyle name="Normal 156 3 2 3" xfId="13970" xr:uid="{00000000-0005-0000-0000-00002F340000}"/>
    <cellStyle name="Normal 156 3 2 3 2" xfId="13971" xr:uid="{00000000-0005-0000-0000-000030340000}"/>
    <cellStyle name="Normal 156 3 2 3 2 2" xfId="13972" xr:uid="{00000000-0005-0000-0000-000031340000}"/>
    <cellStyle name="Normal 156 3 2 3 3" xfId="13973" xr:uid="{00000000-0005-0000-0000-000032340000}"/>
    <cellStyle name="Normal 156 3 2 4" xfId="13974" xr:uid="{00000000-0005-0000-0000-000033340000}"/>
    <cellStyle name="Normal 156 3 3" xfId="13975" xr:uid="{00000000-0005-0000-0000-000034340000}"/>
    <cellStyle name="Normal 156 3 3 2" xfId="13976" xr:uid="{00000000-0005-0000-0000-000035340000}"/>
    <cellStyle name="Normal 156 3 3 2 2" xfId="13977" xr:uid="{00000000-0005-0000-0000-000036340000}"/>
    <cellStyle name="Normal 156 3 3 3" xfId="13978" xr:uid="{00000000-0005-0000-0000-000037340000}"/>
    <cellStyle name="Normal 156 3 4" xfId="13979" xr:uid="{00000000-0005-0000-0000-000038340000}"/>
    <cellStyle name="Normal 156 3 4 2" xfId="13980" xr:uid="{00000000-0005-0000-0000-000039340000}"/>
    <cellStyle name="Normal 156 3 4 2 2" xfId="13981" xr:uid="{00000000-0005-0000-0000-00003A340000}"/>
    <cellStyle name="Normal 156 3 4 3" xfId="13982" xr:uid="{00000000-0005-0000-0000-00003B340000}"/>
    <cellStyle name="Normal 156 3 5" xfId="13983" xr:uid="{00000000-0005-0000-0000-00003C340000}"/>
    <cellStyle name="Normal 156 3 5 2" xfId="13984" xr:uid="{00000000-0005-0000-0000-00003D340000}"/>
    <cellStyle name="Normal 156 3 5 2 2" xfId="13985" xr:uid="{00000000-0005-0000-0000-00003E340000}"/>
    <cellStyle name="Normal 156 3 5 3" xfId="13986" xr:uid="{00000000-0005-0000-0000-00003F340000}"/>
    <cellStyle name="Normal 156 3 6" xfId="13987" xr:uid="{00000000-0005-0000-0000-000040340000}"/>
    <cellStyle name="Normal 156 4" xfId="13988" xr:uid="{00000000-0005-0000-0000-000041340000}"/>
    <cellStyle name="Normal 156 4 2" xfId="13989" xr:uid="{00000000-0005-0000-0000-000042340000}"/>
    <cellStyle name="Normal 156 4 2 2" xfId="13990" xr:uid="{00000000-0005-0000-0000-000043340000}"/>
    <cellStyle name="Normal 156 4 3" xfId="13991" xr:uid="{00000000-0005-0000-0000-000044340000}"/>
    <cellStyle name="Normal 156 5" xfId="13992" xr:uid="{00000000-0005-0000-0000-000045340000}"/>
    <cellStyle name="Normal 156 5 2" xfId="13993" xr:uid="{00000000-0005-0000-0000-000046340000}"/>
    <cellStyle name="Normal 156 5 2 2" xfId="13994" xr:uid="{00000000-0005-0000-0000-000047340000}"/>
    <cellStyle name="Normal 156 5 3" xfId="13995" xr:uid="{00000000-0005-0000-0000-000048340000}"/>
    <cellStyle name="Normal 156 6" xfId="13996" xr:uid="{00000000-0005-0000-0000-000049340000}"/>
    <cellStyle name="Normal 156 6 2" xfId="13997" xr:uid="{00000000-0005-0000-0000-00004A340000}"/>
    <cellStyle name="Normal 156 6 2 2" xfId="13998" xr:uid="{00000000-0005-0000-0000-00004B340000}"/>
    <cellStyle name="Normal 156 6 3" xfId="13999" xr:uid="{00000000-0005-0000-0000-00004C340000}"/>
    <cellStyle name="Normal 156 7" xfId="14000" xr:uid="{00000000-0005-0000-0000-00004D340000}"/>
    <cellStyle name="Normal 157" xfId="14001" xr:uid="{00000000-0005-0000-0000-00004E340000}"/>
    <cellStyle name="Normal 157 2" xfId="14002" xr:uid="{00000000-0005-0000-0000-00004F340000}"/>
    <cellStyle name="Normal 157 2 2" xfId="14003" xr:uid="{00000000-0005-0000-0000-000050340000}"/>
    <cellStyle name="Normal 157 2 2 2" xfId="14004" xr:uid="{00000000-0005-0000-0000-000051340000}"/>
    <cellStyle name="Normal 157 2 3" xfId="14005" xr:uid="{00000000-0005-0000-0000-000052340000}"/>
    <cellStyle name="Normal 157 2 3 2" xfId="14006" xr:uid="{00000000-0005-0000-0000-000053340000}"/>
    <cellStyle name="Normal 157 2 3 2 2" xfId="14007" xr:uid="{00000000-0005-0000-0000-000054340000}"/>
    <cellStyle name="Normal 157 2 3 3" xfId="14008" xr:uid="{00000000-0005-0000-0000-000055340000}"/>
    <cellStyle name="Normal 157 2 4" xfId="14009" xr:uid="{00000000-0005-0000-0000-000056340000}"/>
    <cellStyle name="Normal 157 2 4 2" xfId="14010" xr:uid="{00000000-0005-0000-0000-000057340000}"/>
    <cellStyle name="Normal 157 2 4 2 2" xfId="14011" xr:uid="{00000000-0005-0000-0000-000058340000}"/>
    <cellStyle name="Normal 157 2 4 3" xfId="14012" xr:uid="{00000000-0005-0000-0000-000059340000}"/>
    <cellStyle name="Normal 157 2 5" xfId="14013" xr:uid="{00000000-0005-0000-0000-00005A340000}"/>
    <cellStyle name="Normal 157 3" xfId="14014" xr:uid="{00000000-0005-0000-0000-00005B340000}"/>
    <cellStyle name="Normal 157 3 2" xfId="14015" xr:uid="{00000000-0005-0000-0000-00005C340000}"/>
    <cellStyle name="Normal 157 3 2 2" xfId="14016" xr:uid="{00000000-0005-0000-0000-00005D340000}"/>
    <cellStyle name="Normal 157 3 2 2 2" xfId="14017" xr:uid="{00000000-0005-0000-0000-00005E340000}"/>
    <cellStyle name="Normal 157 3 2 3" xfId="14018" xr:uid="{00000000-0005-0000-0000-00005F340000}"/>
    <cellStyle name="Normal 157 3 2 3 2" xfId="14019" xr:uid="{00000000-0005-0000-0000-000060340000}"/>
    <cellStyle name="Normal 157 3 2 3 2 2" xfId="14020" xr:uid="{00000000-0005-0000-0000-000061340000}"/>
    <cellStyle name="Normal 157 3 2 3 3" xfId="14021" xr:uid="{00000000-0005-0000-0000-000062340000}"/>
    <cellStyle name="Normal 157 3 2 4" xfId="14022" xr:uid="{00000000-0005-0000-0000-000063340000}"/>
    <cellStyle name="Normal 157 3 3" xfId="14023" xr:uid="{00000000-0005-0000-0000-000064340000}"/>
    <cellStyle name="Normal 157 3 3 2" xfId="14024" xr:uid="{00000000-0005-0000-0000-000065340000}"/>
    <cellStyle name="Normal 157 3 3 2 2" xfId="14025" xr:uid="{00000000-0005-0000-0000-000066340000}"/>
    <cellStyle name="Normal 157 3 3 3" xfId="14026" xr:uid="{00000000-0005-0000-0000-000067340000}"/>
    <cellStyle name="Normal 157 3 4" xfId="14027" xr:uid="{00000000-0005-0000-0000-000068340000}"/>
    <cellStyle name="Normal 157 3 4 2" xfId="14028" xr:uid="{00000000-0005-0000-0000-000069340000}"/>
    <cellStyle name="Normal 157 3 4 2 2" xfId="14029" xr:uid="{00000000-0005-0000-0000-00006A340000}"/>
    <cellStyle name="Normal 157 3 4 3" xfId="14030" xr:uid="{00000000-0005-0000-0000-00006B340000}"/>
    <cellStyle name="Normal 157 3 5" xfId="14031" xr:uid="{00000000-0005-0000-0000-00006C340000}"/>
    <cellStyle name="Normal 157 3 5 2" xfId="14032" xr:uid="{00000000-0005-0000-0000-00006D340000}"/>
    <cellStyle name="Normal 157 3 5 2 2" xfId="14033" xr:uid="{00000000-0005-0000-0000-00006E340000}"/>
    <cellStyle name="Normal 157 3 5 3" xfId="14034" xr:uid="{00000000-0005-0000-0000-00006F340000}"/>
    <cellStyle name="Normal 157 3 6" xfId="14035" xr:uid="{00000000-0005-0000-0000-000070340000}"/>
    <cellStyle name="Normal 157 4" xfId="14036" xr:uid="{00000000-0005-0000-0000-000071340000}"/>
    <cellStyle name="Normal 157 4 2" xfId="14037" xr:uid="{00000000-0005-0000-0000-000072340000}"/>
    <cellStyle name="Normal 157 4 2 2" xfId="14038" xr:uid="{00000000-0005-0000-0000-000073340000}"/>
    <cellStyle name="Normal 157 4 3" xfId="14039" xr:uid="{00000000-0005-0000-0000-000074340000}"/>
    <cellStyle name="Normal 157 5" xfId="14040" xr:uid="{00000000-0005-0000-0000-000075340000}"/>
    <cellStyle name="Normal 157 5 2" xfId="14041" xr:uid="{00000000-0005-0000-0000-000076340000}"/>
    <cellStyle name="Normal 157 5 2 2" xfId="14042" xr:uid="{00000000-0005-0000-0000-000077340000}"/>
    <cellStyle name="Normal 157 5 3" xfId="14043" xr:uid="{00000000-0005-0000-0000-000078340000}"/>
    <cellStyle name="Normal 157 6" xfId="14044" xr:uid="{00000000-0005-0000-0000-000079340000}"/>
    <cellStyle name="Normal 157 6 2" xfId="14045" xr:uid="{00000000-0005-0000-0000-00007A340000}"/>
    <cellStyle name="Normal 157 6 2 2" xfId="14046" xr:uid="{00000000-0005-0000-0000-00007B340000}"/>
    <cellStyle name="Normal 157 6 3" xfId="14047" xr:uid="{00000000-0005-0000-0000-00007C340000}"/>
    <cellStyle name="Normal 157 7" xfId="14048" xr:uid="{00000000-0005-0000-0000-00007D340000}"/>
    <cellStyle name="Normal 158" xfId="14049" xr:uid="{00000000-0005-0000-0000-00007E340000}"/>
    <cellStyle name="Normal 158 2" xfId="14050" xr:uid="{00000000-0005-0000-0000-00007F340000}"/>
    <cellStyle name="Normal 158 2 2" xfId="14051" xr:uid="{00000000-0005-0000-0000-000080340000}"/>
    <cellStyle name="Normal 158 2 2 2" xfId="14052" xr:uid="{00000000-0005-0000-0000-000081340000}"/>
    <cellStyle name="Normal 158 2 3" xfId="14053" xr:uid="{00000000-0005-0000-0000-000082340000}"/>
    <cellStyle name="Normal 158 2 3 2" xfId="14054" xr:uid="{00000000-0005-0000-0000-000083340000}"/>
    <cellStyle name="Normal 158 2 3 2 2" xfId="14055" xr:uid="{00000000-0005-0000-0000-000084340000}"/>
    <cellStyle name="Normal 158 2 3 3" xfId="14056" xr:uid="{00000000-0005-0000-0000-000085340000}"/>
    <cellStyle name="Normal 158 2 4" xfId="14057" xr:uid="{00000000-0005-0000-0000-000086340000}"/>
    <cellStyle name="Normal 158 2 4 2" xfId="14058" xr:uid="{00000000-0005-0000-0000-000087340000}"/>
    <cellStyle name="Normal 158 2 4 2 2" xfId="14059" xr:uid="{00000000-0005-0000-0000-000088340000}"/>
    <cellStyle name="Normal 158 2 4 3" xfId="14060" xr:uid="{00000000-0005-0000-0000-000089340000}"/>
    <cellStyle name="Normal 158 2 5" xfId="14061" xr:uid="{00000000-0005-0000-0000-00008A340000}"/>
    <cellStyle name="Normal 158 3" xfId="14062" xr:uid="{00000000-0005-0000-0000-00008B340000}"/>
    <cellStyle name="Normal 158 3 2" xfId="14063" xr:uid="{00000000-0005-0000-0000-00008C340000}"/>
    <cellStyle name="Normal 158 3 2 2" xfId="14064" xr:uid="{00000000-0005-0000-0000-00008D340000}"/>
    <cellStyle name="Normal 158 3 2 2 2" xfId="14065" xr:uid="{00000000-0005-0000-0000-00008E340000}"/>
    <cellStyle name="Normal 158 3 2 3" xfId="14066" xr:uid="{00000000-0005-0000-0000-00008F340000}"/>
    <cellStyle name="Normal 158 3 2 3 2" xfId="14067" xr:uid="{00000000-0005-0000-0000-000090340000}"/>
    <cellStyle name="Normal 158 3 2 3 2 2" xfId="14068" xr:uid="{00000000-0005-0000-0000-000091340000}"/>
    <cellStyle name="Normal 158 3 2 3 3" xfId="14069" xr:uid="{00000000-0005-0000-0000-000092340000}"/>
    <cellStyle name="Normal 158 3 2 4" xfId="14070" xr:uid="{00000000-0005-0000-0000-000093340000}"/>
    <cellStyle name="Normal 158 3 3" xfId="14071" xr:uid="{00000000-0005-0000-0000-000094340000}"/>
    <cellStyle name="Normal 158 3 3 2" xfId="14072" xr:uid="{00000000-0005-0000-0000-000095340000}"/>
    <cellStyle name="Normal 158 3 3 2 2" xfId="14073" xr:uid="{00000000-0005-0000-0000-000096340000}"/>
    <cellStyle name="Normal 158 3 3 3" xfId="14074" xr:uid="{00000000-0005-0000-0000-000097340000}"/>
    <cellStyle name="Normal 158 3 4" xfId="14075" xr:uid="{00000000-0005-0000-0000-000098340000}"/>
    <cellStyle name="Normal 158 3 4 2" xfId="14076" xr:uid="{00000000-0005-0000-0000-000099340000}"/>
    <cellStyle name="Normal 158 3 4 2 2" xfId="14077" xr:uid="{00000000-0005-0000-0000-00009A340000}"/>
    <cellStyle name="Normal 158 3 4 3" xfId="14078" xr:uid="{00000000-0005-0000-0000-00009B340000}"/>
    <cellStyle name="Normal 158 3 5" xfId="14079" xr:uid="{00000000-0005-0000-0000-00009C340000}"/>
    <cellStyle name="Normal 158 3 5 2" xfId="14080" xr:uid="{00000000-0005-0000-0000-00009D340000}"/>
    <cellStyle name="Normal 158 3 5 2 2" xfId="14081" xr:uid="{00000000-0005-0000-0000-00009E340000}"/>
    <cellStyle name="Normal 158 3 5 3" xfId="14082" xr:uid="{00000000-0005-0000-0000-00009F340000}"/>
    <cellStyle name="Normal 158 3 6" xfId="14083" xr:uid="{00000000-0005-0000-0000-0000A0340000}"/>
    <cellStyle name="Normal 158 4" xfId="14084" xr:uid="{00000000-0005-0000-0000-0000A1340000}"/>
    <cellStyle name="Normal 158 4 2" xfId="14085" xr:uid="{00000000-0005-0000-0000-0000A2340000}"/>
    <cellStyle name="Normal 158 4 2 2" xfId="14086" xr:uid="{00000000-0005-0000-0000-0000A3340000}"/>
    <cellStyle name="Normal 158 4 3" xfId="14087" xr:uid="{00000000-0005-0000-0000-0000A4340000}"/>
    <cellStyle name="Normal 158 5" xfId="14088" xr:uid="{00000000-0005-0000-0000-0000A5340000}"/>
    <cellStyle name="Normal 158 5 2" xfId="14089" xr:uid="{00000000-0005-0000-0000-0000A6340000}"/>
    <cellStyle name="Normal 158 5 2 2" xfId="14090" xr:uid="{00000000-0005-0000-0000-0000A7340000}"/>
    <cellStyle name="Normal 158 5 3" xfId="14091" xr:uid="{00000000-0005-0000-0000-0000A8340000}"/>
    <cellStyle name="Normal 158 6" xfId="14092" xr:uid="{00000000-0005-0000-0000-0000A9340000}"/>
    <cellStyle name="Normal 158 6 2" xfId="14093" xr:uid="{00000000-0005-0000-0000-0000AA340000}"/>
    <cellStyle name="Normal 158 6 2 2" xfId="14094" xr:uid="{00000000-0005-0000-0000-0000AB340000}"/>
    <cellStyle name="Normal 158 6 3" xfId="14095" xr:uid="{00000000-0005-0000-0000-0000AC340000}"/>
    <cellStyle name="Normal 158 7" xfId="14096" xr:uid="{00000000-0005-0000-0000-0000AD340000}"/>
    <cellStyle name="Normal 159" xfId="14097" xr:uid="{00000000-0005-0000-0000-0000AE340000}"/>
    <cellStyle name="Normal 159 2" xfId="14098" xr:uid="{00000000-0005-0000-0000-0000AF340000}"/>
    <cellStyle name="Normal 159 2 2" xfId="14099" xr:uid="{00000000-0005-0000-0000-0000B0340000}"/>
    <cellStyle name="Normal 159 2 2 2" xfId="14100" xr:uid="{00000000-0005-0000-0000-0000B1340000}"/>
    <cellStyle name="Normal 159 2 3" xfId="14101" xr:uid="{00000000-0005-0000-0000-0000B2340000}"/>
    <cellStyle name="Normal 159 2 3 2" xfId="14102" xr:uid="{00000000-0005-0000-0000-0000B3340000}"/>
    <cellStyle name="Normal 159 2 3 2 2" xfId="14103" xr:uid="{00000000-0005-0000-0000-0000B4340000}"/>
    <cellStyle name="Normal 159 2 3 3" xfId="14104" xr:uid="{00000000-0005-0000-0000-0000B5340000}"/>
    <cellStyle name="Normal 159 2 4" xfId="14105" xr:uid="{00000000-0005-0000-0000-0000B6340000}"/>
    <cellStyle name="Normal 159 2 4 2" xfId="14106" xr:uid="{00000000-0005-0000-0000-0000B7340000}"/>
    <cellStyle name="Normal 159 2 4 2 2" xfId="14107" xr:uid="{00000000-0005-0000-0000-0000B8340000}"/>
    <cellStyle name="Normal 159 2 4 3" xfId="14108" xr:uid="{00000000-0005-0000-0000-0000B9340000}"/>
    <cellStyle name="Normal 159 2 5" xfId="14109" xr:uid="{00000000-0005-0000-0000-0000BA340000}"/>
    <cellStyle name="Normal 159 3" xfId="14110" xr:uid="{00000000-0005-0000-0000-0000BB340000}"/>
    <cellStyle name="Normal 159 3 2" xfId="14111" xr:uid="{00000000-0005-0000-0000-0000BC340000}"/>
    <cellStyle name="Normal 159 3 2 2" xfId="14112" xr:uid="{00000000-0005-0000-0000-0000BD340000}"/>
    <cellStyle name="Normal 159 3 2 2 2" xfId="14113" xr:uid="{00000000-0005-0000-0000-0000BE340000}"/>
    <cellStyle name="Normal 159 3 2 3" xfId="14114" xr:uid="{00000000-0005-0000-0000-0000BF340000}"/>
    <cellStyle name="Normal 159 3 2 3 2" xfId="14115" xr:uid="{00000000-0005-0000-0000-0000C0340000}"/>
    <cellStyle name="Normal 159 3 2 3 2 2" xfId="14116" xr:uid="{00000000-0005-0000-0000-0000C1340000}"/>
    <cellStyle name="Normal 159 3 2 3 3" xfId="14117" xr:uid="{00000000-0005-0000-0000-0000C2340000}"/>
    <cellStyle name="Normal 159 3 2 4" xfId="14118" xr:uid="{00000000-0005-0000-0000-0000C3340000}"/>
    <cellStyle name="Normal 159 3 3" xfId="14119" xr:uid="{00000000-0005-0000-0000-0000C4340000}"/>
    <cellStyle name="Normal 159 3 3 2" xfId="14120" xr:uid="{00000000-0005-0000-0000-0000C5340000}"/>
    <cellStyle name="Normal 159 3 3 2 2" xfId="14121" xr:uid="{00000000-0005-0000-0000-0000C6340000}"/>
    <cellStyle name="Normal 159 3 3 3" xfId="14122" xr:uid="{00000000-0005-0000-0000-0000C7340000}"/>
    <cellStyle name="Normal 159 3 4" xfId="14123" xr:uid="{00000000-0005-0000-0000-0000C8340000}"/>
    <cellStyle name="Normal 159 3 4 2" xfId="14124" xr:uid="{00000000-0005-0000-0000-0000C9340000}"/>
    <cellStyle name="Normal 159 3 4 2 2" xfId="14125" xr:uid="{00000000-0005-0000-0000-0000CA340000}"/>
    <cellStyle name="Normal 159 3 4 3" xfId="14126" xr:uid="{00000000-0005-0000-0000-0000CB340000}"/>
    <cellStyle name="Normal 159 3 5" xfId="14127" xr:uid="{00000000-0005-0000-0000-0000CC340000}"/>
    <cellStyle name="Normal 159 3 5 2" xfId="14128" xr:uid="{00000000-0005-0000-0000-0000CD340000}"/>
    <cellStyle name="Normal 159 3 5 2 2" xfId="14129" xr:uid="{00000000-0005-0000-0000-0000CE340000}"/>
    <cellStyle name="Normal 159 3 5 3" xfId="14130" xr:uid="{00000000-0005-0000-0000-0000CF340000}"/>
    <cellStyle name="Normal 159 3 6" xfId="14131" xr:uid="{00000000-0005-0000-0000-0000D0340000}"/>
    <cellStyle name="Normal 159 4" xfId="14132" xr:uid="{00000000-0005-0000-0000-0000D1340000}"/>
    <cellStyle name="Normal 159 4 2" xfId="14133" xr:uid="{00000000-0005-0000-0000-0000D2340000}"/>
    <cellStyle name="Normal 159 4 2 2" xfId="14134" xr:uid="{00000000-0005-0000-0000-0000D3340000}"/>
    <cellStyle name="Normal 159 4 3" xfId="14135" xr:uid="{00000000-0005-0000-0000-0000D4340000}"/>
    <cellStyle name="Normal 159 5" xfId="14136" xr:uid="{00000000-0005-0000-0000-0000D5340000}"/>
    <cellStyle name="Normal 159 5 2" xfId="14137" xr:uid="{00000000-0005-0000-0000-0000D6340000}"/>
    <cellStyle name="Normal 159 5 2 2" xfId="14138" xr:uid="{00000000-0005-0000-0000-0000D7340000}"/>
    <cellStyle name="Normal 159 5 3" xfId="14139" xr:uid="{00000000-0005-0000-0000-0000D8340000}"/>
    <cellStyle name="Normal 159 6" xfId="14140" xr:uid="{00000000-0005-0000-0000-0000D9340000}"/>
    <cellStyle name="Normal 159 6 2" xfId="14141" xr:uid="{00000000-0005-0000-0000-0000DA340000}"/>
    <cellStyle name="Normal 159 6 2 2" xfId="14142" xr:uid="{00000000-0005-0000-0000-0000DB340000}"/>
    <cellStyle name="Normal 159 6 3" xfId="14143" xr:uid="{00000000-0005-0000-0000-0000DC340000}"/>
    <cellStyle name="Normal 159 7" xfId="14144" xr:uid="{00000000-0005-0000-0000-0000DD340000}"/>
    <cellStyle name="Normal 16" xfId="131" xr:uid="{00000000-0005-0000-0000-0000DE340000}"/>
    <cellStyle name="Normal 16 2" xfId="14146" xr:uid="{00000000-0005-0000-0000-0000DF340000}"/>
    <cellStyle name="Normal 16 2 2" xfId="14147" xr:uid="{00000000-0005-0000-0000-0000E0340000}"/>
    <cellStyle name="Normal 16 2 2 2" xfId="14148" xr:uid="{00000000-0005-0000-0000-0000E1340000}"/>
    <cellStyle name="Normal 16 2 2 2 2" xfId="14149" xr:uid="{00000000-0005-0000-0000-0000E2340000}"/>
    <cellStyle name="Normal 16 2 2 3" xfId="14150" xr:uid="{00000000-0005-0000-0000-0000E3340000}"/>
    <cellStyle name="Normal 16 2 2 3 2" xfId="14151" xr:uid="{00000000-0005-0000-0000-0000E4340000}"/>
    <cellStyle name="Normal 16 2 2 3 2 2" xfId="14152" xr:uid="{00000000-0005-0000-0000-0000E5340000}"/>
    <cellStyle name="Normal 16 2 2 3 3" xfId="14153" xr:uid="{00000000-0005-0000-0000-0000E6340000}"/>
    <cellStyle name="Normal 16 2 2 4" xfId="14154" xr:uid="{00000000-0005-0000-0000-0000E7340000}"/>
    <cellStyle name="Normal 16 2 2 4 2" xfId="14155" xr:uid="{00000000-0005-0000-0000-0000E8340000}"/>
    <cellStyle name="Normal 16 2 2 4 2 2" xfId="14156" xr:uid="{00000000-0005-0000-0000-0000E9340000}"/>
    <cellStyle name="Normal 16 2 2 4 3" xfId="14157" xr:uid="{00000000-0005-0000-0000-0000EA340000}"/>
    <cellStyle name="Normal 16 2 2 5" xfId="14158" xr:uid="{00000000-0005-0000-0000-0000EB340000}"/>
    <cellStyle name="Normal 16 2 3" xfId="14159" xr:uid="{00000000-0005-0000-0000-0000EC340000}"/>
    <cellStyle name="Normal 16 2 3 2" xfId="14160" xr:uid="{00000000-0005-0000-0000-0000ED340000}"/>
    <cellStyle name="Normal 16 2 3 2 2" xfId="14161" xr:uid="{00000000-0005-0000-0000-0000EE340000}"/>
    <cellStyle name="Normal 16 2 3 2 2 2" xfId="14162" xr:uid="{00000000-0005-0000-0000-0000EF340000}"/>
    <cellStyle name="Normal 16 2 3 2 3" xfId="14163" xr:uid="{00000000-0005-0000-0000-0000F0340000}"/>
    <cellStyle name="Normal 16 2 3 2 3 2" xfId="14164" xr:uid="{00000000-0005-0000-0000-0000F1340000}"/>
    <cellStyle name="Normal 16 2 3 2 3 2 2" xfId="14165" xr:uid="{00000000-0005-0000-0000-0000F2340000}"/>
    <cellStyle name="Normal 16 2 3 2 3 3" xfId="14166" xr:uid="{00000000-0005-0000-0000-0000F3340000}"/>
    <cellStyle name="Normal 16 2 3 2 4" xfId="14167" xr:uid="{00000000-0005-0000-0000-0000F4340000}"/>
    <cellStyle name="Normal 16 2 3 3" xfId="14168" xr:uid="{00000000-0005-0000-0000-0000F5340000}"/>
    <cellStyle name="Normal 16 2 3 3 2" xfId="14169" xr:uid="{00000000-0005-0000-0000-0000F6340000}"/>
    <cellStyle name="Normal 16 2 3 3 2 2" xfId="14170" xr:uid="{00000000-0005-0000-0000-0000F7340000}"/>
    <cellStyle name="Normal 16 2 3 3 3" xfId="14171" xr:uid="{00000000-0005-0000-0000-0000F8340000}"/>
    <cellStyle name="Normal 16 2 3 4" xfId="14172" xr:uid="{00000000-0005-0000-0000-0000F9340000}"/>
    <cellStyle name="Normal 16 2 3 4 2" xfId="14173" xr:uid="{00000000-0005-0000-0000-0000FA340000}"/>
    <cellStyle name="Normal 16 2 3 4 2 2" xfId="14174" xr:uid="{00000000-0005-0000-0000-0000FB340000}"/>
    <cellStyle name="Normal 16 2 3 4 3" xfId="14175" xr:uid="{00000000-0005-0000-0000-0000FC340000}"/>
    <cellStyle name="Normal 16 2 3 5" xfId="14176" xr:uid="{00000000-0005-0000-0000-0000FD340000}"/>
    <cellStyle name="Normal 16 2 3 5 2" xfId="14177" xr:uid="{00000000-0005-0000-0000-0000FE340000}"/>
    <cellStyle name="Normal 16 2 3 5 2 2" xfId="14178" xr:uid="{00000000-0005-0000-0000-0000FF340000}"/>
    <cellStyle name="Normal 16 2 3 5 3" xfId="14179" xr:uid="{00000000-0005-0000-0000-000000350000}"/>
    <cellStyle name="Normal 16 2 3 6" xfId="14180" xr:uid="{00000000-0005-0000-0000-000001350000}"/>
    <cellStyle name="Normal 16 2 4" xfId="14181" xr:uid="{00000000-0005-0000-0000-000002350000}"/>
    <cellStyle name="Normal 16 3" xfId="14182" xr:uid="{00000000-0005-0000-0000-000003350000}"/>
    <cellStyle name="Normal 16 3 2" xfId="14183" xr:uid="{00000000-0005-0000-0000-000004350000}"/>
    <cellStyle name="Normal 16 3 2 2" xfId="14184" xr:uid="{00000000-0005-0000-0000-000005350000}"/>
    <cellStyle name="Normal 16 3 2 2 2" xfId="14185" xr:uid="{00000000-0005-0000-0000-000006350000}"/>
    <cellStyle name="Normal 16 3 2 3" xfId="14186" xr:uid="{00000000-0005-0000-0000-000007350000}"/>
    <cellStyle name="Normal 16 3 2 3 2" xfId="14187" xr:uid="{00000000-0005-0000-0000-000008350000}"/>
    <cellStyle name="Normal 16 3 2 3 2 2" xfId="14188" xr:uid="{00000000-0005-0000-0000-000009350000}"/>
    <cellStyle name="Normal 16 3 2 3 3" xfId="14189" xr:uid="{00000000-0005-0000-0000-00000A350000}"/>
    <cellStyle name="Normal 16 3 2 4" xfId="14190" xr:uid="{00000000-0005-0000-0000-00000B350000}"/>
    <cellStyle name="Normal 16 3 2 4 2" xfId="14191" xr:uid="{00000000-0005-0000-0000-00000C350000}"/>
    <cellStyle name="Normal 16 3 2 4 2 2" xfId="14192" xr:uid="{00000000-0005-0000-0000-00000D350000}"/>
    <cellStyle name="Normal 16 3 2 4 3" xfId="14193" xr:uid="{00000000-0005-0000-0000-00000E350000}"/>
    <cellStyle name="Normal 16 3 2 5" xfId="14194" xr:uid="{00000000-0005-0000-0000-00000F350000}"/>
    <cellStyle name="Normal 16 3 3" xfId="14195" xr:uid="{00000000-0005-0000-0000-000010350000}"/>
    <cellStyle name="Normal 16 3 3 2" xfId="14196" xr:uid="{00000000-0005-0000-0000-000011350000}"/>
    <cellStyle name="Normal 16 3 3 2 2" xfId="14197" xr:uid="{00000000-0005-0000-0000-000012350000}"/>
    <cellStyle name="Normal 16 3 3 3" xfId="14198" xr:uid="{00000000-0005-0000-0000-000013350000}"/>
    <cellStyle name="Normal 16 3 4" xfId="14199" xr:uid="{00000000-0005-0000-0000-000014350000}"/>
    <cellStyle name="Normal 16 3 4 2" xfId="14200" xr:uid="{00000000-0005-0000-0000-000015350000}"/>
    <cellStyle name="Normal 16 3 4 2 2" xfId="14201" xr:uid="{00000000-0005-0000-0000-000016350000}"/>
    <cellStyle name="Normal 16 3 4 3" xfId="14202" xr:uid="{00000000-0005-0000-0000-000017350000}"/>
    <cellStyle name="Normal 16 3 5" xfId="14203" xr:uid="{00000000-0005-0000-0000-000018350000}"/>
    <cellStyle name="Normal 16 3 5 2" xfId="14204" xr:uid="{00000000-0005-0000-0000-000019350000}"/>
    <cellStyle name="Normal 16 3 5 2 2" xfId="14205" xr:uid="{00000000-0005-0000-0000-00001A350000}"/>
    <cellStyle name="Normal 16 3 5 3" xfId="14206" xr:uid="{00000000-0005-0000-0000-00001B350000}"/>
    <cellStyle name="Normal 16 3 6" xfId="14207" xr:uid="{00000000-0005-0000-0000-00001C350000}"/>
    <cellStyle name="Normal 16 4" xfId="14208" xr:uid="{00000000-0005-0000-0000-00001D350000}"/>
    <cellStyle name="Normal 16 4 2" xfId="14209" xr:uid="{00000000-0005-0000-0000-00001E350000}"/>
    <cellStyle name="Normal 16 4 2 2" xfId="14210" xr:uid="{00000000-0005-0000-0000-00001F350000}"/>
    <cellStyle name="Normal 16 4 3" xfId="14211" xr:uid="{00000000-0005-0000-0000-000020350000}"/>
    <cellStyle name="Normal 16 4 3 2" xfId="14212" xr:uid="{00000000-0005-0000-0000-000021350000}"/>
    <cellStyle name="Normal 16 4 3 2 2" xfId="14213" xr:uid="{00000000-0005-0000-0000-000022350000}"/>
    <cellStyle name="Normal 16 4 3 3" xfId="14214" xr:uid="{00000000-0005-0000-0000-000023350000}"/>
    <cellStyle name="Normal 16 4 4" xfId="14215" xr:uid="{00000000-0005-0000-0000-000024350000}"/>
    <cellStyle name="Normal 16 4 4 2" xfId="14216" xr:uid="{00000000-0005-0000-0000-000025350000}"/>
    <cellStyle name="Normal 16 4 4 2 2" xfId="14217" xr:uid="{00000000-0005-0000-0000-000026350000}"/>
    <cellStyle name="Normal 16 4 4 3" xfId="14218" xr:uid="{00000000-0005-0000-0000-000027350000}"/>
    <cellStyle name="Normal 16 4 5" xfId="14219" xr:uid="{00000000-0005-0000-0000-000028350000}"/>
    <cellStyle name="Normal 16 5" xfId="14220" xr:uid="{00000000-0005-0000-0000-000029350000}"/>
    <cellStyle name="Normal 16 5 2" xfId="14221" xr:uid="{00000000-0005-0000-0000-00002A350000}"/>
    <cellStyle name="Normal 16 5 2 2" xfId="14222" xr:uid="{00000000-0005-0000-0000-00002B350000}"/>
    <cellStyle name="Normal 16 5 2 2 2" xfId="14223" xr:uid="{00000000-0005-0000-0000-00002C350000}"/>
    <cellStyle name="Normal 16 5 2 3" xfId="14224" xr:uid="{00000000-0005-0000-0000-00002D350000}"/>
    <cellStyle name="Normal 16 5 2 3 2" xfId="14225" xr:uid="{00000000-0005-0000-0000-00002E350000}"/>
    <cellStyle name="Normal 16 5 2 3 2 2" xfId="14226" xr:uid="{00000000-0005-0000-0000-00002F350000}"/>
    <cellStyle name="Normal 16 5 2 3 3" xfId="14227" xr:uid="{00000000-0005-0000-0000-000030350000}"/>
    <cellStyle name="Normal 16 5 2 4" xfId="14228" xr:uid="{00000000-0005-0000-0000-000031350000}"/>
    <cellStyle name="Normal 16 5 3" xfId="14229" xr:uid="{00000000-0005-0000-0000-000032350000}"/>
    <cellStyle name="Normal 16 5 3 2" xfId="14230" xr:uid="{00000000-0005-0000-0000-000033350000}"/>
    <cellStyle name="Normal 16 5 3 2 2" xfId="14231" xr:uid="{00000000-0005-0000-0000-000034350000}"/>
    <cellStyle name="Normal 16 5 3 3" xfId="14232" xr:uid="{00000000-0005-0000-0000-000035350000}"/>
    <cellStyle name="Normal 16 5 4" xfId="14233" xr:uid="{00000000-0005-0000-0000-000036350000}"/>
    <cellStyle name="Normal 16 5 4 2" xfId="14234" xr:uid="{00000000-0005-0000-0000-000037350000}"/>
    <cellStyle name="Normal 16 5 4 2 2" xfId="14235" xr:uid="{00000000-0005-0000-0000-000038350000}"/>
    <cellStyle name="Normal 16 5 4 3" xfId="14236" xr:uid="{00000000-0005-0000-0000-000039350000}"/>
    <cellStyle name="Normal 16 5 5" xfId="14237" xr:uid="{00000000-0005-0000-0000-00003A350000}"/>
    <cellStyle name="Normal 16 5 5 2" xfId="14238" xr:uid="{00000000-0005-0000-0000-00003B350000}"/>
    <cellStyle name="Normal 16 5 5 2 2" xfId="14239" xr:uid="{00000000-0005-0000-0000-00003C350000}"/>
    <cellStyle name="Normal 16 5 5 3" xfId="14240" xr:uid="{00000000-0005-0000-0000-00003D350000}"/>
    <cellStyle name="Normal 16 5 6" xfId="14241" xr:uid="{00000000-0005-0000-0000-00003E350000}"/>
    <cellStyle name="Normal 16 6" xfId="14242" xr:uid="{00000000-0005-0000-0000-00003F350000}"/>
    <cellStyle name="Normal 16 7" xfId="14145" xr:uid="{00000000-0005-0000-0000-000040350000}"/>
    <cellStyle name="Normal 160" xfId="14243" xr:uid="{00000000-0005-0000-0000-000041350000}"/>
    <cellStyle name="Normal 160 2" xfId="14244" xr:uid="{00000000-0005-0000-0000-000042350000}"/>
    <cellStyle name="Normal 160 2 2" xfId="14245" xr:uid="{00000000-0005-0000-0000-000043350000}"/>
    <cellStyle name="Normal 160 2 2 2" xfId="14246" xr:uid="{00000000-0005-0000-0000-000044350000}"/>
    <cellStyle name="Normal 160 2 3" xfId="14247" xr:uid="{00000000-0005-0000-0000-000045350000}"/>
    <cellStyle name="Normal 160 2 3 2" xfId="14248" xr:uid="{00000000-0005-0000-0000-000046350000}"/>
    <cellStyle name="Normal 160 2 3 2 2" xfId="14249" xr:uid="{00000000-0005-0000-0000-000047350000}"/>
    <cellStyle name="Normal 160 2 3 3" xfId="14250" xr:uid="{00000000-0005-0000-0000-000048350000}"/>
    <cellStyle name="Normal 160 2 4" xfId="14251" xr:uid="{00000000-0005-0000-0000-000049350000}"/>
    <cellStyle name="Normal 160 2 4 2" xfId="14252" xr:uid="{00000000-0005-0000-0000-00004A350000}"/>
    <cellStyle name="Normal 160 2 4 2 2" xfId="14253" xr:uid="{00000000-0005-0000-0000-00004B350000}"/>
    <cellStyle name="Normal 160 2 4 3" xfId="14254" xr:uid="{00000000-0005-0000-0000-00004C350000}"/>
    <cellStyle name="Normal 160 2 5" xfId="14255" xr:uid="{00000000-0005-0000-0000-00004D350000}"/>
    <cellStyle name="Normal 160 3" xfId="14256" xr:uid="{00000000-0005-0000-0000-00004E350000}"/>
    <cellStyle name="Normal 160 3 2" xfId="14257" xr:uid="{00000000-0005-0000-0000-00004F350000}"/>
    <cellStyle name="Normal 160 3 2 2" xfId="14258" xr:uid="{00000000-0005-0000-0000-000050350000}"/>
    <cellStyle name="Normal 160 3 2 2 2" xfId="14259" xr:uid="{00000000-0005-0000-0000-000051350000}"/>
    <cellStyle name="Normal 160 3 2 3" xfId="14260" xr:uid="{00000000-0005-0000-0000-000052350000}"/>
    <cellStyle name="Normal 160 3 2 3 2" xfId="14261" xr:uid="{00000000-0005-0000-0000-000053350000}"/>
    <cellStyle name="Normal 160 3 2 3 2 2" xfId="14262" xr:uid="{00000000-0005-0000-0000-000054350000}"/>
    <cellStyle name="Normal 160 3 2 3 3" xfId="14263" xr:uid="{00000000-0005-0000-0000-000055350000}"/>
    <cellStyle name="Normal 160 3 2 4" xfId="14264" xr:uid="{00000000-0005-0000-0000-000056350000}"/>
    <cellStyle name="Normal 160 3 3" xfId="14265" xr:uid="{00000000-0005-0000-0000-000057350000}"/>
    <cellStyle name="Normal 160 3 3 2" xfId="14266" xr:uid="{00000000-0005-0000-0000-000058350000}"/>
    <cellStyle name="Normal 160 3 3 2 2" xfId="14267" xr:uid="{00000000-0005-0000-0000-000059350000}"/>
    <cellStyle name="Normal 160 3 3 3" xfId="14268" xr:uid="{00000000-0005-0000-0000-00005A350000}"/>
    <cellStyle name="Normal 160 3 4" xfId="14269" xr:uid="{00000000-0005-0000-0000-00005B350000}"/>
    <cellStyle name="Normal 160 3 4 2" xfId="14270" xr:uid="{00000000-0005-0000-0000-00005C350000}"/>
    <cellStyle name="Normal 160 3 4 2 2" xfId="14271" xr:uid="{00000000-0005-0000-0000-00005D350000}"/>
    <cellStyle name="Normal 160 3 4 3" xfId="14272" xr:uid="{00000000-0005-0000-0000-00005E350000}"/>
    <cellStyle name="Normal 160 3 5" xfId="14273" xr:uid="{00000000-0005-0000-0000-00005F350000}"/>
    <cellStyle name="Normal 160 3 5 2" xfId="14274" xr:uid="{00000000-0005-0000-0000-000060350000}"/>
    <cellStyle name="Normal 160 3 5 2 2" xfId="14275" xr:uid="{00000000-0005-0000-0000-000061350000}"/>
    <cellStyle name="Normal 160 3 5 3" xfId="14276" xr:uid="{00000000-0005-0000-0000-000062350000}"/>
    <cellStyle name="Normal 160 3 6" xfId="14277" xr:uid="{00000000-0005-0000-0000-000063350000}"/>
    <cellStyle name="Normal 160 4" xfId="14278" xr:uid="{00000000-0005-0000-0000-000064350000}"/>
    <cellStyle name="Normal 160 4 2" xfId="14279" xr:uid="{00000000-0005-0000-0000-000065350000}"/>
    <cellStyle name="Normal 160 4 2 2" xfId="14280" xr:uid="{00000000-0005-0000-0000-000066350000}"/>
    <cellStyle name="Normal 160 4 3" xfId="14281" xr:uid="{00000000-0005-0000-0000-000067350000}"/>
    <cellStyle name="Normal 160 5" xfId="14282" xr:uid="{00000000-0005-0000-0000-000068350000}"/>
    <cellStyle name="Normal 160 5 2" xfId="14283" xr:uid="{00000000-0005-0000-0000-000069350000}"/>
    <cellStyle name="Normal 160 5 2 2" xfId="14284" xr:uid="{00000000-0005-0000-0000-00006A350000}"/>
    <cellStyle name="Normal 160 5 3" xfId="14285" xr:uid="{00000000-0005-0000-0000-00006B350000}"/>
    <cellStyle name="Normal 160 6" xfId="14286" xr:uid="{00000000-0005-0000-0000-00006C350000}"/>
    <cellStyle name="Normal 160 6 2" xfId="14287" xr:uid="{00000000-0005-0000-0000-00006D350000}"/>
    <cellStyle name="Normal 160 6 2 2" xfId="14288" xr:uid="{00000000-0005-0000-0000-00006E350000}"/>
    <cellStyle name="Normal 160 6 3" xfId="14289" xr:uid="{00000000-0005-0000-0000-00006F350000}"/>
    <cellStyle name="Normal 160 7" xfId="14290" xr:uid="{00000000-0005-0000-0000-000070350000}"/>
    <cellStyle name="Normal 161" xfId="14291" xr:uid="{00000000-0005-0000-0000-000071350000}"/>
    <cellStyle name="Normal 161 2" xfId="14292" xr:uid="{00000000-0005-0000-0000-000072350000}"/>
    <cellStyle name="Normal 161 2 2" xfId="14293" xr:uid="{00000000-0005-0000-0000-000073350000}"/>
    <cellStyle name="Normal 161 2 2 2" xfId="14294" xr:uid="{00000000-0005-0000-0000-000074350000}"/>
    <cellStyle name="Normal 161 2 3" xfId="14295" xr:uid="{00000000-0005-0000-0000-000075350000}"/>
    <cellStyle name="Normal 161 2 3 2" xfId="14296" xr:uid="{00000000-0005-0000-0000-000076350000}"/>
    <cellStyle name="Normal 161 2 3 2 2" xfId="14297" xr:uid="{00000000-0005-0000-0000-000077350000}"/>
    <cellStyle name="Normal 161 2 3 3" xfId="14298" xr:uid="{00000000-0005-0000-0000-000078350000}"/>
    <cellStyle name="Normal 161 2 4" xfId="14299" xr:uid="{00000000-0005-0000-0000-000079350000}"/>
    <cellStyle name="Normal 161 2 4 2" xfId="14300" xr:uid="{00000000-0005-0000-0000-00007A350000}"/>
    <cellStyle name="Normal 161 2 4 2 2" xfId="14301" xr:uid="{00000000-0005-0000-0000-00007B350000}"/>
    <cellStyle name="Normal 161 2 4 3" xfId="14302" xr:uid="{00000000-0005-0000-0000-00007C350000}"/>
    <cellStyle name="Normal 161 2 5" xfId="14303" xr:uid="{00000000-0005-0000-0000-00007D350000}"/>
    <cellStyle name="Normal 161 3" xfId="14304" xr:uid="{00000000-0005-0000-0000-00007E350000}"/>
    <cellStyle name="Normal 161 3 2" xfId="14305" xr:uid="{00000000-0005-0000-0000-00007F350000}"/>
    <cellStyle name="Normal 161 3 2 2" xfId="14306" xr:uid="{00000000-0005-0000-0000-000080350000}"/>
    <cellStyle name="Normal 161 3 2 2 2" xfId="14307" xr:uid="{00000000-0005-0000-0000-000081350000}"/>
    <cellStyle name="Normal 161 3 2 3" xfId="14308" xr:uid="{00000000-0005-0000-0000-000082350000}"/>
    <cellStyle name="Normal 161 3 2 3 2" xfId="14309" xr:uid="{00000000-0005-0000-0000-000083350000}"/>
    <cellStyle name="Normal 161 3 2 3 2 2" xfId="14310" xr:uid="{00000000-0005-0000-0000-000084350000}"/>
    <cellStyle name="Normal 161 3 2 3 3" xfId="14311" xr:uid="{00000000-0005-0000-0000-000085350000}"/>
    <cellStyle name="Normal 161 3 2 4" xfId="14312" xr:uid="{00000000-0005-0000-0000-000086350000}"/>
    <cellStyle name="Normal 161 3 3" xfId="14313" xr:uid="{00000000-0005-0000-0000-000087350000}"/>
    <cellStyle name="Normal 161 3 3 2" xfId="14314" xr:uid="{00000000-0005-0000-0000-000088350000}"/>
    <cellStyle name="Normal 161 3 3 2 2" xfId="14315" xr:uid="{00000000-0005-0000-0000-000089350000}"/>
    <cellStyle name="Normal 161 3 3 3" xfId="14316" xr:uid="{00000000-0005-0000-0000-00008A350000}"/>
    <cellStyle name="Normal 161 3 4" xfId="14317" xr:uid="{00000000-0005-0000-0000-00008B350000}"/>
    <cellStyle name="Normal 161 3 4 2" xfId="14318" xr:uid="{00000000-0005-0000-0000-00008C350000}"/>
    <cellStyle name="Normal 161 3 4 2 2" xfId="14319" xr:uid="{00000000-0005-0000-0000-00008D350000}"/>
    <cellStyle name="Normal 161 3 4 3" xfId="14320" xr:uid="{00000000-0005-0000-0000-00008E350000}"/>
    <cellStyle name="Normal 161 3 5" xfId="14321" xr:uid="{00000000-0005-0000-0000-00008F350000}"/>
    <cellStyle name="Normal 161 3 5 2" xfId="14322" xr:uid="{00000000-0005-0000-0000-000090350000}"/>
    <cellStyle name="Normal 161 3 5 2 2" xfId="14323" xr:uid="{00000000-0005-0000-0000-000091350000}"/>
    <cellStyle name="Normal 161 3 5 3" xfId="14324" xr:uid="{00000000-0005-0000-0000-000092350000}"/>
    <cellStyle name="Normal 161 3 6" xfId="14325" xr:uid="{00000000-0005-0000-0000-000093350000}"/>
    <cellStyle name="Normal 161 4" xfId="14326" xr:uid="{00000000-0005-0000-0000-000094350000}"/>
    <cellStyle name="Normal 161 4 2" xfId="14327" xr:uid="{00000000-0005-0000-0000-000095350000}"/>
    <cellStyle name="Normal 161 4 2 2" xfId="14328" xr:uid="{00000000-0005-0000-0000-000096350000}"/>
    <cellStyle name="Normal 161 4 3" xfId="14329" xr:uid="{00000000-0005-0000-0000-000097350000}"/>
    <cellStyle name="Normal 161 5" xfId="14330" xr:uid="{00000000-0005-0000-0000-000098350000}"/>
    <cellStyle name="Normal 161 5 2" xfId="14331" xr:uid="{00000000-0005-0000-0000-000099350000}"/>
    <cellStyle name="Normal 161 5 2 2" xfId="14332" xr:uid="{00000000-0005-0000-0000-00009A350000}"/>
    <cellStyle name="Normal 161 5 3" xfId="14333" xr:uid="{00000000-0005-0000-0000-00009B350000}"/>
    <cellStyle name="Normal 161 6" xfId="14334" xr:uid="{00000000-0005-0000-0000-00009C350000}"/>
    <cellStyle name="Normal 161 6 2" xfId="14335" xr:uid="{00000000-0005-0000-0000-00009D350000}"/>
    <cellStyle name="Normal 161 6 2 2" xfId="14336" xr:uid="{00000000-0005-0000-0000-00009E350000}"/>
    <cellStyle name="Normal 161 6 3" xfId="14337" xr:uid="{00000000-0005-0000-0000-00009F350000}"/>
    <cellStyle name="Normal 161 7" xfId="14338" xr:uid="{00000000-0005-0000-0000-0000A0350000}"/>
    <cellStyle name="Normal 162" xfId="14339" xr:uid="{00000000-0005-0000-0000-0000A1350000}"/>
    <cellStyle name="Normal 162 2" xfId="14340" xr:uid="{00000000-0005-0000-0000-0000A2350000}"/>
    <cellStyle name="Normal 162 2 2" xfId="14341" xr:uid="{00000000-0005-0000-0000-0000A3350000}"/>
    <cellStyle name="Normal 162 2 2 2" xfId="14342" xr:uid="{00000000-0005-0000-0000-0000A4350000}"/>
    <cellStyle name="Normal 162 2 3" xfId="14343" xr:uid="{00000000-0005-0000-0000-0000A5350000}"/>
    <cellStyle name="Normal 162 2 3 2" xfId="14344" xr:uid="{00000000-0005-0000-0000-0000A6350000}"/>
    <cellStyle name="Normal 162 2 3 2 2" xfId="14345" xr:uid="{00000000-0005-0000-0000-0000A7350000}"/>
    <cellStyle name="Normal 162 2 3 3" xfId="14346" xr:uid="{00000000-0005-0000-0000-0000A8350000}"/>
    <cellStyle name="Normal 162 2 4" xfId="14347" xr:uid="{00000000-0005-0000-0000-0000A9350000}"/>
    <cellStyle name="Normal 162 2 4 2" xfId="14348" xr:uid="{00000000-0005-0000-0000-0000AA350000}"/>
    <cellStyle name="Normal 162 2 4 2 2" xfId="14349" xr:uid="{00000000-0005-0000-0000-0000AB350000}"/>
    <cellStyle name="Normal 162 2 4 3" xfId="14350" xr:uid="{00000000-0005-0000-0000-0000AC350000}"/>
    <cellStyle name="Normal 162 2 5" xfId="14351" xr:uid="{00000000-0005-0000-0000-0000AD350000}"/>
    <cellStyle name="Normal 162 3" xfId="14352" xr:uid="{00000000-0005-0000-0000-0000AE350000}"/>
    <cellStyle name="Normal 162 3 2" xfId="14353" xr:uid="{00000000-0005-0000-0000-0000AF350000}"/>
    <cellStyle name="Normal 162 3 2 2" xfId="14354" xr:uid="{00000000-0005-0000-0000-0000B0350000}"/>
    <cellStyle name="Normal 162 3 2 2 2" xfId="14355" xr:uid="{00000000-0005-0000-0000-0000B1350000}"/>
    <cellStyle name="Normal 162 3 2 3" xfId="14356" xr:uid="{00000000-0005-0000-0000-0000B2350000}"/>
    <cellStyle name="Normal 162 3 2 3 2" xfId="14357" xr:uid="{00000000-0005-0000-0000-0000B3350000}"/>
    <cellStyle name="Normal 162 3 2 3 2 2" xfId="14358" xr:uid="{00000000-0005-0000-0000-0000B4350000}"/>
    <cellStyle name="Normal 162 3 2 3 3" xfId="14359" xr:uid="{00000000-0005-0000-0000-0000B5350000}"/>
    <cellStyle name="Normal 162 3 2 4" xfId="14360" xr:uid="{00000000-0005-0000-0000-0000B6350000}"/>
    <cellStyle name="Normal 162 3 3" xfId="14361" xr:uid="{00000000-0005-0000-0000-0000B7350000}"/>
    <cellStyle name="Normal 162 3 3 2" xfId="14362" xr:uid="{00000000-0005-0000-0000-0000B8350000}"/>
    <cellStyle name="Normal 162 3 3 2 2" xfId="14363" xr:uid="{00000000-0005-0000-0000-0000B9350000}"/>
    <cellStyle name="Normal 162 3 3 3" xfId="14364" xr:uid="{00000000-0005-0000-0000-0000BA350000}"/>
    <cellStyle name="Normal 162 3 4" xfId="14365" xr:uid="{00000000-0005-0000-0000-0000BB350000}"/>
    <cellStyle name="Normal 162 3 4 2" xfId="14366" xr:uid="{00000000-0005-0000-0000-0000BC350000}"/>
    <cellStyle name="Normal 162 3 4 2 2" xfId="14367" xr:uid="{00000000-0005-0000-0000-0000BD350000}"/>
    <cellStyle name="Normal 162 3 4 3" xfId="14368" xr:uid="{00000000-0005-0000-0000-0000BE350000}"/>
    <cellStyle name="Normal 162 3 5" xfId="14369" xr:uid="{00000000-0005-0000-0000-0000BF350000}"/>
    <cellStyle name="Normal 162 3 5 2" xfId="14370" xr:uid="{00000000-0005-0000-0000-0000C0350000}"/>
    <cellStyle name="Normal 162 3 5 2 2" xfId="14371" xr:uid="{00000000-0005-0000-0000-0000C1350000}"/>
    <cellStyle name="Normal 162 3 5 3" xfId="14372" xr:uid="{00000000-0005-0000-0000-0000C2350000}"/>
    <cellStyle name="Normal 162 3 6" xfId="14373" xr:uid="{00000000-0005-0000-0000-0000C3350000}"/>
    <cellStyle name="Normal 162 4" xfId="14374" xr:uid="{00000000-0005-0000-0000-0000C4350000}"/>
    <cellStyle name="Normal 162 4 2" xfId="14375" xr:uid="{00000000-0005-0000-0000-0000C5350000}"/>
    <cellStyle name="Normal 162 4 2 2" xfId="14376" xr:uid="{00000000-0005-0000-0000-0000C6350000}"/>
    <cellStyle name="Normal 162 4 3" xfId="14377" xr:uid="{00000000-0005-0000-0000-0000C7350000}"/>
    <cellStyle name="Normal 162 5" xfId="14378" xr:uid="{00000000-0005-0000-0000-0000C8350000}"/>
    <cellStyle name="Normal 162 5 2" xfId="14379" xr:uid="{00000000-0005-0000-0000-0000C9350000}"/>
    <cellStyle name="Normal 162 5 2 2" xfId="14380" xr:uid="{00000000-0005-0000-0000-0000CA350000}"/>
    <cellStyle name="Normal 162 5 3" xfId="14381" xr:uid="{00000000-0005-0000-0000-0000CB350000}"/>
    <cellStyle name="Normal 162 6" xfId="14382" xr:uid="{00000000-0005-0000-0000-0000CC350000}"/>
    <cellStyle name="Normal 162 6 2" xfId="14383" xr:uid="{00000000-0005-0000-0000-0000CD350000}"/>
    <cellStyle name="Normal 162 6 2 2" xfId="14384" xr:uid="{00000000-0005-0000-0000-0000CE350000}"/>
    <cellStyle name="Normal 162 6 3" xfId="14385" xr:uid="{00000000-0005-0000-0000-0000CF350000}"/>
    <cellStyle name="Normal 162 7" xfId="14386" xr:uid="{00000000-0005-0000-0000-0000D0350000}"/>
    <cellStyle name="Normal 163" xfId="14387" xr:uid="{00000000-0005-0000-0000-0000D1350000}"/>
    <cellStyle name="Normal 163 2" xfId="14388" xr:uid="{00000000-0005-0000-0000-0000D2350000}"/>
    <cellStyle name="Normal 163 2 2" xfId="14389" xr:uid="{00000000-0005-0000-0000-0000D3350000}"/>
    <cellStyle name="Normal 163 2 2 2" xfId="14390" xr:uid="{00000000-0005-0000-0000-0000D4350000}"/>
    <cellStyle name="Normal 163 2 3" xfId="14391" xr:uid="{00000000-0005-0000-0000-0000D5350000}"/>
    <cellStyle name="Normal 163 2 3 2" xfId="14392" xr:uid="{00000000-0005-0000-0000-0000D6350000}"/>
    <cellStyle name="Normal 163 2 3 2 2" xfId="14393" xr:uid="{00000000-0005-0000-0000-0000D7350000}"/>
    <cellStyle name="Normal 163 2 3 3" xfId="14394" xr:uid="{00000000-0005-0000-0000-0000D8350000}"/>
    <cellStyle name="Normal 163 2 4" xfId="14395" xr:uid="{00000000-0005-0000-0000-0000D9350000}"/>
    <cellStyle name="Normal 163 2 4 2" xfId="14396" xr:uid="{00000000-0005-0000-0000-0000DA350000}"/>
    <cellStyle name="Normal 163 2 4 2 2" xfId="14397" xr:uid="{00000000-0005-0000-0000-0000DB350000}"/>
    <cellStyle name="Normal 163 2 4 3" xfId="14398" xr:uid="{00000000-0005-0000-0000-0000DC350000}"/>
    <cellStyle name="Normal 163 2 5" xfId="14399" xr:uid="{00000000-0005-0000-0000-0000DD350000}"/>
    <cellStyle name="Normal 163 3" xfId="14400" xr:uid="{00000000-0005-0000-0000-0000DE350000}"/>
    <cellStyle name="Normal 163 3 2" xfId="14401" xr:uid="{00000000-0005-0000-0000-0000DF350000}"/>
    <cellStyle name="Normal 163 3 2 2" xfId="14402" xr:uid="{00000000-0005-0000-0000-0000E0350000}"/>
    <cellStyle name="Normal 163 3 2 2 2" xfId="14403" xr:uid="{00000000-0005-0000-0000-0000E1350000}"/>
    <cellStyle name="Normal 163 3 2 3" xfId="14404" xr:uid="{00000000-0005-0000-0000-0000E2350000}"/>
    <cellStyle name="Normal 163 3 2 3 2" xfId="14405" xr:uid="{00000000-0005-0000-0000-0000E3350000}"/>
    <cellStyle name="Normal 163 3 2 3 2 2" xfId="14406" xr:uid="{00000000-0005-0000-0000-0000E4350000}"/>
    <cellStyle name="Normal 163 3 2 3 3" xfId="14407" xr:uid="{00000000-0005-0000-0000-0000E5350000}"/>
    <cellStyle name="Normal 163 3 2 4" xfId="14408" xr:uid="{00000000-0005-0000-0000-0000E6350000}"/>
    <cellStyle name="Normal 163 3 3" xfId="14409" xr:uid="{00000000-0005-0000-0000-0000E7350000}"/>
    <cellStyle name="Normal 163 3 3 2" xfId="14410" xr:uid="{00000000-0005-0000-0000-0000E8350000}"/>
    <cellStyle name="Normal 163 3 3 2 2" xfId="14411" xr:uid="{00000000-0005-0000-0000-0000E9350000}"/>
    <cellStyle name="Normal 163 3 3 3" xfId="14412" xr:uid="{00000000-0005-0000-0000-0000EA350000}"/>
    <cellStyle name="Normal 163 3 4" xfId="14413" xr:uid="{00000000-0005-0000-0000-0000EB350000}"/>
    <cellStyle name="Normal 163 3 4 2" xfId="14414" xr:uid="{00000000-0005-0000-0000-0000EC350000}"/>
    <cellStyle name="Normal 163 3 4 2 2" xfId="14415" xr:uid="{00000000-0005-0000-0000-0000ED350000}"/>
    <cellStyle name="Normal 163 3 4 3" xfId="14416" xr:uid="{00000000-0005-0000-0000-0000EE350000}"/>
    <cellStyle name="Normal 163 3 5" xfId="14417" xr:uid="{00000000-0005-0000-0000-0000EF350000}"/>
    <cellStyle name="Normal 163 3 5 2" xfId="14418" xr:uid="{00000000-0005-0000-0000-0000F0350000}"/>
    <cellStyle name="Normal 163 3 5 2 2" xfId="14419" xr:uid="{00000000-0005-0000-0000-0000F1350000}"/>
    <cellStyle name="Normal 163 3 5 3" xfId="14420" xr:uid="{00000000-0005-0000-0000-0000F2350000}"/>
    <cellStyle name="Normal 163 3 6" xfId="14421" xr:uid="{00000000-0005-0000-0000-0000F3350000}"/>
    <cellStyle name="Normal 163 4" xfId="14422" xr:uid="{00000000-0005-0000-0000-0000F4350000}"/>
    <cellStyle name="Normal 163 4 2" xfId="14423" xr:uid="{00000000-0005-0000-0000-0000F5350000}"/>
    <cellStyle name="Normal 163 4 2 2" xfId="14424" xr:uid="{00000000-0005-0000-0000-0000F6350000}"/>
    <cellStyle name="Normal 163 4 3" xfId="14425" xr:uid="{00000000-0005-0000-0000-0000F7350000}"/>
    <cellStyle name="Normal 163 5" xfId="14426" xr:uid="{00000000-0005-0000-0000-0000F8350000}"/>
    <cellStyle name="Normal 163 5 2" xfId="14427" xr:uid="{00000000-0005-0000-0000-0000F9350000}"/>
    <cellStyle name="Normal 163 5 2 2" xfId="14428" xr:uid="{00000000-0005-0000-0000-0000FA350000}"/>
    <cellStyle name="Normal 163 5 3" xfId="14429" xr:uid="{00000000-0005-0000-0000-0000FB350000}"/>
    <cellStyle name="Normal 163 6" xfId="14430" xr:uid="{00000000-0005-0000-0000-0000FC350000}"/>
    <cellStyle name="Normal 163 6 2" xfId="14431" xr:uid="{00000000-0005-0000-0000-0000FD350000}"/>
    <cellStyle name="Normal 163 6 2 2" xfId="14432" xr:uid="{00000000-0005-0000-0000-0000FE350000}"/>
    <cellStyle name="Normal 163 6 3" xfId="14433" xr:uid="{00000000-0005-0000-0000-0000FF350000}"/>
    <cellStyle name="Normal 163 7" xfId="14434" xr:uid="{00000000-0005-0000-0000-000000360000}"/>
    <cellStyle name="Normal 164" xfId="14435" xr:uid="{00000000-0005-0000-0000-000001360000}"/>
    <cellStyle name="Normal 164 2" xfId="14436" xr:uid="{00000000-0005-0000-0000-000002360000}"/>
    <cellStyle name="Normal 164 2 2" xfId="14437" xr:uid="{00000000-0005-0000-0000-000003360000}"/>
    <cellStyle name="Normal 164 2 2 2" xfId="14438" xr:uid="{00000000-0005-0000-0000-000004360000}"/>
    <cellStyle name="Normal 164 2 3" xfId="14439" xr:uid="{00000000-0005-0000-0000-000005360000}"/>
    <cellStyle name="Normal 164 2 3 2" xfId="14440" xr:uid="{00000000-0005-0000-0000-000006360000}"/>
    <cellStyle name="Normal 164 2 3 2 2" xfId="14441" xr:uid="{00000000-0005-0000-0000-000007360000}"/>
    <cellStyle name="Normal 164 2 3 3" xfId="14442" xr:uid="{00000000-0005-0000-0000-000008360000}"/>
    <cellStyle name="Normal 164 2 4" xfId="14443" xr:uid="{00000000-0005-0000-0000-000009360000}"/>
    <cellStyle name="Normal 164 2 4 2" xfId="14444" xr:uid="{00000000-0005-0000-0000-00000A360000}"/>
    <cellStyle name="Normal 164 2 4 2 2" xfId="14445" xr:uid="{00000000-0005-0000-0000-00000B360000}"/>
    <cellStyle name="Normal 164 2 4 3" xfId="14446" xr:uid="{00000000-0005-0000-0000-00000C360000}"/>
    <cellStyle name="Normal 164 2 5" xfId="14447" xr:uid="{00000000-0005-0000-0000-00000D360000}"/>
    <cellStyle name="Normal 164 3" xfId="14448" xr:uid="{00000000-0005-0000-0000-00000E360000}"/>
    <cellStyle name="Normal 164 3 2" xfId="14449" xr:uid="{00000000-0005-0000-0000-00000F360000}"/>
    <cellStyle name="Normal 164 3 2 2" xfId="14450" xr:uid="{00000000-0005-0000-0000-000010360000}"/>
    <cellStyle name="Normal 164 3 2 2 2" xfId="14451" xr:uid="{00000000-0005-0000-0000-000011360000}"/>
    <cellStyle name="Normal 164 3 2 3" xfId="14452" xr:uid="{00000000-0005-0000-0000-000012360000}"/>
    <cellStyle name="Normal 164 3 2 3 2" xfId="14453" xr:uid="{00000000-0005-0000-0000-000013360000}"/>
    <cellStyle name="Normal 164 3 2 3 2 2" xfId="14454" xr:uid="{00000000-0005-0000-0000-000014360000}"/>
    <cellStyle name="Normal 164 3 2 3 3" xfId="14455" xr:uid="{00000000-0005-0000-0000-000015360000}"/>
    <cellStyle name="Normal 164 3 2 4" xfId="14456" xr:uid="{00000000-0005-0000-0000-000016360000}"/>
    <cellStyle name="Normal 164 3 3" xfId="14457" xr:uid="{00000000-0005-0000-0000-000017360000}"/>
    <cellStyle name="Normal 164 3 3 2" xfId="14458" xr:uid="{00000000-0005-0000-0000-000018360000}"/>
    <cellStyle name="Normal 164 3 3 2 2" xfId="14459" xr:uid="{00000000-0005-0000-0000-000019360000}"/>
    <cellStyle name="Normal 164 3 3 3" xfId="14460" xr:uid="{00000000-0005-0000-0000-00001A360000}"/>
    <cellStyle name="Normal 164 3 4" xfId="14461" xr:uid="{00000000-0005-0000-0000-00001B360000}"/>
    <cellStyle name="Normal 164 3 4 2" xfId="14462" xr:uid="{00000000-0005-0000-0000-00001C360000}"/>
    <cellStyle name="Normal 164 3 4 2 2" xfId="14463" xr:uid="{00000000-0005-0000-0000-00001D360000}"/>
    <cellStyle name="Normal 164 3 4 3" xfId="14464" xr:uid="{00000000-0005-0000-0000-00001E360000}"/>
    <cellStyle name="Normal 164 3 5" xfId="14465" xr:uid="{00000000-0005-0000-0000-00001F360000}"/>
    <cellStyle name="Normal 164 3 5 2" xfId="14466" xr:uid="{00000000-0005-0000-0000-000020360000}"/>
    <cellStyle name="Normal 164 3 5 2 2" xfId="14467" xr:uid="{00000000-0005-0000-0000-000021360000}"/>
    <cellStyle name="Normal 164 3 5 3" xfId="14468" xr:uid="{00000000-0005-0000-0000-000022360000}"/>
    <cellStyle name="Normal 164 3 6" xfId="14469" xr:uid="{00000000-0005-0000-0000-000023360000}"/>
    <cellStyle name="Normal 164 4" xfId="14470" xr:uid="{00000000-0005-0000-0000-000024360000}"/>
    <cellStyle name="Normal 164 4 2" xfId="14471" xr:uid="{00000000-0005-0000-0000-000025360000}"/>
    <cellStyle name="Normal 164 4 2 2" xfId="14472" xr:uid="{00000000-0005-0000-0000-000026360000}"/>
    <cellStyle name="Normal 164 4 3" xfId="14473" xr:uid="{00000000-0005-0000-0000-000027360000}"/>
    <cellStyle name="Normal 164 5" xfId="14474" xr:uid="{00000000-0005-0000-0000-000028360000}"/>
    <cellStyle name="Normal 164 5 2" xfId="14475" xr:uid="{00000000-0005-0000-0000-000029360000}"/>
    <cellStyle name="Normal 164 5 2 2" xfId="14476" xr:uid="{00000000-0005-0000-0000-00002A360000}"/>
    <cellStyle name="Normal 164 5 3" xfId="14477" xr:uid="{00000000-0005-0000-0000-00002B360000}"/>
    <cellStyle name="Normal 164 6" xfId="14478" xr:uid="{00000000-0005-0000-0000-00002C360000}"/>
    <cellStyle name="Normal 164 6 2" xfId="14479" xr:uid="{00000000-0005-0000-0000-00002D360000}"/>
    <cellStyle name="Normal 164 6 2 2" xfId="14480" xr:uid="{00000000-0005-0000-0000-00002E360000}"/>
    <cellStyle name="Normal 164 6 3" xfId="14481" xr:uid="{00000000-0005-0000-0000-00002F360000}"/>
    <cellStyle name="Normal 164 7" xfId="14482" xr:uid="{00000000-0005-0000-0000-000030360000}"/>
    <cellStyle name="Normal 165" xfId="14483" xr:uid="{00000000-0005-0000-0000-000031360000}"/>
    <cellStyle name="Normal 165 2" xfId="14484" xr:uid="{00000000-0005-0000-0000-000032360000}"/>
    <cellStyle name="Normal 165 2 2" xfId="14485" xr:uid="{00000000-0005-0000-0000-000033360000}"/>
    <cellStyle name="Normal 165 2 2 2" xfId="14486" xr:uid="{00000000-0005-0000-0000-000034360000}"/>
    <cellStyle name="Normal 165 2 3" xfId="14487" xr:uid="{00000000-0005-0000-0000-000035360000}"/>
    <cellStyle name="Normal 165 2 3 2" xfId="14488" xr:uid="{00000000-0005-0000-0000-000036360000}"/>
    <cellStyle name="Normal 165 2 3 2 2" xfId="14489" xr:uid="{00000000-0005-0000-0000-000037360000}"/>
    <cellStyle name="Normal 165 2 3 3" xfId="14490" xr:uid="{00000000-0005-0000-0000-000038360000}"/>
    <cellStyle name="Normal 165 2 4" xfId="14491" xr:uid="{00000000-0005-0000-0000-000039360000}"/>
    <cellStyle name="Normal 165 2 4 2" xfId="14492" xr:uid="{00000000-0005-0000-0000-00003A360000}"/>
    <cellStyle name="Normal 165 2 4 2 2" xfId="14493" xr:uid="{00000000-0005-0000-0000-00003B360000}"/>
    <cellStyle name="Normal 165 2 4 3" xfId="14494" xr:uid="{00000000-0005-0000-0000-00003C360000}"/>
    <cellStyle name="Normal 165 2 5" xfId="14495" xr:uid="{00000000-0005-0000-0000-00003D360000}"/>
    <cellStyle name="Normal 165 3" xfId="14496" xr:uid="{00000000-0005-0000-0000-00003E360000}"/>
    <cellStyle name="Normal 165 3 2" xfId="14497" xr:uid="{00000000-0005-0000-0000-00003F360000}"/>
    <cellStyle name="Normal 165 3 2 2" xfId="14498" xr:uid="{00000000-0005-0000-0000-000040360000}"/>
    <cellStyle name="Normal 165 3 2 2 2" xfId="14499" xr:uid="{00000000-0005-0000-0000-000041360000}"/>
    <cellStyle name="Normal 165 3 2 3" xfId="14500" xr:uid="{00000000-0005-0000-0000-000042360000}"/>
    <cellStyle name="Normal 165 3 2 3 2" xfId="14501" xr:uid="{00000000-0005-0000-0000-000043360000}"/>
    <cellStyle name="Normal 165 3 2 3 2 2" xfId="14502" xr:uid="{00000000-0005-0000-0000-000044360000}"/>
    <cellStyle name="Normal 165 3 2 3 3" xfId="14503" xr:uid="{00000000-0005-0000-0000-000045360000}"/>
    <cellStyle name="Normal 165 3 2 4" xfId="14504" xr:uid="{00000000-0005-0000-0000-000046360000}"/>
    <cellStyle name="Normal 165 3 3" xfId="14505" xr:uid="{00000000-0005-0000-0000-000047360000}"/>
    <cellStyle name="Normal 165 3 3 2" xfId="14506" xr:uid="{00000000-0005-0000-0000-000048360000}"/>
    <cellStyle name="Normal 165 3 3 2 2" xfId="14507" xr:uid="{00000000-0005-0000-0000-000049360000}"/>
    <cellStyle name="Normal 165 3 3 3" xfId="14508" xr:uid="{00000000-0005-0000-0000-00004A360000}"/>
    <cellStyle name="Normal 165 3 4" xfId="14509" xr:uid="{00000000-0005-0000-0000-00004B360000}"/>
    <cellStyle name="Normal 165 3 4 2" xfId="14510" xr:uid="{00000000-0005-0000-0000-00004C360000}"/>
    <cellStyle name="Normal 165 3 4 2 2" xfId="14511" xr:uid="{00000000-0005-0000-0000-00004D360000}"/>
    <cellStyle name="Normal 165 3 4 3" xfId="14512" xr:uid="{00000000-0005-0000-0000-00004E360000}"/>
    <cellStyle name="Normal 165 3 5" xfId="14513" xr:uid="{00000000-0005-0000-0000-00004F360000}"/>
    <cellStyle name="Normal 165 3 5 2" xfId="14514" xr:uid="{00000000-0005-0000-0000-000050360000}"/>
    <cellStyle name="Normal 165 3 5 2 2" xfId="14515" xr:uid="{00000000-0005-0000-0000-000051360000}"/>
    <cellStyle name="Normal 165 3 5 3" xfId="14516" xr:uid="{00000000-0005-0000-0000-000052360000}"/>
    <cellStyle name="Normal 165 3 6" xfId="14517" xr:uid="{00000000-0005-0000-0000-000053360000}"/>
    <cellStyle name="Normal 165 4" xfId="14518" xr:uid="{00000000-0005-0000-0000-000054360000}"/>
    <cellStyle name="Normal 165 4 2" xfId="14519" xr:uid="{00000000-0005-0000-0000-000055360000}"/>
    <cellStyle name="Normal 165 4 2 2" xfId="14520" xr:uid="{00000000-0005-0000-0000-000056360000}"/>
    <cellStyle name="Normal 165 4 3" xfId="14521" xr:uid="{00000000-0005-0000-0000-000057360000}"/>
    <cellStyle name="Normal 165 5" xfId="14522" xr:uid="{00000000-0005-0000-0000-000058360000}"/>
    <cellStyle name="Normal 165 5 2" xfId="14523" xr:uid="{00000000-0005-0000-0000-000059360000}"/>
    <cellStyle name="Normal 165 5 2 2" xfId="14524" xr:uid="{00000000-0005-0000-0000-00005A360000}"/>
    <cellStyle name="Normal 165 5 3" xfId="14525" xr:uid="{00000000-0005-0000-0000-00005B360000}"/>
    <cellStyle name="Normal 165 6" xfId="14526" xr:uid="{00000000-0005-0000-0000-00005C360000}"/>
    <cellStyle name="Normal 165 6 2" xfId="14527" xr:uid="{00000000-0005-0000-0000-00005D360000}"/>
    <cellStyle name="Normal 165 6 2 2" xfId="14528" xr:uid="{00000000-0005-0000-0000-00005E360000}"/>
    <cellStyle name="Normal 165 6 3" xfId="14529" xr:uid="{00000000-0005-0000-0000-00005F360000}"/>
    <cellStyle name="Normal 165 7" xfId="14530" xr:uid="{00000000-0005-0000-0000-000060360000}"/>
    <cellStyle name="Normal 166" xfId="14531" xr:uid="{00000000-0005-0000-0000-000061360000}"/>
    <cellStyle name="Normal 166 2" xfId="14532" xr:uid="{00000000-0005-0000-0000-000062360000}"/>
    <cellStyle name="Normal 166 2 2" xfId="14533" xr:uid="{00000000-0005-0000-0000-000063360000}"/>
    <cellStyle name="Normal 166 2 2 2" xfId="14534" xr:uid="{00000000-0005-0000-0000-000064360000}"/>
    <cellStyle name="Normal 166 2 3" xfId="14535" xr:uid="{00000000-0005-0000-0000-000065360000}"/>
    <cellStyle name="Normal 166 2 3 2" xfId="14536" xr:uid="{00000000-0005-0000-0000-000066360000}"/>
    <cellStyle name="Normal 166 2 3 2 2" xfId="14537" xr:uid="{00000000-0005-0000-0000-000067360000}"/>
    <cellStyle name="Normal 166 2 3 3" xfId="14538" xr:uid="{00000000-0005-0000-0000-000068360000}"/>
    <cellStyle name="Normal 166 2 4" xfId="14539" xr:uid="{00000000-0005-0000-0000-000069360000}"/>
    <cellStyle name="Normal 166 2 4 2" xfId="14540" xr:uid="{00000000-0005-0000-0000-00006A360000}"/>
    <cellStyle name="Normal 166 2 4 2 2" xfId="14541" xr:uid="{00000000-0005-0000-0000-00006B360000}"/>
    <cellStyle name="Normal 166 2 4 3" xfId="14542" xr:uid="{00000000-0005-0000-0000-00006C360000}"/>
    <cellStyle name="Normal 166 2 5" xfId="14543" xr:uid="{00000000-0005-0000-0000-00006D360000}"/>
    <cellStyle name="Normal 166 3" xfId="14544" xr:uid="{00000000-0005-0000-0000-00006E360000}"/>
    <cellStyle name="Normal 166 3 2" xfId="14545" xr:uid="{00000000-0005-0000-0000-00006F360000}"/>
    <cellStyle name="Normal 166 3 2 2" xfId="14546" xr:uid="{00000000-0005-0000-0000-000070360000}"/>
    <cellStyle name="Normal 166 3 2 2 2" xfId="14547" xr:uid="{00000000-0005-0000-0000-000071360000}"/>
    <cellStyle name="Normal 166 3 2 3" xfId="14548" xr:uid="{00000000-0005-0000-0000-000072360000}"/>
    <cellStyle name="Normal 166 3 2 3 2" xfId="14549" xr:uid="{00000000-0005-0000-0000-000073360000}"/>
    <cellStyle name="Normal 166 3 2 3 2 2" xfId="14550" xr:uid="{00000000-0005-0000-0000-000074360000}"/>
    <cellStyle name="Normal 166 3 2 3 3" xfId="14551" xr:uid="{00000000-0005-0000-0000-000075360000}"/>
    <cellStyle name="Normal 166 3 2 4" xfId="14552" xr:uid="{00000000-0005-0000-0000-000076360000}"/>
    <cellStyle name="Normal 166 3 3" xfId="14553" xr:uid="{00000000-0005-0000-0000-000077360000}"/>
    <cellStyle name="Normal 166 3 3 2" xfId="14554" xr:uid="{00000000-0005-0000-0000-000078360000}"/>
    <cellStyle name="Normal 166 3 3 2 2" xfId="14555" xr:uid="{00000000-0005-0000-0000-000079360000}"/>
    <cellStyle name="Normal 166 3 3 3" xfId="14556" xr:uid="{00000000-0005-0000-0000-00007A360000}"/>
    <cellStyle name="Normal 166 3 4" xfId="14557" xr:uid="{00000000-0005-0000-0000-00007B360000}"/>
    <cellStyle name="Normal 166 3 4 2" xfId="14558" xr:uid="{00000000-0005-0000-0000-00007C360000}"/>
    <cellStyle name="Normal 166 3 4 2 2" xfId="14559" xr:uid="{00000000-0005-0000-0000-00007D360000}"/>
    <cellStyle name="Normal 166 3 4 3" xfId="14560" xr:uid="{00000000-0005-0000-0000-00007E360000}"/>
    <cellStyle name="Normal 166 3 5" xfId="14561" xr:uid="{00000000-0005-0000-0000-00007F360000}"/>
    <cellStyle name="Normal 166 3 5 2" xfId="14562" xr:uid="{00000000-0005-0000-0000-000080360000}"/>
    <cellStyle name="Normal 166 3 5 2 2" xfId="14563" xr:uid="{00000000-0005-0000-0000-000081360000}"/>
    <cellStyle name="Normal 166 3 5 3" xfId="14564" xr:uid="{00000000-0005-0000-0000-000082360000}"/>
    <cellStyle name="Normal 166 3 6" xfId="14565" xr:uid="{00000000-0005-0000-0000-000083360000}"/>
    <cellStyle name="Normal 166 4" xfId="14566" xr:uid="{00000000-0005-0000-0000-000084360000}"/>
    <cellStyle name="Normal 166 4 2" xfId="14567" xr:uid="{00000000-0005-0000-0000-000085360000}"/>
    <cellStyle name="Normal 166 4 2 2" xfId="14568" xr:uid="{00000000-0005-0000-0000-000086360000}"/>
    <cellStyle name="Normal 166 4 3" xfId="14569" xr:uid="{00000000-0005-0000-0000-000087360000}"/>
    <cellStyle name="Normal 166 5" xfId="14570" xr:uid="{00000000-0005-0000-0000-000088360000}"/>
    <cellStyle name="Normal 166 5 2" xfId="14571" xr:uid="{00000000-0005-0000-0000-000089360000}"/>
    <cellStyle name="Normal 166 5 2 2" xfId="14572" xr:uid="{00000000-0005-0000-0000-00008A360000}"/>
    <cellStyle name="Normal 166 5 3" xfId="14573" xr:uid="{00000000-0005-0000-0000-00008B360000}"/>
    <cellStyle name="Normal 166 6" xfId="14574" xr:uid="{00000000-0005-0000-0000-00008C360000}"/>
    <cellStyle name="Normal 166 6 2" xfId="14575" xr:uid="{00000000-0005-0000-0000-00008D360000}"/>
    <cellStyle name="Normal 166 6 2 2" xfId="14576" xr:uid="{00000000-0005-0000-0000-00008E360000}"/>
    <cellStyle name="Normal 166 6 3" xfId="14577" xr:uid="{00000000-0005-0000-0000-00008F360000}"/>
    <cellStyle name="Normal 166 7" xfId="14578" xr:uid="{00000000-0005-0000-0000-000090360000}"/>
    <cellStyle name="Normal 167" xfId="14579" xr:uid="{00000000-0005-0000-0000-000091360000}"/>
    <cellStyle name="Normal 167 2" xfId="14580" xr:uid="{00000000-0005-0000-0000-000092360000}"/>
    <cellStyle name="Normal 167 2 2" xfId="14581" xr:uid="{00000000-0005-0000-0000-000093360000}"/>
    <cellStyle name="Normal 167 2 2 2" xfId="14582" xr:uid="{00000000-0005-0000-0000-000094360000}"/>
    <cellStyle name="Normal 167 2 3" xfId="14583" xr:uid="{00000000-0005-0000-0000-000095360000}"/>
    <cellStyle name="Normal 167 2 3 2" xfId="14584" xr:uid="{00000000-0005-0000-0000-000096360000}"/>
    <cellStyle name="Normal 167 2 3 2 2" xfId="14585" xr:uid="{00000000-0005-0000-0000-000097360000}"/>
    <cellStyle name="Normal 167 2 3 3" xfId="14586" xr:uid="{00000000-0005-0000-0000-000098360000}"/>
    <cellStyle name="Normal 167 2 4" xfId="14587" xr:uid="{00000000-0005-0000-0000-000099360000}"/>
    <cellStyle name="Normal 167 2 4 2" xfId="14588" xr:uid="{00000000-0005-0000-0000-00009A360000}"/>
    <cellStyle name="Normal 167 2 4 2 2" xfId="14589" xr:uid="{00000000-0005-0000-0000-00009B360000}"/>
    <cellStyle name="Normal 167 2 4 3" xfId="14590" xr:uid="{00000000-0005-0000-0000-00009C360000}"/>
    <cellStyle name="Normal 167 2 5" xfId="14591" xr:uid="{00000000-0005-0000-0000-00009D360000}"/>
    <cellStyle name="Normal 167 3" xfId="14592" xr:uid="{00000000-0005-0000-0000-00009E360000}"/>
    <cellStyle name="Normal 167 3 2" xfId="14593" xr:uid="{00000000-0005-0000-0000-00009F360000}"/>
    <cellStyle name="Normal 167 3 2 2" xfId="14594" xr:uid="{00000000-0005-0000-0000-0000A0360000}"/>
    <cellStyle name="Normal 167 3 2 2 2" xfId="14595" xr:uid="{00000000-0005-0000-0000-0000A1360000}"/>
    <cellStyle name="Normal 167 3 2 3" xfId="14596" xr:uid="{00000000-0005-0000-0000-0000A2360000}"/>
    <cellStyle name="Normal 167 3 2 3 2" xfId="14597" xr:uid="{00000000-0005-0000-0000-0000A3360000}"/>
    <cellStyle name="Normal 167 3 2 3 2 2" xfId="14598" xr:uid="{00000000-0005-0000-0000-0000A4360000}"/>
    <cellStyle name="Normal 167 3 2 3 3" xfId="14599" xr:uid="{00000000-0005-0000-0000-0000A5360000}"/>
    <cellStyle name="Normal 167 3 2 4" xfId="14600" xr:uid="{00000000-0005-0000-0000-0000A6360000}"/>
    <cellStyle name="Normal 167 3 3" xfId="14601" xr:uid="{00000000-0005-0000-0000-0000A7360000}"/>
    <cellStyle name="Normal 167 3 3 2" xfId="14602" xr:uid="{00000000-0005-0000-0000-0000A8360000}"/>
    <cellStyle name="Normal 167 3 3 2 2" xfId="14603" xr:uid="{00000000-0005-0000-0000-0000A9360000}"/>
    <cellStyle name="Normal 167 3 3 3" xfId="14604" xr:uid="{00000000-0005-0000-0000-0000AA360000}"/>
    <cellStyle name="Normal 167 3 4" xfId="14605" xr:uid="{00000000-0005-0000-0000-0000AB360000}"/>
    <cellStyle name="Normal 167 3 4 2" xfId="14606" xr:uid="{00000000-0005-0000-0000-0000AC360000}"/>
    <cellStyle name="Normal 167 3 4 2 2" xfId="14607" xr:uid="{00000000-0005-0000-0000-0000AD360000}"/>
    <cellStyle name="Normal 167 3 4 3" xfId="14608" xr:uid="{00000000-0005-0000-0000-0000AE360000}"/>
    <cellStyle name="Normal 167 3 5" xfId="14609" xr:uid="{00000000-0005-0000-0000-0000AF360000}"/>
    <cellStyle name="Normal 167 3 5 2" xfId="14610" xr:uid="{00000000-0005-0000-0000-0000B0360000}"/>
    <cellStyle name="Normal 167 3 5 2 2" xfId="14611" xr:uid="{00000000-0005-0000-0000-0000B1360000}"/>
    <cellStyle name="Normal 167 3 5 3" xfId="14612" xr:uid="{00000000-0005-0000-0000-0000B2360000}"/>
    <cellStyle name="Normal 167 3 6" xfId="14613" xr:uid="{00000000-0005-0000-0000-0000B3360000}"/>
    <cellStyle name="Normal 167 4" xfId="14614" xr:uid="{00000000-0005-0000-0000-0000B4360000}"/>
    <cellStyle name="Normal 167 4 2" xfId="14615" xr:uid="{00000000-0005-0000-0000-0000B5360000}"/>
    <cellStyle name="Normal 167 4 2 2" xfId="14616" xr:uid="{00000000-0005-0000-0000-0000B6360000}"/>
    <cellStyle name="Normal 167 4 3" xfId="14617" xr:uid="{00000000-0005-0000-0000-0000B7360000}"/>
    <cellStyle name="Normal 167 5" xfId="14618" xr:uid="{00000000-0005-0000-0000-0000B8360000}"/>
    <cellStyle name="Normal 167 5 2" xfId="14619" xr:uid="{00000000-0005-0000-0000-0000B9360000}"/>
    <cellStyle name="Normal 167 5 2 2" xfId="14620" xr:uid="{00000000-0005-0000-0000-0000BA360000}"/>
    <cellStyle name="Normal 167 5 3" xfId="14621" xr:uid="{00000000-0005-0000-0000-0000BB360000}"/>
    <cellStyle name="Normal 167 6" xfId="14622" xr:uid="{00000000-0005-0000-0000-0000BC360000}"/>
    <cellStyle name="Normal 167 6 2" xfId="14623" xr:uid="{00000000-0005-0000-0000-0000BD360000}"/>
    <cellStyle name="Normal 167 6 2 2" xfId="14624" xr:uid="{00000000-0005-0000-0000-0000BE360000}"/>
    <cellStyle name="Normal 167 6 3" xfId="14625" xr:uid="{00000000-0005-0000-0000-0000BF360000}"/>
    <cellStyle name="Normal 167 7" xfId="14626" xr:uid="{00000000-0005-0000-0000-0000C0360000}"/>
    <cellStyle name="Normal 168" xfId="14627" xr:uid="{00000000-0005-0000-0000-0000C1360000}"/>
    <cellStyle name="Normal 168 2" xfId="14628" xr:uid="{00000000-0005-0000-0000-0000C2360000}"/>
    <cellStyle name="Normal 168 2 2" xfId="14629" xr:uid="{00000000-0005-0000-0000-0000C3360000}"/>
    <cellStyle name="Normal 168 2 2 2" xfId="14630" xr:uid="{00000000-0005-0000-0000-0000C4360000}"/>
    <cellStyle name="Normal 168 2 3" xfId="14631" xr:uid="{00000000-0005-0000-0000-0000C5360000}"/>
    <cellStyle name="Normal 168 2 3 2" xfId="14632" xr:uid="{00000000-0005-0000-0000-0000C6360000}"/>
    <cellStyle name="Normal 168 2 3 2 2" xfId="14633" xr:uid="{00000000-0005-0000-0000-0000C7360000}"/>
    <cellStyle name="Normal 168 2 3 3" xfId="14634" xr:uid="{00000000-0005-0000-0000-0000C8360000}"/>
    <cellStyle name="Normal 168 2 4" xfId="14635" xr:uid="{00000000-0005-0000-0000-0000C9360000}"/>
    <cellStyle name="Normal 168 2 4 2" xfId="14636" xr:uid="{00000000-0005-0000-0000-0000CA360000}"/>
    <cellStyle name="Normal 168 2 4 2 2" xfId="14637" xr:uid="{00000000-0005-0000-0000-0000CB360000}"/>
    <cellStyle name="Normal 168 2 4 3" xfId="14638" xr:uid="{00000000-0005-0000-0000-0000CC360000}"/>
    <cellStyle name="Normal 168 2 5" xfId="14639" xr:uid="{00000000-0005-0000-0000-0000CD360000}"/>
    <cellStyle name="Normal 168 3" xfId="14640" xr:uid="{00000000-0005-0000-0000-0000CE360000}"/>
    <cellStyle name="Normal 168 3 2" xfId="14641" xr:uid="{00000000-0005-0000-0000-0000CF360000}"/>
    <cellStyle name="Normal 168 3 2 2" xfId="14642" xr:uid="{00000000-0005-0000-0000-0000D0360000}"/>
    <cellStyle name="Normal 168 3 2 2 2" xfId="14643" xr:uid="{00000000-0005-0000-0000-0000D1360000}"/>
    <cellStyle name="Normal 168 3 2 3" xfId="14644" xr:uid="{00000000-0005-0000-0000-0000D2360000}"/>
    <cellStyle name="Normal 168 3 2 3 2" xfId="14645" xr:uid="{00000000-0005-0000-0000-0000D3360000}"/>
    <cellStyle name="Normal 168 3 2 3 2 2" xfId="14646" xr:uid="{00000000-0005-0000-0000-0000D4360000}"/>
    <cellStyle name="Normal 168 3 2 3 3" xfId="14647" xr:uid="{00000000-0005-0000-0000-0000D5360000}"/>
    <cellStyle name="Normal 168 3 2 4" xfId="14648" xr:uid="{00000000-0005-0000-0000-0000D6360000}"/>
    <cellStyle name="Normal 168 3 3" xfId="14649" xr:uid="{00000000-0005-0000-0000-0000D7360000}"/>
    <cellStyle name="Normal 168 3 3 2" xfId="14650" xr:uid="{00000000-0005-0000-0000-0000D8360000}"/>
    <cellStyle name="Normal 168 3 3 2 2" xfId="14651" xr:uid="{00000000-0005-0000-0000-0000D9360000}"/>
    <cellStyle name="Normal 168 3 3 3" xfId="14652" xr:uid="{00000000-0005-0000-0000-0000DA360000}"/>
    <cellStyle name="Normal 168 3 4" xfId="14653" xr:uid="{00000000-0005-0000-0000-0000DB360000}"/>
    <cellStyle name="Normal 168 3 4 2" xfId="14654" xr:uid="{00000000-0005-0000-0000-0000DC360000}"/>
    <cellStyle name="Normal 168 3 4 2 2" xfId="14655" xr:uid="{00000000-0005-0000-0000-0000DD360000}"/>
    <cellStyle name="Normal 168 3 4 3" xfId="14656" xr:uid="{00000000-0005-0000-0000-0000DE360000}"/>
    <cellStyle name="Normal 168 3 5" xfId="14657" xr:uid="{00000000-0005-0000-0000-0000DF360000}"/>
    <cellStyle name="Normal 168 3 5 2" xfId="14658" xr:uid="{00000000-0005-0000-0000-0000E0360000}"/>
    <cellStyle name="Normal 168 3 5 2 2" xfId="14659" xr:uid="{00000000-0005-0000-0000-0000E1360000}"/>
    <cellStyle name="Normal 168 3 5 3" xfId="14660" xr:uid="{00000000-0005-0000-0000-0000E2360000}"/>
    <cellStyle name="Normal 168 3 6" xfId="14661" xr:uid="{00000000-0005-0000-0000-0000E3360000}"/>
    <cellStyle name="Normal 168 4" xfId="14662" xr:uid="{00000000-0005-0000-0000-0000E4360000}"/>
    <cellStyle name="Normal 168 4 2" xfId="14663" xr:uid="{00000000-0005-0000-0000-0000E5360000}"/>
    <cellStyle name="Normal 168 4 2 2" xfId="14664" xr:uid="{00000000-0005-0000-0000-0000E6360000}"/>
    <cellStyle name="Normal 168 4 3" xfId="14665" xr:uid="{00000000-0005-0000-0000-0000E7360000}"/>
    <cellStyle name="Normal 168 5" xfId="14666" xr:uid="{00000000-0005-0000-0000-0000E8360000}"/>
    <cellStyle name="Normal 168 5 2" xfId="14667" xr:uid="{00000000-0005-0000-0000-0000E9360000}"/>
    <cellStyle name="Normal 168 5 2 2" xfId="14668" xr:uid="{00000000-0005-0000-0000-0000EA360000}"/>
    <cellStyle name="Normal 168 5 3" xfId="14669" xr:uid="{00000000-0005-0000-0000-0000EB360000}"/>
    <cellStyle name="Normal 168 6" xfId="14670" xr:uid="{00000000-0005-0000-0000-0000EC360000}"/>
    <cellStyle name="Normal 168 6 2" xfId="14671" xr:uid="{00000000-0005-0000-0000-0000ED360000}"/>
    <cellStyle name="Normal 168 6 2 2" xfId="14672" xr:uid="{00000000-0005-0000-0000-0000EE360000}"/>
    <cellStyle name="Normal 168 6 3" xfId="14673" xr:uid="{00000000-0005-0000-0000-0000EF360000}"/>
    <cellStyle name="Normal 168 7" xfId="14674" xr:uid="{00000000-0005-0000-0000-0000F0360000}"/>
    <cellStyle name="Normal 169" xfId="14675" xr:uid="{00000000-0005-0000-0000-0000F1360000}"/>
    <cellStyle name="Normal 169 2" xfId="14676" xr:uid="{00000000-0005-0000-0000-0000F2360000}"/>
    <cellStyle name="Normal 169 2 2" xfId="14677" xr:uid="{00000000-0005-0000-0000-0000F3360000}"/>
    <cellStyle name="Normal 169 2 2 2" xfId="14678" xr:uid="{00000000-0005-0000-0000-0000F4360000}"/>
    <cellStyle name="Normal 169 2 3" xfId="14679" xr:uid="{00000000-0005-0000-0000-0000F5360000}"/>
    <cellStyle name="Normal 169 2 3 2" xfId="14680" xr:uid="{00000000-0005-0000-0000-0000F6360000}"/>
    <cellStyle name="Normal 169 2 3 2 2" xfId="14681" xr:uid="{00000000-0005-0000-0000-0000F7360000}"/>
    <cellStyle name="Normal 169 2 3 3" xfId="14682" xr:uid="{00000000-0005-0000-0000-0000F8360000}"/>
    <cellStyle name="Normal 169 2 4" xfId="14683" xr:uid="{00000000-0005-0000-0000-0000F9360000}"/>
    <cellStyle name="Normal 169 2 4 2" xfId="14684" xr:uid="{00000000-0005-0000-0000-0000FA360000}"/>
    <cellStyle name="Normal 169 2 4 2 2" xfId="14685" xr:uid="{00000000-0005-0000-0000-0000FB360000}"/>
    <cellStyle name="Normal 169 2 4 3" xfId="14686" xr:uid="{00000000-0005-0000-0000-0000FC360000}"/>
    <cellStyle name="Normal 169 2 5" xfId="14687" xr:uid="{00000000-0005-0000-0000-0000FD360000}"/>
    <cellStyle name="Normal 169 3" xfId="14688" xr:uid="{00000000-0005-0000-0000-0000FE360000}"/>
    <cellStyle name="Normal 169 3 2" xfId="14689" xr:uid="{00000000-0005-0000-0000-0000FF360000}"/>
    <cellStyle name="Normal 169 3 2 2" xfId="14690" xr:uid="{00000000-0005-0000-0000-000000370000}"/>
    <cellStyle name="Normal 169 3 2 2 2" xfId="14691" xr:uid="{00000000-0005-0000-0000-000001370000}"/>
    <cellStyle name="Normal 169 3 2 3" xfId="14692" xr:uid="{00000000-0005-0000-0000-000002370000}"/>
    <cellStyle name="Normal 169 3 2 3 2" xfId="14693" xr:uid="{00000000-0005-0000-0000-000003370000}"/>
    <cellStyle name="Normal 169 3 2 3 2 2" xfId="14694" xr:uid="{00000000-0005-0000-0000-000004370000}"/>
    <cellStyle name="Normal 169 3 2 3 3" xfId="14695" xr:uid="{00000000-0005-0000-0000-000005370000}"/>
    <cellStyle name="Normal 169 3 2 4" xfId="14696" xr:uid="{00000000-0005-0000-0000-000006370000}"/>
    <cellStyle name="Normal 169 3 3" xfId="14697" xr:uid="{00000000-0005-0000-0000-000007370000}"/>
    <cellStyle name="Normal 169 3 3 2" xfId="14698" xr:uid="{00000000-0005-0000-0000-000008370000}"/>
    <cellStyle name="Normal 169 3 3 2 2" xfId="14699" xr:uid="{00000000-0005-0000-0000-000009370000}"/>
    <cellStyle name="Normal 169 3 3 3" xfId="14700" xr:uid="{00000000-0005-0000-0000-00000A370000}"/>
    <cellStyle name="Normal 169 3 4" xfId="14701" xr:uid="{00000000-0005-0000-0000-00000B370000}"/>
    <cellStyle name="Normal 169 3 4 2" xfId="14702" xr:uid="{00000000-0005-0000-0000-00000C370000}"/>
    <cellStyle name="Normal 169 3 4 2 2" xfId="14703" xr:uid="{00000000-0005-0000-0000-00000D370000}"/>
    <cellStyle name="Normal 169 3 4 3" xfId="14704" xr:uid="{00000000-0005-0000-0000-00000E370000}"/>
    <cellStyle name="Normal 169 3 5" xfId="14705" xr:uid="{00000000-0005-0000-0000-00000F370000}"/>
    <cellStyle name="Normal 169 3 5 2" xfId="14706" xr:uid="{00000000-0005-0000-0000-000010370000}"/>
    <cellStyle name="Normal 169 3 5 2 2" xfId="14707" xr:uid="{00000000-0005-0000-0000-000011370000}"/>
    <cellStyle name="Normal 169 3 5 3" xfId="14708" xr:uid="{00000000-0005-0000-0000-000012370000}"/>
    <cellStyle name="Normal 169 3 6" xfId="14709" xr:uid="{00000000-0005-0000-0000-000013370000}"/>
    <cellStyle name="Normal 169 4" xfId="14710" xr:uid="{00000000-0005-0000-0000-000014370000}"/>
    <cellStyle name="Normal 169 4 2" xfId="14711" xr:uid="{00000000-0005-0000-0000-000015370000}"/>
    <cellStyle name="Normal 169 4 2 2" xfId="14712" xr:uid="{00000000-0005-0000-0000-000016370000}"/>
    <cellStyle name="Normal 169 4 3" xfId="14713" xr:uid="{00000000-0005-0000-0000-000017370000}"/>
    <cellStyle name="Normal 169 5" xfId="14714" xr:uid="{00000000-0005-0000-0000-000018370000}"/>
    <cellStyle name="Normal 169 5 2" xfId="14715" xr:uid="{00000000-0005-0000-0000-000019370000}"/>
    <cellStyle name="Normal 169 5 2 2" xfId="14716" xr:uid="{00000000-0005-0000-0000-00001A370000}"/>
    <cellStyle name="Normal 169 5 3" xfId="14717" xr:uid="{00000000-0005-0000-0000-00001B370000}"/>
    <cellStyle name="Normal 169 6" xfId="14718" xr:uid="{00000000-0005-0000-0000-00001C370000}"/>
    <cellStyle name="Normal 169 6 2" xfId="14719" xr:uid="{00000000-0005-0000-0000-00001D370000}"/>
    <cellStyle name="Normal 169 6 2 2" xfId="14720" xr:uid="{00000000-0005-0000-0000-00001E370000}"/>
    <cellStyle name="Normal 169 6 3" xfId="14721" xr:uid="{00000000-0005-0000-0000-00001F370000}"/>
    <cellStyle name="Normal 169 7" xfId="14722" xr:uid="{00000000-0005-0000-0000-000020370000}"/>
    <cellStyle name="Normal 17" xfId="247" xr:uid="{00000000-0005-0000-0000-000021370000}"/>
    <cellStyle name="Normal 17 2" xfId="14724" xr:uid="{00000000-0005-0000-0000-000022370000}"/>
    <cellStyle name="Normal 17 2 2" xfId="14725" xr:uid="{00000000-0005-0000-0000-000023370000}"/>
    <cellStyle name="Normal 17 2 2 2" xfId="14726" xr:uid="{00000000-0005-0000-0000-000024370000}"/>
    <cellStyle name="Normal 17 2 2 2 2" xfId="14727" xr:uid="{00000000-0005-0000-0000-000025370000}"/>
    <cellStyle name="Normal 17 2 2 3" xfId="14728" xr:uid="{00000000-0005-0000-0000-000026370000}"/>
    <cellStyle name="Normal 17 2 2 3 2" xfId="14729" xr:uid="{00000000-0005-0000-0000-000027370000}"/>
    <cellStyle name="Normal 17 2 2 3 2 2" xfId="14730" xr:uid="{00000000-0005-0000-0000-000028370000}"/>
    <cellStyle name="Normal 17 2 2 3 3" xfId="14731" xr:uid="{00000000-0005-0000-0000-000029370000}"/>
    <cellStyle name="Normal 17 2 2 4" xfId="14732" xr:uid="{00000000-0005-0000-0000-00002A370000}"/>
    <cellStyle name="Normal 17 2 2 4 2" xfId="14733" xr:uid="{00000000-0005-0000-0000-00002B370000}"/>
    <cellStyle name="Normal 17 2 2 4 2 2" xfId="14734" xr:uid="{00000000-0005-0000-0000-00002C370000}"/>
    <cellStyle name="Normal 17 2 2 4 3" xfId="14735" xr:uid="{00000000-0005-0000-0000-00002D370000}"/>
    <cellStyle name="Normal 17 2 2 5" xfId="14736" xr:uid="{00000000-0005-0000-0000-00002E370000}"/>
    <cellStyle name="Normal 17 2 3" xfId="14737" xr:uid="{00000000-0005-0000-0000-00002F370000}"/>
    <cellStyle name="Normal 17 2 3 2" xfId="14738" xr:uid="{00000000-0005-0000-0000-000030370000}"/>
    <cellStyle name="Normal 17 2 3 2 2" xfId="14739" xr:uid="{00000000-0005-0000-0000-000031370000}"/>
    <cellStyle name="Normal 17 2 3 2 2 2" xfId="14740" xr:uid="{00000000-0005-0000-0000-000032370000}"/>
    <cellStyle name="Normal 17 2 3 2 3" xfId="14741" xr:uid="{00000000-0005-0000-0000-000033370000}"/>
    <cellStyle name="Normal 17 2 3 2 3 2" xfId="14742" xr:uid="{00000000-0005-0000-0000-000034370000}"/>
    <cellStyle name="Normal 17 2 3 2 3 2 2" xfId="14743" xr:uid="{00000000-0005-0000-0000-000035370000}"/>
    <cellStyle name="Normal 17 2 3 2 3 3" xfId="14744" xr:uid="{00000000-0005-0000-0000-000036370000}"/>
    <cellStyle name="Normal 17 2 3 2 4" xfId="14745" xr:uid="{00000000-0005-0000-0000-000037370000}"/>
    <cellStyle name="Normal 17 2 3 3" xfId="14746" xr:uid="{00000000-0005-0000-0000-000038370000}"/>
    <cellStyle name="Normal 17 2 3 3 2" xfId="14747" xr:uid="{00000000-0005-0000-0000-000039370000}"/>
    <cellStyle name="Normal 17 2 3 3 2 2" xfId="14748" xr:uid="{00000000-0005-0000-0000-00003A370000}"/>
    <cellStyle name="Normal 17 2 3 3 3" xfId="14749" xr:uid="{00000000-0005-0000-0000-00003B370000}"/>
    <cellStyle name="Normal 17 2 3 4" xfId="14750" xr:uid="{00000000-0005-0000-0000-00003C370000}"/>
    <cellStyle name="Normal 17 2 3 4 2" xfId="14751" xr:uid="{00000000-0005-0000-0000-00003D370000}"/>
    <cellStyle name="Normal 17 2 3 4 2 2" xfId="14752" xr:uid="{00000000-0005-0000-0000-00003E370000}"/>
    <cellStyle name="Normal 17 2 3 4 3" xfId="14753" xr:uid="{00000000-0005-0000-0000-00003F370000}"/>
    <cellStyle name="Normal 17 2 3 5" xfId="14754" xr:uid="{00000000-0005-0000-0000-000040370000}"/>
    <cellStyle name="Normal 17 2 3 5 2" xfId="14755" xr:uid="{00000000-0005-0000-0000-000041370000}"/>
    <cellStyle name="Normal 17 2 3 5 2 2" xfId="14756" xr:uid="{00000000-0005-0000-0000-000042370000}"/>
    <cellStyle name="Normal 17 2 3 5 3" xfId="14757" xr:uid="{00000000-0005-0000-0000-000043370000}"/>
    <cellStyle name="Normal 17 2 3 6" xfId="14758" xr:uid="{00000000-0005-0000-0000-000044370000}"/>
    <cellStyle name="Normal 17 2 4" xfId="14759" xr:uid="{00000000-0005-0000-0000-000045370000}"/>
    <cellStyle name="Normal 17 3" xfId="14760" xr:uid="{00000000-0005-0000-0000-000046370000}"/>
    <cellStyle name="Normal 17 3 2" xfId="14761" xr:uid="{00000000-0005-0000-0000-000047370000}"/>
    <cellStyle name="Normal 17 3 2 2" xfId="14762" xr:uid="{00000000-0005-0000-0000-000048370000}"/>
    <cellStyle name="Normal 17 3 2 2 2" xfId="14763" xr:uid="{00000000-0005-0000-0000-000049370000}"/>
    <cellStyle name="Normal 17 3 2 3" xfId="14764" xr:uid="{00000000-0005-0000-0000-00004A370000}"/>
    <cellStyle name="Normal 17 3 2 3 2" xfId="14765" xr:uid="{00000000-0005-0000-0000-00004B370000}"/>
    <cellStyle name="Normal 17 3 2 3 2 2" xfId="14766" xr:uid="{00000000-0005-0000-0000-00004C370000}"/>
    <cellStyle name="Normal 17 3 2 3 3" xfId="14767" xr:uid="{00000000-0005-0000-0000-00004D370000}"/>
    <cellStyle name="Normal 17 3 2 4" xfId="14768" xr:uid="{00000000-0005-0000-0000-00004E370000}"/>
    <cellStyle name="Normal 17 3 2 4 2" xfId="14769" xr:uid="{00000000-0005-0000-0000-00004F370000}"/>
    <cellStyle name="Normal 17 3 2 4 2 2" xfId="14770" xr:uid="{00000000-0005-0000-0000-000050370000}"/>
    <cellStyle name="Normal 17 3 2 4 3" xfId="14771" xr:uid="{00000000-0005-0000-0000-000051370000}"/>
    <cellStyle name="Normal 17 3 2 5" xfId="14772" xr:uid="{00000000-0005-0000-0000-000052370000}"/>
    <cellStyle name="Normal 17 3 3" xfId="14773" xr:uid="{00000000-0005-0000-0000-000053370000}"/>
    <cellStyle name="Normal 17 3 3 2" xfId="14774" xr:uid="{00000000-0005-0000-0000-000054370000}"/>
    <cellStyle name="Normal 17 3 3 2 2" xfId="14775" xr:uid="{00000000-0005-0000-0000-000055370000}"/>
    <cellStyle name="Normal 17 3 3 3" xfId="14776" xr:uid="{00000000-0005-0000-0000-000056370000}"/>
    <cellStyle name="Normal 17 3 3 4" xfId="53895" xr:uid="{FEB0F29F-0CE9-424A-A6B5-2E8D48A04B44}"/>
    <cellStyle name="Normal 17 3 4" xfId="14777" xr:uid="{00000000-0005-0000-0000-000057370000}"/>
    <cellStyle name="Normal 17 3 4 2" xfId="14778" xr:uid="{00000000-0005-0000-0000-000058370000}"/>
    <cellStyle name="Normal 17 3 4 2 2" xfId="14779" xr:uid="{00000000-0005-0000-0000-000059370000}"/>
    <cellStyle name="Normal 17 3 4 3" xfId="14780" xr:uid="{00000000-0005-0000-0000-00005A370000}"/>
    <cellStyle name="Normal 17 3 5" xfId="14781" xr:uid="{00000000-0005-0000-0000-00005B370000}"/>
    <cellStyle name="Normal 17 3 5 2" xfId="14782" xr:uid="{00000000-0005-0000-0000-00005C370000}"/>
    <cellStyle name="Normal 17 3 5 2 2" xfId="14783" xr:uid="{00000000-0005-0000-0000-00005D370000}"/>
    <cellStyle name="Normal 17 3 5 3" xfId="14784" xr:uid="{00000000-0005-0000-0000-00005E370000}"/>
    <cellStyle name="Normal 17 3 6" xfId="14785" xr:uid="{00000000-0005-0000-0000-00005F370000}"/>
    <cellStyle name="Normal 17 4" xfId="14786" xr:uid="{00000000-0005-0000-0000-000060370000}"/>
    <cellStyle name="Normal 17 4 2" xfId="14787" xr:uid="{00000000-0005-0000-0000-000061370000}"/>
    <cellStyle name="Normal 17 4 2 2" xfId="14788" xr:uid="{00000000-0005-0000-0000-000062370000}"/>
    <cellStyle name="Normal 17 4 3" xfId="14789" xr:uid="{00000000-0005-0000-0000-000063370000}"/>
    <cellStyle name="Normal 17 4 3 2" xfId="14790" xr:uid="{00000000-0005-0000-0000-000064370000}"/>
    <cellStyle name="Normal 17 4 3 2 2" xfId="14791" xr:uid="{00000000-0005-0000-0000-000065370000}"/>
    <cellStyle name="Normal 17 4 3 3" xfId="14792" xr:uid="{00000000-0005-0000-0000-000066370000}"/>
    <cellStyle name="Normal 17 4 4" xfId="14793" xr:uid="{00000000-0005-0000-0000-000067370000}"/>
    <cellStyle name="Normal 17 4 4 2" xfId="14794" xr:uid="{00000000-0005-0000-0000-000068370000}"/>
    <cellStyle name="Normal 17 4 4 2 2" xfId="14795" xr:uid="{00000000-0005-0000-0000-000069370000}"/>
    <cellStyle name="Normal 17 4 4 3" xfId="14796" xr:uid="{00000000-0005-0000-0000-00006A370000}"/>
    <cellStyle name="Normal 17 4 5" xfId="14797" xr:uid="{00000000-0005-0000-0000-00006B370000}"/>
    <cellStyle name="Normal 17 5" xfId="14798" xr:uid="{00000000-0005-0000-0000-00006C370000}"/>
    <cellStyle name="Normal 17 5 2" xfId="14799" xr:uid="{00000000-0005-0000-0000-00006D370000}"/>
    <cellStyle name="Normal 17 5 2 2" xfId="14800" xr:uid="{00000000-0005-0000-0000-00006E370000}"/>
    <cellStyle name="Normal 17 5 2 2 2" xfId="14801" xr:uid="{00000000-0005-0000-0000-00006F370000}"/>
    <cellStyle name="Normal 17 5 2 3" xfId="14802" xr:uid="{00000000-0005-0000-0000-000070370000}"/>
    <cellStyle name="Normal 17 5 2 3 2" xfId="14803" xr:uid="{00000000-0005-0000-0000-000071370000}"/>
    <cellStyle name="Normal 17 5 2 3 2 2" xfId="14804" xr:uid="{00000000-0005-0000-0000-000072370000}"/>
    <cellStyle name="Normal 17 5 2 3 3" xfId="14805" xr:uid="{00000000-0005-0000-0000-000073370000}"/>
    <cellStyle name="Normal 17 5 2 4" xfId="14806" xr:uid="{00000000-0005-0000-0000-000074370000}"/>
    <cellStyle name="Normal 17 5 3" xfId="14807" xr:uid="{00000000-0005-0000-0000-000075370000}"/>
    <cellStyle name="Normal 17 5 3 2" xfId="14808" xr:uid="{00000000-0005-0000-0000-000076370000}"/>
    <cellStyle name="Normal 17 5 3 2 2" xfId="14809" xr:uid="{00000000-0005-0000-0000-000077370000}"/>
    <cellStyle name="Normal 17 5 3 3" xfId="14810" xr:uid="{00000000-0005-0000-0000-000078370000}"/>
    <cellStyle name="Normal 17 5 4" xfId="14811" xr:uid="{00000000-0005-0000-0000-000079370000}"/>
    <cellStyle name="Normal 17 5 4 2" xfId="14812" xr:uid="{00000000-0005-0000-0000-00007A370000}"/>
    <cellStyle name="Normal 17 5 4 2 2" xfId="14813" xr:uid="{00000000-0005-0000-0000-00007B370000}"/>
    <cellStyle name="Normal 17 5 4 3" xfId="14814" xr:uid="{00000000-0005-0000-0000-00007C370000}"/>
    <cellStyle name="Normal 17 5 5" xfId="14815" xr:uid="{00000000-0005-0000-0000-00007D370000}"/>
    <cellStyle name="Normal 17 5 5 2" xfId="14816" xr:uid="{00000000-0005-0000-0000-00007E370000}"/>
    <cellStyle name="Normal 17 5 5 2 2" xfId="14817" xr:uid="{00000000-0005-0000-0000-00007F370000}"/>
    <cellStyle name="Normal 17 5 5 3" xfId="14818" xr:uid="{00000000-0005-0000-0000-000080370000}"/>
    <cellStyle name="Normal 17 5 6" xfId="14819" xr:uid="{00000000-0005-0000-0000-000081370000}"/>
    <cellStyle name="Normal 17 6" xfId="14820" xr:uid="{00000000-0005-0000-0000-000082370000}"/>
    <cellStyle name="Normal 17 7" xfId="14723" xr:uid="{00000000-0005-0000-0000-000083370000}"/>
    <cellStyle name="Normal 170" xfId="14821" xr:uid="{00000000-0005-0000-0000-000084370000}"/>
    <cellStyle name="Normal 170 2" xfId="14822" xr:uid="{00000000-0005-0000-0000-000085370000}"/>
    <cellStyle name="Normal 170 2 2" xfId="14823" xr:uid="{00000000-0005-0000-0000-000086370000}"/>
    <cellStyle name="Normal 170 2 2 2" xfId="14824" xr:uid="{00000000-0005-0000-0000-000087370000}"/>
    <cellStyle name="Normal 170 2 3" xfId="14825" xr:uid="{00000000-0005-0000-0000-000088370000}"/>
    <cellStyle name="Normal 170 2 3 2" xfId="14826" xr:uid="{00000000-0005-0000-0000-000089370000}"/>
    <cellStyle name="Normal 170 2 3 2 2" xfId="14827" xr:uid="{00000000-0005-0000-0000-00008A370000}"/>
    <cellStyle name="Normal 170 2 3 3" xfId="14828" xr:uid="{00000000-0005-0000-0000-00008B370000}"/>
    <cellStyle name="Normal 170 2 4" xfId="14829" xr:uid="{00000000-0005-0000-0000-00008C370000}"/>
    <cellStyle name="Normal 170 2 4 2" xfId="14830" xr:uid="{00000000-0005-0000-0000-00008D370000}"/>
    <cellStyle name="Normal 170 2 4 2 2" xfId="14831" xr:uid="{00000000-0005-0000-0000-00008E370000}"/>
    <cellStyle name="Normal 170 2 4 3" xfId="14832" xr:uid="{00000000-0005-0000-0000-00008F370000}"/>
    <cellStyle name="Normal 170 2 5" xfId="14833" xr:uid="{00000000-0005-0000-0000-000090370000}"/>
    <cellStyle name="Normal 170 3" xfId="14834" xr:uid="{00000000-0005-0000-0000-000091370000}"/>
    <cellStyle name="Normal 170 3 2" xfId="14835" xr:uid="{00000000-0005-0000-0000-000092370000}"/>
    <cellStyle name="Normal 170 3 2 2" xfId="14836" xr:uid="{00000000-0005-0000-0000-000093370000}"/>
    <cellStyle name="Normal 170 3 2 2 2" xfId="14837" xr:uid="{00000000-0005-0000-0000-000094370000}"/>
    <cellStyle name="Normal 170 3 2 3" xfId="14838" xr:uid="{00000000-0005-0000-0000-000095370000}"/>
    <cellStyle name="Normal 170 3 2 3 2" xfId="14839" xr:uid="{00000000-0005-0000-0000-000096370000}"/>
    <cellStyle name="Normal 170 3 2 3 2 2" xfId="14840" xr:uid="{00000000-0005-0000-0000-000097370000}"/>
    <cellStyle name="Normal 170 3 2 3 3" xfId="14841" xr:uid="{00000000-0005-0000-0000-000098370000}"/>
    <cellStyle name="Normal 170 3 2 4" xfId="14842" xr:uid="{00000000-0005-0000-0000-000099370000}"/>
    <cellStyle name="Normal 170 3 3" xfId="14843" xr:uid="{00000000-0005-0000-0000-00009A370000}"/>
    <cellStyle name="Normal 170 3 3 2" xfId="14844" xr:uid="{00000000-0005-0000-0000-00009B370000}"/>
    <cellStyle name="Normal 170 3 3 2 2" xfId="14845" xr:uid="{00000000-0005-0000-0000-00009C370000}"/>
    <cellStyle name="Normal 170 3 3 3" xfId="14846" xr:uid="{00000000-0005-0000-0000-00009D370000}"/>
    <cellStyle name="Normal 170 3 4" xfId="14847" xr:uid="{00000000-0005-0000-0000-00009E370000}"/>
    <cellStyle name="Normal 170 3 4 2" xfId="14848" xr:uid="{00000000-0005-0000-0000-00009F370000}"/>
    <cellStyle name="Normal 170 3 4 2 2" xfId="14849" xr:uid="{00000000-0005-0000-0000-0000A0370000}"/>
    <cellStyle name="Normal 170 3 4 3" xfId="14850" xr:uid="{00000000-0005-0000-0000-0000A1370000}"/>
    <cellStyle name="Normal 170 3 5" xfId="14851" xr:uid="{00000000-0005-0000-0000-0000A2370000}"/>
    <cellStyle name="Normal 170 3 5 2" xfId="14852" xr:uid="{00000000-0005-0000-0000-0000A3370000}"/>
    <cellStyle name="Normal 170 3 5 2 2" xfId="14853" xr:uid="{00000000-0005-0000-0000-0000A4370000}"/>
    <cellStyle name="Normal 170 3 5 3" xfId="14854" xr:uid="{00000000-0005-0000-0000-0000A5370000}"/>
    <cellStyle name="Normal 170 3 6" xfId="14855" xr:uid="{00000000-0005-0000-0000-0000A6370000}"/>
    <cellStyle name="Normal 170 4" xfId="14856" xr:uid="{00000000-0005-0000-0000-0000A7370000}"/>
    <cellStyle name="Normal 170 4 2" xfId="14857" xr:uid="{00000000-0005-0000-0000-0000A8370000}"/>
    <cellStyle name="Normal 170 4 2 2" xfId="14858" xr:uid="{00000000-0005-0000-0000-0000A9370000}"/>
    <cellStyle name="Normal 170 4 3" xfId="14859" xr:uid="{00000000-0005-0000-0000-0000AA370000}"/>
    <cellStyle name="Normal 170 5" xfId="14860" xr:uid="{00000000-0005-0000-0000-0000AB370000}"/>
    <cellStyle name="Normal 170 5 2" xfId="14861" xr:uid="{00000000-0005-0000-0000-0000AC370000}"/>
    <cellStyle name="Normal 170 5 2 2" xfId="14862" xr:uid="{00000000-0005-0000-0000-0000AD370000}"/>
    <cellStyle name="Normal 170 5 3" xfId="14863" xr:uid="{00000000-0005-0000-0000-0000AE370000}"/>
    <cellStyle name="Normal 170 6" xfId="14864" xr:uid="{00000000-0005-0000-0000-0000AF370000}"/>
    <cellStyle name="Normal 170 6 2" xfId="14865" xr:uid="{00000000-0005-0000-0000-0000B0370000}"/>
    <cellStyle name="Normal 170 6 2 2" xfId="14866" xr:uid="{00000000-0005-0000-0000-0000B1370000}"/>
    <cellStyle name="Normal 170 6 3" xfId="14867" xr:uid="{00000000-0005-0000-0000-0000B2370000}"/>
    <cellStyle name="Normal 170 7" xfId="14868" xr:uid="{00000000-0005-0000-0000-0000B3370000}"/>
    <cellStyle name="Normal 171" xfId="14869" xr:uid="{00000000-0005-0000-0000-0000B4370000}"/>
    <cellStyle name="Normal 171 2" xfId="14870" xr:uid="{00000000-0005-0000-0000-0000B5370000}"/>
    <cellStyle name="Normal 171 2 2" xfId="14871" xr:uid="{00000000-0005-0000-0000-0000B6370000}"/>
    <cellStyle name="Normal 171 2 2 2" xfId="14872" xr:uid="{00000000-0005-0000-0000-0000B7370000}"/>
    <cellStyle name="Normal 171 2 3" xfId="14873" xr:uid="{00000000-0005-0000-0000-0000B8370000}"/>
    <cellStyle name="Normal 171 2 3 2" xfId="14874" xr:uid="{00000000-0005-0000-0000-0000B9370000}"/>
    <cellStyle name="Normal 171 2 3 2 2" xfId="14875" xr:uid="{00000000-0005-0000-0000-0000BA370000}"/>
    <cellStyle name="Normal 171 2 3 3" xfId="14876" xr:uid="{00000000-0005-0000-0000-0000BB370000}"/>
    <cellStyle name="Normal 171 2 4" xfId="14877" xr:uid="{00000000-0005-0000-0000-0000BC370000}"/>
    <cellStyle name="Normal 171 2 4 2" xfId="14878" xr:uid="{00000000-0005-0000-0000-0000BD370000}"/>
    <cellStyle name="Normal 171 2 4 2 2" xfId="14879" xr:uid="{00000000-0005-0000-0000-0000BE370000}"/>
    <cellStyle name="Normal 171 2 4 3" xfId="14880" xr:uid="{00000000-0005-0000-0000-0000BF370000}"/>
    <cellStyle name="Normal 171 2 5" xfId="14881" xr:uid="{00000000-0005-0000-0000-0000C0370000}"/>
    <cellStyle name="Normal 171 3" xfId="14882" xr:uid="{00000000-0005-0000-0000-0000C1370000}"/>
    <cellStyle name="Normal 171 3 2" xfId="14883" xr:uid="{00000000-0005-0000-0000-0000C2370000}"/>
    <cellStyle name="Normal 171 3 2 2" xfId="14884" xr:uid="{00000000-0005-0000-0000-0000C3370000}"/>
    <cellStyle name="Normal 171 3 2 2 2" xfId="14885" xr:uid="{00000000-0005-0000-0000-0000C4370000}"/>
    <cellStyle name="Normal 171 3 2 3" xfId="14886" xr:uid="{00000000-0005-0000-0000-0000C5370000}"/>
    <cellStyle name="Normal 171 3 2 3 2" xfId="14887" xr:uid="{00000000-0005-0000-0000-0000C6370000}"/>
    <cellStyle name="Normal 171 3 2 3 2 2" xfId="14888" xr:uid="{00000000-0005-0000-0000-0000C7370000}"/>
    <cellStyle name="Normal 171 3 2 3 3" xfId="14889" xr:uid="{00000000-0005-0000-0000-0000C8370000}"/>
    <cellStyle name="Normal 171 3 2 4" xfId="14890" xr:uid="{00000000-0005-0000-0000-0000C9370000}"/>
    <cellStyle name="Normal 171 3 3" xfId="14891" xr:uid="{00000000-0005-0000-0000-0000CA370000}"/>
    <cellStyle name="Normal 171 3 3 2" xfId="14892" xr:uid="{00000000-0005-0000-0000-0000CB370000}"/>
    <cellStyle name="Normal 171 3 3 2 2" xfId="14893" xr:uid="{00000000-0005-0000-0000-0000CC370000}"/>
    <cellStyle name="Normal 171 3 3 3" xfId="14894" xr:uid="{00000000-0005-0000-0000-0000CD370000}"/>
    <cellStyle name="Normal 171 3 4" xfId="14895" xr:uid="{00000000-0005-0000-0000-0000CE370000}"/>
    <cellStyle name="Normal 171 3 4 2" xfId="14896" xr:uid="{00000000-0005-0000-0000-0000CF370000}"/>
    <cellStyle name="Normal 171 3 4 2 2" xfId="14897" xr:uid="{00000000-0005-0000-0000-0000D0370000}"/>
    <cellStyle name="Normal 171 3 4 3" xfId="14898" xr:uid="{00000000-0005-0000-0000-0000D1370000}"/>
    <cellStyle name="Normal 171 3 5" xfId="14899" xr:uid="{00000000-0005-0000-0000-0000D2370000}"/>
    <cellStyle name="Normal 171 3 5 2" xfId="14900" xr:uid="{00000000-0005-0000-0000-0000D3370000}"/>
    <cellStyle name="Normal 171 3 5 2 2" xfId="14901" xr:uid="{00000000-0005-0000-0000-0000D4370000}"/>
    <cellStyle name="Normal 171 3 5 3" xfId="14902" xr:uid="{00000000-0005-0000-0000-0000D5370000}"/>
    <cellStyle name="Normal 171 3 6" xfId="14903" xr:uid="{00000000-0005-0000-0000-0000D6370000}"/>
    <cellStyle name="Normal 171 4" xfId="14904" xr:uid="{00000000-0005-0000-0000-0000D7370000}"/>
    <cellStyle name="Normal 171 4 2" xfId="14905" xr:uid="{00000000-0005-0000-0000-0000D8370000}"/>
    <cellStyle name="Normal 171 4 2 2" xfId="14906" xr:uid="{00000000-0005-0000-0000-0000D9370000}"/>
    <cellStyle name="Normal 171 4 3" xfId="14907" xr:uid="{00000000-0005-0000-0000-0000DA370000}"/>
    <cellStyle name="Normal 171 5" xfId="14908" xr:uid="{00000000-0005-0000-0000-0000DB370000}"/>
    <cellStyle name="Normal 171 5 2" xfId="14909" xr:uid="{00000000-0005-0000-0000-0000DC370000}"/>
    <cellStyle name="Normal 171 5 2 2" xfId="14910" xr:uid="{00000000-0005-0000-0000-0000DD370000}"/>
    <cellStyle name="Normal 171 5 3" xfId="14911" xr:uid="{00000000-0005-0000-0000-0000DE370000}"/>
    <cellStyle name="Normal 171 6" xfId="14912" xr:uid="{00000000-0005-0000-0000-0000DF370000}"/>
    <cellStyle name="Normal 171 6 2" xfId="14913" xr:uid="{00000000-0005-0000-0000-0000E0370000}"/>
    <cellStyle name="Normal 171 6 2 2" xfId="14914" xr:uid="{00000000-0005-0000-0000-0000E1370000}"/>
    <cellStyle name="Normal 171 6 3" xfId="14915" xr:uid="{00000000-0005-0000-0000-0000E2370000}"/>
    <cellStyle name="Normal 171 7" xfId="14916" xr:uid="{00000000-0005-0000-0000-0000E3370000}"/>
    <cellStyle name="Normal 172" xfId="14917" xr:uid="{00000000-0005-0000-0000-0000E4370000}"/>
    <cellStyle name="Normal 172 2" xfId="14918" xr:uid="{00000000-0005-0000-0000-0000E5370000}"/>
    <cellStyle name="Normal 172 2 2" xfId="14919" xr:uid="{00000000-0005-0000-0000-0000E6370000}"/>
    <cellStyle name="Normal 172 2 2 2" xfId="14920" xr:uid="{00000000-0005-0000-0000-0000E7370000}"/>
    <cellStyle name="Normal 172 2 3" xfId="14921" xr:uid="{00000000-0005-0000-0000-0000E8370000}"/>
    <cellStyle name="Normal 172 2 3 2" xfId="14922" xr:uid="{00000000-0005-0000-0000-0000E9370000}"/>
    <cellStyle name="Normal 172 2 3 2 2" xfId="14923" xr:uid="{00000000-0005-0000-0000-0000EA370000}"/>
    <cellStyle name="Normal 172 2 3 3" xfId="14924" xr:uid="{00000000-0005-0000-0000-0000EB370000}"/>
    <cellStyle name="Normal 172 2 4" xfId="14925" xr:uid="{00000000-0005-0000-0000-0000EC370000}"/>
    <cellStyle name="Normal 172 2 4 2" xfId="14926" xr:uid="{00000000-0005-0000-0000-0000ED370000}"/>
    <cellStyle name="Normal 172 2 4 2 2" xfId="14927" xr:uid="{00000000-0005-0000-0000-0000EE370000}"/>
    <cellStyle name="Normal 172 2 4 3" xfId="14928" xr:uid="{00000000-0005-0000-0000-0000EF370000}"/>
    <cellStyle name="Normal 172 2 5" xfId="14929" xr:uid="{00000000-0005-0000-0000-0000F0370000}"/>
    <cellStyle name="Normal 172 3" xfId="14930" xr:uid="{00000000-0005-0000-0000-0000F1370000}"/>
    <cellStyle name="Normal 172 3 2" xfId="14931" xr:uid="{00000000-0005-0000-0000-0000F2370000}"/>
    <cellStyle name="Normal 172 3 2 2" xfId="14932" xr:uid="{00000000-0005-0000-0000-0000F3370000}"/>
    <cellStyle name="Normal 172 3 2 2 2" xfId="14933" xr:uid="{00000000-0005-0000-0000-0000F4370000}"/>
    <cellStyle name="Normal 172 3 2 3" xfId="14934" xr:uid="{00000000-0005-0000-0000-0000F5370000}"/>
    <cellStyle name="Normal 172 3 2 3 2" xfId="14935" xr:uid="{00000000-0005-0000-0000-0000F6370000}"/>
    <cellStyle name="Normal 172 3 2 3 2 2" xfId="14936" xr:uid="{00000000-0005-0000-0000-0000F7370000}"/>
    <cellStyle name="Normal 172 3 2 3 3" xfId="14937" xr:uid="{00000000-0005-0000-0000-0000F8370000}"/>
    <cellStyle name="Normal 172 3 2 4" xfId="14938" xr:uid="{00000000-0005-0000-0000-0000F9370000}"/>
    <cellStyle name="Normal 172 3 3" xfId="14939" xr:uid="{00000000-0005-0000-0000-0000FA370000}"/>
    <cellStyle name="Normal 172 3 3 2" xfId="14940" xr:uid="{00000000-0005-0000-0000-0000FB370000}"/>
    <cellStyle name="Normal 172 3 3 2 2" xfId="14941" xr:uid="{00000000-0005-0000-0000-0000FC370000}"/>
    <cellStyle name="Normal 172 3 3 3" xfId="14942" xr:uid="{00000000-0005-0000-0000-0000FD370000}"/>
    <cellStyle name="Normal 172 3 4" xfId="14943" xr:uid="{00000000-0005-0000-0000-0000FE370000}"/>
    <cellStyle name="Normal 172 3 4 2" xfId="14944" xr:uid="{00000000-0005-0000-0000-0000FF370000}"/>
    <cellStyle name="Normal 172 3 4 2 2" xfId="14945" xr:uid="{00000000-0005-0000-0000-000000380000}"/>
    <cellStyle name="Normal 172 3 4 3" xfId="14946" xr:uid="{00000000-0005-0000-0000-000001380000}"/>
    <cellStyle name="Normal 172 3 5" xfId="14947" xr:uid="{00000000-0005-0000-0000-000002380000}"/>
    <cellStyle name="Normal 172 3 5 2" xfId="14948" xr:uid="{00000000-0005-0000-0000-000003380000}"/>
    <cellStyle name="Normal 172 3 5 2 2" xfId="14949" xr:uid="{00000000-0005-0000-0000-000004380000}"/>
    <cellStyle name="Normal 172 3 5 3" xfId="14950" xr:uid="{00000000-0005-0000-0000-000005380000}"/>
    <cellStyle name="Normal 172 3 6" xfId="14951" xr:uid="{00000000-0005-0000-0000-000006380000}"/>
    <cellStyle name="Normal 172 4" xfId="14952" xr:uid="{00000000-0005-0000-0000-000007380000}"/>
    <cellStyle name="Normal 172 4 2" xfId="14953" xr:uid="{00000000-0005-0000-0000-000008380000}"/>
    <cellStyle name="Normal 172 4 2 2" xfId="14954" xr:uid="{00000000-0005-0000-0000-000009380000}"/>
    <cellStyle name="Normal 172 4 3" xfId="14955" xr:uid="{00000000-0005-0000-0000-00000A380000}"/>
    <cellStyle name="Normal 172 5" xfId="14956" xr:uid="{00000000-0005-0000-0000-00000B380000}"/>
    <cellStyle name="Normal 172 5 2" xfId="14957" xr:uid="{00000000-0005-0000-0000-00000C380000}"/>
    <cellStyle name="Normal 172 5 2 2" xfId="14958" xr:uid="{00000000-0005-0000-0000-00000D380000}"/>
    <cellStyle name="Normal 172 5 3" xfId="14959" xr:uid="{00000000-0005-0000-0000-00000E380000}"/>
    <cellStyle name="Normal 172 6" xfId="14960" xr:uid="{00000000-0005-0000-0000-00000F380000}"/>
    <cellStyle name="Normal 172 6 2" xfId="14961" xr:uid="{00000000-0005-0000-0000-000010380000}"/>
    <cellStyle name="Normal 172 6 2 2" xfId="14962" xr:uid="{00000000-0005-0000-0000-000011380000}"/>
    <cellStyle name="Normal 172 6 3" xfId="14963" xr:uid="{00000000-0005-0000-0000-000012380000}"/>
    <cellStyle name="Normal 172 7" xfId="14964" xr:uid="{00000000-0005-0000-0000-000013380000}"/>
    <cellStyle name="Normal 173" xfId="14965" xr:uid="{00000000-0005-0000-0000-000014380000}"/>
    <cellStyle name="Normal 173 2" xfId="14966" xr:uid="{00000000-0005-0000-0000-000015380000}"/>
    <cellStyle name="Normal 173 2 2" xfId="14967" xr:uid="{00000000-0005-0000-0000-000016380000}"/>
    <cellStyle name="Normal 173 2 2 2" xfId="14968" xr:uid="{00000000-0005-0000-0000-000017380000}"/>
    <cellStyle name="Normal 173 2 3" xfId="14969" xr:uid="{00000000-0005-0000-0000-000018380000}"/>
    <cellStyle name="Normal 173 2 3 2" xfId="14970" xr:uid="{00000000-0005-0000-0000-000019380000}"/>
    <cellStyle name="Normal 173 2 3 2 2" xfId="14971" xr:uid="{00000000-0005-0000-0000-00001A380000}"/>
    <cellStyle name="Normal 173 2 3 3" xfId="14972" xr:uid="{00000000-0005-0000-0000-00001B380000}"/>
    <cellStyle name="Normal 173 2 4" xfId="14973" xr:uid="{00000000-0005-0000-0000-00001C380000}"/>
    <cellStyle name="Normal 173 2 4 2" xfId="14974" xr:uid="{00000000-0005-0000-0000-00001D380000}"/>
    <cellStyle name="Normal 173 2 4 2 2" xfId="14975" xr:uid="{00000000-0005-0000-0000-00001E380000}"/>
    <cellStyle name="Normal 173 2 4 3" xfId="14976" xr:uid="{00000000-0005-0000-0000-00001F380000}"/>
    <cellStyle name="Normal 173 2 5" xfId="14977" xr:uid="{00000000-0005-0000-0000-000020380000}"/>
    <cellStyle name="Normal 173 3" xfId="14978" xr:uid="{00000000-0005-0000-0000-000021380000}"/>
    <cellStyle name="Normal 173 3 2" xfId="14979" xr:uid="{00000000-0005-0000-0000-000022380000}"/>
    <cellStyle name="Normal 173 3 2 2" xfId="14980" xr:uid="{00000000-0005-0000-0000-000023380000}"/>
    <cellStyle name="Normal 173 3 2 2 2" xfId="14981" xr:uid="{00000000-0005-0000-0000-000024380000}"/>
    <cellStyle name="Normal 173 3 2 3" xfId="14982" xr:uid="{00000000-0005-0000-0000-000025380000}"/>
    <cellStyle name="Normal 173 3 2 3 2" xfId="14983" xr:uid="{00000000-0005-0000-0000-000026380000}"/>
    <cellStyle name="Normal 173 3 2 3 2 2" xfId="14984" xr:uid="{00000000-0005-0000-0000-000027380000}"/>
    <cellStyle name="Normal 173 3 2 3 3" xfId="14985" xr:uid="{00000000-0005-0000-0000-000028380000}"/>
    <cellStyle name="Normal 173 3 2 4" xfId="14986" xr:uid="{00000000-0005-0000-0000-000029380000}"/>
    <cellStyle name="Normal 173 3 3" xfId="14987" xr:uid="{00000000-0005-0000-0000-00002A380000}"/>
    <cellStyle name="Normal 173 3 3 2" xfId="14988" xr:uid="{00000000-0005-0000-0000-00002B380000}"/>
    <cellStyle name="Normal 173 3 3 2 2" xfId="14989" xr:uid="{00000000-0005-0000-0000-00002C380000}"/>
    <cellStyle name="Normal 173 3 3 3" xfId="14990" xr:uid="{00000000-0005-0000-0000-00002D380000}"/>
    <cellStyle name="Normal 173 3 4" xfId="14991" xr:uid="{00000000-0005-0000-0000-00002E380000}"/>
    <cellStyle name="Normal 173 3 4 2" xfId="14992" xr:uid="{00000000-0005-0000-0000-00002F380000}"/>
    <cellStyle name="Normal 173 3 4 2 2" xfId="14993" xr:uid="{00000000-0005-0000-0000-000030380000}"/>
    <cellStyle name="Normal 173 3 4 3" xfId="14994" xr:uid="{00000000-0005-0000-0000-000031380000}"/>
    <cellStyle name="Normal 173 3 5" xfId="14995" xr:uid="{00000000-0005-0000-0000-000032380000}"/>
    <cellStyle name="Normal 173 3 5 2" xfId="14996" xr:uid="{00000000-0005-0000-0000-000033380000}"/>
    <cellStyle name="Normal 173 3 5 2 2" xfId="14997" xr:uid="{00000000-0005-0000-0000-000034380000}"/>
    <cellStyle name="Normal 173 3 5 3" xfId="14998" xr:uid="{00000000-0005-0000-0000-000035380000}"/>
    <cellStyle name="Normal 173 3 6" xfId="14999" xr:uid="{00000000-0005-0000-0000-000036380000}"/>
    <cellStyle name="Normal 173 4" xfId="15000" xr:uid="{00000000-0005-0000-0000-000037380000}"/>
    <cellStyle name="Normal 173 4 2" xfId="15001" xr:uid="{00000000-0005-0000-0000-000038380000}"/>
    <cellStyle name="Normal 173 4 2 2" xfId="15002" xr:uid="{00000000-0005-0000-0000-000039380000}"/>
    <cellStyle name="Normal 173 4 3" xfId="15003" xr:uid="{00000000-0005-0000-0000-00003A380000}"/>
    <cellStyle name="Normal 173 5" xfId="15004" xr:uid="{00000000-0005-0000-0000-00003B380000}"/>
    <cellStyle name="Normal 173 5 2" xfId="15005" xr:uid="{00000000-0005-0000-0000-00003C380000}"/>
    <cellStyle name="Normal 173 5 2 2" xfId="15006" xr:uid="{00000000-0005-0000-0000-00003D380000}"/>
    <cellStyle name="Normal 173 5 3" xfId="15007" xr:uid="{00000000-0005-0000-0000-00003E380000}"/>
    <cellStyle name="Normal 173 6" xfId="15008" xr:uid="{00000000-0005-0000-0000-00003F380000}"/>
    <cellStyle name="Normal 173 6 2" xfId="15009" xr:uid="{00000000-0005-0000-0000-000040380000}"/>
    <cellStyle name="Normal 173 6 2 2" xfId="15010" xr:uid="{00000000-0005-0000-0000-000041380000}"/>
    <cellStyle name="Normal 173 6 3" xfId="15011" xr:uid="{00000000-0005-0000-0000-000042380000}"/>
    <cellStyle name="Normal 173 7" xfId="15012" xr:uid="{00000000-0005-0000-0000-000043380000}"/>
    <cellStyle name="Normal 174" xfId="15013" xr:uid="{00000000-0005-0000-0000-000044380000}"/>
    <cellStyle name="Normal 174 2" xfId="15014" xr:uid="{00000000-0005-0000-0000-000045380000}"/>
    <cellStyle name="Normal 174 2 2" xfId="15015" xr:uid="{00000000-0005-0000-0000-000046380000}"/>
    <cellStyle name="Normal 174 2 2 2" xfId="15016" xr:uid="{00000000-0005-0000-0000-000047380000}"/>
    <cellStyle name="Normal 174 2 3" xfId="15017" xr:uid="{00000000-0005-0000-0000-000048380000}"/>
    <cellStyle name="Normal 174 2 3 2" xfId="15018" xr:uid="{00000000-0005-0000-0000-000049380000}"/>
    <cellStyle name="Normal 174 2 3 2 2" xfId="15019" xr:uid="{00000000-0005-0000-0000-00004A380000}"/>
    <cellStyle name="Normal 174 2 3 3" xfId="15020" xr:uid="{00000000-0005-0000-0000-00004B380000}"/>
    <cellStyle name="Normal 174 2 4" xfId="15021" xr:uid="{00000000-0005-0000-0000-00004C380000}"/>
    <cellStyle name="Normal 174 2 4 2" xfId="15022" xr:uid="{00000000-0005-0000-0000-00004D380000}"/>
    <cellStyle name="Normal 174 2 4 2 2" xfId="15023" xr:uid="{00000000-0005-0000-0000-00004E380000}"/>
    <cellStyle name="Normal 174 2 4 3" xfId="15024" xr:uid="{00000000-0005-0000-0000-00004F380000}"/>
    <cellStyle name="Normal 174 2 5" xfId="15025" xr:uid="{00000000-0005-0000-0000-000050380000}"/>
    <cellStyle name="Normal 174 3" xfId="15026" xr:uid="{00000000-0005-0000-0000-000051380000}"/>
    <cellStyle name="Normal 174 3 2" xfId="15027" xr:uid="{00000000-0005-0000-0000-000052380000}"/>
    <cellStyle name="Normal 174 3 2 2" xfId="15028" xr:uid="{00000000-0005-0000-0000-000053380000}"/>
    <cellStyle name="Normal 174 3 2 2 2" xfId="15029" xr:uid="{00000000-0005-0000-0000-000054380000}"/>
    <cellStyle name="Normal 174 3 2 3" xfId="15030" xr:uid="{00000000-0005-0000-0000-000055380000}"/>
    <cellStyle name="Normal 174 3 2 3 2" xfId="15031" xr:uid="{00000000-0005-0000-0000-000056380000}"/>
    <cellStyle name="Normal 174 3 2 3 2 2" xfId="15032" xr:uid="{00000000-0005-0000-0000-000057380000}"/>
    <cellStyle name="Normal 174 3 2 3 3" xfId="15033" xr:uid="{00000000-0005-0000-0000-000058380000}"/>
    <cellStyle name="Normal 174 3 2 4" xfId="15034" xr:uid="{00000000-0005-0000-0000-000059380000}"/>
    <cellStyle name="Normal 174 3 3" xfId="15035" xr:uid="{00000000-0005-0000-0000-00005A380000}"/>
    <cellStyle name="Normal 174 3 3 2" xfId="15036" xr:uid="{00000000-0005-0000-0000-00005B380000}"/>
    <cellStyle name="Normal 174 3 3 2 2" xfId="15037" xr:uid="{00000000-0005-0000-0000-00005C380000}"/>
    <cellStyle name="Normal 174 3 3 3" xfId="15038" xr:uid="{00000000-0005-0000-0000-00005D380000}"/>
    <cellStyle name="Normal 174 3 4" xfId="15039" xr:uid="{00000000-0005-0000-0000-00005E380000}"/>
    <cellStyle name="Normal 174 3 4 2" xfId="15040" xr:uid="{00000000-0005-0000-0000-00005F380000}"/>
    <cellStyle name="Normal 174 3 4 2 2" xfId="15041" xr:uid="{00000000-0005-0000-0000-000060380000}"/>
    <cellStyle name="Normal 174 3 4 3" xfId="15042" xr:uid="{00000000-0005-0000-0000-000061380000}"/>
    <cellStyle name="Normal 174 3 5" xfId="15043" xr:uid="{00000000-0005-0000-0000-000062380000}"/>
    <cellStyle name="Normal 174 3 5 2" xfId="15044" xr:uid="{00000000-0005-0000-0000-000063380000}"/>
    <cellStyle name="Normal 174 3 5 2 2" xfId="15045" xr:uid="{00000000-0005-0000-0000-000064380000}"/>
    <cellStyle name="Normal 174 3 5 3" xfId="15046" xr:uid="{00000000-0005-0000-0000-000065380000}"/>
    <cellStyle name="Normal 174 3 6" xfId="15047" xr:uid="{00000000-0005-0000-0000-000066380000}"/>
    <cellStyle name="Normal 174 4" xfId="15048" xr:uid="{00000000-0005-0000-0000-000067380000}"/>
    <cellStyle name="Normal 174 4 2" xfId="15049" xr:uid="{00000000-0005-0000-0000-000068380000}"/>
    <cellStyle name="Normal 174 4 2 2" xfId="15050" xr:uid="{00000000-0005-0000-0000-000069380000}"/>
    <cellStyle name="Normal 174 4 3" xfId="15051" xr:uid="{00000000-0005-0000-0000-00006A380000}"/>
    <cellStyle name="Normal 174 5" xfId="15052" xr:uid="{00000000-0005-0000-0000-00006B380000}"/>
    <cellStyle name="Normal 174 5 2" xfId="15053" xr:uid="{00000000-0005-0000-0000-00006C380000}"/>
    <cellStyle name="Normal 174 5 2 2" xfId="15054" xr:uid="{00000000-0005-0000-0000-00006D380000}"/>
    <cellStyle name="Normal 174 5 3" xfId="15055" xr:uid="{00000000-0005-0000-0000-00006E380000}"/>
    <cellStyle name="Normal 174 6" xfId="15056" xr:uid="{00000000-0005-0000-0000-00006F380000}"/>
    <cellStyle name="Normal 174 6 2" xfId="15057" xr:uid="{00000000-0005-0000-0000-000070380000}"/>
    <cellStyle name="Normal 174 6 2 2" xfId="15058" xr:uid="{00000000-0005-0000-0000-000071380000}"/>
    <cellStyle name="Normal 174 6 3" xfId="15059" xr:uid="{00000000-0005-0000-0000-000072380000}"/>
    <cellStyle name="Normal 174 7" xfId="15060" xr:uid="{00000000-0005-0000-0000-000073380000}"/>
    <cellStyle name="Normal 175" xfId="15061" xr:uid="{00000000-0005-0000-0000-000074380000}"/>
    <cellStyle name="Normal 175 2" xfId="15062" xr:uid="{00000000-0005-0000-0000-000075380000}"/>
    <cellStyle name="Normal 175 2 2" xfId="15063" xr:uid="{00000000-0005-0000-0000-000076380000}"/>
    <cellStyle name="Normal 175 2 2 2" xfId="15064" xr:uid="{00000000-0005-0000-0000-000077380000}"/>
    <cellStyle name="Normal 175 2 3" xfId="15065" xr:uid="{00000000-0005-0000-0000-000078380000}"/>
    <cellStyle name="Normal 175 2 3 2" xfId="15066" xr:uid="{00000000-0005-0000-0000-000079380000}"/>
    <cellStyle name="Normal 175 2 3 2 2" xfId="15067" xr:uid="{00000000-0005-0000-0000-00007A380000}"/>
    <cellStyle name="Normal 175 2 3 3" xfId="15068" xr:uid="{00000000-0005-0000-0000-00007B380000}"/>
    <cellStyle name="Normal 175 2 4" xfId="15069" xr:uid="{00000000-0005-0000-0000-00007C380000}"/>
    <cellStyle name="Normal 175 2 4 2" xfId="15070" xr:uid="{00000000-0005-0000-0000-00007D380000}"/>
    <cellStyle name="Normal 175 2 4 2 2" xfId="15071" xr:uid="{00000000-0005-0000-0000-00007E380000}"/>
    <cellStyle name="Normal 175 2 4 3" xfId="15072" xr:uid="{00000000-0005-0000-0000-00007F380000}"/>
    <cellStyle name="Normal 175 2 5" xfId="15073" xr:uid="{00000000-0005-0000-0000-000080380000}"/>
    <cellStyle name="Normal 175 3" xfId="15074" xr:uid="{00000000-0005-0000-0000-000081380000}"/>
    <cellStyle name="Normal 175 3 2" xfId="15075" xr:uid="{00000000-0005-0000-0000-000082380000}"/>
    <cellStyle name="Normal 175 3 2 2" xfId="15076" xr:uid="{00000000-0005-0000-0000-000083380000}"/>
    <cellStyle name="Normal 175 3 2 2 2" xfId="15077" xr:uid="{00000000-0005-0000-0000-000084380000}"/>
    <cellStyle name="Normal 175 3 2 3" xfId="15078" xr:uid="{00000000-0005-0000-0000-000085380000}"/>
    <cellStyle name="Normal 175 3 2 3 2" xfId="15079" xr:uid="{00000000-0005-0000-0000-000086380000}"/>
    <cellStyle name="Normal 175 3 2 3 2 2" xfId="15080" xr:uid="{00000000-0005-0000-0000-000087380000}"/>
    <cellStyle name="Normal 175 3 2 3 3" xfId="15081" xr:uid="{00000000-0005-0000-0000-000088380000}"/>
    <cellStyle name="Normal 175 3 2 4" xfId="15082" xr:uid="{00000000-0005-0000-0000-000089380000}"/>
    <cellStyle name="Normal 175 3 3" xfId="15083" xr:uid="{00000000-0005-0000-0000-00008A380000}"/>
    <cellStyle name="Normal 175 3 3 2" xfId="15084" xr:uid="{00000000-0005-0000-0000-00008B380000}"/>
    <cellStyle name="Normal 175 3 3 2 2" xfId="15085" xr:uid="{00000000-0005-0000-0000-00008C380000}"/>
    <cellStyle name="Normal 175 3 3 3" xfId="15086" xr:uid="{00000000-0005-0000-0000-00008D380000}"/>
    <cellStyle name="Normal 175 3 4" xfId="15087" xr:uid="{00000000-0005-0000-0000-00008E380000}"/>
    <cellStyle name="Normal 175 3 4 2" xfId="15088" xr:uid="{00000000-0005-0000-0000-00008F380000}"/>
    <cellStyle name="Normal 175 3 4 2 2" xfId="15089" xr:uid="{00000000-0005-0000-0000-000090380000}"/>
    <cellStyle name="Normal 175 3 4 3" xfId="15090" xr:uid="{00000000-0005-0000-0000-000091380000}"/>
    <cellStyle name="Normal 175 3 5" xfId="15091" xr:uid="{00000000-0005-0000-0000-000092380000}"/>
    <cellStyle name="Normal 175 3 5 2" xfId="15092" xr:uid="{00000000-0005-0000-0000-000093380000}"/>
    <cellStyle name="Normal 175 3 5 2 2" xfId="15093" xr:uid="{00000000-0005-0000-0000-000094380000}"/>
    <cellStyle name="Normal 175 3 5 3" xfId="15094" xr:uid="{00000000-0005-0000-0000-000095380000}"/>
    <cellStyle name="Normal 175 3 6" xfId="15095" xr:uid="{00000000-0005-0000-0000-000096380000}"/>
    <cellStyle name="Normal 175 4" xfId="15096" xr:uid="{00000000-0005-0000-0000-000097380000}"/>
    <cellStyle name="Normal 175 4 2" xfId="15097" xr:uid="{00000000-0005-0000-0000-000098380000}"/>
    <cellStyle name="Normal 175 4 2 2" xfId="15098" xr:uid="{00000000-0005-0000-0000-000099380000}"/>
    <cellStyle name="Normal 175 4 3" xfId="15099" xr:uid="{00000000-0005-0000-0000-00009A380000}"/>
    <cellStyle name="Normal 175 5" xfId="15100" xr:uid="{00000000-0005-0000-0000-00009B380000}"/>
    <cellStyle name="Normal 175 5 2" xfId="15101" xr:uid="{00000000-0005-0000-0000-00009C380000}"/>
    <cellStyle name="Normal 175 5 2 2" xfId="15102" xr:uid="{00000000-0005-0000-0000-00009D380000}"/>
    <cellStyle name="Normal 175 5 3" xfId="15103" xr:uid="{00000000-0005-0000-0000-00009E380000}"/>
    <cellStyle name="Normal 175 6" xfId="15104" xr:uid="{00000000-0005-0000-0000-00009F380000}"/>
    <cellStyle name="Normal 175 6 2" xfId="15105" xr:uid="{00000000-0005-0000-0000-0000A0380000}"/>
    <cellStyle name="Normal 175 6 2 2" xfId="15106" xr:uid="{00000000-0005-0000-0000-0000A1380000}"/>
    <cellStyle name="Normal 175 6 3" xfId="15107" xr:uid="{00000000-0005-0000-0000-0000A2380000}"/>
    <cellStyle name="Normal 175 7" xfId="15108" xr:uid="{00000000-0005-0000-0000-0000A3380000}"/>
    <cellStyle name="Normal 176" xfId="15109" xr:uid="{00000000-0005-0000-0000-0000A4380000}"/>
    <cellStyle name="Normal 176 2" xfId="15110" xr:uid="{00000000-0005-0000-0000-0000A5380000}"/>
    <cellStyle name="Normal 176 2 2" xfId="15111" xr:uid="{00000000-0005-0000-0000-0000A6380000}"/>
    <cellStyle name="Normal 176 2 2 2" xfId="15112" xr:uid="{00000000-0005-0000-0000-0000A7380000}"/>
    <cellStyle name="Normal 176 2 3" xfId="15113" xr:uid="{00000000-0005-0000-0000-0000A8380000}"/>
    <cellStyle name="Normal 176 2 3 2" xfId="15114" xr:uid="{00000000-0005-0000-0000-0000A9380000}"/>
    <cellStyle name="Normal 176 2 3 2 2" xfId="15115" xr:uid="{00000000-0005-0000-0000-0000AA380000}"/>
    <cellStyle name="Normal 176 2 3 3" xfId="15116" xr:uid="{00000000-0005-0000-0000-0000AB380000}"/>
    <cellStyle name="Normal 176 2 4" xfId="15117" xr:uid="{00000000-0005-0000-0000-0000AC380000}"/>
    <cellStyle name="Normal 176 2 4 2" xfId="15118" xr:uid="{00000000-0005-0000-0000-0000AD380000}"/>
    <cellStyle name="Normal 176 2 4 2 2" xfId="15119" xr:uid="{00000000-0005-0000-0000-0000AE380000}"/>
    <cellStyle name="Normal 176 2 4 3" xfId="15120" xr:uid="{00000000-0005-0000-0000-0000AF380000}"/>
    <cellStyle name="Normal 176 2 5" xfId="15121" xr:uid="{00000000-0005-0000-0000-0000B0380000}"/>
    <cellStyle name="Normal 176 3" xfId="15122" xr:uid="{00000000-0005-0000-0000-0000B1380000}"/>
    <cellStyle name="Normal 176 3 2" xfId="15123" xr:uid="{00000000-0005-0000-0000-0000B2380000}"/>
    <cellStyle name="Normal 176 3 2 2" xfId="15124" xr:uid="{00000000-0005-0000-0000-0000B3380000}"/>
    <cellStyle name="Normal 176 3 2 2 2" xfId="15125" xr:uid="{00000000-0005-0000-0000-0000B4380000}"/>
    <cellStyle name="Normal 176 3 2 3" xfId="15126" xr:uid="{00000000-0005-0000-0000-0000B5380000}"/>
    <cellStyle name="Normal 176 3 2 3 2" xfId="15127" xr:uid="{00000000-0005-0000-0000-0000B6380000}"/>
    <cellStyle name="Normal 176 3 2 3 2 2" xfId="15128" xr:uid="{00000000-0005-0000-0000-0000B7380000}"/>
    <cellStyle name="Normal 176 3 2 3 3" xfId="15129" xr:uid="{00000000-0005-0000-0000-0000B8380000}"/>
    <cellStyle name="Normal 176 3 2 4" xfId="15130" xr:uid="{00000000-0005-0000-0000-0000B9380000}"/>
    <cellStyle name="Normal 176 3 3" xfId="15131" xr:uid="{00000000-0005-0000-0000-0000BA380000}"/>
    <cellStyle name="Normal 176 3 3 2" xfId="15132" xr:uid="{00000000-0005-0000-0000-0000BB380000}"/>
    <cellStyle name="Normal 176 3 3 2 2" xfId="15133" xr:uid="{00000000-0005-0000-0000-0000BC380000}"/>
    <cellStyle name="Normal 176 3 3 3" xfId="15134" xr:uid="{00000000-0005-0000-0000-0000BD380000}"/>
    <cellStyle name="Normal 176 3 4" xfId="15135" xr:uid="{00000000-0005-0000-0000-0000BE380000}"/>
    <cellStyle name="Normal 176 3 4 2" xfId="15136" xr:uid="{00000000-0005-0000-0000-0000BF380000}"/>
    <cellStyle name="Normal 176 3 4 2 2" xfId="15137" xr:uid="{00000000-0005-0000-0000-0000C0380000}"/>
    <cellStyle name="Normal 176 3 4 3" xfId="15138" xr:uid="{00000000-0005-0000-0000-0000C1380000}"/>
    <cellStyle name="Normal 176 3 5" xfId="15139" xr:uid="{00000000-0005-0000-0000-0000C2380000}"/>
    <cellStyle name="Normal 176 3 5 2" xfId="15140" xr:uid="{00000000-0005-0000-0000-0000C3380000}"/>
    <cellStyle name="Normal 176 3 5 2 2" xfId="15141" xr:uid="{00000000-0005-0000-0000-0000C4380000}"/>
    <cellStyle name="Normal 176 3 5 3" xfId="15142" xr:uid="{00000000-0005-0000-0000-0000C5380000}"/>
    <cellStyle name="Normal 176 3 6" xfId="15143" xr:uid="{00000000-0005-0000-0000-0000C6380000}"/>
    <cellStyle name="Normal 176 4" xfId="15144" xr:uid="{00000000-0005-0000-0000-0000C7380000}"/>
    <cellStyle name="Normal 176 4 2" xfId="15145" xr:uid="{00000000-0005-0000-0000-0000C8380000}"/>
    <cellStyle name="Normal 176 4 2 2" xfId="15146" xr:uid="{00000000-0005-0000-0000-0000C9380000}"/>
    <cellStyle name="Normal 176 4 3" xfId="15147" xr:uid="{00000000-0005-0000-0000-0000CA380000}"/>
    <cellStyle name="Normal 176 5" xfId="15148" xr:uid="{00000000-0005-0000-0000-0000CB380000}"/>
    <cellStyle name="Normal 176 5 2" xfId="15149" xr:uid="{00000000-0005-0000-0000-0000CC380000}"/>
    <cellStyle name="Normal 176 5 2 2" xfId="15150" xr:uid="{00000000-0005-0000-0000-0000CD380000}"/>
    <cellStyle name="Normal 176 5 3" xfId="15151" xr:uid="{00000000-0005-0000-0000-0000CE380000}"/>
    <cellStyle name="Normal 176 6" xfId="15152" xr:uid="{00000000-0005-0000-0000-0000CF380000}"/>
    <cellStyle name="Normal 176 6 2" xfId="15153" xr:uid="{00000000-0005-0000-0000-0000D0380000}"/>
    <cellStyle name="Normal 176 6 2 2" xfId="15154" xr:uid="{00000000-0005-0000-0000-0000D1380000}"/>
    <cellStyle name="Normal 176 6 3" xfId="15155" xr:uid="{00000000-0005-0000-0000-0000D2380000}"/>
    <cellStyle name="Normal 176 7" xfId="15156" xr:uid="{00000000-0005-0000-0000-0000D3380000}"/>
    <cellStyle name="Normal 177" xfId="15157" xr:uid="{00000000-0005-0000-0000-0000D4380000}"/>
    <cellStyle name="Normal 177 2" xfId="15158" xr:uid="{00000000-0005-0000-0000-0000D5380000}"/>
    <cellStyle name="Normal 177 2 2" xfId="15159" xr:uid="{00000000-0005-0000-0000-0000D6380000}"/>
    <cellStyle name="Normal 177 2 2 2" xfId="15160" xr:uid="{00000000-0005-0000-0000-0000D7380000}"/>
    <cellStyle name="Normal 177 2 3" xfId="15161" xr:uid="{00000000-0005-0000-0000-0000D8380000}"/>
    <cellStyle name="Normal 177 2 3 2" xfId="15162" xr:uid="{00000000-0005-0000-0000-0000D9380000}"/>
    <cellStyle name="Normal 177 2 3 2 2" xfId="15163" xr:uid="{00000000-0005-0000-0000-0000DA380000}"/>
    <cellStyle name="Normal 177 2 3 3" xfId="15164" xr:uid="{00000000-0005-0000-0000-0000DB380000}"/>
    <cellStyle name="Normal 177 2 4" xfId="15165" xr:uid="{00000000-0005-0000-0000-0000DC380000}"/>
    <cellStyle name="Normal 177 2 4 2" xfId="15166" xr:uid="{00000000-0005-0000-0000-0000DD380000}"/>
    <cellStyle name="Normal 177 2 4 2 2" xfId="15167" xr:uid="{00000000-0005-0000-0000-0000DE380000}"/>
    <cellStyle name="Normal 177 2 4 3" xfId="15168" xr:uid="{00000000-0005-0000-0000-0000DF380000}"/>
    <cellStyle name="Normal 177 2 5" xfId="15169" xr:uid="{00000000-0005-0000-0000-0000E0380000}"/>
    <cellStyle name="Normal 177 3" xfId="15170" xr:uid="{00000000-0005-0000-0000-0000E1380000}"/>
    <cellStyle name="Normal 177 3 2" xfId="15171" xr:uid="{00000000-0005-0000-0000-0000E2380000}"/>
    <cellStyle name="Normal 177 3 2 2" xfId="15172" xr:uid="{00000000-0005-0000-0000-0000E3380000}"/>
    <cellStyle name="Normal 177 3 2 2 2" xfId="15173" xr:uid="{00000000-0005-0000-0000-0000E4380000}"/>
    <cellStyle name="Normal 177 3 2 3" xfId="15174" xr:uid="{00000000-0005-0000-0000-0000E5380000}"/>
    <cellStyle name="Normal 177 3 2 3 2" xfId="15175" xr:uid="{00000000-0005-0000-0000-0000E6380000}"/>
    <cellStyle name="Normal 177 3 2 3 2 2" xfId="15176" xr:uid="{00000000-0005-0000-0000-0000E7380000}"/>
    <cellStyle name="Normal 177 3 2 3 3" xfId="15177" xr:uid="{00000000-0005-0000-0000-0000E8380000}"/>
    <cellStyle name="Normal 177 3 2 4" xfId="15178" xr:uid="{00000000-0005-0000-0000-0000E9380000}"/>
    <cellStyle name="Normal 177 3 3" xfId="15179" xr:uid="{00000000-0005-0000-0000-0000EA380000}"/>
    <cellStyle name="Normal 177 3 3 2" xfId="15180" xr:uid="{00000000-0005-0000-0000-0000EB380000}"/>
    <cellStyle name="Normal 177 3 3 2 2" xfId="15181" xr:uid="{00000000-0005-0000-0000-0000EC380000}"/>
    <cellStyle name="Normal 177 3 3 3" xfId="15182" xr:uid="{00000000-0005-0000-0000-0000ED380000}"/>
    <cellStyle name="Normal 177 3 4" xfId="15183" xr:uid="{00000000-0005-0000-0000-0000EE380000}"/>
    <cellStyle name="Normal 177 3 4 2" xfId="15184" xr:uid="{00000000-0005-0000-0000-0000EF380000}"/>
    <cellStyle name="Normal 177 3 4 2 2" xfId="15185" xr:uid="{00000000-0005-0000-0000-0000F0380000}"/>
    <cellStyle name="Normal 177 3 4 3" xfId="15186" xr:uid="{00000000-0005-0000-0000-0000F1380000}"/>
    <cellStyle name="Normal 177 3 5" xfId="15187" xr:uid="{00000000-0005-0000-0000-0000F2380000}"/>
    <cellStyle name="Normal 177 3 5 2" xfId="15188" xr:uid="{00000000-0005-0000-0000-0000F3380000}"/>
    <cellStyle name="Normal 177 3 5 2 2" xfId="15189" xr:uid="{00000000-0005-0000-0000-0000F4380000}"/>
    <cellStyle name="Normal 177 3 5 3" xfId="15190" xr:uid="{00000000-0005-0000-0000-0000F5380000}"/>
    <cellStyle name="Normal 177 3 6" xfId="15191" xr:uid="{00000000-0005-0000-0000-0000F6380000}"/>
    <cellStyle name="Normal 177 4" xfId="15192" xr:uid="{00000000-0005-0000-0000-0000F7380000}"/>
    <cellStyle name="Normal 177 4 2" xfId="15193" xr:uid="{00000000-0005-0000-0000-0000F8380000}"/>
    <cellStyle name="Normal 177 4 2 2" xfId="15194" xr:uid="{00000000-0005-0000-0000-0000F9380000}"/>
    <cellStyle name="Normal 177 4 3" xfId="15195" xr:uid="{00000000-0005-0000-0000-0000FA380000}"/>
    <cellStyle name="Normal 177 5" xfId="15196" xr:uid="{00000000-0005-0000-0000-0000FB380000}"/>
    <cellStyle name="Normal 177 5 2" xfId="15197" xr:uid="{00000000-0005-0000-0000-0000FC380000}"/>
    <cellStyle name="Normal 177 5 2 2" xfId="15198" xr:uid="{00000000-0005-0000-0000-0000FD380000}"/>
    <cellStyle name="Normal 177 5 3" xfId="15199" xr:uid="{00000000-0005-0000-0000-0000FE380000}"/>
    <cellStyle name="Normal 177 6" xfId="15200" xr:uid="{00000000-0005-0000-0000-0000FF380000}"/>
    <cellStyle name="Normal 177 6 2" xfId="15201" xr:uid="{00000000-0005-0000-0000-000000390000}"/>
    <cellStyle name="Normal 177 6 2 2" xfId="15202" xr:uid="{00000000-0005-0000-0000-000001390000}"/>
    <cellStyle name="Normal 177 6 3" xfId="15203" xr:uid="{00000000-0005-0000-0000-000002390000}"/>
    <cellStyle name="Normal 177 7" xfId="15204" xr:uid="{00000000-0005-0000-0000-000003390000}"/>
    <cellStyle name="Normal 178" xfId="15205" xr:uid="{00000000-0005-0000-0000-000004390000}"/>
    <cellStyle name="Normal 178 2" xfId="15206" xr:uid="{00000000-0005-0000-0000-000005390000}"/>
    <cellStyle name="Normal 178 2 2" xfId="15207" xr:uid="{00000000-0005-0000-0000-000006390000}"/>
    <cellStyle name="Normal 178 2 2 2" xfId="15208" xr:uid="{00000000-0005-0000-0000-000007390000}"/>
    <cellStyle name="Normal 178 2 3" xfId="15209" xr:uid="{00000000-0005-0000-0000-000008390000}"/>
    <cellStyle name="Normal 178 2 3 2" xfId="15210" xr:uid="{00000000-0005-0000-0000-000009390000}"/>
    <cellStyle name="Normal 178 2 3 2 2" xfId="15211" xr:uid="{00000000-0005-0000-0000-00000A390000}"/>
    <cellStyle name="Normal 178 2 3 3" xfId="15212" xr:uid="{00000000-0005-0000-0000-00000B390000}"/>
    <cellStyle name="Normal 178 2 4" xfId="15213" xr:uid="{00000000-0005-0000-0000-00000C390000}"/>
    <cellStyle name="Normal 178 2 4 2" xfId="15214" xr:uid="{00000000-0005-0000-0000-00000D390000}"/>
    <cellStyle name="Normal 178 2 4 2 2" xfId="15215" xr:uid="{00000000-0005-0000-0000-00000E390000}"/>
    <cellStyle name="Normal 178 2 4 3" xfId="15216" xr:uid="{00000000-0005-0000-0000-00000F390000}"/>
    <cellStyle name="Normal 178 2 5" xfId="15217" xr:uid="{00000000-0005-0000-0000-000010390000}"/>
    <cellStyle name="Normal 178 3" xfId="15218" xr:uid="{00000000-0005-0000-0000-000011390000}"/>
    <cellStyle name="Normal 178 3 2" xfId="15219" xr:uid="{00000000-0005-0000-0000-000012390000}"/>
    <cellStyle name="Normal 178 3 2 2" xfId="15220" xr:uid="{00000000-0005-0000-0000-000013390000}"/>
    <cellStyle name="Normal 178 3 2 2 2" xfId="15221" xr:uid="{00000000-0005-0000-0000-000014390000}"/>
    <cellStyle name="Normal 178 3 2 3" xfId="15222" xr:uid="{00000000-0005-0000-0000-000015390000}"/>
    <cellStyle name="Normal 178 3 2 3 2" xfId="15223" xr:uid="{00000000-0005-0000-0000-000016390000}"/>
    <cellStyle name="Normal 178 3 2 3 2 2" xfId="15224" xr:uid="{00000000-0005-0000-0000-000017390000}"/>
    <cellStyle name="Normal 178 3 2 3 3" xfId="15225" xr:uid="{00000000-0005-0000-0000-000018390000}"/>
    <cellStyle name="Normal 178 3 2 4" xfId="15226" xr:uid="{00000000-0005-0000-0000-000019390000}"/>
    <cellStyle name="Normal 178 3 3" xfId="15227" xr:uid="{00000000-0005-0000-0000-00001A390000}"/>
    <cellStyle name="Normal 178 3 3 2" xfId="15228" xr:uid="{00000000-0005-0000-0000-00001B390000}"/>
    <cellStyle name="Normal 178 3 3 2 2" xfId="15229" xr:uid="{00000000-0005-0000-0000-00001C390000}"/>
    <cellStyle name="Normal 178 3 3 3" xfId="15230" xr:uid="{00000000-0005-0000-0000-00001D390000}"/>
    <cellStyle name="Normal 178 3 4" xfId="15231" xr:uid="{00000000-0005-0000-0000-00001E390000}"/>
    <cellStyle name="Normal 178 3 4 2" xfId="15232" xr:uid="{00000000-0005-0000-0000-00001F390000}"/>
    <cellStyle name="Normal 178 3 4 2 2" xfId="15233" xr:uid="{00000000-0005-0000-0000-000020390000}"/>
    <cellStyle name="Normal 178 3 4 3" xfId="15234" xr:uid="{00000000-0005-0000-0000-000021390000}"/>
    <cellStyle name="Normal 178 3 5" xfId="15235" xr:uid="{00000000-0005-0000-0000-000022390000}"/>
    <cellStyle name="Normal 178 3 5 2" xfId="15236" xr:uid="{00000000-0005-0000-0000-000023390000}"/>
    <cellStyle name="Normal 178 3 5 2 2" xfId="15237" xr:uid="{00000000-0005-0000-0000-000024390000}"/>
    <cellStyle name="Normal 178 3 5 3" xfId="15238" xr:uid="{00000000-0005-0000-0000-000025390000}"/>
    <cellStyle name="Normal 178 3 6" xfId="15239" xr:uid="{00000000-0005-0000-0000-000026390000}"/>
    <cellStyle name="Normal 178 4" xfId="15240" xr:uid="{00000000-0005-0000-0000-000027390000}"/>
    <cellStyle name="Normal 178 4 2" xfId="15241" xr:uid="{00000000-0005-0000-0000-000028390000}"/>
    <cellStyle name="Normal 178 4 2 2" xfId="15242" xr:uid="{00000000-0005-0000-0000-000029390000}"/>
    <cellStyle name="Normal 178 4 3" xfId="15243" xr:uid="{00000000-0005-0000-0000-00002A390000}"/>
    <cellStyle name="Normal 178 5" xfId="15244" xr:uid="{00000000-0005-0000-0000-00002B390000}"/>
    <cellStyle name="Normal 178 5 2" xfId="15245" xr:uid="{00000000-0005-0000-0000-00002C390000}"/>
    <cellStyle name="Normal 178 5 2 2" xfId="15246" xr:uid="{00000000-0005-0000-0000-00002D390000}"/>
    <cellStyle name="Normal 178 5 3" xfId="15247" xr:uid="{00000000-0005-0000-0000-00002E390000}"/>
    <cellStyle name="Normal 178 6" xfId="15248" xr:uid="{00000000-0005-0000-0000-00002F390000}"/>
    <cellStyle name="Normal 178 6 2" xfId="15249" xr:uid="{00000000-0005-0000-0000-000030390000}"/>
    <cellStyle name="Normal 178 6 2 2" xfId="15250" xr:uid="{00000000-0005-0000-0000-000031390000}"/>
    <cellStyle name="Normal 178 6 3" xfId="15251" xr:uid="{00000000-0005-0000-0000-000032390000}"/>
    <cellStyle name="Normal 178 7" xfId="15252" xr:uid="{00000000-0005-0000-0000-000033390000}"/>
    <cellStyle name="Normal 179" xfId="15253" xr:uid="{00000000-0005-0000-0000-000034390000}"/>
    <cellStyle name="Normal 179 2" xfId="15254" xr:uid="{00000000-0005-0000-0000-000035390000}"/>
    <cellStyle name="Normal 179 2 2" xfId="15255" xr:uid="{00000000-0005-0000-0000-000036390000}"/>
    <cellStyle name="Normal 179 2 2 2" xfId="15256" xr:uid="{00000000-0005-0000-0000-000037390000}"/>
    <cellStyle name="Normal 179 2 3" xfId="15257" xr:uid="{00000000-0005-0000-0000-000038390000}"/>
    <cellStyle name="Normal 179 2 3 2" xfId="15258" xr:uid="{00000000-0005-0000-0000-000039390000}"/>
    <cellStyle name="Normal 179 2 3 2 2" xfId="15259" xr:uid="{00000000-0005-0000-0000-00003A390000}"/>
    <cellStyle name="Normal 179 2 3 3" xfId="15260" xr:uid="{00000000-0005-0000-0000-00003B390000}"/>
    <cellStyle name="Normal 179 2 4" xfId="15261" xr:uid="{00000000-0005-0000-0000-00003C390000}"/>
    <cellStyle name="Normal 179 2 4 2" xfId="15262" xr:uid="{00000000-0005-0000-0000-00003D390000}"/>
    <cellStyle name="Normal 179 2 4 2 2" xfId="15263" xr:uid="{00000000-0005-0000-0000-00003E390000}"/>
    <cellStyle name="Normal 179 2 4 3" xfId="15264" xr:uid="{00000000-0005-0000-0000-00003F390000}"/>
    <cellStyle name="Normal 179 2 5" xfId="15265" xr:uid="{00000000-0005-0000-0000-000040390000}"/>
    <cellStyle name="Normal 179 3" xfId="15266" xr:uid="{00000000-0005-0000-0000-000041390000}"/>
    <cellStyle name="Normal 179 3 2" xfId="15267" xr:uid="{00000000-0005-0000-0000-000042390000}"/>
    <cellStyle name="Normal 179 3 2 2" xfId="15268" xr:uid="{00000000-0005-0000-0000-000043390000}"/>
    <cellStyle name="Normal 179 3 2 2 2" xfId="15269" xr:uid="{00000000-0005-0000-0000-000044390000}"/>
    <cellStyle name="Normal 179 3 2 3" xfId="15270" xr:uid="{00000000-0005-0000-0000-000045390000}"/>
    <cellStyle name="Normal 179 3 2 3 2" xfId="15271" xr:uid="{00000000-0005-0000-0000-000046390000}"/>
    <cellStyle name="Normal 179 3 2 3 2 2" xfId="15272" xr:uid="{00000000-0005-0000-0000-000047390000}"/>
    <cellStyle name="Normal 179 3 2 3 3" xfId="15273" xr:uid="{00000000-0005-0000-0000-000048390000}"/>
    <cellStyle name="Normal 179 3 2 4" xfId="15274" xr:uid="{00000000-0005-0000-0000-000049390000}"/>
    <cellStyle name="Normal 179 3 3" xfId="15275" xr:uid="{00000000-0005-0000-0000-00004A390000}"/>
    <cellStyle name="Normal 179 3 3 2" xfId="15276" xr:uid="{00000000-0005-0000-0000-00004B390000}"/>
    <cellStyle name="Normal 179 3 3 2 2" xfId="15277" xr:uid="{00000000-0005-0000-0000-00004C390000}"/>
    <cellStyle name="Normal 179 3 3 3" xfId="15278" xr:uid="{00000000-0005-0000-0000-00004D390000}"/>
    <cellStyle name="Normal 179 3 4" xfId="15279" xr:uid="{00000000-0005-0000-0000-00004E390000}"/>
    <cellStyle name="Normal 179 3 4 2" xfId="15280" xr:uid="{00000000-0005-0000-0000-00004F390000}"/>
    <cellStyle name="Normal 179 3 4 2 2" xfId="15281" xr:uid="{00000000-0005-0000-0000-000050390000}"/>
    <cellStyle name="Normal 179 3 4 3" xfId="15282" xr:uid="{00000000-0005-0000-0000-000051390000}"/>
    <cellStyle name="Normal 179 3 5" xfId="15283" xr:uid="{00000000-0005-0000-0000-000052390000}"/>
    <cellStyle name="Normal 179 3 5 2" xfId="15284" xr:uid="{00000000-0005-0000-0000-000053390000}"/>
    <cellStyle name="Normal 179 3 5 2 2" xfId="15285" xr:uid="{00000000-0005-0000-0000-000054390000}"/>
    <cellStyle name="Normal 179 3 5 3" xfId="15286" xr:uid="{00000000-0005-0000-0000-000055390000}"/>
    <cellStyle name="Normal 179 3 6" xfId="15287" xr:uid="{00000000-0005-0000-0000-000056390000}"/>
    <cellStyle name="Normal 179 4" xfId="15288" xr:uid="{00000000-0005-0000-0000-000057390000}"/>
    <cellStyle name="Normal 179 4 2" xfId="15289" xr:uid="{00000000-0005-0000-0000-000058390000}"/>
    <cellStyle name="Normal 179 4 2 2" xfId="15290" xr:uid="{00000000-0005-0000-0000-000059390000}"/>
    <cellStyle name="Normal 179 4 3" xfId="15291" xr:uid="{00000000-0005-0000-0000-00005A390000}"/>
    <cellStyle name="Normal 179 5" xfId="15292" xr:uid="{00000000-0005-0000-0000-00005B390000}"/>
    <cellStyle name="Normal 179 5 2" xfId="15293" xr:uid="{00000000-0005-0000-0000-00005C390000}"/>
    <cellStyle name="Normal 179 5 2 2" xfId="15294" xr:uid="{00000000-0005-0000-0000-00005D390000}"/>
    <cellStyle name="Normal 179 5 3" xfId="15295" xr:uid="{00000000-0005-0000-0000-00005E390000}"/>
    <cellStyle name="Normal 179 6" xfId="15296" xr:uid="{00000000-0005-0000-0000-00005F390000}"/>
    <cellStyle name="Normal 179 6 2" xfId="15297" xr:uid="{00000000-0005-0000-0000-000060390000}"/>
    <cellStyle name="Normal 179 6 2 2" xfId="15298" xr:uid="{00000000-0005-0000-0000-000061390000}"/>
    <cellStyle name="Normal 179 6 3" xfId="15299" xr:uid="{00000000-0005-0000-0000-000062390000}"/>
    <cellStyle name="Normal 179 7" xfId="15300" xr:uid="{00000000-0005-0000-0000-000063390000}"/>
    <cellStyle name="Normal 18" xfId="252" xr:uid="{00000000-0005-0000-0000-000064390000}"/>
    <cellStyle name="Normal 18 2" xfId="15302" xr:uid="{00000000-0005-0000-0000-000065390000}"/>
    <cellStyle name="Normal 18 2 2" xfId="15303" xr:uid="{00000000-0005-0000-0000-000066390000}"/>
    <cellStyle name="Normal 18 2 2 2" xfId="15304" xr:uid="{00000000-0005-0000-0000-000067390000}"/>
    <cellStyle name="Normal 18 2 2 2 2" xfId="15305" xr:uid="{00000000-0005-0000-0000-000068390000}"/>
    <cellStyle name="Normal 18 2 2 3" xfId="15306" xr:uid="{00000000-0005-0000-0000-000069390000}"/>
    <cellStyle name="Normal 18 2 2 3 2" xfId="15307" xr:uid="{00000000-0005-0000-0000-00006A390000}"/>
    <cellStyle name="Normal 18 2 2 3 2 2" xfId="15308" xr:uid="{00000000-0005-0000-0000-00006B390000}"/>
    <cellStyle name="Normal 18 2 2 3 3" xfId="15309" xr:uid="{00000000-0005-0000-0000-00006C390000}"/>
    <cellStyle name="Normal 18 2 2 4" xfId="15310" xr:uid="{00000000-0005-0000-0000-00006D390000}"/>
    <cellStyle name="Normal 18 2 2 4 2" xfId="15311" xr:uid="{00000000-0005-0000-0000-00006E390000}"/>
    <cellStyle name="Normal 18 2 2 4 2 2" xfId="15312" xr:uid="{00000000-0005-0000-0000-00006F390000}"/>
    <cellStyle name="Normal 18 2 2 4 3" xfId="15313" xr:uid="{00000000-0005-0000-0000-000070390000}"/>
    <cellStyle name="Normal 18 2 2 5" xfId="15314" xr:uid="{00000000-0005-0000-0000-000071390000}"/>
    <cellStyle name="Normal 18 2 3" xfId="15315" xr:uid="{00000000-0005-0000-0000-000072390000}"/>
    <cellStyle name="Normal 18 2 3 2" xfId="15316" xr:uid="{00000000-0005-0000-0000-000073390000}"/>
    <cellStyle name="Normal 18 2 3 2 2" xfId="15317" xr:uid="{00000000-0005-0000-0000-000074390000}"/>
    <cellStyle name="Normal 18 2 3 2 2 2" xfId="15318" xr:uid="{00000000-0005-0000-0000-000075390000}"/>
    <cellStyle name="Normal 18 2 3 2 3" xfId="15319" xr:uid="{00000000-0005-0000-0000-000076390000}"/>
    <cellStyle name="Normal 18 2 3 2 3 2" xfId="15320" xr:uid="{00000000-0005-0000-0000-000077390000}"/>
    <cellStyle name="Normal 18 2 3 2 3 2 2" xfId="15321" xr:uid="{00000000-0005-0000-0000-000078390000}"/>
    <cellStyle name="Normal 18 2 3 2 3 3" xfId="15322" xr:uid="{00000000-0005-0000-0000-000079390000}"/>
    <cellStyle name="Normal 18 2 3 2 4" xfId="15323" xr:uid="{00000000-0005-0000-0000-00007A390000}"/>
    <cellStyle name="Normal 18 2 3 3" xfId="15324" xr:uid="{00000000-0005-0000-0000-00007B390000}"/>
    <cellStyle name="Normal 18 2 3 3 2" xfId="15325" xr:uid="{00000000-0005-0000-0000-00007C390000}"/>
    <cellStyle name="Normal 18 2 3 3 2 2" xfId="15326" xr:uid="{00000000-0005-0000-0000-00007D390000}"/>
    <cellStyle name="Normal 18 2 3 3 3" xfId="15327" xr:uid="{00000000-0005-0000-0000-00007E390000}"/>
    <cellStyle name="Normal 18 2 3 4" xfId="15328" xr:uid="{00000000-0005-0000-0000-00007F390000}"/>
    <cellStyle name="Normal 18 2 3 4 2" xfId="15329" xr:uid="{00000000-0005-0000-0000-000080390000}"/>
    <cellStyle name="Normal 18 2 3 4 2 2" xfId="15330" xr:uid="{00000000-0005-0000-0000-000081390000}"/>
    <cellStyle name="Normal 18 2 3 4 3" xfId="15331" xr:uid="{00000000-0005-0000-0000-000082390000}"/>
    <cellStyle name="Normal 18 2 3 5" xfId="15332" xr:uid="{00000000-0005-0000-0000-000083390000}"/>
    <cellStyle name="Normal 18 2 3 5 2" xfId="15333" xr:uid="{00000000-0005-0000-0000-000084390000}"/>
    <cellStyle name="Normal 18 2 3 5 2 2" xfId="15334" xr:uid="{00000000-0005-0000-0000-000085390000}"/>
    <cellStyle name="Normal 18 2 3 5 3" xfId="15335" xr:uid="{00000000-0005-0000-0000-000086390000}"/>
    <cellStyle name="Normal 18 2 3 6" xfId="15336" xr:uid="{00000000-0005-0000-0000-000087390000}"/>
    <cellStyle name="Normal 18 2 4" xfId="15337" xr:uid="{00000000-0005-0000-0000-000088390000}"/>
    <cellStyle name="Normal 18 2 4 2" xfId="15338" xr:uid="{00000000-0005-0000-0000-000089390000}"/>
    <cellStyle name="Normal 18 2 4 2 2" xfId="15339" xr:uid="{00000000-0005-0000-0000-00008A390000}"/>
    <cellStyle name="Normal 18 2 4 3" xfId="15340" xr:uid="{00000000-0005-0000-0000-00008B390000}"/>
    <cellStyle name="Normal 18 2 5" xfId="15341" xr:uid="{00000000-0005-0000-0000-00008C390000}"/>
    <cellStyle name="Normal 18 2 5 2" xfId="15342" xr:uid="{00000000-0005-0000-0000-00008D390000}"/>
    <cellStyle name="Normal 18 2 5 2 2" xfId="15343" xr:uid="{00000000-0005-0000-0000-00008E390000}"/>
    <cellStyle name="Normal 18 2 5 3" xfId="15344" xr:uid="{00000000-0005-0000-0000-00008F390000}"/>
    <cellStyle name="Normal 18 2 6" xfId="15345" xr:uid="{00000000-0005-0000-0000-000090390000}"/>
    <cellStyle name="Normal 18 2 6 2" xfId="15346" xr:uid="{00000000-0005-0000-0000-000091390000}"/>
    <cellStyle name="Normal 18 2 6 2 2" xfId="15347" xr:uid="{00000000-0005-0000-0000-000092390000}"/>
    <cellStyle name="Normal 18 2 6 3" xfId="15348" xr:uid="{00000000-0005-0000-0000-000093390000}"/>
    <cellStyle name="Normal 18 2 7" xfId="15349" xr:uid="{00000000-0005-0000-0000-000094390000}"/>
    <cellStyle name="Normal 18 3" xfId="15350" xr:uid="{00000000-0005-0000-0000-000095390000}"/>
    <cellStyle name="Normal 18 3 2" xfId="15351" xr:uid="{00000000-0005-0000-0000-000096390000}"/>
    <cellStyle name="Normal 18 3 2 2" xfId="15352" xr:uid="{00000000-0005-0000-0000-000097390000}"/>
    <cellStyle name="Normal 18 3 2 2 2" xfId="15353" xr:uid="{00000000-0005-0000-0000-000098390000}"/>
    <cellStyle name="Normal 18 3 2 3" xfId="15354" xr:uid="{00000000-0005-0000-0000-000099390000}"/>
    <cellStyle name="Normal 18 3 2 3 2" xfId="15355" xr:uid="{00000000-0005-0000-0000-00009A390000}"/>
    <cellStyle name="Normal 18 3 2 3 2 2" xfId="15356" xr:uid="{00000000-0005-0000-0000-00009B390000}"/>
    <cellStyle name="Normal 18 3 2 3 3" xfId="15357" xr:uid="{00000000-0005-0000-0000-00009C390000}"/>
    <cellStyle name="Normal 18 3 2 4" xfId="15358" xr:uid="{00000000-0005-0000-0000-00009D390000}"/>
    <cellStyle name="Normal 18 3 2 4 2" xfId="15359" xr:uid="{00000000-0005-0000-0000-00009E390000}"/>
    <cellStyle name="Normal 18 3 2 4 2 2" xfId="15360" xr:uid="{00000000-0005-0000-0000-00009F390000}"/>
    <cellStyle name="Normal 18 3 2 4 3" xfId="15361" xr:uid="{00000000-0005-0000-0000-0000A0390000}"/>
    <cellStyle name="Normal 18 3 2 5" xfId="15362" xr:uid="{00000000-0005-0000-0000-0000A1390000}"/>
    <cellStyle name="Normal 18 3 3" xfId="15363" xr:uid="{00000000-0005-0000-0000-0000A2390000}"/>
    <cellStyle name="Normal 18 3 3 2" xfId="15364" xr:uid="{00000000-0005-0000-0000-0000A3390000}"/>
    <cellStyle name="Normal 18 3 3 2 2" xfId="15365" xr:uid="{00000000-0005-0000-0000-0000A4390000}"/>
    <cellStyle name="Normal 18 3 3 3" xfId="15366" xr:uid="{00000000-0005-0000-0000-0000A5390000}"/>
    <cellStyle name="Normal 18 3 4" xfId="15367" xr:uid="{00000000-0005-0000-0000-0000A6390000}"/>
    <cellStyle name="Normal 18 3 4 2" xfId="15368" xr:uid="{00000000-0005-0000-0000-0000A7390000}"/>
    <cellStyle name="Normal 18 3 4 2 2" xfId="15369" xr:uid="{00000000-0005-0000-0000-0000A8390000}"/>
    <cellStyle name="Normal 18 3 4 3" xfId="15370" xr:uid="{00000000-0005-0000-0000-0000A9390000}"/>
    <cellStyle name="Normal 18 3 5" xfId="15371" xr:uid="{00000000-0005-0000-0000-0000AA390000}"/>
    <cellStyle name="Normal 18 3 5 2" xfId="15372" xr:uid="{00000000-0005-0000-0000-0000AB390000}"/>
    <cellStyle name="Normal 18 3 5 2 2" xfId="15373" xr:uid="{00000000-0005-0000-0000-0000AC390000}"/>
    <cellStyle name="Normal 18 3 5 3" xfId="15374" xr:uid="{00000000-0005-0000-0000-0000AD390000}"/>
    <cellStyle name="Normal 18 3 6" xfId="15375" xr:uid="{00000000-0005-0000-0000-0000AE390000}"/>
    <cellStyle name="Normal 18 4" xfId="15376" xr:uid="{00000000-0005-0000-0000-0000AF390000}"/>
    <cellStyle name="Normal 18 4 2" xfId="15377" xr:uid="{00000000-0005-0000-0000-0000B0390000}"/>
    <cellStyle name="Normal 18 4 2 2" xfId="15378" xr:uid="{00000000-0005-0000-0000-0000B1390000}"/>
    <cellStyle name="Normal 18 4 3" xfId="15379" xr:uid="{00000000-0005-0000-0000-0000B2390000}"/>
    <cellStyle name="Normal 18 4 3 2" xfId="15380" xr:uid="{00000000-0005-0000-0000-0000B3390000}"/>
    <cellStyle name="Normal 18 4 3 2 2" xfId="15381" xr:uid="{00000000-0005-0000-0000-0000B4390000}"/>
    <cellStyle name="Normal 18 4 3 3" xfId="15382" xr:uid="{00000000-0005-0000-0000-0000B5390000}"/>
    <cellStyle name="Normal 18 4 4" xfId="15383" xr:uid="{00000000-0005-0000-0000-0000B6390000}"/>
    <cellStyle name="Normal 18 4 4 2" xfId="15384" xr:uid="{00000000-0005-0000-0000-0000B7390000}"/>
    <cellStyle name="Normal 18 4 4 2 2" xfId="15385" xr:uid="{00000000-0005-0000-0000-0000B8390000}"/>
    <cellStyle name="Normal 18 4 4 3" xfId="15386" xr:uid="{00000000-0005-0000-0000-0000B9390000}"/>
    <cellStyle name="Normal 18 4 5" xfId="15387" xr:uid="{00000000-0005-0000-0000-0000BA390000}"/>
    <cellStyle name="Normal 18 5" xfId="15388" xr:uid="{00000000-0005-0000-0000-0000BB390000}"/>
    <cellStyle name="Normal 18 5 2" xfId="15389" xr:uid="{00000000-0005-0000-0000-0000BC390000}"/>
    <cellStyle name="Normal 18 5 2 2" xfId="15390" xr:uid="{00000000-0005-0000-0000-0000BD390000}"/>
    <cellStyle name="Normal 18 5 2 2 2" xfId="15391" xr:uid="{00000000-0005-0000-0000-0000BE390000}"/>
    <cellStyle name="Normal 18 5 2 3" xfId="15392" xr:uid="{00000000-0005-0000-0000-0000BF390000}"/>
    <cellStyle name="Normal 18 5 2 3 2" xfId="15393" xr:uid="{00000000-0005-0000-0000-0000C0390000}"/>
    <cellStyle name="Normal 18 5 2 3 2 2" xfId="15394" xr:uid="{00000000-0005-0000-0000-0000C1390000}"/>
    <cellStyle name="Normal 18 5 2 3 3" xfId="15395" xr:uid="{00000000-0005-0000-0000-0000C2390000}"/>
    <cellStyle name="Normal 18 5 2 4" xfId="15396" xr:uid="{00000000-0005-0000-0000-0000C3390000}"/>
    <cellStyle name="Normal 18 5 3" xfId="15397" xr:uid="{00000000-0005-0000-0000-0000C4390000}"/>
    <cellStyle name="Normal 18 5 3 2" xfId="15398" xr:uid="{00000000-0005-0000-0000-0000C5390000}"/>
    <cellStyle name="Normal 18 5 3 2 2" xfId="15399" xr:uid="{00000000-0005-0000-0000-0000C6390000}"/>
    <cellStyle name="Normal 18 5 3 3" xfId="15400" xr:uid="{00000000-0005-0000-0000-0000C7390000}"/>
    <cellStyle name="Normal 18 5 4" xfId="15401" xr:uid="{00000000-0005-0000-0000-0000C8390000}"/>
    <cellStyle name="Normal 18 5 4 2" xfId="15402" xr:uid="{00000000-0005-0000-0000-0000C9390000}"/>
    <cellStyle name="Normal 18 5 4 2 2" xfId="15403" xr:uid="{00000000-0005-0000-0000-0000CA390000}"/>
    <cellStyle name="Normal 18 5 4 3" xfId="15404" xr:uid="{00000000-0005-0000-0000-0000CB390000}"/>
    <cellStyle name="Normal 18 5 5" xfId="15405" xr:uid="{00000000-0005-0000-0000-0000CC390000}"/>
    <cellStyle name="Normal 18 5 5 2" xfId="15406" xr:uid="{00000000-0005-0000-0000-0000CD390000}"/>
    <cellStyle name="Normal 18 5 5 2 2" xfId="15407" xr:uid="{00000000-0005-0000-0000-0000CE390000}"/>
    <cellStyle name="Normal 18 5 5 3" xfId="15408" xr:uid="{00000000-0005-0000-0000-0000CF390000}"/>
    <cellStyle name="Normal 18 5 6" xfId="15409" xr:uid="{00000000-0005-0000-0000-0000D0390000}"/>
    <cellStyle name="Normal 18 6" xfId="15410" xr:uid="{00000000-0005-0000-0000-0000D1390000}"/>
    <cellStyle name="Normal 18 7" xfId="15301" xr:uid="{00000000-0005-0000-0000-0000D2390000}"/>
    <cellStyle name="Normal 180" xfId="15411" xr:uid="{00000000-0005-0000-0000-0000D3390000}"/>
    <cellStyle name="Normal 180 2" xfId="15412" xr:uid="{00000000-0005-0000-0000-0000D4390000}"/>
    <cellStyle name="Normal 180 2 2" xfId="15413" xr:uid="{00000000-0005-0000-0000-0000D5390000}"/>
    <cellStyle name="Normal 180 2 2 2" xfId="15414" xr:uid="{00000000-0005-0000-0000-0000D6390000}"/>
    <cellStyle name="Normal 180 2 3" xfId="15415" xr:uid="{00000000-0005-0000-0000-0000D7390000}"/>
    <cellStyle name="Normal 180 2 3 2" xfId="15416" xr:uid="{00000000-0005-0000-0000-0000D8390000}"/>
    <cellStyle name="Normal 180 2 3 2 2" xfId="15417" xr:uid="{00000000-0005-0000-0000-0000D9390000}"/>
    <cellStyle name="Normal 180 2 3 3" xfId="15418" xr:uid="{00000000-0005-0000-0000-0000DA390000}"/>
    <cellStyle name="Normal 180 2 4" xfId="15419" xr:uid="{00000000-0005-0000-0000-0000DB390000}"/>
    <cellStyle name="Normal 180 2 4 2" xfId="15420" xr:uid="{00000000-0005-0000-0000-0000DC390000}"/>
    <cellStyle name="Normal 180 2 4 2 2" xfId="15421" xr:uid="{00000000-0005-0000-0000-0000DD390000}"/>
    <cellStyle name="Normal 180 2 4 3" xfId="15422" xr:uid="{00000000-0005-0000-0000-0000DE390000}"/>
    <cellStyle name="Normal 180 2 5" xfId="15423" xr:uid="{00000000-0005-0000-0000-0000DF390000}"/>
    <cellStyle name="Normal 180 3" xfId="15424" xr:uid="{00000000-0005-0000-0000-0000E0390000}"/>
    <cellStyle name="Normal 180 3 2" xfId="15425" xr:uid="{00000000-0005-0000-0000-0000E1390000}"/>
    <cellStyle name="Normal 180 3 2 2" xfId="15426" xr:uid="{00000000-0005-0000-0000-0000E2390000}"/>
    <cellStyle name="Normal 180 3 2 2 2" xfId="15427" xr:uid="{00000000-0005-0000-0000-0000E3390000}"/>
    <cellStyle name="Normal 180 3 2 3" xfId="15428" xr:uid="{00000000-0005-0000-0000-0000E4390000}"/>
    <cellStyle name="Normal 180 3 2 3 2" xfId="15429" xr:uid="{00000000-0005-0000-0000-0000E5390000}"/>
    <cellStyle name="Normal 180 3 2 3 2 2" xfId="15430" xr:uid="{00000000-0005-0000-0000-0000E6390000}"/>
    <cellStyle name="Normal 180 3 2 3 3" xfId="15431" xr:uid="{00000000-0005-0000-0000-0000E7390000}"/>
    <cellStyle name="Normal 180 3 2 4" xfId="15432" xr:uid="{00000000-0005-0000-0000-0000E8390000}"/>
    <cellStyle name="Normal 180 3 3" xfId="15433" xr:uid="{00000000-0005-0000-0000-0000E9390000}"/>
    <cellStyle name="Normal 180 3 3 2" xfId="15434" xr:uid="{00000000-0005-0000-0000-0000EA390000}"/>
    <cellStyle name="Normal 180 3 3 2 2" xfId="15435" xr:uid="{00000000-0005-0000-0000-0000EB390000}"/>
    <cellStyle name="Normal 180 3 3 3" xfId="15436" xr:uid="{00000000-0005-0000-0000-0000EC390000}"/>
    <cellStyle name="Normal 180 3 4" xfId="15437" xr:uid="{00000000-0005-0000-0000-0000ED390000}"/>
    <cellStyle name="Normal 180 3 4 2" xfId="15438" xr:uid="{00000000-0005-0000-0000-0000EE390000}"/>
    <cellStyle name="Normal 180 3 4 2 2" xfId="15439" xr:uid="{00000000-0005-0000-0000-0000EF390000}"/>
    <cellStyle name="Normal 180 3 4 3" xfId="15440" xr:uid="{00000000-0005-0000-0000-0000F0390000}"/>
    <cellStyle name="Normal 180 3 5" xfId="15441" xr:uid="{00000000-0005-0000-0000-0000F1390000}"/>
    <cellStyle name="Normal 180 3 5 2" xfId="15442" xr:uid="{00000000-0005-0000-0000-0000F2390000}"/>
    <cellStyle name="Normal 180 3 5 2 2" xfId="15443" xr:uid="{00000000-0005-0000-0000-0000F3390000}"/>
    <cellStyle name="Normal 180 3 5 3" xfId="15444" xr:uid="{00000000-0005-0000-0000-0000F4390000}"/>
    <cellStyle name="Normal 180 3 6" xfId="15445" xr:uid="{00000000-0005-0000-0000-0000F5390000}"/>
    <cellStyle name="Normal 180 4" xfId="15446" xr:uid="{00000000-0005-0000-0000-0000F6390000}"/>
    <cellStyle name="Normal 180 4 2" xfId="15447" xr:uid="{00000000-0005-0000-0000-0000F7390000}"/>
    <cellStyle name="Normal 180 4 2 2" xfId="15448" xr:uid="{00000000-0005-0000-0000-0000F8390000}"/>
    <cellStyle name="Normal 180 4 3" xfId="15449" xr:uid="{00000000-0005-0000-0000-0000F9390000}"/>
    <cellStyle name="Normal 180 5" xfId="15450" xr:uid="{00000000-0005-0000-0000-0000FA390000}"/>
    <cellStyle name="Normal 180 5 2" xfId="15451" xr:uid="{00000000-0005-0000-0000-0000FB390000}"/>
    <cellStyle name="Normal 180 5 2 2" xfId="15452" xr:uid="{00000000-0005-0000-0000-0000FC390000}"/>
    <cellStyle name="Normal 180 5 3" xfId="15453" xr:uid="{00000000-0005-0000-0000-0000FD390000}"/>
    <cellStyle name="Normal 180 6" xfId="15454" xr:uid="{00000000-0005-0000-0000-0000FE390000}"/>
    <cellStyle name="Normal 180 6 2" xfId="15455" xr:uid="{00000000-0005-0000-0000-0000FF390000}"/>
    <cellStyle name="Normal 180 6 2 2" xfId="15456" xr:uid="{00000000-0005-0000-0000-0000003A0000}"/>
    <cellStyle name="Normal 180 6 3" xfId="15457" xr:uid="{00000000-0005-0000-0000-0000013A0000}"/>
    <cellStyle name="Normal 180 7" xfId="15458" xr:uid="{00000000-0005-0000-0000-0000023A0000}"/>
    <cellStyle name="Normal 181" xfId="15459" xr:uid="{00000000-0005-0000-0000-0000033A0000}"/>
    <cellStyle name="Normal 181 2" xfId="15460" xr:uid="{00000000-0005-0000-0000-0000043A0000}"/>
    <cellStyle name="Normal 181 2 2" xfId="15461" xr:uid="{00000000-0005-0000-0000-0000053A0000}"/>
    <cellStyle name="Normal 181 2 2 2" xfId="15462" xr:uid="{00000000-0005-0000-0000-0000063A0000}"/>
    <cellStyle name="Normal 181 2 3" xfId="15463" xr:uid="{00000000-0005-0000-0000-0000073A0000}"/>
    <cellStyle name="Normal 181 2 3 2" xfId="15464" xr:uid="{00000000-0005-0000-0000-0000083A0000}"/>
    <cellStyle name="Normal 181 2 3 2 2" xfId="15465" xr:uid="{00000000-0005-0000-0000-0000093A0000}"/>
    <cellStyle name="Normal 181 2 3 3" xfId="15466" xr:uid="{00000000-0005-0000-0000-00000A3A0000}"/>
    <cellStyle name="Normal 181 2 4" xfId="15467" xr:uid="{00000000-0005-0000-0000-00000B3A0000}"/>
    <cellStyle name="Normal 181 2 4 2" xfId="15468" xr:uid="{00000000-0005-0000-0000-00000C3A0000}"/>
    <cellStyle name="Normal 181 2 4 2 2" xfId="15469" xr:uid="{00000000-0005-0000-0000-00000D3A0000}"/>
    <cellStyle name="Normal 181 2 4 3" xfId="15470" xr:uid="{00000000-0005-0000-0000-00000E3A0000}"/>
    <cellStyle name="Normal 181 2 5" xfId="15471" xr:uid="{00000000-0005-0000-0000-00000F3A0000}"/>
    <cellStyle name="Normal 181 3" xfId="15472" xr:uid="{00000000-0005-0000-0000-0000103A0000}"/>
    <cellStyle name="Normal 181 3 2" xfId="15473" xr:uid="{00000000-0005-0000-0000-0000113A0000}"/>
    <cellStyle name="Normal 181 3 2 2" xfId="15474" xr:uid="{00000000-0005-0000-0000-0000123A0000}"/>
    <cellStyle name="Normal 181 3 2 2 2" xfId="15475" xr:uid="{00000000-0005-0000-0000-0000133A0000}"/>
    <cellStyle name="Normal 181 3 2 3" xfId="15476" xr:uid="{00000000-0005-0000-0000-0000143A0000}"/>
    <cellStyle name="Normal 181 3 2 3 2" xfId="15477" xr:uid="{00000000-0005-0000-0000-0000153A0000}"/>
    <cellStyle name="Normal 181 3 2 3 2 2" xfId="15478" xr:uid="{00000000-0005-0000-0000-0000163A0000}"/>
    <cellStyle name="Normal 181 3 2 3 3" xfId="15479" xr:uid="{00000000-0005-0000-0000-0000173A0000}"/>
    <cellStyle name="Normal 181 3 2 4" xfId="15480" xr:uid="{00000000-0005-0000-0000-0000183A0000}"/>
    <cellStyle name="Normal 181 3 3" xfId="15481" xr:uid="{00000000-0005-0000-0000-0000193A0000}"/>
    <cellStyle name="Normal 181 3 3 2" xfId="15482" xr:uid="{00000000-0005-0000-0000-00001A3A0000}"/>
    <cellStyle name="Normal 181 3 3 2 2" xfId="15483" xr:uid="{00000000-0005-0000-0000-00001B3A0000}"/>
    <cellStyle name="Normal 181 3 3 3" xfId="15484" xr:uid="{00000000-0005-0000-0000-00001C3A0000}"/>
    <cellStyle name="Normal 181 3 4" xfId="15485" xr:uid="{00000000-0005-0000-0000-00001D3A0000}"/>
    <cellStyle name="Normal 181 3 4 2" xfId="15486" xr:uid="{00000000-0005-0000-0000-00001E3A0000}"/>
    <cellStyle name="Normal 181 3 4 2 2" xfId="15487" xr:uid="{00000000-0005-0000-0000-00001F3A0000}"/>
    <cellStyle name="Normal 181 3 4 3" xfId="15488" xr:uid="{00000000-0005-0000-0000-0000203A0000}"/>
    <cellStyle name="Normal 181 3 5" xfId="15489" xr:uid="{00000000-0005-0000-0000-0000213A0000}"/>
    <cellStyle name="Normal 181 3 5 2" xfId="15490" xr:uid="{00000000-0005-0000-0000-0000223A0000}"/>
    <cellStyle name="Normal 181 3 5 2 2" xfId="15491" xr:uid="{00000000-0005-0000-0000-0000233A0000}"/>
    <cellStyle name="Normal 181 3 5 3" xfId="15492" xr:uid="{00000000-0005-0000-0000-0000243A0000}"/>
    <cellStyle name="Normal 181 3 6" xfId="15493" xr:uid="{00000000-0005-0000-0000-0000253A0000}"/>
    <cellStyle name="Normal 181 4" xfId="15494" xr:uid="{00000000-0005-0000-0000-0000263A0000}"/>
    <cellStyle name="Normal 181 4 2" xfId="15495" xr:uid="{00000000-0005-0000-0000-0000273A0000}"/>
    <cellStyle name="Normal 181 4 2 2" xfId="15496" xr:uid="{00000000-0005-0000-0000-0000283A0000}"/>
    <cellStyle name="Normal 181 4 3" xfId="15497" xr:uid="{00000000-0005-0000-0000-0000293A0000}"/>
    <cellStyle name="Normal 181 5" xfId="15498" xr:uid="{00000000-0005-0000-0000-00002A3A0000}"/>
    <cellStyle name="Normal 181 5 2" xfId="15499" xr:uid="{00000000-0005-0000-0000-00002B3A0000}"/>
    <cellStyle name="Normal 181 5 2 2" xfId="15500" xr:uid="{00000000-0005-0000-0000-00002C3A0000}"/>
    <cellStyle name="Normal 181 5 3" xfId="15501" xr:uid="{00000000-0005-0000-0000-00002D3A0000}"/>
    <cellStyle name="Normal 181 6" xfId="15502" xr:uid="{00000000-0005-0000-0000-00002E3A0000}"/>
    <cellStyle name="Normal 181 6 2" xfId="15503" xr:uid="{00000000-0005-0000-0000-00002F3A0000}"/>
    <cellStyle name="Normal 181 6 2 2" xfId="15504" xr:uid="{00000000-0005-0000-0000-0000303A0000}"/>
    <cellStyle name="Normal 181 6 3" xfId="15505" xr:uid="{00000000-0005-0000-0000-0000313A0000}"/>
    <cellStyle name="Normal 181 7" xfId="15506" xr:uid="{00000000-0005-0000-0000-0000323A0000}"/>
    <cellStyle name="Normal 182" xfId="15507" xr:uid="{00000000-0005-0000-0000-0000333A0000}"/>
    <cellStyle name="Normal 182 2" xfId="15508" xr:uid="{00000000-0005-0000-0000-0000343A0000}"/>
    <cellStyle name="Normal 182 2 2" xfId="15509" xr:uid="{00000000-0005-0000-0000-0000353A0000}"/>
    <cellStyle name="Normal 182 2 2 2" xfId="15510" xr:uid="{00000000-0005-0000-0000-0000363A0000}"/>
    <cellStyle name="Normal 182 2 3" xfId="15511" xr:uid="{00000000-0005-0000-0000-0000373A0000}"/>
    <cellStyle name="Normal 182 2 3 2" xfId="15512" xr:uid="{00000000-0005-0000-0000-0000383A0000}"/>
    <cellStyle name="Normal 182 2 3 2 2" xfId="15513" xr:uid="{00000000-0005-0000-0000-0000393A0000}"/>
    <cellStyle name="Normal 182 2 3 3" xfId="15514" xr:uid="{00000000-0005-0000-0000-00003A3A0000}"/>
    <cellStyle name="Normal 182 2 4" xfId="15515" xr:uid="{00000000-0005-0000-0000-00003B3A0000}"/>
    <cellStyle name="Normal 182 2 4 2" xfId="15516" xr:uid="{00000000-0005-0000-0000-00003C3A0000}"/>
    <cellStyle name="Normal 182 2 4 2 2" xfId="15517" xr:uid="{00000000-0005-0000-0000-00003D3A0000}"/>
    <cellStyle name="Normal 182 2 4 3" xfId="15518" xr:uid="{00000000-0005-0000-0000-00003E3A0000}"/>
    <cellStyle name="Normal 182 2 5" xfId="15519" xr:uid="{00000000-0005-0000-0000-00003F3A0000}"/>
    <cellStyle name="Normal 182 3" xfId="15520" xr:uid="{00000000-0005-0000-0000-0000403A0000}"/>
    <cellStyle name="Normal 182 3 2" xfId="15521" xr:uid="{00000000-0005-0000-0000-0000413A0000}"/>
    <cellStyle name="Normal 182 3 2 2" xfId="15522" xr:uid="{00000000-0005-0000-0000-0000423A0000}"/>
    <cellStyle name="Normal 182 3 2 2 2" xfId="15523" xr:uid="{00000000-0005-0000-0000-0000433A0000}"/>
    <cellStyle name="Normal 182 3 2 3" xfId="15524" xr:uid="{00000000-0005-0000-0000-0000443A0000}"/>
    <cellStyle name="Normal 182 3 2 3 2" xfId="15525" xr:uid="{00000000-0005-0000-0000-0000453A0000}"/>
    <cellStyle name="Normal 182 3 2 3 2 2" xfId="15526" xr:uid="{00000000-0005-0000-0000-0000463A0000}"/>
    <cellStyle name="Normal 182 3 2 3 3" xfId="15527" xr:uid="{00000000-0005-0000-0000-0000473A0000}"/>
    <cellStyle name="Normal 182 3 2 4" xfId="15528" xr:uid="{00000000-0005-0000-0000-0000483A0000}"/>
    <cellStyle name="Normal 182 3 3" xfId="15529" xr:uid="{00000000-0005-0000-0000-0000493A0000}"/>
    <cellStyle name="Normal 182 3 3 2" xfId="15530" xr:uid="{00000000-0005-0000-0000-00004A3A0000}"/>
    <cellStyle name="Normal 182 3 3 2 2" xfId="15531" xr:uid="{00000000-0005-0000-0000-00004B3A0000}"/>
    <cellStyle name="Normal 182 3 3 3" xfId="15532" xr:uid="{00000000-0005-0000-0000-00004C3A0000}"/>
    <cellStyle name="Normal 182 3 4" xfId="15533" xr:uid="{00000000-0005-0000-0000-00004D3A0000}"/>
    <cellStyle name="Normal 182 3 4 2" xfId="15534" xr:uid="{00000000-0005-0000-0000-00004E3A0000}"/>
    <cellStyle name="Normal 182 3 4 2 2" xfId="15535" xr:uid="{00000000-0005-0000-0000-00004F3A0000}"/>
    <cellStyle name="Normal 182 3 4 3" xfId="15536" xr:uid="{00000000-0005-0000-0000-0000503A0000}"/>
    <cellStyle name="Normal 182 3 5" xfId="15537" xr:uid="{00000000-0005-0000-0000-0000513A0000}"/>
    <cellStyle name="Normal 182 3 5 2" xfId="15538" xr:uid="{00000000-0005-0000-0000-0000523A0000}"/>
    <cellStyle name="Normal 182 3 5 2 2" xfId="15539" xr:uid="{00000000-0005-0000-0000-0000533A0000}"/>
    <cellStyle name="Normal 182 3 5 3" xfId="15540" xr:uid="{00000000-0005-0000-0000-0000543A0000}"/>
    <cellStyle name="Normal 182 3 6" xfId="15541" xr:uid="{00000000-0005-0000-0000-0000553A0000}"/>
    <cellStyle name="Normal 182 4" xfId="15542" xr:uid="{00000000-0005-0000-0000-0000563A0000}"/>
    <cellStyle name="Normal 182 4 2" xfId="15543" xr:uid="{00000000-0005-0000-0000-0000573A0000}"/>
    <cellStyle name="Normal 182 4 2 2" xfId="15544" xr:uid="{00000000-0005-0000-0000-0000583A0000}"/>
    <cellStyle name="Normal 182 4 3" xfId="15545" xr:uid="{00000000-0005-0000-0000-0000593A0000}"/>
    <cellStyle name="Normal 182 5" xfId="15546" xr:uid="{00000000-0005-0000-0000-00005A3A0000}"/>
    <cellStyle name="Normal 182 5 2" xfId="15547" xr:uid="{00000000-0005-0000-0000-00005B3A0000}"/>
    <cellStyle name="Normal 182 5 2 2" xfId="15548" xr:uid="{00000000-0005-0000-0000-00005C3A0000}"/>
    <cellStyle name="Normal 182 5 3" xfId="15549" xr:uid="{00000000-0005-0000-0000-00005D3A0000}"/>
    <cellStyle name="Normal 182 6" xfId="15550" xr:uid="{00000000-0005-0000-0000-00005E3A0000}"/>
    <cellStyle name="Normal 182 6 2" xfId="15551" xr:uid="{00000000-0005-0000-0000-00005F3A0000}"/>
    <cellStyle name="Normal 182 6 2 2" xfId="15552" xr:uid="{00000000-0005-0000-0000-0000603A0000}"/>
    <cellStyle name="Normal 182 6 3" xfId="15553" xr:uid="{00000000-0005-0000-0000-0000613A0000}"/>
    <cellStyle name="Normal 182 7" xfId="15554" xr:uid="{00000000-0005-0000-0000-0000623A0000}"/>
    <cellStyle name="Normal 183" xfId="15555" xr:uid="{00000000-0005-0000-0000-0000633A0000}"/>
    <cellStyle name="Normal 183 2" xfId="15556" xr:uid="{00000000-0005-0000-0000-0000643A0000}"/>
    <cellStyle name="Normal 183 2 2" xfId="15557" xr:uid="{00000000-0005-0000-0000-0000653A0000}"/>
    <cellStyle name="Normal 183 2 2 2" xfId="15558" xr:uid="{00000000-0005-0000-0000-0000663A0000}"/>
    <cellStyle name="Normal 183 2 3" xfId="15559" xr:uid="{00000000-0005-0000-0000-0000673A0000}"/>
    <cellStyle name="Normal 183 2 3 2" xfId="15560" xr:uid="{00000000-0005-0000-0000-0000683A0000}"/>
    <cellStyle name="Normal 183 2 3 2 2" xfId="15561" xr:uid="{00000000-0005-0000-0000-0000693A0000}"/>
    <cellStyle name="Normal 183 2 3 3" xfId="15562" xr:uid="{00000000-0005-0000-0000-00006A3A0000}"/>
    <cellStyle name="Normal 183 2 4" xfId="15563" xr:uid="{00000000-0005-0000-0000-00006B3A0000}"/>
    <cellStyle name="Normal 183 2 4 2" xfId="15564" xr:uid="{00000000-0005-0000-0000-00006C3A0000}"/>
    <cellStyle name="Normal 183 2 4 2 2" xfId="15565" xr:uid="{00000000-0005-0000-0000-00006D3A0000}"/>
    <cellStyle name="Normal 183 2 4 3" xfId="15566" xr:uid="{00000000-0005-0000-0000-00006E3A0000}"/>
    <cellStyle name="Normal 183 2 5" xfId="15567" xr:uid="{00000000-0005-0000-0000-00006F3A0000}"/>
    <cellStyle name="Normal 183 3" xfId="15568" xr:uid="{00000000-0005-0000-0000-0000703A0000}"/>
    <cellStyle name="Normal 183 3 2" xfId="15569" xr:uid="{00000000-0005-0000-0000-0000713A0000}"/>
    <cellStyle name="Normal 183 3 2 2" xfId="15570" xr:uid="{00000000-0005-0000-0000-0000723A0000}"/>
    <cellStyle name="Normal 183 3 2 2 2" xfId="15571" xr:uid="{00000000-0005-0000-0000-0000733A0000}"/>
    <cellStyle name="Normal 183 3 2 3" xfId="15572" xr:uid="{00000000-0005-0000-0000-0000743A0000}"/>
    <cellStyle name="Normal 183 3 2 3 2" xfId="15573" xr:uid="{00000000-0005-0000-0000-0000753A0000}"/>
    <cellStyle name="Normal 183 3 2 3 2 2" xfId="15574" xr:uid="{00000000-0005-0000-0000-0000763A0000}"/>
    <cellStyle name="Normal 183 3 2 3 3" xfId="15575" xr:uid="{00000000-0005-0000-0000-0000773A0000}"/>
    <cellStyle name="Normal 183 3 2 4" xfId="15576" xr:uid="{00000000-0005-0000-0000-0000783A0000}"/>
    <cellStyle name="Normal 183 3 3" xfId="15577" xr:uid="{00000000-0005-0000-0000-0000793A0000}"/>
    <cellStyle name="Normal 183 3 3 2" xfId="15578" xr:uid="{00000000-0005-0000-0000-00007A3A0000}"/>
    <cellStyle name="Normal 183 3 3 2 2" xfId="15579" xr:uid="{00000000-0005-0000-0000-00007B3A0000}"/>
    <cellStyle name="Normal 183 3 3 3" xfId="15580" xr:uid="{00000000-0005-0000-0000-00007C3A0000}"/>
    <cellStyle name="Normal 183 3 4" xfId="15581" xr:uid="{00000000-0005-0000-0000-00007D3A0000}"/>
    <cellStyle name="Normal 183 3 4 2" xfId="15582" xr:uid="{00000000-0005-0000-0000-00007E3A0000}"/>
    <cellStyle name="Normal 183 3 4 2 2" xfId="15583" xr:uid="{00000000-0005-0000-0000-00007F3A0000}"/>
    <cellStyle name="Normal 183 3 4 3" xfId="15584" xr:uid="{00000000-0005-0000-0000-0000803A0000}"/>
    <cellStyle name="Normal 183 3 5" xfId="15585" xr:uid="{00000000-0005-0000-0000-0000813A0000}"/>
    <cellStyle name="Normal 183 3 5 2" xfId="15586" xr:uid="{00000000-0005-0000-0000-0000823A0000}"/>
    <cellStyle name="Normal 183 3 5 2 2" xfId="15587" xr:uid="{00000000-0005-0000-0000-0000833A0000}"/>
    <cellStyle name="Normal 183 3 5 3" xfId="15588" xr:uid="{00000000-0005-0000-0000-0000843A0000}"/>
    <cellStyle name="Normal 183 3 6" xfId="15589" xr:uid="{00000000-0005-0000-0000-0000853A0000}"/>
    <cellStyle name="Normal 183 4" xfId="15590" xr:uid="{00000000-0005-0000-0000-0000863A0000}"/>
    <cellStyle name="Normal 183 4 2" xfId="15591" xr:uid="{00000000-0005-0000-0000-0000873A0000}"/>
    <cellStyle name="Normal 183 4 2 2" xfId="15592" xr:uid="{00000000-0005-0000-0000-0000883A0000}"/>
    <cellStyle name="Normal 183 4 3" xfId="15593" xr:uid="{00000000-0005-0000-0000-0000893A0000}"/>
    <cellStyle name="Normal 183 5" xfId="15594" xr:uid="{00000000-0005-0000-0000-00008A3A0000}"/>
    <cellStyle name="Normal 183 5 2" xfId="15595" xr:uid="{00000000-0005-0000-0000-00008B3A0000}"/>
    <cellStyle name="Normal 183 5 2 2" xfId="15596" xr:uid="{00000000-0005-0000-0000-00008C3A0000}"/>
    <cellStyle name="Normal 183 5 3" xfId="15597" xr:uid="{00000000-0005-0000-0000-00008D3A0000}"/>
    <cellStyle name="Normal 183 6" xfId="15598" xr:uid="{00000000-0005-0000-0000-00008E3A0000}"/>
    <cellStyle name="Normal 183 6 2" xfId="15599" xr:uid="{00000000-0005-0000-0000-00008F3A0000}"/>
    <cellStyle name="Normal 183 6 2 2" xfId="15600" xr:uid="{00000000-0005-0000-0000-0000903A0000}"/>
    <cellStyle name="Normal 183 6 3" xfId="15601" xr:uid="{00000000-0005-0000-0000-0000913A0000}"/>
    <cellStyle name="Normal 183 7" xfId="15602" xr:uid="{00000000-0005-0000-0000-0000923A0000}"/>
    <cellStyle name="Normal 184" xfId="15603" xr:uid="{00000000-0005-0000-0000-0000933A0000}"/>
    <cellStyle name="Normal 184 2" xfId="15604" xr:uid="{00000000-0005-0000-0000-0000943A0000}"/>
    <cellStyle name="Normal 184 2 2" xfId="15605" xr:uid="{00000000-0005-0000-0000-0000953A0000}"/>
    <cellStyle name="Normal 184 2 2 2" xfId="15606" xr:uid="{00000000-0005-0000-0000-0000963A0000}"/>
    <cellStyle name="Normal 184 2 3" xfId="15607" xr:uid="{00000000-0005-0000-0000-0000973A0000}"/>
    <cellStyle name="Normal 184 2 3 2" xfId="15608" xr:uid="{00000000-0005-0000-0000-0000983A0000}"/>
    <cellStyle name="Normal 184 2 3 2 2" xfId="15609" xr:uid="{00000000-0005-0000-0000-0000993A0000}"/>
    <cellStyle name="Normal 184 2 3 3" xfId="15610" xr:uid="{00000000-0005-0000-0000-00009A3A0000}"/>
    <cellStyle name="Normal 184 2 4" xfId="15611" xr:uid="{00000000-0005-0000-0000-00009B3A0000}"/>
    <cellStyle name="Normal 184 2 4 2" xfId="15612" xr:uid="{00000000-0005-0000-0000-00009C3A0000}"/>
    <cellStyle name="Normal 184 2 4 2 2" xfId="15613" xr:uid="{00000000-0005-0000-0000-00009D3A0000}"/>
    <cellStyle name="Normal 184 2 4 3" xfId="15614" xr:uid="{00000000-0005-0000-0000-00009E3A0000}"/>
    <cellStyle name="Normal 184 2 5" xfId="15615" xr:uid="{00000000-0005-0000-0000-00009F3A0000}"/>
    <cellStyle name="Normal 184 3" xfId="15616" xr:uid="{00000000-0005-0000-0000-0000A03A0000}"/>
    <cellStyle name="Normal 184 3 2" xfId="15617" xr:uid="{00000000-0005-0000-0000-0000A13A0000}"/>
    <cellStyle name="Normal 184 3 2 2" xfId="15618" xr:uid="{00000000-0005-0000-0000-0000A23A0000}"/>
    <cellStyle name="Normal 184 3 2 2 2" xfId="15619" xr:uid="{00000000-0005-0000-0000-0000A33A0000}"/>
    <cellStyle name="Normal 184 3 2 3" xfId="15620" xr:uid="{00000000-0005-0000-0000-0000A43A0000}"/>
    <cellStyle name="Normal 184 3 2 3 2" xfId="15621" xr:uid="{00000000-0005-0000-0000-0000A53A0000}"/>
    <cellStyle name="Normal 184 3 2 3 2 2" xfId="15622" xr:uid="{00000000-0005-0000-0000-0000A63A0000}"/>
    <cellStyle name="Normal 184 3 2 3 3" xfId="15623" xr:uid="{00000000-0005-0000-0000-0000A73A0000}"/>
    <cellStyle name="Normal 184 3 2 4" xfId="15624" xr:uid="{00000000-0005-0000-0000-0000A83A0000}"/>
    <cellStyle name="Normal 184 3 3" xfId="15625" xr:uid="{00000000-0005-0000-0000-0000A93A0000}"/>
    <cellStyle name="Normal 184 3 3 2" xfId="15626" xr:uid="{00000000-0005-0000-0000-0000AA3A0000}"/>
    <cellStyle name="Normal 184 3 3 2 2" xfId="15627" xr:uid="{00000000-0005-0000-0000-0000AB3A0000}"/>
    <cellStyle name="Normal 184 3 3 3" xfId="15628" xr:uid="{00000000-0005-0000-0000-0000AC3A0000}"/>
    <cellStyle name="Normal 184 3 4" xfId="15629" xr:uid="{00000000-0005-0000-0000-0000AD3A0000}"/>
    <cellStyle name="Normal 184 3 4 2" xfId="15630" xr:uid="{00000000-0005-0000-0000-0000AE3A0000}"/>
    <cellStyle name="Normal 184 3 4 2 2" xfId="15631" xr:uid="{00000000-0005-0000-0000-0000AF3A0000}"/>
    <cellStyle name="Normal 184 3 4 3" xfId="15632" xr:uid="{00000000-0005-0000-0000-0000B03A0000}"/>
    <cellStyle name="Normal 184 3 5" xfId="15633" xr:uid="{00000000-0005-0000-0000-0000B13A0000}"/>
    <cellStyle name="Normal 184 3 5 2" xfId="15634" xr:uid="{00000000-0005-0000-0000-0000B23A0000}"/>
    <cellStyle name="Normal 184 3 5 2 2" xfId="15635" xr:uid="{00000000-0005-0000-0000-0000B33A0000}"/>
    <cellStyle name="Normal 184 3 5 3" xfId="15636" xr:uid="{00000000-0005-0000-0000-0000B43A0000}"/>
    <cellStyle name="Normal 184 3 6" xfId="15637" xr:uid="{00000000-0005-0000-0000-0000B53A0000}"/>
    <cellStyle name="Normal 184 4" xfId="15638" xr:uid="{00000000-0005-0000-0000-0000B63A0000}"/>
    <cellStyle name="Normal 184 4 2" xfId="15639" xr:uid="{00000000-0005-0000-0000-0000B73A0000}"/>
    <cellStyle name="Normal 184 4 2 2" xfId="15640" xr:uid="{00000000-0005-0000-0000-0000B83A0000}"/>
    <cellStyle name="Normal 184 4 3" xfId="15641" xr:uid="{00000000-0005-0000-0000-0000B93A0000}"/>
    <cellStyle name="Normal 184 5" xfId="15642" xr:uid="{00000000-0005-0000-0000-0000BA3A0000}"/>
    <cellStyle name="Normal 184 5 2" xfId="15643" xr:uid="{00000000-0005-0000-0000-0000BB3A0000}"/>
    <cellStyle name="Normal 184 5 2 2" xfId="15644" xr:uid="{00000000-0005-0000-0000-0000BC3A0000}"/>
    <cellStyle name="Normal 184 5 3" xfId="15645" xr:uid="{00000000-0005-0000-0000-0000BD3A0000}"/>
    <cellStyle name="Normal 184 6" xfId="15646" xr:uid="{00000000-0005-0000-0000-0000BE3A0000}"/>
    <cellStyle name="Normal 184 6 2" xfId="15647" xr:uid="{00000000-0005-0000-0000-0000BF3A0000}"/>
    <cellStyle name="Normal 184 6 2 2" xfId="15648" xr:uid="{00000000-0005-0000-0000-0000C03A0000}"/>
    <cellStyle name="Normal 184 6 3" xfId="15649" xr:uid="{00000000-0005-0000-0000-0000C13A0000}"/>
    <cellStyle name="Normal 184 7" xfId="15650" xr:uid="{00000000-0005-0000-0000-0000C23A0000}"/>
    <cellStyle name="Normal 185" xfId="15651" xr:uid="{00000000-0005-0000-0000-0000C33A0000}"/>
    <cellStyle name="Normal 185 2" xfId="15652" xr:uid="{00000000-0005-0000-0000-0000C43A0000}"/>
    <cellStyle name="Normal 185 2 2" xfId="15653" xr:uid="{00000000-0005-0000-0000-0000C53A0000}"/>
    <cellStyle name="Normal 185 2 2 2" xfId="15654" xr:uid="{00000000-0005-0000-0000-0000C63A0000}"/>
    <cellStyle name="Normal 185 2 3" xfId="15655" xr:uid="{00000000-0005-0000-0000-0000C73A0000}"/>
    <cellStyle name="Normal 185 2 3 2" xfId="15656" xr:uid="{00000000-0005-0000-0000-0000C83A0000}"/>
    <cellStyle name="Normal 185 2 3 2 2" xfId="15657" xr:uid="{00000000-0005-0000-0000-0000C93A0000}"/>
    <cellStyle name="Normal 185 2 3 3" xfId="15658" xr:uid="{00000000-0005-0000-0000-0000CA3A0000}"/>
    <cellStyle name="Normal 185 2 4" xfId="15659" xr:uid="{00000000-0005-0000-0000-0000CB3A0000}"/>
    <cellStyle name="Normal 185 2 4 2" xfId="15660" xr:uid="{00000000-0005-0000-0000-0000CC3A0000}"/>
    <cellStyle name="Normal 185 2 4 2 2" xfId="15661" xr:uid="{00000000-0005-0000-0000-0000CD3A0000}"/>
    <cellStyle name="Normal 185 2 4 3" xfId="15662" xr:uid="{00000000-0005-0000-0000-0000CE3A0000}"/>
    <cellStyle name="Normal 185 2 5" xfId="15663" xr:uid="{00000000-0005-0000-0000-0000CF3A0000}"/>
    <cellStyle name="Normal 185 3" xfId="15664" xr:uid="{00000000-0005-0000-0000-0000D03A0000}"/>
    <cellStyle name="Normal 185 3 2" xfId="15665" xr:uid="{00000000-0005-0000-0000-0000D13A0000}"/>
    <cellStyle name="Normal 185 3 2 2" xfId="15666" xr:uid="{00000000-0005-0000-0000-0000D23A0000}"/>
    <cellStyle name="Normal 185 3 2 2 2" xfId="15667" xr:uid="{00000000-0005-0000-0000-0000D33A0000}"/>
    <cellStyle name="Normal 185 3 2 3" xfId="15668" xr:uid="{00000000-0005-0000-0000-0000D43A0000}"/>
    <cellStyle name="Normal 185 3 2 3 2" xfId="15669" xr:uid="{00000000-0005-0000-0000-0000D53A0000}"/>
    <cellStyle name="Normal 185 3 2 3 2 2" xfId="15670" xr:uid="{00000000-0005-0000-0000-0000D63A0000}"/>
    <cellStyle name="Normal 185 3 2 3 3" xfId="15671" xr:uid="{00000000-0005-0000-0000-0000D73A0000}"/>
    <cellStyle name="Normal 185 3 2 4" xfId="15672" xr:uid="{00000000-0005-0000-0000-0000D83A0000}"/>
    <cellStyle name="Normal 185 3 3" xfId="15673" xr:uid="{00000000-0005-0000-0000-0000D93A0000}"/>
    <cellStyle name="Normal 185 3 3 2" xfId="15674" xr:uid="{00000000-0005-0000-0000-0000DA3A0000}"/>
    <cellStyle name="Normal 185 3 3 2 2" xfId="15675" xr:uid="{00000000-0005-0000-0000-0000DB3A0000}"/>
    <cellStyle name="Normal 185 3 3 3" xfId="15676" xr:uid="{00000000-0005-0000-0000-0000DC3A0000}"/>
    <cellStyle name="Normal 185 3 4" xfId="15677" xr:uid="{00000000-0005-0000-0000-0000DD3A0000}"/>
    <cellStyle name="Normal 185 3 4 2" xfId="15678" xr:uid="{00000000-0005-0000-0000-0000DE3A0000}"/>
    <cellStyle name="Normal 185 3 4 2 2" xfId="15679" xr:uid="{00000000-0005-0000-0000-0000DF3A0000}"/>
    <cellStyle name="Normal 185 3 4 3" xfId="15680" xr:uid="{00000000-0005-0000-0000-0000E03A0000}"/>
    <cellStyle name="Normal 185 3 5" xfId="15681" xr:uid="{00000000-0005-0000-0000-0000E13A0000}"/>
    <cellStyle name="Normal 185 3 5 2" xfId="15682" xr:uid="{00000000-0005-0000-0000-0000E23A0000}"/>
    <cellStyle name="Normal 185 3 5 2 2" xfId="15683" xr:uid="{00000000-0005-0000-0000-0000E33A0000}"/>
    <cellStyle name="Normal 185 3 5 3" xfId="15684" xr:uid="{00000000-0005-0000-0000-0000E43A0000}"/>
    <cellStyle name="Normal 185 3 6" xfId="15685" xr:uid="{00000000-0005-0000-0000-0000E53A0000}"/>
    <cellStyle name="Normal 185 4" xfId="15686" xr:uid="{00000000-0005-0000-0000-0000E63A0000}"/>
    <cellStyle name="Normal 185 4 2" xfId="15687" xr:uid="{00000000-0005-0000-0000-0000E73A0000}"/>
    <cellStyle name="Normal 185 4 2 2" xfId="15688" xr:uid="{00000000-0005-0000-0000-0000E83A0000}"/>
    <cellStyle name="Normal 185 4 3" xfId="15689" xr:uid="{00000000-0005-0000-0000-0000E93A0000}"/>
    <cellStyle name="Normal 185 5" xfId="15690" xr:uid="{00000000-0005-0000-0000-0000EA3A0000}"/>
    <cellStyle name="Normal 185 5 2" xfId="15691" xr:uid="{00000000-0005-0000-0000-0000EB3A0000}"/>
    <cellStyle name="Normal 185 5 2 2" xfId="15692" xr:uid="{00000000-0005-0000-0000-0000EC3A0000}"/>
    <cellStyle name="Normal 185 5 3" xfId="15693" xr:uid="{00000000-0005-0000-0000-0000ED3A0000}"/>
    <cellStyle name="Normal 185 6" xfId="15694" xr:uid="{00000000-0005-0000-0000-0000EE3A0000}"/>
    <cellStyle name="Normal 185 6 2" xfId="15695" xr:uid="{00000000-0005-0000-0000-0000EF3A0000}"/>
    <cellStyle name="Normal 185 6 2 2" xfId="15696" xr:uid="{00000000-0005-0000-0000-0000F03A0000}"/>
    <cellStyle name="Normal 185 6 3" xfId="15697" xr:uid="{00000000-0005-0000-0000-0000F13A0000}"/>
    <cellStyle name="Normal 185 7" xfId="15698" xr:uid="{00000000-0005-0000-0000-0000F23A0000}"/>
    <cellStyle name="Normal 186" xfId="15699" xr:uid="{00000000-0005-0000-0000-0000F33A0000}"/>
    <cellStyle name="Normal 186 2" xfId="15700" xr:uid="{00000000-0005-0000-0000-0000F43A0000}"/>
    <cellStyle name="Normal 186 2 2" xfId="15701" xr:uid="{00000000-0005-0000-0000-0000F53A0000}"/>
    <cellStyle name="Normal 186 2 2 2" xfId="15702" xr:uid="{00000000-0005-0000-0000-0000F63A0000}"/>
    <cellStyle name="Normal 186 2 3" xfId="15703" xr:uid="{00000000-0005-0000-0000-0000F73A0000}"/>
    <cellStyle name="Normal 186 2 3 2" xfId="15704" xr:uid="{00000000-0005-0000-0000-0000F83A0000}"/>
    <cellStyle name="Normal 186 2 3 2 2" xfId="15705" xr:uid="{00000000-0005-0000-0000-0000F93A0000}"/>
    <cellStyle name="Normal 186 2 3 3" xfId="15706" xr:uid="{00000000-0005-0000-0000-0000FA3A0000}"/>
    <cellStyle name="Normal 186 2 4" xfId="15707" xr:uid="{00000000-0005-0000-0000-0000FB3A0000}"/>
    <cellStyle name="Normal 186 2 4 2" xfId="15708" xr:uid="{00000000-0005-0000-0000-0000FC3A0000}"/>
    <cellStyle name="Normal 186 2 4 2 2" xfId="15709" xr:uid="{00000000-0005-0000-0000-0000FD3A0000}"/>
    <cellStyle name="Normal 186 2 4 3" xfId="15710" xr:uid="{00000000-0005-0000-0000-0000FE3A0000}"/>
    <cellStyle name="Normal 186 2 5" xfId="15711" xr:uid="{00000000-0005-0000-0000-0000FF3A0000}"/>
    <cellStyle name="Normal 186 3" xfId="15712" xr:uid="{00000000-0005-0000-0000-0000003B0000}"/>
    <cellStyle name="Normal 186 3 2" xfId="15713" xr:uid="{00000000-0005-0000-0000-0000013B0000}"/>
    <cellStyle name="Normal 186 3 2 2" xfId="15714" xr:uid="{00000000-0005-0000-0000-0000023B0000}"/>
    <cellStyle name="Normal 186 3 2 2 2" xfId="15715" xr:uid="{00000000-0005-0000-0000-0000033B0000}"/>
    <cellStyle name="Normal 186 3 2 3" xfId="15716" xr:uid="{00000000-0005-0000-0000-0000043B0000}"/>
    <cellStyle name="Normal 186 3 2 3 2" xfId="15717" xr:uid="{00000000-0005-0000-0000-0000053B0000}"/>
    <cellStyle name="Normal 186 3 2 3 2 2" xfId="15718" xr:uid="{00000000-0005-0000-0000-0000063B0000}"/>
    <cellStyle name="Normal 186 3 2 3 3" xfId="15719" xr:uid="{00000000-0005-0000-0000-0000073B0000}"/>
    <cellStyle name="Normal 186 3 2 4" xfId="15720" xr:uid="{00000000-0005-0000-0000-0000083B0000}"/>
    <cellStyle name="Normal 186 3 3" xfId="15721" xr:uid="{00000000-0005-0000-0000-0000093B0000}"/>
    <cellStyle name="Normal 186 3 3 2" xfId="15722" xr:uid="{00000000-0005-0000-0000-00000A3B0000}"/>
    <cellStyle name="Normal 186 3 3 2 2" xfId="15723" xr:uid="{00000000-0005-0000-0000-00000B3B0000}"/>
    <cellStyle name="Normal 186 3 3 3" xfId="15724" xr:uid="{00000000-0005-0000-0000-00000C3B0000}"/>
    <cellStyle name="Normal 186 3 4" xfId="15725" xr:uid="{00000000-0005-0000-0000-00000D3B0000}"/>
    <cellStyle name="Normal 186 3 4 2" xfId="15726" xr:uid="{00000000-0005-0000-0000-00000E3B0000}"/>
    <cellStyle name="Normal 186 3 4 2 2" xfId="15727" xr:uid="{00000000-0005-0000-0000-00000F3B0000}"/>
    <cellStyle name="Normal 186 3 4 3" xfId="15728" xr:uid="{00000000-0005-0000-0000-0000103B0000}"/>
    <cellStyle name="Normal 186 3 5" xfId="15729" xr:uid="{00000000-0005-0000-0000-0000113B0000}"/>
    <cellStyle name="Normal 186 3 5 2" xfId="15730" xr:uid="{00000000-0005-0000-0000-0000123B0000}"/>
    <cellStyle name="Normal 186 3 5 2 2" xfId="15731" xr:uid="{00000000-0005-0000-0000-0000133B0000}"/>
    <cellStyle name="Normal 186 3 5 3" xfId="15732" xr:uid="{00000000-0005-0000-0000-0000143B0000}"/>
    <cellStyle name="Normal 186 3 6" xfId="15733" xr:uid="{00000000-0005-0000-0000-0000153B0000}"/>
    <cellStyle name="Normal 186 4" xfId="15734" xr:uid="{00000000-0005-0000-0000-0000163B0000}"/>
    <cellStyle name="Normal 186 4 2" xfId="15735" xr:uid="{00000000-0005-0000-0000-0000173B0000}"/>
    <cellStyle name="Normal 186 4 2 2" xfId="15736" xr:uid="{00000000-0005-0000-0000-0000183B0000}"/>
    <cellStyle name="Normal 186 4 3" xfId="15737" xr:uid="{00000000-0005-0000-0000-0000193B0000}"/>
    <cellStyle name="Normal 186 5" xfId="15738" xr:uid="{00000000-0005-0000-0000-00001A3B0000}"/>
    <cellStyle name="Normal 186 5 2" xfId="15739" xr:uid="{00000000-0005-0000-0000-00001B3B0000}"/>
    <cellStyle name="Normal 186 5 2 2" xfId="15740" xr:uid="{00000000-0005-0000-0000-00001C3B0000}"/>
    <cellStyle name="Normal 186 5 3" xfId="15741" xr:uid="{00000000-0005-0000-0000-00001D3B0000}"/>
    <cellStyle name="Normal 186 6" xfId="15742" xr:uid="{00000000-0005-0000-0000-00001E3B0000}"/>
    <cellStyle name="Normal 186 6 2" xfId="15743" xr:uid="{00000000-0005-0000-0000-00001F3B0000}"/>
    <cellStyle name="Normal 186 6 2 2" xfId="15744" xr:uid="{00000000-0005-0000-0000-0000203B0000}"/>
    <cellStyle name="Normal 186 6 3" xfId="15745" xr:uid="{00000000-0005-0000-0000-0000213B0000}"/>
    <cellStyle name="Normal 186 7" xfId="15746" xr:uid="{00000000-0005-0000-0000-0000223B0000}"/>
    <cellStyle name="Normal 187" xfId="15747" xr:uid="{00000000-0005-0000-0000-0000233B0000}"/>
    <cellStyle name="Normal 187 2" xfId="15748" xr:uid="{00000000-0005-0000-0000-0000243B0000}"/>
    <cellStyle name="Normal 187 2 2" xfId="15749" xr:uid="{00000000-0005-0000-0000-0000253B0000}"/>
    <cellStyle name="Normal 187 2 2 2" xfId="15750" xr:uid="{00000000-0005-0000-0000-0000263B0000}"/>
    <cellStyle name="Normal 187 2 3" xfId="15751" xr:uid="{00000000-0005-0000-0000-0000273B0000}"/>
    <cellStyle name="Normal 187 2 3 2" xfId="15752" xr:uid="{00000000-0005-0000-0000-0000283B0000}"/>
    <cellStyle name="Normal 187 2 3 2 2" xfId="15753" xr:uid="{00000000-0005-0000-0000-0000293B0000}"/>
    <cellStyle name="Normal 187 2 3 3" xfId="15754" xr:uid="{00000000-0005-0000-0000-00002A3B0000}"/>
    <cellStyle name="Normal 187 2 4" xfId="15755" xr:uid="{00000000-0005-0000-0000-00002B3B0000}"/>
    <cellStyle name="Normal 187 2 4 2" xfId="15756" xr:uid="{00000000-0005-0000-0000-00002C3B0000}"/>
    <cellStyle name="Normal 187 2 4 2 2" xfId="15757" xr:uid="{00000000-0005-0000-0000-00002D3B0000}"/>
    <cellStyle name="Normal 187 2 4 3" xfId="15758" xr:uid="{00000000-0005-0000-0000-00002E3B0000}"/>
    <cellStyle name="Normal 187 2 5" xfId="15759" xr:uid="{00000000-0005-0000-0000-00002F3B0000}"/>
    <cellStyle name="Normal 187 3" xfId="15760" xr:uid="{00000000-0005-0000-0000-0000303B0000}"/>
    <cellStyle name="Normal 187 3 2" xfId="15761" xr:uid="{00000000-0005-0000-0000-0000313B0000}"/>
    <cellStyle name="Normal 187 3 2 2" xfId="15762" xr:uid="{00000000-0005-0000-0000-0000323B0000}"/>
    <cellStyle name="Normal 187 3 2 2 2" xfId="15763" xr:uid="{00000000-0005-0000-0000-0000333B0000}"/>
    <cellStyle name="Normal 187 3 2 3" xfId="15764" xr:uid="{00000000-0005-0000-0000-0000343B0000}"/>
    <cellStyle name="Normal 187 3 2 3 2" xfId="15765" xr:uid="{00000000-0005-0000-0000-0000353B0000}"/>
    <cellStyle name="Normal 187 3 2 3 2 2" xfId="15766" xr:uid="{00000000-0005-0000-0000-0000363B0000}"/>
    <cellStyle name="Normal 187 3 2 3 3" xfId="15767" xr:uid="{00000000-0005-0000-0000-0000373B0000}"/>
    <cellStyle name="Normal 187 3 2 4" xfId="15768" xr:uid="{00000000-0005-0000-0000-0000383B0000}"/>
    <cellStyle name="Normal 187 3 3" xfId="15769" xr:uid="{00000000-0005-0000-0000-0000393B0000}"/>
    <cellStyle name="Normal 187 3 3 2" xfId="15770" xr:uid="{00000000-0005-0000-0000-00003A3B0000}"/>
    <cellStyle name="Normal 187 3 3 2 2" xfId="15771" xr:uid="{00000000-0005-0000-0000-00003B3B0000}"/>
    <cellStyle name="Normal 187 3 3 3" xfId="15772" xr:uid="{00000000-0005-0000-0000-00003C3B0000}"/>
    <cellStyle name="Normal 187 3 4" xfId="15773" xr:uid="{00000000-0005-0000-0000-00003D3B0000}"/>
    <cellStyle name="Normal 187 3 4 2" xfId="15774" xr:uid="{00000000-0005-0000-0000-00003E3B0000}"/>
    <cellStyle name="Normal 187 3 4 2 2" xfId="15775" xr:uid="{00000000-0005-0000-0000-00003F3B0000}"/>
    <cellStyle name="Normal 187 3 4 3" xfId="15776" xr:uid="{00000000-0005-0000-0000-0000403B0000}"/>
    <cellStyle name="Normal 187 3 5" xfId="15777" xr:uid="{00000000-0005-0000-0000-0000413B0000}"/>
    <cellStyle name="Normal 187 3 5 2" xfId="15778" xr:uid="{00000000-0005-0000-0000-0000423B0000}"/>
    <cellStyle name="Normal 187 3 5 2 2" xfId="15779" xr:uid="{00000000-0005-0000-0000-0000433B0000}"/>
    <cellStyle name="Normal 187 3 5 3" xfId="15780" xr:uid="{00000000-0005-0000-0000-0000443B0000}"/>
    <cellStyle name="Normal 187 3 6" xfId="15781" xr:uid="{00000000-0005-0000-0000-0000453B0000}"/>
    <cellStyle name="Normal 187 4" xfId="15782" xr:uid="{00000000-0005-0000-0000-0000463B0000}"/>
    <cellStyle name="Normal 187 4 2" xfId="15783" xr:uid="{00000000-0005-0000-0000-0000473B0000}"/>
    <cellStyle name="Normal 187 4 2 2" xfId="15784" xr:uid="{00000000-0005-0000-0000-0000483B0000}"/>
    <cellStyle name="Normal 187 4 3" xfId="15785" xr:uid="{00000000-0005-0000-0000-0000493B0000}"/>
    <cellStyle name="Normal 187 5" xfId="15786" xr:uid="{00000000-0005-0000-0000-00004A3B0000}"/>
    <cellStyle name="Normal 187 5 2" xfId="15787" xr:uid="{00000000-0005-0000-0000-00004B3B0000}"/>
    <cellStyle name="Normal 187 5 2 2" xfId="15788" xr:uid="{00000000-0005-0000-0000-00004C3B0000}"/>
    <cellStyle name="Normal 187 5 3" xfId="15789" xr:uid="{00000000-0005-0000-0000-00004D3B0000}"/>
    <cellStyle name="Normal 187 6" xfId="15790" xr:uid="{00000000-0005-0000-0000-00004E3B0000}"/>
    <cellStyle name="Normal 187 6 2" xfId="15791" xr:uid="{00000000-0005-0000-0000-00004F3B0000}"/>
    <cellStyle name="Normal 187 6 2 2" xfId="15792" xr:uid="{00000000-0005-0000-0000-0000503B0000}"/>
    <cellStyle name="Normal 187 6 3" xfId="15793" xr:uid="{00000000-0005-0000-0000-0000513B0000}"/>
    <cellStyle name="Normal 187 7" xfId="15794" xr:uid="{00000000-0005-0000-0000-0000523B0000}"/>
    <cellStyle name="Normal 188" xfId="15795" xr:uid="{00000000-0005-0000-0000-0000533B0000}"/>
    <cellStyle name="Normal 188 2" xfId="15796" xr:uid="{00000000-0005-0000-0000-0000543B0000}"/>
    <cellStyle name="Normal 188 2 2" xfId="15797" xr:uid="{00000000-0005-0000-0000-0000553B0000}"/>
    <cellStyle name="Normal 188 2 2 2" xfId="15798" xr:uid="{00000000-0005-0000-0000-0000563B0000}"/>
    <cellStyle name="Normal 188 2 3" xfId="15799" xr:uid="{00000000-0005-0000-0000-0000573B0000}"/>
    <cellStyle name="Normal 188 2 3 2" xfId="15800" xr:uid="{00000000-0005-0000-0000-0000583B0000}"/>
    <cellStyle name="Normal 188 2 3 2 2" xfId="15801" xr:uid="{00000000-0005-0000-0000-0000593B0000}"/>
    <cellStyle name="Normal 188 2 3 3" xfId="15802" xr:uid="{00000000-0005-0000-0000-00005A3B0000}"/>
    <cellStyle name="Normal 188 2 4" xfId="15803" xr:uid="{00000000-0005-0000-0000-00005B3B0000}"/>
    <cellStyle name="Normal 188 2 4 2" xfId="15804" xr:uid="{00000000-0005-0000-0000-00005C3B0000}"/>
    <cellStyle name="Normal 188 2 4 2 2" xfId="15805" xr:uid="{00000000-0005-0000-0000-00005D3B0000}"/>
    <cellStyle name="Normal 188 2 4 3" xfId="15806" xr:uid="{00000000-0005-0000-0000-00005E3B0000}"/>
    <cellStyle name="Normal 188 2 5" xfId="15807" xr:uid="{00000000-0005-0000-0000-00005F3B0000}"/>
    <cellStyle name="Normal 188 3" xfId="15808" xr:uid="{00000000-0005-0000-0000-0000603B0000}"/>
    <cellStyle name="Normal 188 3 2" xfId="15809" xr:uid="{00000000-0005-0000-0000-0000613B0000}"/>
    <cellStyle name="Normal 188 3 2 2" xfId="15810" xr:uid="{00000000-0005-0000-0000-0000623B0000}"/>
    <cellStyle name="Normal 188 3 2 2 2" xfId="15811" xr:uid="{00000000-0005-0000-0000-0000633B0000}"/>
    <cellStyle name="Normal 188 3 2 3" xfId="15812" xr:uid="{00000000-0005-0000-0000-0000643B0000}"/>
    <cellStyle name="Normal 188 3 2 3 2" xfId="15813" xr:uid="{00000000-0005-0000-0000-0000653B0000}"/>
    <cellStyle name="Normal 188 3 2 3 2 2" xfId="15814" xr:uid="{00000000-0005-0000-0000-0000663B0000}"/>
    <cellStyle name="Normal 188 3 2 3 3" xfId="15815" xr:uid="{00000000-0005-0000-0000-0000673B0000}"/>
    <cellStyle name="Normal 188 3 2 4" xfId="15816" xr:uid="{00000000-0005-0000-0000-0000683B0000}"/>
    <cellStyle name="Normal 188 3 3" xfId="15817" xr:uid="{00000000-0005-0000-0000-0000693B0000}"/>
    <cellStyle name="Normal 188 3 3 2" xfId="15818" xr:uid="{00000000-0005-0000-0000-00006A3B0000}"/>
    <cellStyle name="Normal 188 3 3 2 2" xfId="15819" xr:uid="{00000000-0005-0000-0000-00006B3B0000}"/>
    <cellStyle name="Normal 188 3 3 3" xfId="15820" xr:uid="{00000000-0005-0000-0000-00006C3B0000}"/>
    <cellStyle name="Normal 188 3 4" xfId="15821" xr:uid="{00000000-0005-0000-0000-00006D3B0000}"/>
    <cellStyle name="Normal 188 3 4 2" xfId="15822" xr:uid="{00000000-0005-0000-0000-00006E3B0000}"/>
    <cellStyle name="Normal 188 3 4 2 2" xfId="15823" xr:uid="{00000000-0005-0000-0000-00006F3B0000}"/>
    <cellStyle name="Normal 188 3 4 3" xfId="15824" xr:uid="{00000000-0005-0000-0000-0000703B0000}"/>
    <cellStyle name="Normal 188 3 5" xfId="15825" xr:uid="{00000000-0005-0000-0000-0000713B0000}"/>
    <cellStyle name="Normal 188 3 5 2" xfId="15826" xr:uid="{00000000-0005-0000-0000-0000723B0000}"/>
    <cellStyle name="Normal 188 3 5 2 2" xfId="15827" xr:uid="{00000000-0005-0000-0000-0000733B0000}"/>
    <cellStyle name="Normal 188 3 5 3" xfId="15828" xr:uid="{00000000-0005-0000-0000-0000743B0000}"/>
    <cellStyle name="Normal 188 3 6" xfId="15829" xr:uid="{00000000-0005-0000-0000-0000753B0000}"/>
    <cellStyle name="Normal 188 4" xfId="15830" xr:uid="{00000000-0005-0000-0000-0000763B0000}"/>
    <cellStyle name="Normal 188 4 2" xfId="15831" xr:uid="{00000000-0005-0000-0000-0000773B0000}"/>
    <cellStyle name="Normal 188 4 2 2" xfId="15832" xr:uid="{00000000-0005-0000-0000-0000783B0000}"/>
    <cellStyle name="Normal 188 4 3" xfId="15833" xr:uid="{00000000-0005-0000-0000-0000793B0000}"/>
    <cellStyle name="Normal 188 5" xfId="15834" xr:uid="{00000000-0005-0000-0000-00007A3B0000}"/>
    <cellStyle name="Normal 188 5 2" xfId="15835" xr:uid="{00000000-0005-0000-0000-00007B3B0000}"/>
    <cellStyle name="Normal 188 5 2 2" xfId="15836" xr:uid="{00000000-0005-0000-0000-00007C3B0000}"/>
    <cellStyle name="Normal 188 5 3" xfId="15837" xr:uid="{00000000-0005-0000-0000-00007D3B0000}"/>
    <cellStyle name="Normal 188 6" xfId="15838" xr:uid="{00000000-0005-0000-0000-00007E3B0000}"/>
    <cellStyle name="Normal 188 6 2" xfId="15839" xr:uid="{00000000-0005-0000-0000-00007F3B0000}"/>
    <cellStyle name="Normal 188 6 2 2" xfId="15840" xr:uid="{00000000-0005-0000-0000-0000803B0000}"/>
    <cellStyle name="Normal 188 6 3" xfId="15841" xr:uid="{00000000-0005-0000-0000-0000813B0000}"/>
    <cellStyle name="Normal 188 7" xfId="15842" xr:uid="{00000000-0005-0000-0000-0000823B0000}"/>
    <cellStyle name="Normal 189" xfId="15843" xr:uid="{00000000-0005-0000-0000-0000833B0000}"/>
    <cellStyle name="Normal 189 2" xfId="15844" xr:uid="{00000000-0005-0000-0000-0000843B0000}"/>
    <cellStyle name="Normal 189 2 2" xfId="15845" xr:uid="{00000000-0005-0000-0000-0000853B0000}"/>
    <cellStyle name="Normal 189 2 2 2" xfId="15846" xr:uid="{00000000-0005-0000-0000-0000863B0000}"/>
    <cellStyle name="Normal 189 2 3" xfId="15847" xr:uid="{00000000-0005-0000-0000-0000873B0000}"/>
    <cellStyle name="Normal 189 2 3 2" xfId="15848" xr:uid="{00000000-0005-0000-0000-0000883B0000}"/>
    <cellStyle name="Normal 189 2 3 2 2" xfId="15849" xr:uid="{00000000-0005-0000-0000-0000893B0000}"/>
    <cellStyle name="Normal 189 2 3 3" xfId="15850" xr:uid="{00000000-0005-0000-0000-00008A3B0000}"/>
    <cellStyle name="Normal 189 2 4" xfId="15851" xr:uid="{00000000-0005-0000-0000-00008B3B0000}"/>
    <cellStyle name="Normal 189 2 4 2" xfId="15852" xr:uid="{00000000-0005-0000-0000-00008C3B0000}"/>
    <cellStyle name="Normal 189 2 4 2 2" xfId="15853" xr:uid="{00000000-0005-0000-0000-00008D3B0000}"/>
    <cellStyle name="Normal 189 2 4 3" xfId="15854" xr:uid="{00000000-0005-0000-0000-00008E3B0000}"/>
    <cellStyle name="Normal 189 2 5" xfId="15855" xr:uid="{00000000-0005-0000-0000-00008F3B0000}"/>
    <cellStyle name="Normal 189 3" xfId="15856" xr:uid="{00000000-0005-0000-0000-0000903B0000}"/>
    <cellStyle name="Normal 189 3 2" xfId="15857" xr:uid="{00000000-0005-0000-0000-0000913B0000}"/>
    <cellStyle name="Normal 189 3 2 2" xfId="15858" xr:uid="{00000000-0005-0000-0000-0000923B0000}"/>
    <cellStyle name="Normal 189 3 2 2 2" xfId="15859" xr:uid="{00000000-0005-0000-0000-0000933B0000}"/>
    <cellStyle name="Normal 189 3 2 3" xfId="15860" xr:uid="{00000000-0005-0000-0000-0000943B0000}"/>
    <cellStyle name="Normal 189 3 2 3 2" xfId="15861" xr:uid="{00000000-0005-0000-0000-0000953B0000}"/>
    <cellStyle name="Normal 189 3 2 3 2 2" xfId="15862" xr:uid="{00000000-0005-0000-0000-0000963B0000}"/>
    <cellStyle name="Normal 189 3 2 3 3" xfId="15863" xr:uid="{00000000-0005-0000-0000-0000973B0000}"/>
    <cellStyle name="Normal 189 3 2 4" xfId="15864" xr:uid="{00000000-0005-0000-0000-0000983B0000}"/>
    <cellStyle name="Normal 189 3 3" xfId="15865" xr:uid="{00000000-0005-0000-0000-0000993B0000}"/>
    <cellStyle name="Normal 189 3 3 2" xfId="15866" xr:uid="{00000000-0005-0000-0000-00009A3B0000}"/>
    <cellStyle name="Normal 189 3 3 2 2" xfId="15867" xr:uid="{00000000-0005-0000-0000-00009B3B0000}"/>
    <cellStyle name="Normal 189 3 3 3" xfId="15868" xr:uid="{00000000-0005-0000-0000-00009C3B0000}"/>
    <cellStyle name="Normal 189 3 4" xfId="15869" xr:uid="{00000000-0005-0000-0000-00009D3B0000}"/>
    <cellStyle name="Normal 189 3 4 2" xfId="15870" xr:uid="{00000000-0005-0000-0000-00009E3B0000}"/>
    <cellStyle name="Normal 189 3 4 2 2" xfId="15871" xr:uid="{00000000-0005-0000-0000-00009F3B0000}"/>
    <cellStyle name="Normal 189 3 4 3" xfId="15872" xr:uid="{00000000-0005-0000-0000-0000A03B0000}"/>
    <cellStyle name="Normal 189 3 5" xfId="15873" xr:uid="{00000000-0005-0000-0000-0000A13B0000}"/>
    <cellStyle name="Normal 189 3 5 2" xfId="15874" xr:uid="{00000000-0005-0000-0000-0000A23B0000}"/>
    <cellStyle name="Normal 189 3 5 2 2" xfId="15875" xr:uid="{00000000-0005-0000-0000-0000A33B0000}"/>
    <cellStyle name="Normal 189 3 5 3" xfId="15876" xr:uid="{00000000-0005-0000-0000-0000A43B0000}"/>
    <cellStyle name="Normal 189 3 6" xfId="15877" xr:uid="{00000000-0005-0000-0000-0000A53B0000}"/>
    <cellStyle name="Normal 189 4" xfId="15878" xr:uid="{00000000-0005-0000-0000-0000A63B0000}"/>
    <cellStyle name="Normal 189 4 2" xfId="15879" xr:uid="{00000000-0005-0000-0000-0000A73B0000}"/>
    <cellStyle name="Normal 189 4 2 2" xfId="15880" xr:uid="{00000000-0005-0000-0000-0000A83B0000}"/>
    <cellStyle name="Normal 189 4 3" xfId="15881" xr:uid="{00000000-0005-0000-0000-0000A93B0000}"/>
    <cellStyle name="Normal 189 5" xfId="15882" xr:uid="{00000000-0005-0000-0000-0000AA3B0000}"/>
    <cellStyle name="Normal 189 5 2" xfId="15883" xr:uid="{00000000-0005-0000-0000-0000AB3B0000}"/>
    <cellStyle name="Normal 189 5 2 2" xfId="15884" xr:uid="{00000000-0005-0000-0000-0000AC3B0000}"/>
    <cellStyle name="Normal 189 5 3" xfId="15885" xr:uid="{00000000-0005-0000-0000-0000AD3B0000}"/>
    <cellStyle name="Normal 189 6" xfId="15886" xr:uid="{00000000-0005-0000-0000-0000AE3B0000}"/>
    <cellStyle name="Normal 189 6 2" xfId="15887" xr:uid="{00000000-0005-0000-0000-0000AF3B0000}"/>
    <cellStyle name="Normal 189 6 2 2" xfId="15888" xr:uid="{00000000-0005-0000-0000-0000B03B0000}"/>
    <cellStyle name="Normal 189 6 3" xfId="15889" xr:uid="{00000000-0005-0000-0000-0000B13B0000}"/>
    <cellStyle name="Normal 189 7" xfId="15890" xr:uid="{00000000-0005-0000-0000-0000B23B0000}"/>
    <cellStyle name="Normal 19" xfId="15891" xr:uid="{00000000-0005-0000-0000-0000B33B0000}"/>
    <cellStyle name="Normal 19 2" xfId="15892" xr:uid="{00000000-0005-0000-0000-0000B43B0000}"/>
    <cellStyle name="Normal 19 2 2" xfId="15893" xr:uid="{00000000-0005-0000-0000-0000B53B0000}"/>
    <cellStyle name="Normal 19 2 2 2" xfId="15894" xr:uid="{00000000-0005-0000-0000-0000B63B0000}"/>
    <cellStyle name="Normal 19 2 2 2 2" xfId="15895" xr:uid="{00000000-0005-0000-0000-0000B73B0000}"/>
    <cellStyle name="Normal 19 2 2 3" xfId="15896" xr:uid="{00000000-0005-0000-0000-0000B83B0000}"/>
    <cellStyle name="Normal 19 2 2 3 2" xfId="15897" xr:uid="{00000000-0005-0000-0000-0000B93B0000}"/>
    <cellStyle name="Normal 19 2 2 3 2 2" xfId="15898" xr:uid="{00000000-0005-0000-0000-0000BA3B0000}"/>
    <cellStyle name="Normal 19 2 2 3 3" xfId="15899" xr:uid="{00000000-0005-0000-0000-0000BB3B0000}"/>
    <cellStyle name="Normal 19 2 2 4" xfId="15900" xr:uid="{00000000-0005-0000-0000-0000BC3B0000}"/>
    <cellStyle name="Normal 19 2 2 4 2" xfId="15901" xr:uid="{00000000-0005-0000-0000-0000BD3B0000}"/>
    <cellStyle name="Normal 19 2 2 4 2 2" xfId="15902" xr:uid="{00000000-0005-0000-0000-0000BE3B0000}"/>
    <cellStyle name="Normal 19 2 2 4 3" xfId="15903" xr:uid="{00000000-0005-0000-0000-0000BF3B0000}"/>
    <cellStyle name="Normal 19 2 2 5" xfId="15904" xr:uid="{00000000-0005-0000-0000-0000C03B0000}"/>
    <cellStyle name="Normal 19 2 3" xfId="15905" xr:uid="{00000000-0005-0000-0000-0000C13B0000}"/>
    <cellStyle name="Normal 19 2 3 2" xfId="15906" xr:uid="{00000000-0005-0000-0000-0000C23B0000}"/>
    <cellStyle name="Normal 19 2 3 2 2" xfId="15907" xr:uid="{00000000-0005-0000-0000-0000C33B0000}"/>
    <cellStyle name="Normal 19 2 3 3" xfId="15908" xr:uid="{00000000-0005-0000-0000-0000C43B0000}"/>
    <cellStyle name="Normal 19 2 4" xfId="15909" xr:uid="{00000000-0005-0000-0000-0000C53B0000}"/>
    <cellStyle name="Normal 19 2 4 2" xfId="15910" xr:uid="{00000000-0005-0000-0000-0000C63B0000}"/>
    <cellStyle name="Normal 19 2 4 2 2" xfId="15911" xr:uid="{00000000-0005-0000-0000-0000C73B0000}"/>
    <cellStyle name="Normal 19 2 4 3" xfId="15912" xr:uid="{00000000-0005-0000-0000-0000C83B0000}"/>
    <cellStyle name="Normal 19 2 5" xfId="15913" xr:uid="{00000000-0005-0000-0000-0000C93B0000}"/>
    <cellStyle name="Normal 19 2 5 2" xfId="15914" xr:uid="{00000000-0005-0000-0000-0000CA3B0000}"/>
    <cellStyle name="Normal 19 2 5 2 2" xfId="15915" xr:uid="{00000000-0005-0000-0000-0000CB3B0000}"/>
    <cellStyle name="Normal 19 2 5 3" xfId="15916" xr:uid="{00000000-0005-0000-0000-0000CC3B0000}"/>
    <cellStyle name="Normal 19 2 6" xfId="15917" xr:uid="{00000000-0005-0000-0000-0000CD3B0000}"/>
    <cellStyle name="Normal 19 3" xfId="15918" xr:uid="{00000000-0005-0000-0000-0000CE3B0000}"/>
    <cellStyle name="Normal 19 3 2" xfId="15919" xr:uid="{00000000-0005-0000-0000-0000CF3B0000}"/>
    <cellStyle name="Normal 19 3 2 2" xfId="15920" xr:uid="{00000000-0005-0000-0000-0000D03B0000}"/>
    <cellStyle name="Normal 19 3 3" xfId="15921" xr:uid="{00000000-0005-0000-0000-0000D13B0000}"/>
    <cellStyle name="Normal 19 3 3 2" xfId="15922" xr:uid="{00000000-0005-0000-0000-0000D23B0000}"/>
    <cellStyle name="Normal 19 3 3 2 2" xfId="15923" xr:uid="{00000000-0005-0000-0000-0000D33B0000}"/>
    <cellStyle name="Normal 19 3 3 3" xfId="15924" xr:uid="{00000000-0005-0000-0000-0000D43B0000}"/>
    <cellStyle name="Normal 19 3 4" xfId="15925" xr:uid="{00000000-0005-0000-0000-0000D53B0000}"/>
    <cellStyle name="Normal 19 3 4 2" xfId="15926" xr:uid="{00000000-0005-0000-0000-0000D63B0000}"/>
    <cellStyle name="Normal 19 3 4 2 2" xfId="15927" xr:uid="{00000000-0005-0000-0000-0000D73B0000}"/>
    <cellStyle name="Normal 19 3 4 3" xfId="15928" xr:uid="{00000000-0005-0000-0000-0000D83B0000}"/>
    <cellStyle name="Normal 19 3 5" xfId="15929" xr:uid="{00000000-0005-0000-0000-0000D93B0000}"/>
    <cellStyle name="Normal 19 4" xfId="15930" xr:uid="{00000000-0005-0000-0000-0000DA3B0000}"/>
    <cellStyle name="Normal 19 4 2" xfId="15931" xr:uid="{00000000-0005-0000-0000-0000DB3B0000}"/>
    <cellStyle name="Normal 19 4 2 2" xfId="15932" xr:uid="{00000000-0005-0000-0000-0000DC3B0000}"/>
    <cellStyle name="Normal 19 4 2 2 2" xfId="15933" xr:uid="{00000000-0005-0000-0000-0000DD3B0000}"/>
    <cellStyle name="Normal 19 4 2 3" xfId="15934" xr:uid="{00000000-0005-0000-0000-0000DE3B0000}"/>
    <cellStyle name="Normal 19 4 2 3 2" xfId="15935" xr:uid="{00000000-0005-0000-0000-0000DF3B0000}"/>
    <cellStyle name="Normal 19 4 2 3 2 2" xfId="15936" xr:uid="{00000000-0005-0000-0000-0000E03B0000}"/>
    <cellStyle name="Normal 19 4 2 3 3" xfId="15937" xr:uid="{00000000-0005-0000-0000-0000E13B0000}"/>
    <cellStyle name="Normal 19 4 2 4" xfId="15938" xr:uid="{00000000-0005-0000-0000-0000E23B0000}"/>
    <cellStyle name="Normal 19 4 3" xfId="15939" xr:uid="{00000000-0005-0000-0000-0000E33B0000}"/>
    <cellStyle name="Normal 19 4 3 2" xfId="15940" xr:uid="{00000000-0005-0000-0000-0000E43B0000}"/>
    <cellStyle name="Normal 19 4 3 2 2" xfId="15941" xr:uid="{00000000-0005-0000-0000-0000E53B0000}"/>
    <cellStyle name="Normal 19 4 3 3" xfId="15942" xr:uid="{00000000-0005-0000-0000-0000E63B0000}"/>
    <cellStyle name="Normal 19 4 4" xfId="15943" xr:uid="{00000000-0005-0000-0000-0000E73B0000}"/>
    <cellStyle name="Normal 19 4 4 2" xfId="15944" xr:uid="{00000000-0005-0000-0000-0000E83B0000}"/>
    <cellStyle name="Normal 19 4 4 2 2" xfId="15945" xr:uid="{00000000-0005-0000-0000-0000E93B0000}"/>
    <cellStyle name="Normal 19 4 4 3" xfId="15946" xr:uid="{00000000-0005-0000-0000-0000EA3B0000}"/>
    <cellStyle name="Normal 19 4 5" xfId="15947" xr:uid="{00000000-0005-0000-0000-0000EB3B0000}"/>
    <cellStyle name="Normal 19 4 5 2" xfId="15948" xr:uid="{00000000-0005-0000-0000-0000EC3B0000}"/>
    <cellStyle name="Normal 19 4 5 2 2" xfId="15949" xr:uid="{00000000-0005-0000-0000-0000ED3B0000}"/>
    <cellStyle name="Normal 19 4 5 3" xfId="15950" xr:uid="{00000000-0005-0000-0000-0000EE3B0000}"/>
    <cellStyle name="Normal 19 4 6" xfId="15951" xr:uid="{00000000-0005-0000-0000-0000EF3B0000}"/>
    <cellStyle name="Normal 19 5" xfId="15952" xr:uid="{00000000-0005-0000-0000-0000F03B0000}"/>
    <cellStyle name="Normal 190" xfId="15953" xr:uid="{00000000-0005-0000-0000-0000F13B0000}"/>
    <cellStyle name="Normal 190 2" xfId="15954" xr:uid="{00000000-0005-0000-0000-0000F23B0000}"/>
    <cellStyle name="Normal 190 2 2" xfId="15955" xr:uid="{00000000-0005-0000-0000-0000F33B0000}"/>
    <cellStyle name="Normal 190 2 2 2" xfId="15956" xr:uid="{00000000-0005-0000-0000-0000F43B0000}"/>
    <cellStyle name="Normal 190 2 3" xfId="15957" xr:uid="{00000000-0005-0000-0000-0000F53B0000}"/>
    <cellStyle name="Normal 190 2 3 2" xfId="15958" xr:uid="{00000000-0005-0000-0000-0000F63B0000}"/>
    <cellStyle name="Normal 190 2 3 2 2" xfId="15959" xr:uid="{00000000-0005-0000-0000-0000F73B0000}"/>
    <cellStyle name="Normal 190 2 3 3" xfId="15960" xr:uid="{00000000-0005-0000-0000-0000F83B0000}"/>
    <cellStyle name="Normal 190 2 4" xfId="15961" xr:uid="{00000000-0005-0000-0000-0000F93B0000}"/>
    <cellStyle name="Normal 190 2 4 2" xfId="15962" xr:uid="{00000000-0005-0000-0000-0000FA3B0000}"/>
    <cellStyle name="Normal 190 2 4 2 2" xfId="15963" xr:uid="{00000000-0005-0000-0000-0000FB3B0000}"/>
    <cellStyle name="Normal 190 2 4 3" xfId="15964" xr:uid="{00000000-0005-0000-0000-0000FC3B0000}"/>
    <cellStyle name="Normal 190 2 5" xfId="15965" xr:uid="{00000000-0005-0000-0000-0000FD3B0000}"/>
    <cellStyle name="Normal 190 3" xfId="15966" xr:uid="{00000000-0005-0000-0000-0000FE3B0000}"/>
    <cellStyle name="Normal 190 3 2" xfId="15967" xr:uid="{00000000-0005-0000-0000-0000FF3B0000}"/>
    <cellStyle name="Normal 190 3 2 2" xfId="15968" xr:uid="{00000000-0005-0000-0000-0000003C0000}"/>
    <cellStyle name="Normal 190 3 2 2 2" xfId="15969" xr:uid="{00000000-0005-0000-0000-0000013C0000}"/>
    <cellStyle name="Normal 190 3 2 3" xfId="15970" xr:uid="{00000000-0005-0000-0000-0000023C0000}"/>
    <cellStyle name="Normal 190 3 2 3 2" xfId="15971" xr:uid="{00000000-0005-0000-0000-0000033C0000}"/>
    <cellStyle name="Normal 190 3 2 3 2 2" xfId="15972" xr:uid="{00000000-0005-0000-0000-0000043C0000}"/>
    <cellStyle name="Normal 190 3 2 3 3" xfId="15973" xr:uid="{00000000-0005-0000-0000-0000053C0000}"/>
    <cellStyle name="Normal 190 3 2 4" xfId="15974" xr:uid="{00000000-0005-0000-0000-0000063C0000}"/>
    <cellStyle name="Normal 190 3 3" xfId="15975" xr:uid="{00000000-0005-0000-0000-0000073C0000}"/>
    <cellStyle name="Normal 190 3 3 2" xfId="15976" xr:uid="{00000000-0005-0000-0000-0000083C0000}"/>
    <cellStyle name="Normal 190 3 3 2 2" xfId="15977" xr:uid="{00000000-0005-0000-0000-0000093C0000}"/>
    <cellStyle name="Normal 190 3 3 3" xfId="15978" xr:uid="{00000000-0005-0000-0000-00000A3C0000}"/>
    <cellStyle name="Normal 190 3 4" xfId="15979" xr:uid="{00000000-0005-0000-0000-00000B3C0000}"/>
    <cellStyle name="Normal 190 3 4 2" xfId="15980" xr:uid="{00000000-0005-0000-0000-00000C3C0000}"/>
    <cellStyle name="Normal 190 3 4 2 2" xfId="15981" xr:uid="{00000000-0005-0000-0000-00000D3C0000}"/>
    <cellStyle name="Normal 190 3 4 3" xfId="15982" xr:uid="{00000000-0005-0000-0000-00000E3C0000}"/>
    <cellStyle name="Normal 190 3 5" xfId="15983" xr:uid="{00000000-0005-0000-0000-00000F3C0000}"/>
    <cellStyle name="Normal 190 3 5 2" xfId="15984" xr:uid="{00000000-0005-0000-0000-0000103C0000}"/>
    <cellStyle name="Normal 190 3 5 2 2" xfId="15985" xr:uid="{00000000-0005-0000-0000-0000113C0000}"/>
    <cellStyle name="Normal 190 3 5 3" xfId="15986" xr:uid="{00000000-0005-0000-0000-0000123C0000}"/>
    <cellStyle name="Normal 190 3 6" xfId="15987" xr:uid="{00000000-0005-0000-0000-0000133C0000}"/>
    <cellStyle name="Normal 190 4" xfId="15988" xr:uid="{00000000-0005-0000-0000-0000143C0000}"/>
    <cellStyle name="Normal 190 4 2" xfId="15989" xr:uid="{00000000-0005-0000-0000-0000153C0000}"/>
    <cellStyle name="Normal 190 4 2 2" xfId="15990" xr:uid="{00000000-0005-0000-0000-0000163C0000}"/>
    <cellStyle name="Normal 190 4 3" xfId="15991" xr:uid="{00000000-0005-0000-0000-0000173C0000}"/>
    <cellStyle name="Normal 190 5" xfId="15992" xr:uid="{00000000-0005-0000-0000-0000183C0000}"/>
    <cellStyle name="Normal 190 5 2" xfId="15993" xr:uid="{00000000-0005-0000-0000-0000193C0000}"/>
    <cellStyle name="Normal 190 5 2 2" xfId="15994" xr:uid="{00000000-0005-0000-0000-00001A3C0000}"/>
    <cellStyle name="Normal 190 5 3" xfId="15995" xr:uid="{00000000-0005-0000-0000-00001B3C0000}"/>
    <cellStyle name="Normal 190 6" xfId="15996" xr:uid="{00000000-0005-0000-0000-00001C3C0000}"/>
    <cellStyle name="Normal 190 6 2" xfId="15997" xr:uid="{00000000-0005-0000-0000-00001D3C0000}"/>
    <cellStyle name="Normal 190 6 2 2" xfId="15998" xr:uid="{00000000-0005-0000-0000-00001E3C0000}"/>
    <cellStyle name="Normal 190 6 3" xfId="15999" xr:uid="{00000000-0005-0000-0000-00001F3C0000}"/>
    <cellStyle name="Normal 190 7" xfId="16000" xr:uid="{00000000-0005-0000-0000-0000203C0000}"/>
    <cellStyle name="Normal 191" xfId="16001" xr:uid="{00000000-0005-0000-0000-0000213C0000}"/>
    <cellStyle name="Normal 191 2" xfId="16002" xr:uid="{00000000-0005-0000-0000-0000223C0000}"/>
    <cellStyle name="Normal 191 2 2" xfId="16003" xr:uid="{00000000-0005-0000-0000-0000233C0000}"/>
    <cellStyle name="Normal 191 2 2 2" xfId="16004" xr:uid="{00000000-0005-0000-0000-0000243C0000}"/>
    <cellStyle name="Normal 191 2 3" xfId="16005" xr:uid="{00000000-0005-0000-0000-0000253C0000}"/>
    <cellStyle name="Normal 191 2 3 2" xfId="16006" xr:uid="{00000000-0005-0000-0000-0000263C0000}"/>
    <cellStyle name="Normal 191 2 3 2 2" xfId="16007" xr:uid="{00000000-0005-0000-0000-0000273C0000}"/>
    <cellStyle name="Normal 191 2 3 3" xfId="16008" xr:uid="{00000000-0005-0000-0000-0000283C0000}"/>
    <cellStyle name="Normal 191 2 4" xfId="16009" xr:uid="{00000000-0005-0000-0000-0000293C0000}"/>
    <cellStyle name="Normal 191 2 4 2" xfId="16010" xr:uid="{00000000-0005-0000-0000-00002A3C0000}"/>
    <cellStyle name="Normal 191 2 4 2 2" xfId="16011" xr:uid="{00000000-0005-0000-0000-00002B3C0000}"/>
    <cellStyle name="Normal 191 2 4 3" xfId="16012" xr:uid="{00000000-0005-0000-0000-00002C3C0000}"/>
    <cellStyle name="Normal 191 2 5" xfId="16013" xr:uid="{00000000-0005-0000-0000-00002D3C0000}"/>
    <cellStyle name="Normal 191 3" xfId="16014" xr:uid="{00000000-0005-0000-0000-00002E3C0000}"/>
    <cellStyle name="Normal 191 3 2" xfId="16015" xr:uid="{00000000-0005-0000-0000-00002F3C0000}"/>
    <cellStyle name="Normal 191 3 2 2" xfId="16016" xr:uid="{00000000-0005-0000-0000-0000303C0000}"/>
    <cellStyle name="Normal 191 3 2 2 2" xfId="16017" xr:uid="{00000000-0005-0000-0000-0000313C0000}"/>
    <cellStyle name="Normal 191 3 2 3" xfId="16018" xr:uid="{00000000-0005-0000-0000-0000323C0000}"/>
    <cellStyle name="Normal 191 3 2 3 2" xfId="16019" xr:uid="{00000000-0005-0000-0000-0000333C0000}"/>
    <cellStyle name="Normal 191 3 2 3 2 2" xfId="16020" xr:uid="{00000000-0005-0000-0000-0000343C0000}"/>
    <cellStyle name="Normal 191 3 2 3 3" xfId="16021" xr:uid="{00000000-0005-0000-0000-0000353C0000}"/>
    <cellStyle name="Normal 191 3 2 4" xfId="16022" xr:uid="{00000000-0005-0000-0000-0000363C0000}"/>
    <cellStyle name="Normal 191 3 3" xfId="16023" xr:uid="{00000000-0005-0000-0000-0000373C0000}"/>
    <cellStyle name="Normal 191 3 3 2" xfId="16024" xr:uid="{00000000-0005-0000-0000-0000383C0000}"/>
    <cellStyle name="Normal 191 3 3 2 2" xfId="16025" xr:uid="{00000000-0005-0000-0000-0000393C0000}"/>
    <cellStyle name="Normal 191 3 3 3" xfId="16026" xr:uid="{00000000-0005-0000-0000-00003A3C0000}"/>
    <cellStyle name="Normal 191 3 4" xfId="16027" xr:uid="{00000000-0005-0000-0000-00003B3C0000}"/>
    <cellStyle name="Normal 191 3 4 2" xfId="16028" xr:uid="{00000000-0005-0000-0000-00003C3C0000}"/>
    <cellStyle name="Normal 191 3 4 2 2" xfId="16029" xr:uid="{00000000-0005-0000-0000-00003D3C0000}"/>
    <cellStyle name="Normal 191 3 4 3" xfId="16030" xr:uid="{00000000-0005-0000-0000-00003E3C0000}"/>
    <cellStyle name="Normal 191 3 5" xfId="16031" xr:uid="{00000000-0005-0000-0000-00003F3C0000}"/>
    <cellStyle name="Normal 191 3 5 2" xfId="16032" xr:uid="{00000000-0005-0000-0000-0000403C0000}"/>
    <cellStyle name="Normal 191 3 5 2 2" xfId="16033" xr:uid="{00000000-0005-0000-0000-0000413C0000}"/>
    <cellStyle name="Normal 191 3 5 3" xfId="16034" xr:uid="{00000000-0005-0000-0000-0000423C0000}"/>
    <cellStyle name="Normal 191 3 6" xfId="16035" xr:uid="{00000000-0005-0000-0000-0000433C0000}"/>
    <cellStyle name="Normal 191 4" xfId="16036" xr:uid="{00000000-0005-0000-0000-0000443C0000}"/>
    <cellStyle name="Normal 191 4 2" xfId="16037" xr:uid="{00000000-0005-0000-0000-0000453C0000}"/>
    <cellStyle name="Normal 191 4 2 2" xfId="16038" xr:uid="{00000000-0005-0000-0000-0000463C0000}"/>
    <cellStyle name="Normal 191 4 3" xfId="16039" xr:uid="{00000000-0005-0000-0000-0000473C0000}"/>
    <cellStyle name="Normal 191 5" xfId="16040" xr:uid="{00000000-0005-0000-0000-0000483C0000}"/>
    <cellStyle name="Normal 191 5 2" xfId="16041" xr:uid="{00000000-0005-0000-0000-0000493C0000}"/>
    <cellStyle name="Normal 191 5 2 2" xfId="16042" xr:uid="{00000000-0005-0000-0000-00004A3C0000}"/>
    <cellStyle name="Normal 191 5 3" xfId="16043" xr:uid="{00000000-0005-0000-0000-00004B3C0000}"/>
    <cellStyle name="Normal 191 6" xfId="16044" xr:uid="{00000000-0005-0000-0000-00004C3C0000}"/>
    <cellStyle name="Normal 191 6 2" xfId="16045" xr:uid="{00000000-0005-0000-0000-00004D3C0000}"/>
    <cellStyle name="Normal 191 6 2 2" xfId="16046" xr:uid="{00000000-0005-0000-0000-00004E3C0000}"/>
    <cellStyle name="Normal 191 6 3" xfId="16047" xr:uid="{00000000-0005-0000-0000-00004F3C0000}"/>
    <cellStyle name="Normal 191 7" xfId="16048" xr:uid="{00000000-0005-0000-0000-0000503C0000}"/>
    <cellStyle name="Normal 192" xfId="16049" xr:uid="{00000000-0005-0000-0000-0000513C0000}"/>
    <cellStyle name="Normal 192 2" xfId="16050" xr:uid="{00000000-0005-0000-0000-0000523C0000}"/>
    <cellStyle name="Normal 192 2 2" xfId="16051" xr:uid="{00000000-0005-0000-0000-0000533C0000}"/>
    <cellStyle name="Normal 192 2 2 2" xfId="16052" xr:uid="{00000000-0005-0000-0000-0000543C0000}"/>
    <cellStyle name="Normal 192 2 2 2 2" xfId="16053" xr:uid="{00000000-0005-0000-0000-0000553C0000}"/>
    <cellStyle name="Normal 192 2 2 3" xfId="16054" xr:uid="{00000000-0005-0000-0000-0000563C0000}"/>
    <cellStyle name="Normal 192 2 2 3 2" xfId="16055" xr:uid="{00000000-0005-0000-0000-0000573C0000}"/>
    <cellStyle name="Normal 192 2 2 3 2 2" xfId="16056" xr:uid="{00000000-0005-0000-0000-0000583C0000}"/>
    <cellStyle name="Normal 192 2 2 3 3" xfId="16057" xr:uid="{00000000-0005-0000-0000-0000593C0000}"/>
    <cellStyle name="Normal 192 2 2 4" xfId="16058" xr:uid="{00000000-0005-0000-0000-00005A3C0000}"/>
    <cellStyle name="Normal 192 2 2 4 2" xfId="16059" xr:uid="{00000000-0005-0000-0000-00005B3C0000}"/>
    <cellStyle name="Normal 192 2 2 4 2 2" xfId="16060" xr:uid="{00000000-0005-0000-0000-00005C3C0000}"/>
    <cellStyle name="Normal 192 2 2 4 3" xfId="16061" xr:uid="{00000000-0005-0000-0000-00005D3C0000}"/>
    <cellStyle name="Normal 192 2 2 5" xfId="16062" xr:uid="{00000000-0005-0000-0000-00005E3C0000}"/>
    <cellStyle name="Normal 192 2 3" xfId="16063" xr:uid="{00000000-0005-0000-0000-00005F3C0000}"/>
    <cellStyle name="Normal 192 2 3 2" xfId="16064" xr:uid="{00000000-0005-0000-0000-0000603C0000}"/>
    <cellStyle name="Normal 192 2 3 2 2" xfId="16065" xr:uid="{00000000-0005-0000-0000-0000613C0000}"/>
    <cellStyle name="Normal 192 2 3 2 2 2" xfId="16066" xr:uid="{00000000-0005-0000-0000-0000623C0000}"/>
    <cellStyle name="Normal 192 2 3 2 3" xfId="16067" xr:uid="{00000000-0005-0000-0000-0000633C0000}"/>
    <cellStyle name="Normal 192 2 3 2 3 2" xfId="16068" xr:uid="{00000000-0005-0000-0000-0000643C0000}"/>
    <cellStyle name="Normal 192 2 3 2 3 2 2" xfId="16069" xr:uid="{00000000-0005-0000-0000-0000653C0000}"/>
    <cellStyle name="Normal 192 2 3 2 3 3" xfId="16070" xr:uid="{00000000-0005-0000-0000-0000663C0000}"/>
    <cellStyle name="Normal 192 2 3 2 4" xfId="16071" xr:uid="{00000000-0005-0000-0000-0000673C0000}"/>
    <cellStyle name="Normal 192 2 3 3" xfId="16072" xr:uid="{00000000-0005-0000-0000-0000683C0000}"/>
    <cellStyle name="Normal 192 2 3 3 2" xfId="16073" xr:uid="{00000000-0005-0000-0000-0000693C0000}"/>
    <cellStyle name="Normal 192 2 3 3 2 2" xfId="16074" xr:uid="{00000000-0005-0000-0000-00006A3C0000}"/>
    <cellStyle name="Normal 192 2 3 3 3" xfId="16075" xr:uid="{00000000-0005-0000-0000-00006B3C0000}"/>
    <cellStyle name="Normal 192 2 3 4" xfId="16076" xr:uid="{00000000-0005-0000-0000-00006C3C0000}"/>
    <cellStyle name="Normal 192 2 3 4 2" xfId="16077" xr:uid="{00000000-0005-0000-0000-00006D3C0000}"/>
    <cellStyle name="Normal 192 2 3 4 2 2" xfId="16078" xr:uid="{00000000-0005-0000-0000-00006E3C0000}"/>
    <cellStyle name="Normal 192 2 3 4 3" xfId="16079" xr:uid="{00000000-0005-0000-0000-00006F3C0000}"/>
    <cellStyle name="Normal 192 2 3 5" xfId="16080" xr:uid="{00000000-0005-0000-0000-0000703C0000}"/>
    <cellStyle name="Normal 192 2 3 5 2" xfId="16081" xr:uid="{00000000-0005-0000-0000-0000713C0000}"/>
    <cellStyle name="Normal 192 2 3 5 2 2" xfId="16082" xr:uid="{00000000-0005-0000-0000-0000723C0000}"/>
    <cellStyle name="Normal 192 2 3 5 3" xfId="16083" xr:uid="{00000000-0005-0000-0000-0000733C0000}"/>
    <cellStyle name="Normal 192 2 3 6" xfId="16084" xr:uid="{00000000-0005-0000-0000-0000743C0000}"/>
    <cellStyle name="Normal 192 2 4" xfId="16085" xr:uid="{00000000-0005-0000-0000-0000753C0000}"/>
    <cellStyle name="Normal 192 2 4 2" xfId="16086" xr:uid="{00000000-0005-0000-0000-0000763C0000}"/>
    <cellStyle name="Normal 192 2 4 2 2" xfId="16087" xr:uid="{00000000-0005-0000-0000-0000773C0000}"/>
    <cellStyle name="Normal 192 2 4 3" xfId="16088" xr:uid="{00000000-0005-0000-0000-0000783C0000}"/>
    <cellStyle name="Normal 192 2 5" xfId="16089" xr:uid="{00000000-0005-0000-0000-0000793C0000}"/>
    <cellStyle name="Normal 192 2 5 2" xfId="16090" xr:uid="{00000000-0005-0000-0000-00007A3C0000}"/>
    <cellStyle name="Normal 192 2 5 2 2" xfId="16091" xr:uid="{00000000-0005-0000-0000-00007B3C0000}"/>
    <cellStyle name="Normal 192 2 5 3" xfId="16092" xr:uid="{00000000-0005-0000-0000-00007C3C0000}"/>
    <cellStyle name="Normal 192 2 6" xfId="16093" xr:uid="{00000000-0005-0000-0000-00007D3C0000}"/>
    <cellStyle name="Normal 192 2 6 2" xfId="16094" xr:uid="{00000000-0005-0000-0000-00007E3C0000}"/>
    <cellStyle name="Normal 192 2 6 2 2" xfId="16095" xr:uid="{00000000-0005-0000-0000-00007F3C0000}"/>
    <cellStyle name="Normal 192 2 6 3" xfId="16096" xr:uid="{00000000-0005-0000-0000-0000803C0000}"/>
    <cellStyle name="Normal 192 2 7" xfId="16097" xr:uid="{00000000-0005-0000-0000-0000813C0000}"/>
    <cellStyle name="Normal 192 3" xfId="16098" xr:uid="{00000000-0005-0000-0000-0000823C0000}"/>
    <cellStyle name="Normal 192 3 2" xfId="16099" xr:uid="{00000000-0005-0000-0000-0000833C0000}"/>
    <cellStyle name="Normal 192 3 2 2" xfId="16100" xr:uid="{00000000-0005-0000-0000-0000843C0000}"/>
    <cellStyle name="Normal 192 3 3" xfId="16101" xr:uid="{00000000-0005-0000-0000-0000853C0000}"/>
    <cellStyle name="Normal 192 3 3 2" xfId="16102" xr:uid="{00000000-0005-0000-0000-0000863C0000}"/>
    <cellStyle name="Normal 192 3 3 2 2" xfId="16103" xr:uid="{00000000-0005-0000-0000-0000873C0000}"/>
    <cellStyle name="Normal 192 3 3 3" xfId="16104" xr:uid="{00000000-0005-0000-0000-0000883C0000}"/>
    <cellStyle name="Normal 192 3 4" xfId="16105" xr:uid="{00000000-0005-0000-0000-0000893C0000}"/>
    <cellStyle name="Normal 192 3 4 2" xfId="16106" xr:uid="{00000000-0005-0000-0000-00008A3C0000}"/>
    <cellStyle name="Normal 192 3 4 2 2" xfId="16107" xr:uid="{00000000-0005-0000-0000-00008B3C0000}"/>
    <cellStyle name="Normal 192 3 4 3" xfId="16108" xr:uid="{00000000-0005-0000-0000-00008C3C0000}"/>
    <cellStyle name="Normal 192 3 5" xfId="16109" xr:uid="{00000000-0005-0000-0000-00008D3C0000}"/>
    <cellStyle name="Normal 192 4" xfId="16110" xr:uid="{00000000-0005-0000-0000-00008E3C0000}"/>
    <cellStyle name="Normal 192 4 2" xfId="16111" xr:uid="{00000000-0005-0000-0000-00008F3C0000}"/>
    <cellStyle name="Normal 192 4 2 2" xfId="16112" xr:uid="{00000000-0005-0000-0000-0000903C0000}"/>
    <cellStyle name="Normal 192 4 2 2 2" xfId="16113" xr:uid="{00000000-0005-0000-0000-0000913C0000}"/>
    <cellStyle name="Normal 192 4 2 3" xfId="16114" xr:uid="{00000000-0005-0000-0000-0000923C0000}"/>
    <cellStyle name="Normal 192 4 2 3 2" xfId="16115" xr:uid="{00000000-0005-0000-0000-0000933C0000}"/>
    <cellStyle name="Normal 192 4 2 3 2 2" xfId="16116" xr:uid="{00000000-0005-0000-0000-0000943C0000}"/>
    <cellStyle name="Normal 192 4 2 3 3" xfId="16117" xr:uid="{00000000-0005-0000-0000-0000953C0000}"/>
    <cellStyle name="Normal 192 4 2 4" xfId="16118" xr:uid="{00000000-0005-0000-0000-0000963C0000}"/>
    <cellStyle name="Normal 192 4 3" xfId="16119" xr:uid="{00000000-0005-0000-0000-0000973C0000}"/>
    <cellStyle name="Normal 192 4 3 2" xfId="16120" xr:uid="{00000000-0005-0000-0000-0000983C0000}"/>
    <cellStyle name="Normal 192 4 3 2 2" xfId="16121" xr:uid="{00000000-0005-0000-0000-0000993C0000}"/>
    <cellStyle name="Normal 192 4 3 3" xfId="16122" xr:uid="{00000000-0005-0000-0000-00009A3C0000}"/>
    <cellStyle name="Normal 192 4 4" xfId="16123" xr:uid="{00000000-0005-0000-0000-00009B3C0000}"/>
    <cellStyle name="Normal 192 4 4 2" xfId="16124" xr:uid="{00000000-0005-0000-0000-00009C3C0000}"/>
    <cellStyle name="Normal 192 4 4 2 2" xfId="16125" xr:uid="{00000000-0005-0000-0000-00009D3C0000}"/>
    <cellStyle name="Normal 192 4 4 3" xfId="16126" xr:uid="{00000000-0005-0000-0000-00009E3C0000}"/>
    <cellStyle name="Normal 192 4 5" xfId="16127" xr:uid="{00000000-0005-0000-0000-00009F3C0000}"/>
    <cellStyle name="Normal 192 4 5 2" xfId="16128" xr:uid="{00000000-0005-0000-0000-0000A03C0000}"/>
    <cellStyle name="Normal 192 4 5 2 2" xfId="16129" xr:uid="{00000000-0005-0000-0000-0000A13C0000}"/>
    <cellStyle name="Normal 192 4 5 3" xfId="16130" xr:uid="{00000000-0005-0000-0000-0000A23C0000}"/>
    <cellStyle name="Normal 192 4 6" xfId="16131" xr:uid="{00000000-0005-0000-0000-0000A33C0000}"/>
    <cellStyle name="Normal 192 5" xfId="16132" xr:uid="{00000000-0005-0000-0000-0000A43C0000}"/>
    <cellStyle name="Normal 192 5 2" xfId="16133" xr:uid="{00000000-0005-0000-0000-0000A53C0000}"/>
    <cellStyle name="Normal 192 5 2 2" xfId="16134" xr:uid="{00000000-0005-0000-0000-0000A63C0000}"/>
    <cellStyle name="Normal 192 5 3" xfId="16135" xr:uid="{00000000-0005-0000-0000-0000A73C0000}"/>
    <cellStyle name="Normal 192 6" xfId="16136" xr:uid="{00000000-0005-0000-0000-0000A83C0000}"/>
    <cellStyle name="Normal 192 6 2" xfId="16137" xr:uid="{00000000-0005-0000-0000-0000A93C0000}"/>
    <cellStyle name="Normal 192 6 2 2" xfId="16138" xr:uid="{00000000-0005-0000-0000-0000AA3C0000}"/>
    <cellStyle name="Normal 192 6 3" xfId="16139" xr:uid="{00000000-0005-0000-0000-0000AB3C0000}"/>
    <cellStyle name="Normal 192 7" xfId="16140" xr:uid="{00000000-0005-0000-0000-0000AC3C0000}"/>
    <cellStyle name="Normal 192 7 2" xfId="16141" xr:uid="{00000000-0005-0000-0000-0000AD3C0000}"/>
    <cellStyle name="Normal 192 7 2 2" xfId="16142" xr:uid="{00000000-0005-0000-0000-0000AE3C0000}"/>
    <cellStyle name="Normal 192 7 3" xfId="16143" xr:uid="{00000000-0005-0000-0000-0000AF3C0000}"/>
    <cellStyle name="Normal 192 8" xfId="16144" xr:uid="{00000000-0005-0000-0000-0000B03C0000}"/>
    <cellStyle name="Normal 193" xfId="16145" xr:uid="{00000000-0005-0000-0000-0000B13C0000}"/>
    <cellStyle name="Normal 193 2" xfId="16146" xr:uid="{00000000-0005-0000-0000-0000B23C0000}"/>
    <cellStyle name="Normal 193 2 2" xfId="16147" xr:uid="{00000000-0005-0000-0000-0000B33C0000}"/>
    <cellStyle name="Normal 193 2 2 2" xfId="16148" xr:uid="{00000000-0005-0000-0000-0000B43C0000}"/>
    <cellStyle name="Normal 193 2 2 2 2" xfId="16149" xr:uid="{00000000-0005-0000-0000-0000B53C0000}"/>
    <cellStyle name="Normal 193 2 2 3" xfId="16150" xr:uid="{00000000-0005-0000-0000-0000B63C0000}"/>
    <cellStyle name="Normal 193 2 2 3 2" xfId="16151" xr:uid="{00000000-0005-0000-0000-0000B73C0000}"/>
    <cellStyle name="Normal 193 2 2 3 2 2" xfId="16152" xr:uid="{00000000-0005-0000-0000-0000B83C0000}"/>
    <cellStyle name="Normal 193 2 2 3 3" xfId="16153" xr:uid="{00000000-0005-0000-0000-0000B93C0000}"/>
    <cellStyle name="Normal 193 2 2 4" xfId="16154" xr:uid="{00000000-0005-0000-0000-0000BA3C0000}"/>
    <cellStyle name="Normal 193 2 2 4 2" xfId="16155" xr:uid="{00000000-0005-0000-0000-0000BB3C0000}"/>
    <cellStyle name="Normal 193 2 2 4 2 2" xfId="16156" xr:uid="{00000000-0005-0000-0000-0000BC3C0000}"/>
    <cellStyle name="Normal 193 2 2 4 3" xfId="16157" xr:uid="{00000000-0005-0000-0000-0000BD3C0000}"/>
    <cellStyle name="Normal 193 2 2 5" xfId="16158" xr:uid="{00000000-0005-0000-0000-0000BE3C0000}"/>
    <cellStyle name="Normal 193 2 3" xfId="16159" xr:uid="{00000000-0005-0000-0000-0000BF3C0000}"/>
    <cellStyle name="Normal 193 2 3 2" xfId="16160" xr:uid="{00000000-0005-0000-0000-0000C03C0000}"/>
    <cellStyle name="Normal 193 2 3 2 2" xfId="16161" xr:uid="{00000000-0005-0000-0000-0000C13C0000}"/>
    <cellStyle name="Normal 193 2 3 2 2 2" xfId="16162" xr:uid="{00000000-0005-0000-0000-0000C23C0000}"/>
    <cellStyle name="Normal 193 2 3 2 3" xfId="16163" xr:uid="{00000000-0005-0000-0000-0000C33C0000}"/>
    <cellStyle name="Normal 193 2 3 2 3 2" xfId="16164" xr:uid="{00000000-0005-0000-0000-0000C43C0000}"/>
    <cellStyle name="Normal 193 2 3 2 3 2 2" xfId="16165" xr:uid="{00000000-0005-0000-0000-0000C53C0000}"/>
    <cellStyle name="Normal 193 2 3 2 3 3" xfId="16166" xr:uid="{00000000-0005-0000-0000-0000C63C0000}"/>
    <cellStyle name="Normal 193 2 3 2 4" xfId="16167" xr:uid="{00000000-0005-0000-0000-0000C73C0000}"/>
    <cellStyle name="Normal 193 2 3 3" xfId="16168" xr:uid="{00000000-0005-0000-0000-0000C83C0000}"/>
    <cellStyle name="Normal 193 2 3 3 2" xfId="16169" xr:uid="{00000000-0005-0000-0000-0000C93C0000}"/>
    <cellStyle name="Normal 193 2 3 3 2 2" xfId="16170" xr:uid="{00000000-0005-0000-0000-0000CA3C0000}"/>
    <cellStyle name="Normal 193 2 3 3 3" xfId="16171" xr:uid="{00000000-0005-0000-0000-0000CB3C0000}"/>
    <cellStyle name="Normal 193 2 3 4" xfId="16172" xr:uid="{00000000-0005-0000-0000-0000CC3C0000}"/>
    <cellStyle name="Normal 193 2 3 4 2" xfId="16173" xr:uid="{00000000-0005-0000-0000-0000CD3C0000}"/>
    <cellStyle name="Normal 193 2 3 4 2 2" xfId="16174" xr:uid="{00000000-0005-0000-0000-0000CE3C0000}"/>
    <cellStyle name="Normal 193 2 3 4 3" xfId="16175" xr:uid="{00000000-0005-0000-0000-0000CF3C0000}"/>
    <cellStyle name="Normal 193 2 3 5" xfId="16176" xr:uid="{00000000-0005-0000-0000-0000D03C0000}"/>
    <cellStyle name="Normal 193 2 3 5 2" xfId="16177" xr:uid="{00000000-0005-0000-0000-0000D13C0000}"/>
    <cellStyle name="Normal 193 2 3 5 2 2" xfId="16178" xr:uid="{00000000-0005-0000-0000-0000D23C0000}"/>
    <cellStyle name="Normal 193 2 3 5 3" xfId="16179" xr:uid="{00000000-0005-0000-0000-0000D33C0000}"/>
    <cellStyle name="Normal 193 2 3 6" xfId="16180" xr:uid="{00000000-0005-0000-0000-0000D43C0000}"/>
    <cellStyle name="Normal 193 2 4" xfId="16181" xr:uid="{00000000-0005-0000-0000-0000D53C0000}"/>
    <cellStyle name="Normal 193 2 4 2" xfId="16182" xr:uid="{00000000-0005-0000-0000-0000D63C0000}"/>
    <cellStyle name="Normal 193 2 4 2 2" xfId="16183" xr:uid="{00000000-0005-0000-0000-0000D73C0000}"/>
    <cellStyle name="Normal 193 2 4 3" xfId="16184" xr:uid="{00000000-0005-0000-0000-0000D83C0000}"/>
    <cellStyle name="Normal 193 2 5" xfId="16185" xr:uid="{00000000-0005-0000-0000-0000D93C0000}"/>
    <cellStyle name="Normal 193 2 5 2" xfId="16186" xr:uid="{00000000-0005-0000-0000-0000DA3C0000}"/>
    <cellStyle name="Normal 193 2 5 2 2" xfId="16187" xr:uid="{00000000-0005-0000-0000-0000DB3C0000}"/>
    <cellStyle name="Normal 193 2 5 3" xfId="16188" xr:uid="{00000000-0005-0000-0000-0000DC3C0000}"/>
    <cellStyle name="Normal 193 2 6" xfId="16189" xr:uid="{00000000-0005-0000-0000-0000DD3C0000}"/>
    <cellStyle name="Normal 193 2 6 2" xfId="16190" xr:uid="{00000000-0005-0000-0000-0000DE3C0000}"/>
    <cellStyle name="Normal 193 2 6 2 2" xfId="16191" xr:uid="{00000000-0005-0000-0000-0000DF3C0000}"/>
    <cellStyle name="Normal 193 2 6 3" xfId="16192" xr:uid="{00000000-0005-0000-0000-0000E03C0000}"/>
    <cellStyle name="Normal 193 2 7" xfId="16193" xr:uid="{00000000-0005-0000-0000-0000E13C0000}"/>
    <cellStyle name="Normal 193 3" xfId="16194" xr:uid="{00000000-0005-0000-0000-0000E23C0000}"/>
    <cellStyle name="Normal 193 3 2" xfId="16195" xr:uid="{00000000-0005-0000-0000-0000E33C0000}"/>
    <cellStyle name="Normal 193 3 2 2" xfId="16196" xr:uid="{00000000-0005-0000-0000-0000E43C0000}"/>
    <cellStyle name="Normal 193 3 3" xfId="16197" xr:uid="{00000000-0005-0000-0000-0000E53C0000}"/>
    <cellStyle name="Normal 193 3 3 2" xfId="16198" xr:uid="{00000000-0005-0000-0000-0000E63C0000}"/>
    <cellStyle name="Normal 193 3 3 2 2" xfId="16199" xr:uid="{00000000-0005-0000-0000-0000E73C0000}"/>
    <cellStyle name="Normal 193 3 3 3" xfId="16200" xr:uid="{00000000-0005-0000-0000-0000E83C0000}"/>
    <cellStyle name="Normal 193 3 4" xfId="16201" xr:uid="{00000000-0005-0000-0000-0000E93C0000}"/>
    <cellStyle name="Normal 193 3 4 2" xfId="16202" xr:uid="{00000000-0005-0000-0000-0000EA3C0000}"/>
    <cellStyle name="Normal 193 3 4 2 2" xfId="16203" xr:uid="{00000000-0005-0000-0000-0000EB3C0000}"/>
    <cellStyle name="Normal 193 3 4 3" xfId="16204" xr:uid="{00000000-0005-0000-0000-0000EC3C0000}"/>
    <cellStyle name="Normal 193 3 5" xfId="16205" xr:uid="{00000000-0005-0000-0000-0000ED3C0000}"/>
    <cellStyle name="Normal 193 4" xfId="16206" xr:uid="{00000000-0005-0000-0000-0000EE3C0000}"/>
    <cellStyle name="Normal 193 4 2" xfId="16207" xr:uid="{00000000-0005-0000-0000-0000EF3C0000}"/>
    <cellStyle name="Normal 193 4 2 2" xfId="16208" xr:uid="{00000000-0005-0000-0000-0000F03C0000}"/>
    <cellStyle name="Normal 193 4 2 2 2" xfId="16209" xr:uid="{00000000-0005-0000-0000-0000F13C0000}"/>
    <cellStyle name="Normal 193 4 2 3" xfId="16210" xr:uid="{00000000-0005-0000-0000-0000F23C0000}"/>
    <cellStyle name="Normal 193 4 2 3 2" xfId="16211" xr:uid="{00000000-0005-0000-0000-0000F33C0000}"/>
    <cellStyle name="Normal 193 4 2 3 2 2" xfId="16212" xr:uid="{00000000-0005-0000-0000-0000F43C0000}"/>
    <cellStyle name="Normal 193 4 2 3 3" xfId="16213" xr:uid="{00000000-0005-0000-0000-0000F53C0000}"/>
    <cellStyle name="Normal 193 4 2 4" xfId="16214" xr:uid="{00000000-0005-0000-0000-0000F63C0000}"/>
    <cellStyle name="Normal 193 4 3" xfId="16215" xr:uid="{00000000-0005-0000-0000-0000F73C0000}"/>
    <cellStyle name="Normal 193 4 3 2" xfId="16216" xr:uid="{00000000-0005-0000-0000-0000F83C0000}"/>
    <cellStyle name="Normal 193 4 3 2 2" xfId="16217" xr:uid="{00000000-0005-0000-0000-0000F93C0000}"/>
    <cellStyle name="Normal 193 4 3 3" xfId="16218" xr:uid="{00000000-0005-0000-0000-0000FA3C0000}"/>
    <cellStyle name="Normal 193 4 4" xfId="16219" xr:uid="{00000000-0005-0000-0000-0000FB3C0000}"/>
    <cellStyle name="Normal 193 4 4 2" xfId="16220" xr:uid="{00000000-0005-0000-0000-0000FC3C0000}"/>
    <cellStyle name="Normal 193 4 4 2 2" xfId="16221" xr:uid="{00000000-0005-0000-0000-0000FD3C0000}"/>
    <cellStyle name="Normal 193 4 4 3" xfId="16222" xr:uid="{00000000-0005-0000-0000-0000FE3C0000}"/>
    <cellStyle name="Normal 193 4 5" xfId="16223" xr:uid="{00000000-0005-0000-0000-0000FF3C0000}"/>
    <cellStyle name="Normal 193 4 5 2" xfId="16224" xr:uid="{00000000-0005-0000-0000-0000003D0000}"/>
    <cellStyle name="Normal 193 4 5 2 2" xfId="16225" xr:uid="{00000000-0005-0000-0000-0000013D0000}"/>
    <cellStyle name="Normal 193 4 5 3" xfId="16226" xr:uid="{00000000-0005-0000-0000-0000023D0000}"/>
    <cellStyle name="Normal 193 4 6" xfId="16227" xr:uid="{00000000-0005-0000-0000-0000033D0000}"/>
    <cellStyle name="Normal 193 5" xfId="16228" xr:uid="{00000000-0005-0000-0000-0000043D0000}"/>
    <cellStyle name="Normal 193 5 2" xfId="16229" xr:uid="{00000000-0005-0000-0000-0000053D0000}"/>
    <cellStyle name="Normal 193 5 2 2" xfId="16230" xr:uid="{00000000-0005-0000-0000-0000063D0000}"/>
    <cellStyle name="Normal 193 5 3" xfId="16231" xr:uid="{00000000-0005-0000-0000-0000073D0000}"/>
    <cellStyle name="Normal 193 6" xfId="16232" xr:uid="{00000000-0005-0000-0000-0000083D0000}"/>
    <cellStyle name="Normal 193 6 2" xfId="16233" xr:uid="{00000000-0005-0000-0000-0000093D0000}"/>
    <cellStyle name="Normal 193 6 2 2" xfId="16234" xr:uid="{00000000-0005-0000-0000-00000A3D0000}"/>
    <cellStyle name="Normal 193 6 3" xfId="16235" xr:uid="{00000000-0005-0000-0000-00000B3D0000}"/>
    <cellStyle name="Normal 193 7" xfId="16236" xr:uid="{00000000-0005-0000-0000-00000C3D0000}"/>
    <cellStyle name="Normal 193 7 2" xfId="16237" xr:uid="{00000000-0005-0000-0000-00000D3D0000}"/>
    <cellStyle name="Normal 193 7 2 2" xfId="16238" xr:uid="{00000000-0005-0000-0000-00000E3D0000}"/>
    <cellStyle name="Normal 193 7 3" xfId="16239" xr:uid="{00000000-0005-0000-0000-00000F3D0000}"/>
    <cellStyle name="Normal 193 8" xfId="16240" xr:uid="{00000000-0005-0000-0000-0000103D0000}"/>
    <cellStyle name="Normal 194" xfId="16241" xr:uid="{00000000-0005-0000-0000-0000113D0000}"/>
    <cellStyle name="Normal 194 2" xfId="16242" xr:uid="{00000000-0005-0000-0000-0000123D0000}"/>
    <cellStyle name="Normal 194 2 2" xfId="16243" xr:uid="{00000000-0005-0000-0000-0000133D0000}"/>
    <cellStyle name="Normal 194 2 2 2" xfId="16244" xr:uid="{00000000-0005-0000-0000-0000143D0000}"/>
    <cellStyle name="Normal 194 2 2 2 2" xfId="16245" xr:uid="{00000000-0005-0000-0000-0000153D0000}"/>
    <cellStyle name="Normal 194 2 2 3" xfId="16246" xr:uid="{00000000-0005-0000-0000-0000163D0000}"/>
    <cellStyle name="Normal 194 2 2 3 2" xfId="16247" xr:uid="{00000000-0005-0000-0000-0000173D0000}"/>
    <cellStyle name="Normal 194 2 2 3 2 2" xfId="16248" xr:uid="{00000000-0005-0000-0000-0000183D0000}"/>
    <cellStyle name="Normal 194 2 2 3 3" xfId="16249" xr:uid="{00000000-0005-0000-0000-0000193D0000}"/>
    <cellStyle name="Normal 194 2 2 4" xfId="16250" xr:uid="{00000000-0005-0000-0000-00001A3D0000}"/>
    <cellStyle name="Normal 194 2 2 4 2" xfId="16251" xr:uid="{00000000-0005-0000-0000-00001B3D0000}"/>
    <cellStyle name="Normal 194 2 2 4 2 2" xfId="16252" xr:uid="{00000000-0005-0000-0000-00001C3D0000}"/>
    <cellStyle name="Normal 194 2 2 4 3" xfId="16253" xr:uid="{00000000-0005-0000-0000-00001D3D0000}"/>
    <cellStyle name="Normal 194 2 2 5" xfId="16254" xr:uid="{00000000-0005-0000-0000-00001E3D0000}"/>
    <cellStyle name="Normal 194 2 3" xfId="16255" xr:uid="{00000000-0005-0000-0000-00001F3D0000}"/>
    <cellStyle name="Normal 194 2 3 2" xfId="16256" xr:uid="{00000000-0005-0000-0000-0000203D0000}"/>
    <cellStyle name="Normal 194 2 3 2 2" xfId="16257" xr:uid="{00000000-0005-0000-0000-0000213D0000}"/>
    <cellStyle name="Normal 194 2 3 2 2 2" xfId="16258" xr:uid="{00000000-0005-0000-0000-0000223D0000}"/>
    <cellStyle name="Normal 194 2 3 2 3" xfId="16259" xr:uid="{00000000-0005-0000-0000-0000233D0000}"/>
    <cellStyle name="Normal 194 2 3 2 3 2" xfId="16260" xr:uid="{00000000-0005-0000-0000-0000243D0000}"/>
    <cellStyle name="Normal 194 2 3 2 3 2 2" xfId="16261" xr:uid="{00000000-0005-0000-0000-0000253D0000}"/>
    <cellStyle name="Normal 194 2 3 2 3 3" xfId="16262" xr:uid="{00000000-0005-0000-0000-0000263D0000}"/>
    <cellStyle name="Normal 194 2 3 2 4" xfId="16263" xr:uid="{00000000-0005-0000-0000-0000273D0000}"/>
    <cellStyle name="Normal 194 2 3 3" xfId="16264" xr:uid="{00000000-0005-0000-0000-0000283D0000}"/>
    <cellStyle name="Normal 194 2 3 3 2" xfId="16265" xr:uid="{00000000-0005-0000-0000-0000293D0000}"/>
    <cellStyle name="Normal 194 2 3 3 2 2" xfId="16266" xr:uid="{00000000-0005-0000-0000-00002A3D0000}"/>
    <cellStyle name="Normal 194 2 3 3 3" xfId="16267" xr:uid="{00000000-0005-0000-0000-00002B3D0000}"/>
    <cellStyle name="Normal 194 2 3 4" xfId="16268" xr:uid="{00000000-0005-0000-0000-00002C3D0000}"/>
    <cellStyle name="Normal 194 2 3 4 2" xfId="16269" xr:uid="{00000000-0005-0000-0000-00002D3D0000}"/>
    <cellStyle name="Normal 194 2 3 4 2 2" xfId="16270" xr:uid="{00000000-0005-0000-0000-00002E3D0000}"/>
    <cellStyle name="Normal 194 2 3 4 3" xfId="16271" xr:uid="{00000000-0005-0000-0000-00002F3D0000}"/>
    <cellStyle name="Normal 194 2 3 5" xfId="16272" xr:uid="{00000000-0005-0000-0000-0000303D0000}"/>
    <cellStyle name="Normal 194 2 3 5 2" xfId="16273" xr:uid="{00000000-0005-0000-0000-0000313D0000}"/>
    <cellStyle name="Normal 194 2 3 5 2 2" xfId="16274" xr:uid="{00000000-0005-0000-0000-0000323D0000}"/>
    <cellStyle name="Normal 194 2 3 5 3" xfId="16275" xr:uid="{00000000-0005-0000-0000-0000333D0000}"/>
    <cellStyle name="Normal 194 2 3 6" xfId="16276" xr:uid="{00000000-0005-0000-0000-0000343D0000}"/>
    <cellStyle name="Normal 194 2 4" xfId="16277" xr:uid="{00000000-0005-0000-0000-0000353D0000}"/>
    <cellStyle name="Normal 194 2 4 2" xfId="16278" xr:uid="{00000000-0005-0000-0000-0000363D0000}"/>
    <cellStyle name="Normal 194 2 4 2 2" xfId="16279" xr:uid="{00000000-0005-0000-0000-0000373D0000}"/>
    <cellStyle name="Normal 194 2 4 3" xfId="16280" xr:uid="{00000000-0005-0000-0000-0000383D0000}"/>
    <cellStyle name="Normal 194 2 5" xfId="16281" xr:uid="{00000000-0005-0000-0000-0000393D0000}"/>
    <cellStyle name="Normal 194 2 5 2" xfId="16282" xr:uid="{00000000-0005-0000-0000-00003A3D0000}"/>
    <cellStyle name="Normal 194 2 5 2 2" xfId="16283" xr:uid="{00000000-0005-0000-0000-00003B3D0000}"/>
    <cellStyle name="Normal 194 2 5 3" xfId="16284" xr:uid="{00000000-0005-0000-0000-00003C3D0000}"/>
    <cellStyle name="Normal 194 2 6" xfId="16285" xr:uid="{00000000-0005-0000-0000-00003D3D0000}"/>
    <cellStyle name="Normal 194 2 6 2" xfId="16286" xr:uid="{00000000-0005-0000-0000-00003E3D0000}"/>
    <cellStyle name="Normal 194 2 6 2 2" xfId="16287" xr:uid="{00000000-0005-0000-0000-00003F3D0000}"/>
    <cellStyle name="Normal 194 2 6 3" xfId="16288" xr:uid="{00000000-0005-0000-0000-0000403D0000}"/>
    <cellStyle name="Normal 194 2 7" xfId="16289" xr:uid="{00000000-0005-0000-0000-0000413D0000}"/>
    <cellStyle name="Normal 194 3" xfId="16290" xr:uid="{00000000-0005-0000-0000-0000423D0000}"/>
    <cellStyle name="Normal 194 3 2" xfId="16291" xr:uid="{00000000-0005-0000-0000-0000433D0000}"/>
    <cellStyle name="Normal 194 3 2 2" xfId="16292" xr:uid="{00000000-0005-0000-0000-0000443D0000}"/>
    <cellStyle name="Normal 194 3 3" xfId="16293" xr:uid="{00000000-0005-0000-0000-0000453D0000}"/>
    <cellStyle name="Normal 194 3 3 2" xfId="16294" xr:uid="{00000000-0005-0000-0000-0000463D0000}"/>
    <cellStyle name="Normal 194 3 3 2 2" xfId="16295" xr:uid="{00000000-0005-0000-0000-0000473D0000}"/>
    <cellStyle name="Normal 194 3 3 3" xfId="16296" xr:uid="{00000000-0005-0000-0000-0000483D0000}"/>
    <cellStyle name="Normal 194 3 4" xfId="16297" xr:uid="{00000000-0005-0000-0000-0000493D0000}"/>
    <cellStyle name="Normal 194 3 4 2" xfId="16298" xr:uid="{00000000-0005-0000-0000-00004A3D0000}"/>
    <cellStyle name="Normal 194 3 4 2 2" xfId="16299" xr:uid="{00000000-0005-0000-0000-00004B3D0000}"/>
    <cellStyle name="Normal 194 3 4 3" xfId="16300" xr:uid="{00000000-0005-0000-0000-00004C3D0000}"/>
    <cellStyle name="Normal 194 3 5" xfId="16301" xr:uid="{00000000-0005-0000-0000-00004D3D0000}"/>
    <cellStyle name="Normal 194 4" xfId="16302" xr:uid="{00000000-0005-0000-0000-00004E3D0000}"/>
    <cellStyle name="Normal 194 4 2" xfId="16303" xr:uid="{00000000-0005-0000-0000-00004F3D0000}"/>
    <cellStyle name="Normal 194 4 2 2" xfId="16304" xr:uid="{00000000-0005-0000-0000-0000503D0000}"/>
    <cellStyle name="Normal 194 4 2 2 2" xfId="16305" xr:uid="{00000000-0005-0000-0000-0000513D0000}"/>
    <cellStyle name="Normal 194 4 2 3" xfId="16306" xr:uid="{00000000-0005-0000-0000-0000523D0000}"/>
    <cellStyle name="Normal 194 4 2 3 2" xfId="16307" xr:uid="{00000000-0005-0000-0000-0000533D0000}"/>
    <cellStyle name="Normal 194 4 2 3 2 2" xfId="16308" xr:uid="{00000000-0005-0000-0000-0000543D0000}"/>
    <cellStyle name="Normal 194 4 2 3 3" xfId="16309" xr:uid="{00000000-0005-0000-0000-0000553D0000}"/>
    <cellStyle name="Normal 194 4 2 4" xfId="16310" xr:uid="{00000000-0005-0000-0000-0000563D0000}"/>
    <cellStyle name="Normal 194 4 3" xfId="16311" xr:uid="{00000000-0005-0000-0000-0000573D0000}"/>
    <cellStyle name="Normal 194 4 3 2" xfId="16312" xr:uid="{00000000-0005-0000-0000-0000583D0000}"/>
    <cellStyle name="Normal 194 4 3 2 2" xfId="16313" xr:uid="{00000000-0005-0000-0000-0000593D0000}"/>
    <cellStyle name="Normal 194 4 3 3" xfId="16314" xr:uid="{00000000-0005-0000-0000-00005A3D0000}"/>
    <cellStyle name="Normal 194 4 4" xfId="16315" xr:uid="{00000000-0005-0000-0000-00005B3D0000}"/>
    <cellStyle name="Normal 194 4 4 2" xfId="16316" xr:uid="{00000000-0005-0000-0000-00005C3D0000}"/>
    <cellStyle name="Normal 194 4 4 2 2" xfId="16317" xr:uid="{00000000-0005-0000-0000-00005D3D0000}"/>
    <cellStyle name="Normal 194 4 4 3" xfId="16318" xr:uid="{00000000-0005-0000-0000-00005E3D0000}"/>
    <cellStyle name="Normal 194 4 5" xfId="16319" xr:uid="{00000000-0005-0000-0000-00005F3D0000}"/>
    <cellStyle name="Normal 194 4 5 2" xfId="16320" xr:uid="{00000000-0005-0000-0000-0000603D0000}"/>
    <cellStyle name="Normal 194 4 5 2 2" xfId="16321" xr:uid="{00000000-0005-0000-0000-0000613D0000}"/>
    <cellStyle name="Normal 194 4 5 3" xfId="16322" xr:uid="{00000000-0005-0000-0000-0000623D0000}"/>
    <cellStyle name="Normal 194 4 6" xfId="16323" xr:uid="{00000000-0005-0000-0000-0000633D0000}"/>
    <cellStyle name="Normal 194 5" xfId="16324" xr:uid="{00000000-0005-0000-0000-0000643D0000}"/>
    <cellStyle name="Normal 194 5 2" xfId="16325" xr:uid="{00000000-0005-0000-0000-0000653D0000}"/>
    <cellStyle name="Normal 194 5 2 2" xfId="16326" xr:uid="{00000000-0005-0000-0000-0000663D0000}"/>
    <cellStyle name="Normal 194 5 3" xfId="16327" xr:uid="{00000000-0005-0000-0000-0000673D0000}"/>
    <cellStyle name="Normal 194 6" xfId="16328" xr:uid="{00000000-0005-0000-0000-0000683D0000}"/>
    <cellStyle name="Normal 194 6 2" xfId="16329" xr:uid="{00000000-0005-0000-0000-0000693D0000}"/>
    <cellStyle name="Normal 194 6 2 2" xfId="16330" xr:uid="{00000000-0005-0000-0000-00006A3D0000}"/>
    <cellStyle name="Normal 194 6 3" xfId="16331" xr:uid="{00000000-0005-0000-0000-00006B3D0000}"/>
    <cellStyle name="Normal 194 7" xfId="16332" xr:uid="{00000000-0005-0000-0000-00006C3D0000}"/>
    <cellStyle name="Normal 194 7 2" xfId="16333" xr:uid="{00000000-0005-0000-0000-00006D3D0000}"/>
    <cellStyle name="Normal 194 7 2 2" xfId="16334" xr:uid="{00000000-0005-0000-0000-00006E3D0000}"/>
    <cellStyle name="Normal 194 7 3" xfId="16335" xr:uid="{00000000-0005-0000-0000-00006F3D0000}"/>
    <cellStyle name="Normal 194 8" xfId="16336" xr:uid="{00000000-0005-0000-0000-0000703D0000}"/>
    <cellStyle name="Normal 195" xfId="16337" xr:uid="{00000000-0005-0000-0000-0000713D0000}"/>
    <cellStyle name="Normal 195 2" xfId="16338" xr:uid="{00000000-0005-0000-0000-0000723D0000}"/>
    <cellStyle name="Normal 195 2 2" xfId="16339" xr:uid="{00000000-0005-0000-0000-0000733D0000}"/>
    <cellStyle name="Normal 195 2 2 2" xfId="16340" xr:uid="{00000000-0005-0000-0000-0000743D0000}"/>
    <cellStyle name="Normal 195 2 2 2 2" xfId="16341" xr:uid="{00000000-0005-0000-0000-0000753D0000}"/>
    <cellStyle name="Normal 195 2 2 3" xfId="16342" xr:uid="{00000000-0005-0000-0000-0000763D0000}"/>
    <cellStyle name="Normal 195 2 2 3 2" xfId="16343" xr:uid="{00000000-0005-0000-0000-0000773D0000}"/>
    <cellStyle name="Normal 195 2 2 3 2 2" xfId="16344" xr:uid="{00000000-0005-0000-0000-0000783D0000}"/>
    <cellStyle name="Normal 195 2 2 3 3" xfId="16345" xr:uid="{00000000-0005-0000-0000-0000793D0000}"/>
    <cellStyle name="Normal 195 2 2 4" xfId="16346" xr:uid="{00000000-0005-0000-0000-00007A3D0000}"/>
    <cellStyle name="Normal 195 2 2 4 2" xfId="16347" xr:uid="{00000000-0005-0000-0000-00007B3D0000}"/>
    <cellStyle name="Normal 195 2 2 4 2 2" xfId="16348" xr:uid="{00000000-0005-0000-0000-00007C3D0000}"/>
    <cellStyle name="Normal 195 2 2 4 3" xfId="16349" xr:uid="{00000000-0005-0000-0000-00007D3D0000}"/>
    <cellStyle name="Normal 195 2 2 5" xfId="16350" xr:uid="{00000000-0005-0000-0000-00007E3D0000}"/>
    <cellStyle name="Normal 195 2 3" xfId="16351" xr:uid="{00000000-0005-0000-0000-00007F3D0000}"/>
    <cellStyle name="Normal 195 2 3 2" xfId="16352" xr:uid="{00000000-0005-0000-0000-0000803D0000}"/>
    <cellStyle name="Normal 195 2 3 2 2" xfId="16353" xr:uid="{00000000-0005-0000-0000-0000813D0000}"/>
    <cellStyle name="Normal 195 2 3 2 2 2" xfId="16354" xr:uid="{00000000-0005-0000-0000-0000823D0000}"/>
    <cellStyle name="Normal 195 2 3 2 3" xfId="16355" xr:uid="{00000000-0005-0000-0000-0000833D0000}"/>
    <cellStyle name="Normal 195 2 3 2 3 2" xfId="16356" xr:uid="{00000000-0005-0000-0000-0000843D0000}"/>
    <cellStyle name="Normal 195 2 3 2 3 2 2" xfId="16357" xr:uid="{00000000-0005-0000-0000-0000853D0000}"/>
    <cellStyle name="Normal 195 2 3 2 3 3" xfId="16358" xr:uid="{00000000-0005-0000-0000-0000863D0000}"/>
    <cellStyle name="Normal 195 2 3 2 4" xfId="16359" xr:uid="{00000000-0005-0000-0000-0000873D0000}"/>
    <cellStyle name="Normal 195 2 3 3" xfId="16360" xr:uid="{00000000-0005-0000-0000-0000883D0000}"/>
    <cellStyle name="Normal 195 2 3 3 2" xfId="16361" xr:uid="{00000000-0005-0000-0000-0000893D0000}"/>
    <cellStyle name="Normal 195 2 3 3 2 2" xfId="16362" xr:uid="{00000000-0005-0000-0000-00008A3D0000}"/>
    <cellStyle name="Normal 195 2 3 3 3" xfId="16363" xr:uid="{00000000-0005-0000-0000-00008B3D0000}"/>
    <cellStyle name="Normal 195 2 3 4" xfId="16364" xr:uid="{00000000-0005-0000-0000-00008C3D0000}"/>
    <cellStyle name="Normal 195 2 3 4 2" xfId="16365" xr:uid="{00000000-0005-0000-0000-00008D3D0000}"/>
    <cellStyle name="Normal 195 2 3 4 2 2" xfId="16366" xr:uid="{00000000-0005-0000-0000-00008E3D0000}"/>
    <cellStyle name="Normal 195 2 3 4 3" xfId="16367" xr:uid="{00000000-0005-0000-0000-00008F3D0000}"/>
    <cellStyle name="Normal 195 2 3 5" xfId="16368" xr:uid="{00000000-0005-0000-0000-0000903D0000}"/>
    <cellStyle name="Normal 195 2 3 5 2" xfId="16369" xr:uid="{00000000-0005-0000-0000-0000913D0000}"/>
    <cellStyle name="Normal 195 2 3 5 2 2" xfId="16370" xr:uid="{00000000-0005-0000-0000-0000923D0000}"/>
    <cellStyle name="Normal 195 2 3 5 3" xfId="16371" xr:uid="{00000000-0005-0000-0000-0000933D0000}"/>
    <cellStyle name="Normal 195 2 3 6" xfId="16372" xr:uid="{00000000-0005-0000-0000-0000943D0000}"/>
    <cellStyle name="Normal 195 2 4" xfId="16373" xr:uid="{00000000-0005-0000-0000-0000953D0000}"/>
    <cellStyle name="Normal 195 2 4 2" xfId="16374" xr:uid="{00000000-0005-0000-0000-0000963D0000}"/>
    <cellStyle name="Normal 195 2 4 2 2" xfId="16375" xr:uid="{00000000-0005-0000-0000-0000973D0000}"/>
    <cellStyle name="Normal 195 2 4 3" xfId="16376" xr:uid="{00000000-0005-0000-0000-0000983D0000}"/>
    <cellStyle name="Normal 195 2 5" xfId="16377" xr:uid="{00000000-0005-0000-0000-0000993D0000}"/>
    <cellStyle name="Normal 195 2 5 2" xfId="16378" xr:uid="{00000000-0005-0000-0000-00009A3D0000}"/>
    <cellStyle name="Normal 195 2 5 2 2" xfId="16379" xr:uid="{00000000-0005-0000-0000-00009B3D0000}"/>
    <cellStyle name="Normal 195 2 5 3" xfId="16380" xr:uid="{00000000-0005-0000-0000-00009C3D0000}"/>
    <cellStyle name="Normal 195 2 6" xfId="16381" xr:uid="{00000000-0005-0000-0000-00009D3D0000}"/>
    <cellStyle name="Normal 195 2 6 2" xfId="16382" xr:uid="{00000000-0005-0000-0000-00009E3D0000}"/>
    <cellStyle name="Normal 195 2 6 2 2" xfId="16383" xr:uid="{00000000-0005-0000-0000-00009F3D0000}"/>
    <cellStyle name="Normal 195 2 6 3" xfId="16384" xr:uid="{00000000-0005-0000-0000-0000A03D0000}"/>
    <cellStyle name="Normal 195 2 7" xfId="16385" xr:uid="{00000000-0005-0000-0000-0000A13D0000}"/>
    <cellStyle name="Normal 195 3" xfId="16386" xr:uid="{00000000-0005-0000-0000-0000A23D0000}"/>
    <cellStyle name="Normal 195 3 2" xfId="16387" xr:uid="{00000000-0005-0000-0000-0000A33D0000}"/>
    <cellStyle name="Normal 195 3 2 2" xfId="16388" xr:uid="{00000000-0005-0000-0000-0000A43D0000}"/>
    <cellStyle name="Normal 195 3 3" xfId="16389" xr:uid="{00000000-0005-0000-0000-0000A53D0000}"/>
    <cellStyle name="Normal 195 3 3 2" xfId="16390" xr:uid="{00000000-0005-0000-0000-0000A63D0000}"/>
    <cellStyle name="Normal 195 3 3 2 2" xfId="16391" xr:uid="{00000000-0005-0000-0000-0000A73D0000}"/>
    <cellStyle name="Normal 195 3 3 3" xfId="16392" xr:uid="{00000000-0005-0000-0000-0000A83D0000}"/>
    <cellStyle name="Normal 195 3 4" xfId="16393" xr:uid="{00000000-0005-0000-0000-0000A93D0000}"/>
    <cellStyle name="Normal 195 3 4 2" xfId="16394" xr:uid="{00000000-0005-0000-0000-0000AA3D0000}"/>
    <cellStyle name="Normal 195 3 4 2 2" xfId="16395" xr:uid="{00000000-0005-0000-0000-0000AB3D0000}"/>
    <cellStyle name="Normal 195 3 4 3" xfId="16396" xr:uid="{00000000-0005-0000-0000-0000AC3D0000}"/>
    <cellStyle name="Normal 195 3 5" xfId="16397" xr:uid="{00000000-0005-0000-0000-0000AD3D0000}"/>
    <cellStyle name="Normal 195 4" xfId="16398" xr:uid="{00000000-0005-0000-0000-0000AE3D0000}"/>
    <cellStyle name="Normal 195 4 2" xfId="16399" xr:uid="{00000000-0005-0000-0000-0000AF3D0000}"/>
    <cellStyle name="Normal 195 4 2 2" xfId="16400" xr:uid="{00000000-0005-0000-0000-0000B03D0000}"/>
    <cellStyle name="Normal 195 4 2 2 2" xfId="16401" xr:uid="{00000000-0005-0000-0000-0000B13D0000}"/>
    <cellStyle name="Normal 195 4 2 3" xfId="16402" xr:uid="{00000000-0005-0000-0000-0000B23D0000}"/>
    <cellStyle name="Normal 195 4 2 3 2" xfId="16403" xr:uid="{00000000-0005-0000-0000-0000B33D0000}"/>
    <cellStyle name="Normal 195 4 2 3 2 2" xfId="16404" xr:uid="{00000000-0005-0000-0000-0000B43D0000}"/>
    <cellStyle name="Normal 195 4 2 3 3" xfId="16405" xr:uid="{00000000-0005-0000-0000-0000B53D0000}"/>
    <cellStyle name="Normal 195 4 2 4" xfId="16406" xr:uid="{00000000-0005-0000-0000-0000B63D0000}"/>
    <cellStyle name="Normal 195 4 3" xfId="16407" xr:uid="{00000000-0005-0000-0000-0000B73D0000}"/>
    <cellStyle name="Normal 195 4 3 2" xfId="16408" xr:uid="{00000000-0005-0000-0000-0000B83D0000}"/>
    <cellStyle name="Normal 195 4 3 2 2" xfId="16409" xr:uid="{00000000-0005-0000-0000-0000B93D0000}"/>
    <cellStyle name="Normal 195 4 3 3" xfId="16410" xr:uid="{00000000-0005-0000-0000-0000BA3D0000}"/>
    <cellStyle name="Normal 195 4 4" xfId="16411" xr:uid="{00000000-0005-0000-0000-0000BB3D0000}"/>
    <cellStyle name="Normal 195 4 4 2" xfId="16412" xr:uid="{00000000-0005-0000-0000-0000BC3D0000}"/>
    <cellStyle name="Normal 195 4 4 2 2" xfId="16413" xr:uid="{00000000-0005-0000-0000-0000BD3D0000}"/>
    <cellStyle name="Normal 195 4 4 3" xfId="16414" xr:uid="{00000000-0005-0000-0000-0000BE3D0000}"/>
    <cellStyle name="Normal 195 4 5" xfId="16415" xr:uid="{00000000-0005-0000-0000-0000BF3D0000}"/>
    <cellStyle name="Normal 195 4 5 2" xfId="16416" xr:uid="{00000000-0005-0000-0000-0000C03D0000}"/>
    <cellStyle name="Normal 195 4 5 2 2" xfId="16417" xr:uid="{00000000-0005-0000-0000-0000C13D0000}"/>
    <cellStyle name="Normal 195 4 5 3" xfId="16418" xr:uid="{00000000-0005-0000-0000-0000C23D0000}"/>
    <cellStyle name="Normal 195 4 6" xfId="16419" xr:uid="{00000000-0005-0000-0000-0000C33D0000}"/>
    <cellStyle name="Normal 195 5" xfId="16420" xr:uid="{00000000-0005-0000-0000-0000C43D0000}"/>
    <cellStyle name="Normal 195 5 2" xfId="16421" xr:uid="{00000000-0005-0000-0000-0000C53D0000}"/>
    <cellStyle name="Normal 195 5 2 2" xfId="16422" xr:uid="{00000000-0005-0000-0000-0000C63D0000}"/>
    <cellStyle name="Normal 195 5 3" xfId="16423" xr:uid="{00000000-0005-0000-0000-0000C73D0000}"/>
    <cellStyle name="Normal 195 6" xfId="16424" xr:uid="{00000000-0005-0000-0000-0000C83D0000}"/>
    <cellStyle name="Normal 195 6 2" xfId="16425" xr:uid="{00000000-0005-0000-0000-0000C93D0000}"/>
    <cellStyle name="Normal 195 6 2 2" xfId="16426" xr:uid="{00000000-0005-0000-0000-0000CA3D0000}"/>
    <cellStyle name="Normal 195 6 3" xfId="16427" xr:uid="{00000000-0005-0000-0000-0000CB3D0000}"/>
    <cellStyle name="Normal 195 7" xfId="16428" xr:uid="{00000000-0005-0000-0000-0000CC3D0000}"/>
    <cellStyle name="Normal 195 7 2" xfId="16429" xr:uid="{00000000-0005-0000-0000-0000CD3D0000}"/>
    <cellStyle name="Normal 195 7 2 2" xfId="16430" xr:uid="{00000000-0005-0000-0000-0000CE3D0000}"/>
    <cellStyle name="Normal 195 7 3" xfId="16431" xr:uid="{00000000-0005-0000-0000-0000CF3D0000}"/>
    <cellStyle name="Normal 195 8" xfId="16432" xr:uid="{00000000-0005-0000-0000-0000D03D0000}"/>
    <cellStyle name="Normal 196" xfId="16433" xr:uid="{00000000-0005-0000-0000-0000D13D0000}"/>
    <cellStyle name="Normal 196 2" xfId="16434" xr:uid="{00000000-0005-0000-0000-0000D23D0000}"/>
    <cellStyle name="Normal 196 2 2" xfId="16435" xr:uid="{00000000-0005-0000-0000-0000D33D0000}"/>
    <cellStyle name="Normal 196 2 2 2" xfId="16436" xr:uid="{00000000-0005-0000-0000-0000D43D0000}"/>
    <cellStyle name="Normal 196 2 2 2 2" xfId="16437" xr:uid="{00000000-0005-0000-0000-0000D53D0000}"/>
    <cellStyle name="Normal 196 2 2 3" xfId="16438" xr:uid="{00000000-0005-0000-0000-0000D63D0000}"/>
    <cellStyle name="Normal 196 2 2 3 2" xfId="16439" xr:uid="{00000000-0005-0000-0000-0000D73D0000}"/>
    <cellStyle name="Normal 196 2 2 3 2 2" xfId="16440" xr:uid="{00000000-0005-0000-0000-0000D83D0000}"/>
    <cellStyle name="Normal 196 2 2 3 3" xfId="16441" xr:uid="{00000000-0005-0000-0000-0000D93D0000}"/>
    <cellStyle name="Normal 196 2 2 4" xfId="16442" xr:uid="{00000000-0005-0000-0000-0000DA3D0000}"/>
    <cellStyle name="Normal 196 2 2 4 2" xfId="16443" xr:uid="{00000000-0005-0000-0000-0000DB3D0000}"/>
    <cellStyle name="Normal 196 2 2 4 2 2" xfId="16444" xr:uid="{00000000-0005-0000-0000-0000DC3D0000}"/>
    <cellStyle name="Normal 196 2 2 4 3" xfId="16445" xr:uid="{00000000-0005-0000-0000-0000DD3D0000}"/>
    <cellStyle name="Normal 196 2 2 5" xfId="16446" xr:uid="{00000000-0005-0000-0000-0000DE3D0000}"/>
    <cellStyle name="Normal 196 2 3" xfId="16447" xr:uid="{00000000-0005-0000-0000-0000DF3D0000}"/>
    <cellStyle name="Normal 196 2 3 2" xfId="16448" xr:uid="{00000000-0005-0000-0000-0000E03D0000}"/>
    <cellStyle name="Normal 196 2 3 2 2" xfId="16449" xr:uid="{00000000-0005-0000-0000-0000E13D0000}"/>
    <cellStyle name="Normal 196 2 3 2 2 2" xfId="16450" xr:uid="{00000000-0005-0000-0000-0000E23D0000}"/>
    <cellStyle name="Normal 196 2 3 2 3" xfId="16451" xr:uid="{00000000-0005-0000-0000-0000E33D0000}"/>
    <cellStyle name="Normal 196 2 3 2 3 2" xfId="16452" xr:uid="{00000000-0005-0000-0000-0000E43D0000}"/>
    <cellStyle name="Normal 196 2 3 2 3 2 2" xfId="16453" xr:uid="{00000000-0005-0000-0000-0000E53D0000}"/>
    <cellStyle name="Normal 196 2 3 2 3 3" xfId="16454" xr:uid="{00000000-0005-0000-0000-0000E63D0000}"/>
    <cellStyle name="Normal 196 2 3 2 4" xfId="16455" xr:uid="{00000000-0005-0000-0000-0000E73D0000}"/>
    <cellStyle name="Normal 196 2 3 3" xfId="16456" xr:uid="{00000000-0005-0000-0000-0000E83D0000}"/>
    <cellStyle name="Normal 196 2 3 3 2" xfId="16457" xr:uid="{00000000-0005-0000-0000-0000E93D0000}"/>
    <cellStyle name="Normal 196 2 3 3 2 2" xfId="16458" xr:uid="{00000000-0005-0000-0000-0000EA3D0000}"/>
    <cellStyle name="Normal 196 2 3 3 3" xfId="16459" xr:uid="{00000000-0005-0000-0000-0000EB3D0000}"/>
    <cellStyle name="Normal 196 2 3 4" xfId="16460" xr:uid="{00000000-0005-0000-0000-0000EC3D0000}"/>
    <cellStyle name="Normal 196 2 3 4 2" xfId="16461" xr:uid="{00000000-0005-0000-0000-0000ED3D0000}"/>
    <cellStyle name="Normal 196 2 3 4 2 2" xfId="16462" xr:uid="{00000000-0005-0000-0000-0000EE3D0000}"/>
    <cellStyle name="Normal 196 2 3 4 3" xfId="16463" xr:uid="{00000000-0005-0000-0000-0000EF3D0000}"/>
    <cellStyle name="Normal 196 2 3 5" xfId="16464" xr:uid="{00000000-0005-0000-0000-0000F03D0000}"/>
    <cellStyle name="Normal 196 2 3 5 2" xfId="16465" xr:uid="{00000000-0005-0000-0000-0000F13D0000}"/>
    <cellStyle name="Normal 196 2 3 5 2 2" xfId="16466" xr:uid="{00000000-0005-0000-0000-0000F23D0000}"/>
    <cellStyle name="Normal 196 2 3 5 3" xfId="16467" xr:uid="{00000000-0005-0000-0000-0000F33D0000}"/>
    <cellStyle name="Normal 196 2 3 6" xfId="16468" xr:uid="{00000000-0005-0000-0000-0000F43D0000}"/>
    <cellStyle name="Normal 196 2 4" xfId="16469" xr:uid="{00000000-0005-0000-0000-0000F53D0000}"/>
    <cellStyle name="Normal 196 2 4 2" xfId="16470" xr:uid="{00000000-0005-0000-0000-0000F63D0000}"/>
    <cellStyle name="Normal 196 2 4 2 2" xfId="16471" xr:uid="{00000000-0005-0000-0000-0000F73D0000}"/>
    <cellStyle name="Normal 196 2 4 3" xfId="16472" xr:uid="{00000000-0005-0000-0000-0000F83D0000}"/>
    <cellStyle name="Normal 196 2 5" xfId="16473" xr:uid="{00000000-0005-0000-0000-0000F93D0000}"/>
    <cellStyle name="Normal 196 2 5 2" xfId="16474" xr:uid="{00000000-0005-0000-0000-0000FA3D0000}"/>
    <cellStyle name="Normal 196 2 5 2 2" xfId="16475" xr:uid="{00000000-0005-0000-0000-0000FB3D0000}"/>
    <cellStyle name="Normal 196 2 5 3" xfId="16476" xr:uid="{00000000-0005-0000-0000-0000FC3D0000}"/>
    <cellStyle name="Normal 196 2 6" xfId="16477" xr:uid="{00000000-0005-0000-0000-0000FD3D0000}"/>
    <cellStyle name="Normal 196 2 6 2" xfId="16478" xr:uid="{00000000-0005-0000-0000-0000FE3D0000}"/>
    <cellStyle name="Normal 196 2 6 2 2" xfId="16479" xr:uid="{00000000-0005-0000-0000-0000FF3D0000}"/>
    <cellStyle name="Normal 196 2 6 3" xfId="16480" xr:uid="{00000000-0005-0000-0000-0000003E0000}"/>
    <cellStyle name="Normal 196 2 7" xfId="16481" xr:uid="{00000000-0005-0000-0000-0000013E0000}"/>
    <cellStyle name="Normal 196 3" xfId="16482" xr:uid="{00000000-0005-0000-0000-0000023E0000}"/>
    <cellStyle name="Normal 196 3 2" xfId="16483" xr:uid="{00000000-0005-0000-0000-0000033E0000}"/>
    <cellStyle name="Normal 196 3 2 2" xfId="16484" xr:uid="{00000000-0005-0000-0000-0000043E0000}"/>
    <cellStyle name="Normal 196 3 3" xfId="16485" xr:uid="{00000000-0005-0000-0000-0000053E0000}"/>
    <cellStyle name="Normal 196 3 3 2" xfId="16486" xr:uid="{00000000-0005-0000-0000-0000063E0000}"/>
    <cellStyle name="Normal 196 3 3 2 2" xfId="16487" xr:uid="{00000000-0005-0000-0000-0000073E0000}"/>
    <cellStyle name="Normal 196 3 3 3" xfId="16488" xr:uid="{00000000-0005-0000-0000-0000083E0000}"/>
    <cellStyle name="Normal 196 3 4" xfId="16489" xr:uid="{00000000-0005-0000-0000-0000093E0000}"/>
    <cellStyle name="Normal 196 3 4 2" xfId="16490" xr:uid="{00000000-0005-0000-0000-00000A3E0000}"/>
    <cellStyle name="Normal 196 3 4 2 2" xfId="16491" xr:uid="{00000000-0005-0000-0000-00000B3E0000}"/>
    <cellStyle name="Normal 196 3 4 3" xfId="16492" xr:uid="{00000000-0005-0000-0000-00000C3E0000}"/>
    <cellStyle name="Normal 196 3 5" xfId="16493" xr:uid="{00000000-0005-0000-0000-00000D3E0000}"/>
    <cellStyle name="Normal 196 4" xfId="16494" xr:uid="{00000000-0005-0000-0000-00000E3E0000}"/>
    <cellStyle name="Normal 196 4 2" xfId="16495" xr:uid="{00000000-0005-0000-0000-00000F3E0000}"/>
    <cellStyle name="Normal 196 4 2 2" xfId="16496" xr:uid="{00000000-0005-0000-0000-0000103E0000}"/>
    <cellStyle name="Normal 196 4 2 2 2" xfId="16497" xr:uid="{00000000-0005-0000-0000-0000113E0000}"/>
    <cellStyle name="Normal 196 4 2 3" xfId="16498" xr:uid="{00000000-0005-0000-0000-0000123E0000}"/>
    <cellStyle name="Normal 196 4 2 3 2" xfId="16499" xr:uid="{00000000-0005-0000-0000-0000133E0000}"/>
    <cellStyle name="Normal 196 4 2 3 2 2" xfId="16500" xr:uid="{00000000-0005-0000-0000-0000143E0000}"/>
    <cellStyle name="Normal 196 4 2 3 3" xfId="16501" xr:uid="{00000000-0005-0000-0000-0000153E0000}"/>
    <cellStyle name="Normal 196 4 2 4" xfId="16502" xr:uid="{00000000-0005-0000-0000-0000163E0000}"/>
    <cellStyle name="Normal 196 4 3" xfId="16503" xr:uid="{00000000-0005-0000-0000-0000173E0000}"/>
    <cellStyle name="Normal 196 4 3 2" xfId="16504" xr:uid="{00000000-0005-0000-0000-0000183E0000}"/>
    <cellStyle name="Normal 196 4 3 2 2" xfId="16505" xr:uid="{00000000-0005-0000-0000-0000193E0000}"/>
    <cellStyle name="Normal 196 4 3 3" xfId="16506" xr:uid="{00000000-0005-0000-0000-00001A3E0000}"/>
    <cellStyle name="Normal 196 4 4" xfId="16507" xr:uid="{00000000-0005-0000-0000-00001B3E0000}"/>
    <cellStyle name="Normal 196 4 4 2" xfId="16508" xr:uid="{00000000-0005-0000-0000-00001C3E0000}"/>
    <cellStyle name="Normal 196 4 4 2 2" xfId="16509" xr:uid="{00000000-0005-0000-0000-00001D3E0000}"/>
    <cellStyle name="Normal 196 4 4 3" xfId="16510" xr:uid="{00000000-0005-0000-0000-00001E3E0000}"/>
    <cellStyle name="Normal 196 4 5" xfId="16511" xr:uid="{00000000-0005-0000-0000-00001F3E0000}"/>
    <cellStyle name="Normal 196 4 5 2" xfId="16512" xr:uid="{00000000-0005-0000-0000-0000203E0000}"/>
    <cellStyle name="Normal 196 4 5 2 2" xfId="16513" xr:uid="{00000000-0005-0000-0000-0000213E0000}"/>
    <cellStyle name="Normal 196 4 5 3" xfId="16514" xr:uid="{00000000-0005-0000-0000-0000223E0000}"/>
    <cellStyle name="Normal 196 4 6" xfId="16515" xr:uid="{00000000-0005-0000-0000-0000233E0000}"/>
    <cellStyle name="Normal 196 5" xfId="16516" xr:uid="{00000000-0005-0000-0000-0000243E0000}"/>
    <cellStyle name="Normal 196 5 2" xfId="16517" xr:uid="{00000000-0005-0000-0000-0000253E0000}"/>
    <cellStyle name="Normal 196 5 2 2" xfId="16518" xr:uid="{00000000-0005-0000-0000-0000263E0000}"/>
    <cellStyle name="Normal 196 5 3" xfId="16519" xr:uid="{00000000-0005-0000-0000-0000273E0000}"/>
    <cellStyle name="Normal 196 6" xfId="16520" xr:uid="{00000000-0005-0000-0000-0000283E0000}"/>
    <cellStyle name="Normal 196 6 2" xfId="16521" xr:uid="{00000000-0005-0000-0000-0000293E0000}"/>
    <cellStyle name="Normal 196 6 2 2" xfId="16522" xr:uid="{00000000-0005-0000-0000-00002A3E0000}"/>
    <cellStyle name="Normal 196 6 3" xfId="16523" xr:uid="{00000000-0005-0000-0000-00002B3E0000}"/>
    <cellStyle name="Normal 196 7" xfId="16524" xr:uid="{00000000-0005-0000-0000-00002C3E0000}"/>
    <cellStyle name="Normal 196 7 2" xfId="16525" xr:uid="{00000000-0005-0000-0000-00002D3E0000}"/>
    <cellStyle name="Normal 196 7 2 2" xfId="16526" xr:uid="{00000000-0005-0000-0000-00002E3E0000}"/>
    <cellStyle name="Normal 196 7 3" xfId="16527" xr:uid="{00000000-0005-0000-0000-00002F3E0000}"/>
    <cellStyle name="Normal 196 8" xfId="16528" xr:uid="{00000000-0005-0000-0000-0000303E0000}"/>
    <cellStyle name="Normal 197" xfId="16529" xr:uid="{00000000-0005-0000-0000-0000313E0000}"/>
    <cellStyle name="Normal 197 2" xfId="16530" xr:uid="{00000000-0005-0000-0000-0000323E0000}"/>
    <cellStyle name="Normal 197 2 2" xfId="16531" xr:uid="{00000000-0005-0000-0000-0000333E0000}"/>
    <cellStyle name="Normal 197 2 2 2" xfId="16532" xr:uid="{00000000-0005-0000-0000-0000343E0000}"/>
    <cellStyle name="Normal 197 2 2 2 2" xfId="16533" xr:uid="{00000000-0005-0000-0000-0000353E0000}"/>
    <cellStyle name="Normal 197 2 2 3" xfId="16534" xr:uid="{00000000-0005-0000-0000-0000363E0000}"/>
    <cellStyle name="Normal 197 2 2 3 2" xfId="16535" xr:uid="{00000000-0005-0000-0000-0000373E0000}"/>
    <cellStyle name="Normal 197 2 2 3 2 2" xfId="16536" xr:uid="{00000000-0005-0000-0000-0000383E0000}"/>
    <cellStyle name="Normal 197 2 2 3 3" xfId="16537" xr:uid="{00000000-0005-0000-0000-0000393E0000}"/>
    <cellStyle name="Normal 197 2 2 4" xfId="16538" xr:uid="{00000000-0005-0000-0000-00003A3E0000}"/>
    <cellStyle name="Normal 197 2 2 4 2" xfId="16539" xr:uid="{00000000-0005-0000-0000-00003B3E0000}"/>
    <cellStyle name="Normal 197 2 2 4 2 2" xfId="16540" xr:uid="{00000000-0005-0000-0000-00003C3E0000}"/>
    <cellStyle name="Normal 197 2 2 4 3" xfId="16541" xr:uid="{00000000-0005-0000-0000-00003D3E0000}"/>
    <cellStyle name="Normal 197 2 2 5" xfId="16542" xr:uid="{00000000-0005-0000-0000-00003E3E0000}"/>
    <cellStyle name="Normal 197 2 3" xfId="16543" xr:uid="{00000000-0005-0000-0000-00003F3E0000}"/>
    <cellStyle name="Normal 197 2 3 2" xfId="16544" xr:uid="{00000000-0005-0000-0000-0000403E0000}"/>
    <cellStyle name="Normal 197 2 3 2 2" xfId="16545" xr:uid="{00000000-0005-0000-0000-0000413E0000}"/>
    <cellStyle name="Normal 197 2 3 2 2 2" xfId="16546" xr:uid="{00000000-0005-0000-0000-0000423E0000}"/>
    <cellStyle name="Normal 197 2 3 2 3" xfId="16547" xr:uid="{00000000-0005-0000-0000-0000433E0000}"/>
    <cellStyle name="Normal 197 2 3 2 3 2" xfId="16548" xr:uid="{00000000-0005-0000-0000-0000443E0000}"/>
    <cellStyle name="Normal 197 2 3 2 3 2 2" xfId="16549" xr:uid="{00000000-0005-0000-0000-0000453E0000}"/>
    <cellStyle name="Normal 197 2 3 2 3 3" xfId="16550" xr:uid="{00000000-0005-0000-0000-0000463E0000}"/>
    <cellStyle name="Normal 197 2 3 2 4" xfId="16551" xr:uid="{00000000-0005-0000-0000-0000473E0000}"/>
    <cellStyle name="Normal 197 2 3 3" xfId="16552" xr:uid="{00000000-0005-0000-0000-0000483E0000}"/>
    <cellStyle name="Normal 197 2 3 3 2" xfId="16553" xr:uid="{00000000-0005-0000-0000-0000493E0000}"/>
    <cellStyle name="Normal 197 2 3 3 2 2" xfId="16554" xr:uid="{00000000-0005-0000-0000-00004A3E0000}"/>
    <cellStyle name="Normal 197 2 3 3 3" xfId="16555" xr:uid="{00000000-0005-0000-0000-00004B3E0000}"/>
    <cellStyle name="Normal 197 2 3 4" xfId="16556" xr:uid="{00000000-0005-0000-0000-00004C3E0000}"/>
    <cellStyle name="Normal 197 2 3 4 2" xfId="16557" xr:uid="{00000000-0005-0000-0000-00004D3E0000}"/>
    <cellStyle name="Normal 197 2 3 4 2 2" xfId="16558" xr:uid="{00000000-0005-0000-0000-00004E3E0000}"/>
    <cellStyle name="Normal 197 2 3 4 3" xfId="16559" xr:uid="{00000000-0005-0000-0000-00004F3E0000}"/>
    <cellStyle name="Normal 197 2 3 5" xfId="16560" xr:uid="{00000000-0005-0000-0000-0000503E0000}"/>
    <cellStyle name="Normal 197 2 3 5 2" xfId="16561" xr:uid="{00000000-0005-0000-0000-0000513E0000}"/>
    <cellStyle name="Normal 197 2 3 5 2 2" xfId="16562" xr:uid="{00000000-0005-0000-0000-0000523E0000}"/>
    <cellStyle name="Normal 197 2 3 5 3" xfId="16563" xr:uid="{00000000-0005-0000-0000-0000533E0000}"/>
    <cellStyle name="Normal 197 2 3 6" xfId="16564" xr:uid="{00000000-0005-0000-0000-0000543E0000}"/>
    <cellStyle name="Normal 197 2 4" xfId="16565" xr:uid="{00000000-0005-0000-0000-0000553E0000}"/>
    <cellStyle name="Normal 197 2 4 2" xfId="16566" xr:uid="{00000000-0005-0000-0000-0000563E0000}"/>
    <cellStyle name="Normal 197 2 4 2 2" xfId="16567" xr:uid="{00000000-0005-0000-0000-0000573E0000}"/>
    <cellStyle name="Normal 197 2 4 3" xfId="16568" xr:uid="{00000000-0005-0000-0000-0000583E0000}"/>
    <cellStyle name="Normal 197 2 5" xfId="16569" xr:uid="{00000000-0005-0000-0000-0000593E0000}"/>
    <cellStyle name="Normal 197 2 5 2" xfId="16570" xr:uid="{00000000-0005-0000-0000-00005A3E0000}"/>
    <cellStyle name="Normal 197 2 5 2 2" xfId="16571" xr:uid="{00000000-0005-0000-0000-00005B3E0000}"/>
    <cellStyle name="Normal 197 2 5 3" xfId="16572" xr:uid="{00000000-0005-0000-0000-00005C3E0000}"/>
    <cellStyle name="Normal 197 2 6" xfId="16573" xr:uid="{00000000-0005-0000-0000-00005D3E0000}"/>
    <cellStyle name="Normal 197 2 6 2" xfId="16574" xr:uid="{00000000-0005-0000-0000-00005E3E0000}"/>
    <cellStyle name="Normal 197 2 6 2 2" xfId="16575" xr:uid="{00000000-0005-0000-0000-00005F3E0000}"/>
    <cellStyle name="Normal 197 2 6 3" xfId="16576" xr:uid="{00000000-0005-0000-0000-0000603E0000}"/>
    <cellStyle name="Normal 197 2 7" xfId="16577" xr:uid="{00000000-0005-0000-0000-0000613E0000}"/>
    <cellStyle name="Normal 197 3" xfId="16578" xr:uid="{00000000-0005-0000-0000-0000623E0000}"/>
    <cellStyle name="Normal 197 3 2" xfId="16579" xr:uid="{00000000-0005-0000-0000-0000633E0000}"/>
    <cellStyle name="Normal 197 3 2 2" xfId="16580" xr:uid="{00000000-0005-0000-0000-0000643E0000}"/>
    <cellStyle name="Normal 197 3 3" xfId="16581" xr:uid="{00000000-0005-0000-0000-0000653E0000}"/>
    <cellStyle name="Normal 197 3 3 2" xfId="16582" xr:uid="{00000000-0005-0000-0000-0000663E0000}"/>
    <cellStyle name="Normal 197 3 3 2 2" xfId="16583" xr:uid="{00000000-0005-0000-0000-0000673E0000}"/>
    <cellStyle name="Normal 197 3 3 3" xfId="16584" xr:uid="{00000000-0005-0000-0000-0000683E0000}"/>
    <cellStyle name="Normal 197 3 4" xfId="16585" xr:uid="{00000000-0005-0000-0000-0000693E0000}"/>
    <cellStyle name="Normal 197 3 4 2" xfId="16586" xr:uid="{00000000-0005-0000-0000-00006A3E0000}"/>
    <cellStyle name="Normal 197 3 4 2 2" xfId="16587" xr:uid="{00000000-0005-0000-0000-00006B3E0000}"/>
    <cellStyle name="Normal 197 3 4 3" xfId="16588" xr:uid="{00000000-0005-0000-0000-00006C3E0000}"/>
    <cellStyle name="Normal 197 3 5" xfId="16589" xr:uid="{00000000-0005-0000-0000-00006D3E0000}"/>
    <cellStyle name="Normal 197 4" xfId="16590" xr:uid="{00000000-0005-0000-0000-00006E3E0000}"/>
    <cellStyle name="Normal 197 4 2" xfId="16591" xr:uid="{00000000-0005-0000-0000-00006F3E0000}"/>
    <cellStyle name="Normal 197 4 2 2" xfId="16592" xr:uid="{00000000-0005-0000-0000-0000703E0000}"/>
    <cellStyle name="Normal 197 4 2 2 2" xfId="16593" xr:uid="{00000000-0005-0000-0000-0000713E0000}"/>
    <cellStyle name="Normal 197 4 2 3" xfId="16594" xr:uid="{00000000-0005-0000-0000-0000723E0000}"/>
    <cellStyle name="Normal 197 4 2 3 2" xfId="16595" xr:uid="{00000000-0005-0000-0000-0000733E0000}"/>
    <cellStyle name="Normal 197 4 2 3 2 2" xfId="16596" xr:uid="{00000000-0005-0000-0000-0000743E0000}"/>
    <cellStyle name="Normal 197 4 2 3 3" xfId="16597" xr:uid="{00000000-0005-0000-0000-0000753E0000}"/>
    <cellStyle name="Normal 197 4 2 4" xfId="16598" xr:uid="{00000000-0005-0000-0000-0000763E0000}"/>
    <cellStyle name="Normal 197 4 3" xfId="16599" xr:uid="{00000000-0005-0000-0000-0000773E0000}"/>
    <cellStyle name="Normal 197 4 3 2" xfId="16600" xr:uid="{00000000-0005-0000-0000-0000783E0000}"/>
    <cellStyle name="Normal 197 4 3 2 2" xfId="16601" xr:uid="{00000000-0005-0000-0000-0000793E0000}"/>
    <cellStyle name="Normal 197 4 3 3" xfId="16602" xr:uid="{00000000-0005-0000-0000-00007A3E0000}"/>
    <cellStyle name="Normal 197 4 4" xfId="16603" xr:uid="{00000000-0005-0000-0000-00007B3E0000}"/>
    <cellStyle name="Normal 197 4 4 2" xfId="16604" xr:uid="{00000000-0005-0000-0000-00007C3E0000}"/>
    <cellStyle name="Normal 197 4 4 2 2" xfId="16605" xr:uid="{00000000-0005-0000-0000-00007D3E0000}"/>
    <cellStyle name="Normal 197 4 4 3" xfId="16606" xr:uid="{00000000-0005-0000-0000-00007E3E0000}"/>
    <cellStyle name="Normal 197 4 5" xfId="16607" xr:uid="{00000000-0005-0000-0000-00007F3E0000}"/>
    <cellStyle name="Normal 197 4 5 2" xfId="16608" xr:uid="{00000000-0005-0000-0000-0000803E0000}"/>
    <cellStyle name="Normal 197 4 5 2 2" xfId="16609" xr:uid="{00000000-0005-0000-0000-0000813E0000}"/>
    <cellStyle name="Normal 197 4 5 3" xfId="16610" xr:uid="{00000000-0005-0000-0000-0000823E0000}"/>
    <cellStyle name="Normal 197 4 6" xfId="16611" xr:uid="{00000000-0005-0000-0000-0000833E0000}"/>
    <cellStyle name="Normal 197 5" xfId="16612" xr:uid="{00000000-0005-0000-0000-0000843E0000}"/>
    <cellStyle name="Normal 197 5 2" xfId="16613" xr:uid="{00000000-0005-0000-0000-0000853E0000}"/>
    <cellStyle name="Normal 197 5 2 2" xfId="16614" xr:uid="{00000000-0005-0000-0000-0000863E0000}"/>
    <cellStyle name="Normal 197 5 3" xfId="16615" xr:uid="{00000000-0005-0000-0000-0000873E0000}"/>
    <cellStyle name="Normal 197 6" xfId="16616" xr:uid="{00000000-0005-0000-0000-0000883E0000}"/>
    <cellStyle name="Normal 197 6 2" xfId="16617" xr:uid="{00000000-0005-0000-0000-0000893E0000}"/>
    <cellStyle name="Normal 197 6 2 2" xfId="16618" xr:uid="{00000000-0005-0000-0000-00008A3E0000}"/>
    <cellStyle name="Normal 197 6 3" xfId="16619" xr:uid="{00000000-0005-0000-0000-00008B3E0000}"/>
    <cellStyle name="Normal 197 7" xfId="16620" xr:uid="{00000000-0005-0000-0000-00008C3E0000}"/>
    <cellStyle name="Normal 197 7 2" xfId="16621" xr:uid="{00000000-0005-0000-0000-00008D3E0000}"/>
    <cellStyle name="Normal 197 7 2 2" xfId="16622" xr:uid="{00000000-0005-0000-0000-00008E3E0000}"/>
    <cellStyle name="Normal 197 7 3" xfId="16623" xr:uid="{00000000-0005-0000-0000-00008F3E0000}"/>
    <cellStyle name="Normal 197 8" xfId="16624" xr:uid="{00000000-0005-0000-0000-0000903E0000}"/>
    <cellStyle name="Normal 198" xfId="16625" xr:uid="{00000000-0005-0000-0000-0000913E0000}"/>
    <cellStyle name="Normal 198 2" xfId="16626" xr:uid="{00000000-0005-0000-0000-0000923E0000}"/>
    <cellStyle name="Normal 198 2 2" xfId="16627" xr:uid="{00000000-0005-0000-0000-0000933E0000}"/>
    <cellStyle name="Normal 198 2 2 2" xfId="16628" xr:uid="{00000000-0005-0000-0000-0000943E0000}"/>
    <cellStyle name="Normal 198 2 2 2 2" xfId="16629" xr:uid="{00000000-0005-0000-0000-0000953E0000}"/>
    <cellStyle name="Normal 198 2 2 3" xfId="16630" xr:uid="{00000000-0005-0000-0000-0000963E0000}"/>
    <cellStyle name="Normal 198 2 2 3 2" xfId="16631" xr:uid="{00000000-0005-0000-0000-0000973E0000}"/>
    <cellStyle name="Normal 198 2 2 3 2 2" xfId="16632" xr:uid="{00000000-0005-0000-0000-0000983E0000}"/>
    <cellStyle name="Normal 198 2 2 3 3" xfId="16633" xr:uid="{00000000-0005-0000-0000-0000993E0000}"/>
    <cellStyle name="Normal 198 2 2 4" xfId="16634" xr:uid="{00000000-0005-0000-0000-00009A3E0000}"/>
    <cellStyle name="Normal 198 2 2 4 2" xfId="16635" xr:uid="{00000000-0005-0000-0000-00009B3E0000}"/>
    <cellStyle name="Normal 198 2 2 4 2 2" xfId="16636" xr:uid="{00000000-0005-0000-0000-00009C3E0000}"/>
    <cellStyle name="Normal 198 2 2 4 3" xfId="16637" xr:uid="{00000000-0005-0000-0000-00009D3E0000}"/>
    <cellStyle name="Normal 198 2 2 5" xfId="16638" xr:uid="{00000000-0005-0000-0000-00009E3E0000}"/>
    <cellStyle name="Normal 198 2 3" xfId="16639" xr:uid="{00000000-0005-0000-0000-00009F3E0000}"/>
    <cellStyle name="Normal 198 2 3 2" xfId="16640" xr:uid="{00000000-0005-0000-0000-0000A03E0000}"/>
    <cellStyle name="Normal 198 2 3 2 2" xfId="16641" xr:uid="{00000000-0005-0000-0000-0000A13E0000}"/>
    <cellStyle name="Normal 198 2 3 2 2 2" xfId="16642" xr:uid="{00000000-0005-0000-0000-0000A23E0000}"/>
    <cellStyle name="Normal 198 2 3 2 3" xfId="16643" xr:uid="{00000000-0005-0000-0000-0000A33E0000}"/>
    <cellStyle name="Normal 198 2 3 2 3 2" xfId="16644" xr:uid="{00000000-0005-0000-0000-0000A43E0000}"/>
    <cellStyle name="Normal 198 2 3 2 3 2 2" xfId="16645" xr:uid="{00000000-0005-0000-0000-0000A53E0000}"/>
    <cellStyle name="Normal 198 2 3 2 3 3" xfId="16646" xr:uid="{00000000-0005-0000-0000-0000A63E0000}"/>
    <cellStyle name="Normal 198 2 3 2 4" xfId="16647" xr:uid="{00000000-0005-0000-0000-0000A73E0000}"/>
    <cellStyle name="Normal 198 2 3 3" xfId="16648" xr:uid="{00000000-0005-0000-0000-0000A83E0000}"/>
    <cellStyle name="Normal 198 2 3 3 2" xfId="16649" xr:uid="{00000000-0005-0000-0000-0000A93E0000}"/>
    <cellStyle name="Normal 198 2 3 3 2 2" xfId="16650" xr:uid="{00000000-0005-0000-0000-0000AA3E0000}"/>
    <cellStyle name="Normal 198 2 3 3 3" xfId="16651" xr:uid="{00000000-0005-0000-0000-0000AB3E0000}"/>
    <cellStyle name="Normal 198 2 3 4" xfId="16652" xr:uid="{00000000-0005-0000-0000-0000AC3E0000}"/>
    <cellStyle name="Normal 198 2 3 4 2" xfId="16653" xr:uid="{00000000-0005-0000-0000-0000AD3E0000}"/>
    <cellStyle name="Normal 198 2 3 4 2 2" xfId="16654" xr:uid="{00000000-0005-0000-0000-0000AE3E0000}"/>
    <cellStyle name="Normal 198 2 3 4 3" xfId="16655" xr:uid="{00000000-0005-0000-0000-0000AF3E0000}"/>
    <cellStyle name="Normal 198 2 3 5" xfId="16656" xr:uid="{00000000-0005-0000-0000-0000B03E0000}"/>
    <cellStyle name="Normal 198 2 3 5 2" xfId="16657" xr:uid="{00000000-0005-0000-0000-0000B13E0000}"/>
    <cellStyle name="Normal 198 2 3 5 2 2" xfId="16658" xr:uid="{00000000-0005-0000-0000-0000B23E0000}"/>
    <cellStyle name="Normal 198 2 3 5 3" xfId="16659" xr:uid="{00000000-0005-0000-0000-0000B33E0000}"/>
    <cellStyle name="Normal 198 2 3 6" xfId="16660" xr:uid="{00000000-0005-0000-0000-0000B43E0000}"/>
    <cellStyle name="Normal 198 2 4" xfId="16661" xr:uid="{00000000-0005-0000-0000-0000B53E0000}"/>
    <cellStyle name="Normal 198 2 4 2" xfId="16662" xr:uid="{00000000-0005-0000-0000-0000B63E0000}"/>
    <cellStyle name="Normal 198 2 4 2 2" xfId="16663" xr:uid="{00000000-0005-0000-0000-0000B73E0000}"/>
    <cellStyle name="Normal 198 2 4 3" xfId="16664" xr:uid="{00000000-0005-0000-0000-0000B83E0000}"/>
    <cellStyle name="Normal 198 2 5" xfId="16665" xr:uid="{00000000-0005-0000-0000-0000B93E0000}"/>
    <cellStyle name="Normal 198 2 5 2" xfId="16666" xr:uid="{00000000-0005-0000-0000-0000BA3E0000}"/>
    <cellStyle name="Normal 198 2 5 2 2" xfId="16667" xr:uid="{00000000-0005-0000-0000-0000BB3E0000}"/>
    <cellStyle name="Normal 198 2 5 3" xfId="16668" xr:uid="{00000000-0005-0000-0000-0000BC3E0000}"/>
    <cellStyle name="Normal 198 2 6" xfId="16669" xr:uid="{00000000-0005-0000-0000-0000BD3E0000}"/>
    <cellStyle name="Normal 198 2 6 2" xfId="16670" xr:uid="{00000000-0005-0000-0000-0000BE3E0000}"/>
    <cellStyle name="Normal 198 2 6 2 2" xfId="16671" xr:uid="{00000000-0005-0000-0000-0000BF3E0000}"/>
    <cellStyle name="Normal 198 2 6 3" xfId="16672" xr:uid="{00000000-0005-0000-0000-0000C03E0000}"/>
    <cellStyle name="Normal 198 2 7" xfId="16673" xr:uid="{00000000-0005-0000-0000-0000C13E0000}"/>
    <cellStyle name="Normal 198 3" xfId="16674" xr:uid="{00000000-0005-0000-0000-0000C23E0000}"/>
    <cellStyle name="Normal 198 3 2" xfId="16675" xr:uid="{00000000-0005-0000-0000-0000C33E0000}"/>
    <cellStyle name="Normal 198 3 2 2" xfId="16676" xr:uid="{00000000-0005-0000-0000-0000C43E0000}"/>
    <cellStyle name="Normal 198 3 3" xfId="16677" xr:uid="{00000000-0005-0000-0000-0000C53E0000}"/>
    <cellStyle name="Normal 198 3 3 2" xfId="16678" xr:uid="{00000000-0005-0000-0000-0000C63E0000}"/>
    <cellStyle name="Normal 198 3 3 2 2" xfId="16679" xr:uid="{00000000-0005-0000-0000-0000C73E0000}"/>
    <cellStyle name="Normal 198 3 3 3" xfId="16680" xr:uid="{00000000-0005-0000-0000-0000C83E0000}"/>
    <cellStyle name="Normal 198 3 4" xfId="16681" xr:uid="{00000000-0005-0000-0000-0000C93E0000}"/>
    <cellStyle name="Normal 198 3 4 2" xfId="16682" xr:uid="{00000000-0005-0000-0000-0000CA3E0000}"/>
    <cellStyle name="Normal 198 3 4 2 2" xfId="16683" xr:uid="{00000000-0005-0000-0000-0000CB3E0000}"/>
    <cellStyle name="Normal 198 3 4 3" xfId="16684" xr:uid="{00000000-0005-0000-0000-0000CC3E0000}"/>
    <cellStyle name="Normal 198 3 5" xfId="16685" xr:uid="{00000000-0005-0000-0000-0000CD3E0000}"/>
    <cellStyle name="Normal 198 4" xfId="16686" xr:uid="{00000000-0005-0000-0000-0000CE3E0000}"/>
    <cellStyle name="Normal 198 4 2" xfId="16687" xr:uid="{00000000-0005-0000-0000-0000CF3E0000}"/>
    <cellStyle name="Normal 198 4 2 2" xfId="16688" xr:uid="{00000000-0005-0000-0000-0000D03E0000}"/>
    <cellStyle name="Normal 198 4 2 2 2" xfId="16689" xr:uid="{00000000-0005-0000-0000-0000D13E0000}"/>
    <cellStyle name="Normal 198 4 2 3" xfId="16690" xr:uid="{00000000-0005-0000-0000-0000D23E0000}"/>
    <cellStyle name="Normal 198 4 2 3 2" xfId="16691" xr:uid="{00000000-0005-0000-0000-0000D33E0000}"/>
    <cellStyle name="Normal 198 4 2 3 2 2" xfId="16692" xr:uid="{00000000-0005-0000-0000-0000D43E0000}"/>
    <cellStyle name="Normal 198 4 2 3 3" xfId="16693" xr:uid="{00000000-0005-0000-0000-0000D53E0000}"/>
    <cellStyle name="Normal 198 4 2 4" xfId="16694" xr:uid="{00000000-0005-0000-0000-0000D63E0000}"/>
    <cellStyle name="Normal 198 4 3" xfId="16695" xr:uid="{00000000-0005-0000-0000-0000D73E0000}"/>
    <cellStyle name="Normal 198 4 3 2" xfId="16696" xr:uid="{00000000-0005-0000-0000-0000D83E0000}"/>
    <cellStyle name="Normal 198 4 3 2 2" xfId="16697" xr:uid="{00000000-0005-0000-0000-0000D93E0000}"/>
    <cellStyle name="Normal 198 4 3 3" xfId="16698" xr:uid="{00000000-0005-0000-0000-0000DA3E0000}"/>
    <cellStyle name="Normal 198 4 4" xfId="16699" xr:uid="{00000000-0005-0000-0000-0000DB3E0000}"/>
    <cellStyle name="Normal 198 4 4 2" xfId="16700" xr:uid="{00000000-0005-0000-0000-0000DC3E0000}"/>
    <cellStyle name="Normal 198 4 4 2 2" xfId="16701" xr:uid="{00000000-0005-0000-0000-0000DD3E0000}"/>
    <cellStyle name="Normal 198 4 4 3" xfId="16702" xr:uid="{00000000-0005-0000-0000-0000DE3E0000}"/>
    <cellStyle name="Normal 198 4 5" xfId="16703" xr:uid="{00000000-0005-0000-0000-0000DF3E0000}"/>
    <cellStyle name="Normal 198 4 5 2" xfId="16704" xr:uid="{00000000-0005-0000-0000-0000E03E0000}"/>
    <cellStyle name="Normal 198 4 5 2 2" xfId="16705" xr:uid="{00000000-0005-0000-0000-0000E13E0000}"/>
    <cellStyle name="Normal 198 4 5 3" xfId="16706" xr:uid="{00000000-0005-0000-0000-0000E23E0000}"/>
    <cellStyle name="Normal 198 4 6" xfId="16707" xr:uid="{00000000-0005-0000-0000-0000E33E0000}"/>
    <cellStyle name="Normal 198 5" xfId="16708" xr:uid="{00000000-0005-0000-0000-0000E43E0000}"/>
    <cellStyle name="Normal 198 5 2" xfId="16709" xr:uid="{00000000-0005-0000-0000-0000E53E0000}"/>
    <cellStyle name="Normal 198 5 2 2" xfId="16710" xr:uid="{00000000-0005-0000-0000-0000E63E0000}"/>
    <cellStyle name="Normal 198 5 3" xfId="16711" xr:uid="{00000000-0005-0000-0000-0000E73E0000}"/>
    <cellStyle name="Normal 198 6" xfId="16712" xr:uid="{00000000-0005-0000-0000-0000E83E0000}"/>
    <cellStyle name="Normal 198 6 2" xfId="16713" xr:uid="{00000000-0005-0000-0000-0000E93E0000}"/>
    <cellStyle name="Normal 198 6 2 2" xfId="16714" xr:uid="{00000000-0005-0000-0000-0000EA3E0000}"/>
    <cellStyle name="Normal 198 6 3" xfId="16715" xr:uid="{00000000-0005-0000-0000-0000EB3E0000}"/>
    <cellStyle name="Normal 198 7" xfId="16716" xr:uid="{00000000-0005-0000-0000-0000EC3E0000}"/>
    <cellStyle name="Normal 198 7 2" xfId="16717" xr:uid="{00000000-0005-0000-0000-0000ED3E0000}"/>
    <cellStyle name="Normal 198 7 2 2" xfId="16718" xr:uid="{00000000-0005-0000-0000-0000EE3E0000}"/>
    <cellStyle name="Normal 198 7 3" xfId="16719" xr:uid="{00000000-0005-0000-0000-0000EF3E0000}"/>
    <cellStyle name="Normal 198 8" xfId="16720" xr:uid="{00000000-0005-0000-0000-0000F03E0000}"/>
    <cellStyle name="Normal 199" xfId="16721" xr:uid="{00000000-0005-0000-0000-0000F13E0000}"/>
    <cellStyle name="Normal 199 2" xfId="16722" xr:uid="{00000000-0005-0000-0000-0000F23E0000}"/>
    <cellStyle name="Normal 199 2 2" xfId="16723" xr:uid="{00000000-0005-0000-0000-0000F33E0000}"/>
    <cellStyle name="Normal 199 2 2 2" xfId="16724" xr:uid="{00000000-0005-0000-0000-0000F43E0000}"/>
    <cellStyle name="Normal 199 2 2 2 2" xfId="16725" xr:uid="{00000000-0005-0000-0000-0000F53E0000}"/>
    <cellStyle name="Normal 199 2 2 3" xfId="16726" xr:uid="{00000000-0005-0000-0000-0000F63E0000}"/>
    <cellStyle name="Normal 199 2 2 3 2" xfId="16727" xr:uid="{00000000-0005-0000-0000-0000F73E0000}"/>
    <cellStyle name="Normal 199 2 2 3 2 2" xfId="16728" xr:uid="{00000000-0005-0000-0000-0000F83E0000}"/>
    <cellStyle name="Normal 199 2 2 3 3" xfId="16729" xr:uid="{00000000-0005-0000-0000-0000F93E0000}"/>
    <cellStyle name="Normal 199 2 2 4" xfId="16730" xr:uid="{00000000-0005-0000-0000-0000FA3E0000}"/>
    <cellStyle name="Normal 199 2 2 4 2" xfId="16731" xr:uid="{00000000-0005-0000-0000-0000FB3E0000}"/>
    <cellStyle name="Normal 199 2 2 4 2 2" xfId="16732" xr:uid="{00000000-0005-0000-0000-0000FC3E0000}"/>
    <cellStyle name="Normal 199 2 2 4 3" xfId="16733" xr:uid="{00000000-0005-0000-0000-0000FD3E0000}"/>
    <cellStyle name="Normal 199 2 2 5" xfId="16734" xr:uid="{00000000-0005-0000-0000-0000FE3E0000}"/>
    <cellStyle name="Normal 199 2 3" xfId="16735" xr:uid="{00000000-0005-0000-0000-0000FF3E0000}"/>
    <cellStyle name="Normal 199 2 3 2" xfId="16736" xr:uid="{00000000-0005-0000-0000-0000003F0000}"/>
    <cellStyle name="Normal 199 2 3 2 2" xfId="16737" xr:uid="{00000000-0005-0000-0000-0000013F0000}"/>
    <cellStyle name="Normal 199 2 3 2 2 2" xfId="16738" xr:uid="{00000000-0005-0000-0000-0000023F0000}"/>
    <cellStyle name="Normal 199 2 3 2 3" xfId="16739" xr:uid="{00000000-0005-0000-0000-0000033F0000}"/>
    <cellStyle name="Normal 199 2 3 2 3 2" xfId="16740" xr:uid="{00000000-0005-0000-0000-0000043F0000}"/>
    <cellStyle name="Normal 199 2 3 2 3 2 2" xfId="16741" xr:uid="{00000000-0005-0000-0000-0000053F0000}"/>
    <cellStyle name="Normal 199 2 3 2 3 3" xfId="16742" xr:uid="{00000000-0005-0000-0000-0000063F0000}"/>
    <cellStyle name="Normal 199 2 3 2 4" xfId="16743" xr:uid="{00000000-0005-0000-0000-0000073F0000}"/>
    <cellStyle name="Normal 199 2 3 3" xfId="16744" xr:uid="{00000000-0005-0000-0000-0000083F0000}"/>
    <cellStyle name="Normal 199 2 3 3 2" xfId="16745" xr:uid="{00000000-0005-0000-0000-0000093F0000}"/>
    <cellStyle name="Normal 199 2 3 3 2 2" xfId="16746" xr:uid="{00000000-0005-0000-0000-00000A3F0000}"/>
    <cellStyle name="Normal 199 2 3 3 3" xfId="16747" xr:uid="{00000000-0005-0000-0000-00000B3F0000}"/>
    <cellStyle name="Normal 199 2 3 4" xfId="16748" xr:uid="{00000000-0005-0000-0000-00000C3F0000}"/>
    <cellStyle name="Normal 199 2 3 4 2" xfId="16749" xr:uid="{00000000-0005-0000-0000-00000D3F0000}"/>
    <cellStyle name="Normal 199 2 3 4 2 2" xfId="16750" xr:uid="{00000000-0005-0000-0000-00000E3F0000}"/>
    <cellStyle name="Normal 199 2 3 4 3" xfId="16751" xr:uid="{00000000-0005-0000-0000-00000F3F0000}"/>
    <cellStyle name="Normal 199 2 3 5" xfId="16752" xr:uid="{00000000-0005-0000-0000-0000103F0000}"/>
    <cellStyle name="Normal 199 2 3 5 2" xfId="16753" xr:uid="{00000000-0005-0000-0000-0000113F0000}"/>
    <cellStyle name="Normal 199 2 3 5 2 2" xfId="16754" xr:uid="{00000000-0005-0000-0000-0000123F0000}"/>
    <cellStyle name="Normal 199 2 3 5 3" xfId="16755" xr:uid="{00000000-0005-0000-0000-0000133F0000}"/>
    <cellStyle name="Normal 199 2 3 6" xfId="16756" xr:uid="{00000000-0005-0000-0000-0000143F0000}"/>
    <cellStyle name="Normal 199 2 4" xfId="16757" xr:uid="{00000000-0005-0000-0000-0000153F0000}"/>
    <cellStyle name="Normal 199 2 4 2" xfId="16758" xr:uid="{00000000-0005-0000-0000-0000163F0000}"/>
    <cellStyle name="Normal 199 2 4 2 2" xfId="16759" xr:uid="{00000000-0005-0000-0000-0000173F0000}"/>
    <cellStyle name="Normal 199 2 4 3" xfId="16760" xr:uid="{00000000-0005-0000-0000-0000183F0000}"/>
    <cellStyle name="Normal 199 2 5" xfId="16761" xr:uid="{00000000-0005-0000-0000-0000193F0000}"/>
    <cellStyle name="Normal 199 2 5 2" xfId="16762" xr:uid="{00000000-0005-0000-0000-00001A3F0000}"/>
    <cellStyle name="Normal 199 2 5 2 2" xfId="16763" xr:uid="{00000000-0005-0000-0000-00001B3F0000}"/>
    <cellStyle name="Normal 199 2 5 3" xfId="16764" xr:uid="{00000000-0005-0000-0000-00001C3F0000}"/>
    <cellStyle name="Normal 199 2 6" xfId="16765" xr:uid="{00000000-0005-0000-0000-00001D3F0000}"/>
    <cellStyle name="Normal 199 2 6 2" xfId="16766" xr:uid="{00000000-0005-0000-0000-00001E3F0000}"/>
    <cellStyle name="Normal 199 2 6 2 2" xfId="16767" xr:uid="{00000000-0005-0000-0000-00001F3F0000}"/>
    <cellStyle name="Normal 199 2 6 3" xfId="16768" xr:uid="{00000000-0005-0000-0000-0000203F0000}"/>
    <cellStyle name="Normal 199 2 7" xfId="16769" xr:uid="{00000000-0005-0000-0000-0000213F0000}"/>
    <cellStyle name="Normal 199 3" xfId="16770" xr:uid="{00000000-0005-0000-0000-0000223F0000}"/>
    <cellStyle name="Normal 199 3 2" xfId="16771" xr:uid="{00000000-0005-0000-0000-0000233F0000}"/>
    <cellStyle name="Normal 199 3 2 2" xfId="16772" xr:uid="{00000000-0005-0000-0000-0000243F0000}"/>
    <cellStyle name="Normal 199 3 3" xfId="16773" xr:uid="{00000000-0005-0000-0000-0000253F0000}"/>
    <cellStyle name="Normal 199 3 3 2" xfId="16774" xr:uid="{00000000-0005-0000-0000-0000263F0000}"/>
    <cellStyle name="Normal 199 3 3 2 2" xfId="16775" xr:uid="{00000000-0005-0000-0000-0000273F0000}"/>
    <cellStyle name="Normal 199 3 3 3" xfId="16776" xr:uid="{00000000-0005-0000-0000-0000283F0000}"/>
    <cellStyle name="Normal 199 3 4" xfId="16777" xr:uid="{00000000-0005-0000-0000-0000293F0000}"/>
    <cellStyle name="Normal 199 3 4 2" xfId="16778" xr:uid="{00000000-0005-0000-0000-00002A3F0000}"/>
    <cellStyle name="Normal 199 3 4 2 2" xfId="16779" xr:uid="{00000000-0005-0000-0000-00002B3F0000}"/>
    <cellStyle name="Normal 199 3 4 3" xfId="16780" xr:uid="{00000000-0005-0000-0000-00002C3F0000}"/>
    <cellStyle name="Normal 199 3 5" xfId="16781" xr:uid="{00000000-0005-0000-0000-00002D3F0000}"/>
    <cellStyle name="Normal 199 4" xfId="16782" xr:uid="{00000000-0005-0000-0000-00002E3F0000}"/>
    <cellStyle name="Normal 199 4 2" xfId="16783" xr:uid="{00000000-0005-0000-0000-00002F3F0000}"/>
    <cellStyle name="Normal 199 4 2 2" xfId="16784" xr:uid="{00000000-0005-0000-0000-0000303F0000}"/>
    <cellStyle name="Normal 199 4 2 2 2" xfId="16785" xr:uid="{00000000-0005-0000-0000-0000313F0000}"/>
    <cellStyle name="Normal 199 4 2 3" xfId="16786" xr:uid="{00000000-0005-0000-0000-0000323F0000}"/>
    <cellStyle name="Normal 199 4 2 3 2" xfId="16787" xr:uid="{00000000-0005-0000-0000-0000333F0000}"/>
    <cellStyle name="Normal 199 4 2 3 2 2" xfId="16788" xr:uid="{00000000-0005-0000-0000-0000343F0000}"/>
    <cellStyle name="Normal 199 4 2 3 3" xfId="16789" xr:uid="{00000000-0005-0000-0000-0000353F0000}"/>
    <cellStyle name="Normal 199 4 2 4" xfId="16790" xr:uid="{00000000-0005-0000-0000-0000363F0000}"/>
    <cellStyle name="Normal 199 4 3" xfId="16791" xr:uid="{00000000-0005-0000-0000-0000373F0000}"/>
    <cellStyle name="Normal 199 4 3 2" xfId="16792" xr:uid="{00000000-0005-0000-0000-0000383F0000}"/>
    <cellStyle name="Normal 199 4 3 2 2" xfId="16793" xr:uid="{00000000-0005-0000-0000-0000393F0000}"/>
    <cellStyle name="Normal 199 4 3 3" xfId="16794" xr:uid="{00000000-0005-0000-0000-00003A3F0000}"/>
    <cellStyle name="Normal 199 4 4" xfId="16795" xr:uid="{00000000-0005-0000-0000-00003B3F0000}"/>
    <cellStyle name="Normal 199 4 4 2" xfId="16796" xr:uid="{00000000-0005-0000-0000-00003C3F0000}"/>
    <cellStyle name="Normal 199 4 4 2 2" xfId="16797" xr:uid="{00000000-0005-0000-0000-00003D3F0000}"/>
    <cellStyle name="Normal 199 4 4 3" xfId="16798" xr:uid="{00000000-0005-0000-0000-00003E3F0000}"/>
    <cellStyle name="Normal 199 4 5" xfId="16799" xr:uid="{00000000-0005-0000-0000-00003F3F0000}"/>
    <cellStyle name="Normal 199 4 5 2" xfId="16800" xr:uid="{00000000-0005-0000-0000-0000403F0000}"/>
    <cellStyle name="Normal 199 4 5 2 2" xfId="16801" xr:uid="{00000000-0005-0000-0000-0000413F0000}"/>
    <cellStyle name="Normal 199 4 5 3" xfId="16802" xr:uid="{00000000-0005-0000-0000-0000423F0000}"/>
    <cellStyle name="Normal 199 4 6" xfId="16803" xr:uid="{00000000-0005-0000-0000-0000433F0000}"/>
    <cellStyle name="Normal 199 5" xfId="16804" xr:uid="{00000000-0005-0000-0000-0000443F0000}"/>
    <cellStyle name="Normal 199 5 2" xfId="16805" xr:uid="{00000000-0005-0000-0000-0000453F0000}"/>
    <cellStyle name="Normal 199 5 2 2" xfId="16806" xr:uid="{00000000-0005-0000-0000-0000463F0000}"/>
    <cellStyle name="Normal 199 5 3" xfId="16807" xr:uid="{00000000-0005-0000-0000-0000473F0000}"/>
    <cellStyle name="Normal 199 6" xfId="16808" xr:uid="{00000000-0005-0000-0000-0000483F0000}"/>
    <cellStyle name="Normal 199 6 2" xfId="16809" xr:uid="{00000000-0005-0000-0000-0000493F0000}"/>
    <cellStyle name="Normal 199 6 2 2" xfId="16810" xr:uid="{00000000-0005-0000-0000-00004A3F0000}"/>
    <cellStyle name="Normal 199 6 3" xfId="16811" xr:uid="{00000000-0005-0000-0000-00004B3F0000}"/>
    <cellStyle name="Normal 199 7" xfId="16812" xr:uid="{00000000-0005-0000-0000-00004C3F0000}"/>
    <cellStyle name="Normal 199 7 2" xfId="16813" xr:uid="{00000000-0005-0000-0000-00004D3F0000}"/>
    <cellStyle name="Normal 199 7 2 2" xfId="16814" xr:uid="{00000000-0005-0000-0000-00004E3F0000}"/>
    <cellStyle name="Normal 199 7 3" xfId="16815" xr:uid="{00000000-0005-0000-0000-00004F3F0000}"/>
    <cellStyle name="Normal 199 8" xfId="16816" xr:uid="{00000000-0005-0000-0000-0000503F0000}"/>
    <cellStyle name="Normal 2" xfId="28" xr:uid="{00000000-0005-0000-0000-0000513F0000}"/>
    <cellStyle name="Normal 2 10" xfId="16817" xr:uid="{00000000-0005-0000-0000-0000523F0000}"/>
    <cellStyle name="Normal 2 10 2" xfId="16818" xr:uid="{00000000-0005-0000-0000-0000533F0000}"/>
    <cellStyle name="Normal 2 11" xfId="16819" xr:uid="{00000000-0005-0000-0000-0000543F0000}"/>
    <cellStyle name="Normal 2 12" xfId="16820" xr:uid="{00000000-0005-0000-0000-0000553F0000}"/>
    <cellStyle name="Normal 2 13" xfId="16821" xr:uid="{00000000-0005-0000-0000-0000563F0000}"/>
    <cellStyle name="Normal 2 14" xfId="16822" xr:uid="{00000000-0005-0000-0000-0000573F0000}"/>
    <cellStyle name="Normal 2 15" xfId="16823" xr:uid="{00000000-0005-0000-0000-0000583F0000}"/>
    <cellStyle name="Normal 2 2" xfId="29" xr:uid="{00000000-0005-0000-0000-0000593F0000}"/>
    <cellStyle name="Normal 2 2 2" xfId="100" xr:uid="{00000000-0005-0000-0000-00005A3F0000}"/>
    <cellStyle name="Normal 2 2 2 2" xfId="16824" xr:uid="{00000000-0005-0000-0000-00005B3F0000}"/>
    <cellStyle name="Normal 2 2 2 2 2" xfId="16825" xr:uid="{00000000-0005-0000-0000-00005C3F0000}"/>
    <cellStyle name="Normal 2 2 2 2 2 2" xfId="16826" xr:uid="{00000000-0005-0000-0000-00005D3F0000}"/>
    <cellStyle name="Normal 2 2 2 2 3" xfId="16827" xr:uid="{00000000-0005-0000-0000-00005E3F0000}"/>
    <cellStyle name="Normal 2 2 2 2 3 2" xfId="16828" xr:uid="{00000000-0005-0000-0000-00005F3F0000}"/>
    <cellStyle name="Normal 2 2 2 2 3 2 2" xfId="16829" xr:uid="{00000000-0005-0000-0000-0000603F0000}"/>
    <cellStyle name="Normal 2 2 2 2 3 3" xfId="16830" xr:uid="{00000000-0005-0000-0000-0000613F0000}"/>
    <cellStyle name="Normal 2 2 2 2 4" xfId="16831" xr:uid="{00000000-0005-0000-0000-0000623F0000}"/>
    <cellStyle name="Normal 2 2 2 2 4 2" xfId="16832" xr:uid="{00000000-0005-0000-0000-0000633F0000}"/>
    <cellStyle name="Normal 2 2 2 2 4 2 2" xfId="16833" xr:uid="{00000000-0005-0000-0000-0000643F0000}"/>
    <cellStyle name="Normal 2 2 2 2 4 3" xfId="16834" xr:uid="{00000000-0005-0000-0000-0000653F0000}"/>
    <cellStyle name="Normal 2 2 2 2 5" xfId="16835" xr:uid="{00000000-0005-0000-0000-0000663F0000}"/>
    <cellStyle name="Normal 2 2 2 3" xfId="16836" xr:uid="{00000000-0005-0000-0000-0000673F0000}"/>
    <cellStyle name="Normal 2 2 2 3 2" xfId="16837" xr:uid="{00000000-0005-0000-0000-0000683F0000}"/>
    <cellStyle name="Normal 2 2 2 3 2 2" xfId="16838" xr:uid="{00000000-0005-0000-0000-0000693F0000}"/>
    <cellStyle name="Normal 2 2 2 3 2 2 2" xfId="16839" xr:uid="{00000000-0005-0000-0000-00006A3F0000}"/>
    <cellStyle name="Normal 2 2 2 3 2 3" xfId="16840" xr:uid="{00000000-0005-0000-0000-00006B3F0000}"/>
    <cellStyle name="Normal 2 2 2 3 2 3 2" xfId="16841" xr:uid="{00000000-0005-0000-0000-00006C3F0000}"/>
    <cellStyle name="Normal 2 2 2 3 2 3 2 2" xfId="16842" xr:uid="{00000000-0005-0000-0000-00006D3F0000}"/>
    <cellStyle name="Normal 2 2 2 3 2 3 3" xfId="16843" xr:uid="{00000000-0005-0000-0000-00006E3F0000}"/>
    <cellStyle name="Normal 2 2 2 3 2 4" xfId="16844" xr:uid="{00000000-0005-0000-0000-00006F3F0000}"/>
    <cellStyle name="Normal 2 2 2 3 3" xfId="16845" xr:uid="{00000000-0005-0000-0000-0000703F0000}"/>
    <cellStyle name="Normal 2 2 2 3 3 2" xfId="16846" xr:uid="{00000000-0005-0000-0000-0000713F0000}"/>
    <cellStyle name="Normal 2 2 2 3 3 2 2" xfId="16847" xr:uid="{00000000-0005-0000-0000-0000723F0000}"/>
    <cellStyle name="Normal 2 2 2 3 3 3" xfId="16848" xr:uid="{00000000-0005-0000-0000-0000733F0000}"/>
    <cellStyle name="Normal 2 2 2 3 4" xfId="16849" xr:uid="{00000000-0005-0000-0000-0000743F0000}"/>
    <cellStyle name="Normal 2 2 2 3 4 2" xfId="16850" xr:uid="{00000000-0005-0000-0000-0000753F0000}"/>
    <cellStyle name="Normal 2 2 2 3 4 2 2" xfId="16851" xr:uid="{00000000-0005-0000-0000-0000763F0000}"/>
    <cellStyle name="Normal 2 2 2 3 4 3" xfId="16852" xr:uid="{00000000-0005-0000-0000-0000773F0000}"/>
    <cellStyle name="Normal 2 2 2 3 5" xfId="16853" xr:uid="{00000000-0005-0000-0000-0000783F0000}"/>
    <cellStyle name="Normal 2 2 2 3 5 2" xfId="16854" xr:uid="{00000000-0005-0000-0000-0000793F0000}"/>
    <cellStyle name="Normal 2 2 2 3 5 2 2" xfId="16855" xr:uid="{00000000-0005-0000-0000-00007A3F0000}"/>
    <cellStyle name="Normal 2 2 2 3 5 3" xfId="16856" xr:uid="{00000000-0005-0000-0000-00007B3F0000}"/>
    <cellStyle name="Normal 2 2 2 3 6" xfId="16857" xr:uid="{00000000-0005-0000-0000-00007C3F0000}"/>
    <cellStyle name="Normal 2 2 2 4" xfId="16858" xr:uid="{00000000-0005-0000-0000-00007D3F0000}"/>
    <cellStyle name="Normal 2 2 2 4 2" xfId="16859" xr:uid="{00000000-0005-0000-0000-00007E3F0000}"/>
    <cellStyle name="Normal 2 2 2 4 2 2" xfId="16860" xr:uid="{00000000-0005-0000-0000-00007F3F0000}"/>
    <cellStyle name="Normal 2 2 2 4 3" xfId="16861" xr:uid="{00000000-0005-0000-0000-0000803F0000}"/>
    <cellStyle name="Normal 2 2 2 5" xfId="16862" xr:uid="{00000000-0005-0000-0000-0000813F0000}"/>
    <cellStyle name="Normal 2 2 2 5 2" xfId="16863" xr:uid="{00000000-0005-0000-0000-0000823F0000}"/>
    <cellStyle name="Normal 2 2 2 5 2 2" xfId="16864" xr:uid="{00000000-0005-0000-0000-0000833F0000}"/>
    <cellStyle name="Normal 2 2 2 5 3" xfId="16865" xr:uid="{00000000-0005-0000-0000-0000843F0000}"/>
    <cellStyle name="Normal 2 2 2 6" xfId="16866" xr:uid="{00000000-0005-0000-0000-0000853F0000}"/>
    <cellStyle name="Normal 2 2 2 6 2" xfId="16867" xr:uid="{00000000-0005-0000-0000-0000863F0000}"/>
    <cellStyle name="Normal 2 2 2 6 2 2" xfId="16868" xr:uid="{00000000-0005-0000-0000-0000873F0000}"/>
    <cellStyle name="Normal 2 2 2 6 3" xfId="16869" xr:uid="{00000000-0005-0000-0000-0000883F0000}"/>
    <cellStyle name="Normal 2 2 2 7" xfId="16870" xr:uid="{00000000-0005-0000-0000-0000893F0000}"/>
    <cellStyle name="Normal 2 2 3" xfId="16871" xr:uid="{00000000-0005-0000-0000-00008A3F0000}"/>
    <cellStyle name="Normal 2 2 3 2" xfId="16872" xr:uid="{00000000-0005-0000-0000-00008B3F0000}"/>
    <cellStyle name="Normal 2 2 3 2 2" xfId="16873" xr:uid="{00000000-0005-0000-0000-00008C3F0000}"/>
    <cellStyle name="Normal 2 2 3 2 2 2" xfId="16874" xr:uid="{00000000-0005-0000-0000-00008D3F0000}"/>
    <cellStyle name="Normal 2 2 3 2 3" xfId="16875" xr:uid="{00000000-0005-0000-0000-00008E3F0000}"/>
    <cellStyle name="Normal 2 2 3 2 3 2" xfId="16876" xr:uid="{00000000-0005-0000-0000-00008F3F0000}"/>
    <cellStyle name="Normal 2 2 3 2 3 2 2" xfId="16877" xr:uid="{00000000-0005-0000-0000-0000903F0000}"/>
    <cellStyle name="Normal 2 2 3 2 3 3" xfId="16878" xr:uid="{00000000-0005-0000-0000-0000913F0000}"/>
    <cellStyle name="Normal 2 2 3 2 4" xfId="16879" xr:uid="{00000000-0005-0000-0000-0000923F0000}"/>
    <cellStyle name="Normal 2 2 3 2 4 2" xfId="16880" xr:uid="{00000000-0005-0000-0000-0000933F0000}"/>
    <cellStyle name="Normal 2 2 3 2 4 2 2" xfId="16881" xr:uid="{00000000-0005-0000-0000-0000943F0000}"/>
    <cellStyle name="Normal 2 2 3 2 4 3" xfId="16882" xr:uid="{00000000-0005-0000-0000-0000953F0000}"/>
    <cellStyle name="Normal 2 2 3 2 5" xfId="16883" xr:uid="{00000000-0005-0000-0000-0000963F0000}"/>
    <cellStyle name="Normal 2 2 3 3" xfId="16884" xr:uid="{00000000-0005-0000-0000-0000973F0000}"/>
    <cellStyle name="Normal 2 2 3 3 2" xfId="16885" xr:uid="{00000000-0005-0000-0000-0000983F0000}"/>
    <cellStyle name="Normal 2 2 3 3 2 2" xfId="16886" xr:uid="{00000000-0005-0000-0000-0000993F0000}"/>
    <cellStyle name="Normal 2 2 3 3 2 2 2" xfId="16887" xr:uid="{00000000-0005-0000-0000-00009A3F0000}"/>
    <cellStyle name="Normal 2 2 3 3 2 3" xfId="16888" xr:uid="{00000000-0005-0000-0000-00009B3F0000}"/>
    <cellStyle name="Normal 2 2 3 3 2 3 2" xfId="16889" xr:uid="{00000000-0005-0000-0000-00009C3F0000}"/>
    <cellStyle name="Normal 2 2 3 3 2 3 2 2" xfId="16890" xr:uid="{00000000-0005-0000-0000-00009D3F0000}"/>
    <cellStyle name="Normal 2 2 3 3 2 3 3" xfId="16891" xr:uid="{00000000-0005-0000-0000-00009E3F0000}"/>
    <cellStyle name="Normal 2 2 3 3 2 4" xfId="16892" xr:uid="{00000000-0005-0000-0000-00009F3F0000}"/>
    <cellStyle name="Normal 2 2 3 3 3" xfId="16893" xr:uid="{00000000-0005-0000-0000-0000A03F0000}"/>
    <cellStyle name="Normal 2 2 3 4" xfId="16894" xr:uid="{00000000-0005-0000-0000-0000A13F0000}"/>
    <cellStyle name="Normal 2 2 3 4 2" xfId="16895" xr:uid="{00000000-0005-0000-0000-0000A23F0000}"/>
    <cellStyle name="Normal 2 2 3 4 2 2" xfId="16896" xr:uid="{00000000-0005-0000-0000-0000A33F0000}"/>
    <cellStyle name="Normal 2 2 3 4 3" xfId="16897" xr:uid="{00000000-0005-0000-0000-0000A43F0000}"/>
    <cellStyle name="Normal 2 2 3 5" xfId="16898" xr:uid="{00000000-0005-0000-0000-0000A53F0000}"/>
    <cellStyle name="Normal 2 2 3 5 2" xfId="16899" xr:uid="{00000000-0005-0000-0000-0000A63F0000}"/>
    <cellStyle name="Normal 2 2 3 5 2 2" xfId="16900" xr:uid="{00000000-0005-0000-0000-0000A73F0000}"/>
    <cellStyle name="Normal 2 2 3 5 3" xfId="16901" xr:uid="{00000000-0005-0000-0000-0000A83F0000}"/>
    <cellStyle name="Normal 2 2 3 6" xfId="16902" xr:uid="{00000000-0005-0000-0000-0000A93F0000}"/>
    <cellStyle name="Normal 2 2 4" xfId="16903" xr:uid="{00000000-0005-0000-0000-0000AA3F0000}"/>
    <cellStyle name="Normal 2 2 4 2" xfId="16904" xr:uid="{00000000-0005-0000-0000-0000AB3F0000}"/>
    <cellStyle name="Normal 2 2 4 2 2" xfId="16905" xr:uid="{00000000-0005-0000-0000-0000AC3F0000}"/>
    <cellStyle name="Normal 2 2 4 2 2 2" xfId="16906" xr:uid="{00000000-0005-0000-0000-0000AD3F0000}"/>
    <cellStyle name="Normal 2 2 4 2 3" xfId="16907" xr:uid="{00000000-0005-0000-0000-0000AE3F0000}"/>
    <cellStyle name="Normal 2 2 4 2 3 2" xfId="16908" xr:uid="{00000000-0005-0000-0000-0000AF3F0000}"/>
    <cellStyle name="Normal 2 2 4 2 3 2 2" xfId="16909" xr:uid="{00000000-0005-0000-0000-0000B03F0000}"/>
    <cellStyle name="Normal 2 2 4 2 3 3" xfId="16910" xr:uid="{00000000-0005-0000-0000-0000B13F0000}"/>
    <cellStyle name="Normal 2 2 4 2 4" xfId="16911" xr:uid="{00000000-0005-0000-0000-0000B23F0000}"/>
    <cellStyle name="Normal 2 2 4 2 4 2" xfId="16912" xr:uid="{00000000-0005-0000-0000-0000B33F0000}"/>
    <cellStyle name="Normal 2 2 4 2 4 2 2" xfId="16913" xr:uid="{00000000-0005-0000-0000-0000B43F0000}"/>
    <cellStyle name="Normal 2 2 4 2 4 3" xfId="16914" xr:uid="{00000000-0005-0000-0000-0000B53F0000}"/>
    <cellStyle name="Normal 2 2 4 2 5" xfId="16915" xr:uid="{00000000-0005-0000-0000-0000B63F0000}"/>
    <cellStyle name="Normal 2 2 4 3" xfId="16916" xr:uid="{00000000-0005-0000-0000-0000B73F0000}"/>
    <cellStyle name="Normal 2 2 4 3 2" xfId="16917" xr:uid="{00000000-0005-0000-0000-0000B83F0000}"/>
    <cellStyle name="Normal 2 2 4 3 2 2" xfId="16918" xr:uid="{00000000-0005-0000-0000-0000B93F0000}"/>
    <cellStyle name="Normal 2 2 4 3 2 2 2" xfId="16919" xr:uid="{00000000-0005-0000-0000-0000BA3F0000}"/>
    <cellStyle name="Normal 2 2 4 3 2 3" xfId="16920" xr:uid="{00000000-0005-0000-0000-0000BB3F0000}"/>
    <cellStyle name="Normal 2 2 4 3 2 3 2" xfId="16921" xr:uid="{00000000-0005-0000-0000-0000BC3F0000}"/>
    <cellStyle name="Normal 2 2 4 3 2 3 2 2" xfId="16922" xr:uid="{00000000-0005-0000-0000-0000BD3F0000}"/>
    <cellStyle name="Normal 2 2 4 3 2 3 3" xfId="16923" xr:uid="{00000000-0005-0000-0000-0000BE3F0000}"/>
    <cellStyle name="Normal 2 2 4 3 2 4" xfId="16924" xr:uid="{00000000-0005-0000-0000-0000BF3F0000}"/>
    <cellStyle name="Normal 2 2 4 3 3" xfId="16925" xr:uid="{00000000-0005-0000-0000-0000C03F0000}"/>
    <cellStyle name="Normal 2 2 4 3 3 2" xfId="16926" xr:uid="{00000000-0005-0000-0000-0000C13F0000}"/>
    <cellStyle name="Normal 2 2 4 3 3 2 2" xfId="16927" xr:uid="{00000000-0005-0000-0000-0000C23F0000}"/>
    <cellStyle name="Normal 2 2 4 3 3 3" xfId="16928" xr:uid="{00000000-0005-0000-0000-0000C33F0000}"/>
    <cellStyle name="Normal 2 2 4 3 4" xfId="16929" xr:uid="{00000000-0005-0000-0000-0000C43F0000}"/>
    <cellStyle name="Normal 2 2 4 3 4 2" xfId="16930" xr:uid="{00000000-0005-0000-0000-0000C53F0000}"/>
    <cellStyle name="Normal 2 2 4 3 4 2 2" xfId="16931" xr:uid="{00000000-0005-0000-0000-0000C63F0000}"/>
    <cellStyle name="Normal 2 2 4 3 4 3" xfId="16932" xr:uid="{00000000-0005-0000-0000-0000C73F0000}"/>
    <cellStyle name="Normal 2 2 4 3 5" xfId="16933" xr:uid="{00000000-0005-0000-0000-0000C83F0000}"/>
    <cellStyle name="Normal 2 2 4 3 5 2" xfId="16934" xr:uid="{00000000-0005-0000-0000-0000C93F0000}"/>
    <cellStyle name="Normal 2 2 4 3 5 2 2" xfId="16935" xr:uid="{00000000-0005-0000-0000-0000CA3F0000}"/>
    <cellStyle name="Normal 2 2 4 3 5 3" xfId="16936" xr:uid="{00000000-0005-0000-0000-0000CB3F0000}"/>
    <cellStyle name="Normal 2 2 4 3 6" xfId="16937" xr:uid="{00000000-0005-0000-0000-0000CC3F0000}"/>
    <cellStyle name="Normal 2 2 4 4" xfId="16938" xr:uid="{00000000-0005-0000-0000-0000CD3F0000}"/>
    <cellStyle name="Normal 2 2 5" xfId="16939" xr:uid="{00000000-0005-0000-0000-0000CE3F0000}"/>
    <cellStyle name="Normal 2 2 5 2" xfId="16940" xr:uid="{00000000-0005-0000-0000-0000CF3F0000}"/>
    <cellStyle name="Normal 2 2 5 2 2" xfId="16941" xr:uid="{00000000-0005-0000-0000-0000D03F0000}"/>
    <cellStyle name="Normal 2 2 5 3" xfId="16942" xr:uid="{00000000-0005-0000-0000-0000D13F0000}"/>
    <cellStyle name="Normal 2 2 5 3 2" xfId="16943" xr:uid="{00000000-0005-0000-0000-0000D23F0000}"/>
    <cellStyle name="Normal 2 2 5 3 2 2" xfId="16944" xr:uid="{00000000-0005-0000-0000-0000D33F0000}"/>
    <cellStyle name="Normal 2 2 5 3 3" xfId="16945" xr:uid="{00000000-0005-0000-0000-0000D43F0000}"/>
    <cellStyle name="Normal 2 2 5 4" xfId="16946" xr:uid="{00000000-0005-0000-0000-0000D53F0000}"/>
    <cellStyle name="Normal 2 2 5 4 2" xfId="16947" xr:uid="{00000000-0005-0000-0000-0000D63F0000}"/>
    <cellStyle name="Normal 2 2 5 4 2 2" xfId="16948" xr:uid="{00000000-0005-0000-0000-0000D73F0000}"/>
    <cellStyle name="Normal 2 2 5 4 3" xfId="16949" xr:uid="{00000000-0005-0000-0000-0000D83F0000}"/>
    <cellStyle name="Normal 2 2 5 5" xfId="16950" xr:uid="{00000000-0005-0000-0000-0000D93F0000}"/>
    <cellStyle name="Normal 2 2 6" xfId="16951" xr:uid="{00000000-0005-0000-0000-0000DA3F0000}"/>
    <cellStyle name="Normal 2 2 6 2" xfId="16952" xr:uid="{00000000-0005-0000-0000-0000DB3F0000}"/>
    <cellStyle name="Normal 2 2 6 2 2" xfId="16953" xr:uid="{00000000-0005-0000-0000-0000DC3F0000}"/>
    <cellStyle name="Normal 2 2 6 2 2 2" xfId="16954" xr:uid="{00000000-0005-0000-0000-0000DD3F0000}"/>
    <cellStyle name="Normal 2 2 6 2 3" xfId="16955" xr:uid="{00000000-0005-0000-0000-0000DE3F0000}"/>
    <cellStyle name="Normal 2 2 6 2 3 2" xfId="16956" xr:uid="{00000000-0005-0000-0000-0000DF3F0000}"/>
    <cellStyle name="Normal 2 2 6 2 3 2 2" xfId="16957" xr:uid="{00000000-0005-0000-0000-0000E03F0000}"/>
    <cellStyle name="Normal 2 2 6 2 3 3" xfId="16958" xr:uid="{00000000-0005-0000-0000-0000E13F0000}"/>
    <cellStyle name="Normal 2 2 6 2 4" xfId="16959" xr:uid="{00000000-0005-0000-0000-0000E23F0000}"/>
    <cellStyle name="Normal 2 2 6 3" xfId="16960" xr:uid="{00000000-0005-0000-0000-0000E33F0000}"/>
    <cellStyle name="Normal 2 2 6 3 2" xfId="16961" xr:uid="{00000000-0005-0000-0000-0000E43F0000}"/>
    <cellStyle name="Normal 2 2 6 3 2 2" xfId="16962" xr:uid="{00000000-0005-0000-0000-0000E53F0000}"/>
    <cellStyle name="Normal 2 2 6 3 3" xfId="16963" xr:uid="{00000000-0005-0000-0000-0000E63F0000}"/>
    <cellStyle name="Normal 2 2 6 4" xfId="16964" xr:uid="{00000000-0005-0000-0000-0000E73F0000}"/>
    <cellStyle name="Normal 2 2 6 4 2" xfId="16965" xr:uid="{00000000-0005-0000-0000-0000E83F0000}"/>
    <cellStyle name="Normal 2 2 6 4 2 2" xfId="16966" xr:uid="{00000000-0005-0000-0000-0000E93F0000}"/>
    <cellStyle name="Normal 2 2 6 4 3" xfId="16967" xr:uid="{00000000-0005-0000-0000-0000EA3F0000}"/>
    <cellStyle name="Normal 2 2 6 5" xfId="16968" xr:uid="{00000000-0005-0000-0000-0000EB3F0000}"/>
    <cellStyle name="Normal 2 2 6 5 2" xfId="16969" xr:uid="{00000000-0005-0000-0000-0000EC3F0000}"/>
    <cellStyle name="Normal 2 2 6 5 2 2" xfId="16970" xr:uid="{00000000-0005-0000-0000-0000ED3F0000}"/>
    <cellStyle name="Normal 2 2 6 5 3" xfId="16971" xr:uid="{00000000-0005-0000-0000-0000EE3F0000}"/>
    <cellStyle name="Normal 2 2 6 6" xfId="16972" xr:uid="{00000000-0005-0000-0000-0000EF3F0000}"/>
    <cellStyle name="Normal 2 2 7" xfId="16973" xr:uid="{00000000-0005-0000-0000-0000F03F0000}"/>
    <cellStyle name="Normal 2 2 7 2" xfId="16974" xr:uid="{00000000-0005-0000-0000-0000F13F0000}"/>
    <cellStyle name="Normal 2 2 7 2 2" xfId="16975" xr:uid="{00000000-0005-0000-0000-0000F23F0000}"/>
    <cellStyle name="Normal 2 2 7 3" xfId="16976" xr:uid="{00000000-0005-0000-0000-0000F33F0000}"/>
    <cellStyle name="Normal 2 2 8" xfId="16977" xr:uid="{00000000-0005-0000-0000-0000F43F0000}"/>
    <cellStyle name="Normal 2 2 8 2" xfId="16978" xr:uid="{00000000-0005-0000-0000-0000F53F0000}"/>
    <cellStyle name="Normal 2 2 9" xfId="16979" xr:uid="{00000000-0005-0000-0000-0000F63F0000}"/>
    <cellStyle name="Normal 2 3" xfId="30" xr:uid="{00000000-0005-0000-0000-0000F73F0000}"/>
    <cellStyle name="Normal 2 3 2" xfId="101" xr:uid="{00000000-0005-0000-0000-0000F83F0000}"/>
    <cellStyle name="Normal 2 3 2 2" xfId="16981" xr:uid="{00000000-0005-0000-0000-0000F93F0000}"/>
    <cellStyle name="Normal 2 3 2 2 2" xfId="16982" xr:uid="{00000000-0005-0000-0000-0000FA3F0000}"/>
    <cellStyle name="Normal 2 3 2 3" xfId="16983" xr:uid="{00000000-0005-0000-0000-0000FB3F0000}"/>
    <cellStyle name="Normal 2 3 2 3 2" xfId="16984" xr:uid="{00000000-0005-0000-0000-0000FC3F0000}"/>
    <cellStyle name="Normal 2 3 2 3 2 2" xfId="16985" xr:uid="{00000000-0005-0000-0000-0000FD3F0000}"/>
    <cellStyle name="Normal 2 3 2 3 3" xfId="16986" xr:uid="{00000000-0005-0000-0000-0000FE3F0000}"/>
    <cellStyle name="Normal 2 3 2 4" xfId="16987" xr:uid="{00000000-0005-0000-0000-0000FF3F0000}"/>
    <cellStyle name="Normal 2 3 2 4 2" xfId="16988" xr:uid="{00000000-0005-0000-0000-000000400000}"/>
    <cellStyle name="Normal 2 3 2 4 2 2" xfId="16989" xr:uid="{00000000-0005-0000-0000-000001400000}"/>
    <cellStyle name="Normal 2 3 2 4 3" xfId="16990" xr:uid="{00000000-0005-0000-0000-000002400000}"/>
    <cellStyle name="Normal 2 3 2 5" xfId="16991" xr:uid="{00000000-0005-0000-0000-000003400000}"/>
    <cellStyle name="Normal 2 3 2 6" xfId="16980" xr:uid="{00000000-0005-0000-0000-000004400000}"/>
    <cellStyle name="Normal 2 3 3" xfId="16992" xr:uid="{00000000-0005-0000-0000-000005400000}"/>
    <cellStyle name="Normal 2 3 3 2" xfId="16993" xr:uid="{00000000-0005-0000-0000-000006400000}"/>
    <cellStyle name="Normal 2 3 3 2 2" xfId="16994" xr:uid="{00000000-0005-0000-0000-000007400000}"/>
    <cellStyle name="Normal 2 3 3 2 2 2" xfId="16995" xr:uid="{00000000-0005-0000-0000-000008400000}"/>
    <cellStyle name="Normal 2 3 3 2 3" xfId="16996" xr:uid="{00000000-0005-0000-0000-000009400000}"/>
    <cellStyle name="Normal 2 3 3 2 3 2" xfId="16997" xr:uid="{00000000-0005-0000-0000-00000A400000}"/>
    <cellStyle name="Normal 2 3 3 2 3 2 2" xfId="16998" xr:uid="{00000000-0005-0000-0000-00000B400000}"/>
    <cellStyle name="Normal 2 3 3 2 3 3" xfId="16999" xr:uid="{00000000-0005-0000-0000-00000C400000}"/>
    <cellStyle name="Normal 2 3 3 2 4" xfId="17000" xr:uid="{00000000-0005-0000-0000-00000D400000}"/>
    <cellStyle name="Normal 2 3 3 3" xfId="17001" xr:uid="{00000000-0005-0000-0000-00000E400000}"/>
    <cellStyle name="Normal 2 3 3 3 2" xfId="17002" xr:uid="{00000000-0005-0000-0000-00000F400000}"/>
    <cellStyle name="Normal 2 3 3 3 2 2" xfId="17003" xr:uid="{00000000-0005-0000-0000-000010400000}"/>
    <cellStyle name="Normal 2 3 3 3 3" xfId="17004" xr:uid="{00000000-0005-0000-0000-000011400000}"/>
    <cellStyle name="Normal 2 3 3 4" xfId="17005" xr:uid="{00000000-0005-0000-0000-000012400000}"/>
    <cellStyle name="Normal 2 3 3 4 2" xfId="17006" xr:uid="{00000000-0005-0000-0000-000013400000}"/>
    <cellStyle name="Normal 2 3 3 4 2 2" xfId="17007" xr:uid="{00000000-0005-0000-0000-000014400000}"/>
    <cellStyle name="Normal 2 3 3 4 3" xfId="17008" xr:uid="{00000000-0005-0000-0000-000015400000}"/>
    <cellStyle name="Normal 2 3 3 5" xfId="17009" xr:uid="{00000000-0005-0000-0000-000016400000}"/>
    <cellStyle name="Normal 2 3 3 5 2" xfId="17010" xr:uid="{00000000-0005-0000-0000-000017400000}"/>
    <cellStyle name="Normal 2 3 3 5 2 2" xfId="17011" xr:uid="{00000000-0005-0000-0000-000018400000}"/>
    <cellStyle name="Normal 2 3 3 5 3" xfId="17012" xr:uid="{00000000-0005-0000-0000-000019400000}"/>
    <cellStyle name="Normal 2 3 3 6" xfId="17013" xr:uid="{00000000-0005-0000-0000-00001A400000}"/>
    <cellStyle name="Normal 2 3 4" xfId="17014" xr:uid="{00000000-0005-0000-0000-00001B400000}"/>
    <cellStyle name="Normal 2 3 4 2" xfId="17015" xr:uid="{00000000-0005-0000-0000-00001C400000}"/>
    <cellStyle name="Normal 2 3 4 2 2" xfId="17016" xr:uid="{00000000-0005-0000-0000-00001D400000}"/>
    <cellStyle name="Normal 2 3 4 3" xfId="17017" xr:uid="{00000000-0005-0000-0000-00001E400000}"/>
    <cellStyle name="Normal 2 3 5" xfId="17018" xr:uid="{00000000-0005-0000-0000-00001F400000}"/>
    <cellStyle name="Normal 2 3 5 2" xfId="17019" xr:uid="{00000000-0005-0000-0000-000020400000}"/>
    <cellStyle name="Normal 2 3 5 2 2" xfId="17020" xr:uid="{00000000-0005-0000-0000-000021400000}"/>
    <cellStyle name="Normal 2 3 5 3" xfId="17021" xr:uid="{00000000-0005-0000-0000-000022400000}"/>
    <cellStyle name="Normal 2 3 6" xfId="17022" xr:uid="{00000000-0005-0000-0000-000023400000}"/>
    <cellStyle name="Normal 2 3 6 2" xfId="17023" xr:uid="{00000000-0005-0000-0000-000024400000}"/>
    <cellStyle name="Normal 2 3 6 2 2" xfId="17024" xr:uid="{00000000-0005-0000-0000-000025400000}"/>
    <cellStyle name="Normal 2 3 6 3" xfId="17025" xr:uid="{00000000-0005-0000-0000-000026400000}"/>
    <cellStyle name="Normal 2 3 7" xfId="17026" xr:uid="{00000000-0005-0000-0000-000027400000}"/>
    <cellStyle name="Normal 2 3 7 2" xfId="17027" xr:uid="{00000000-0005-0000-0000-000028400000}"/>
    <cellStyle name="Normal 2 3 8" xfId="17028" xr:uid="{00000000-0005-0000-0000-000029400000}"/>
    <cellStyle name="Normal 2 4" xfId="31" xr:uid="{00000000-0005-0000-0000-00002A400000}"/>
    <cellStyle name="Normal 2 4 2" xfId="102" xr:uid="{00000000-0005-0000-0000-00002B400000}"/>
    <cellStyle name="Normal 2 4 2 2" xfId="17031" xr:uid="{00000000-0005-0000-0000-00002C400000}"/>
    <cellStyle name="Normal 2 4 2 2 2" xfId="17032" xr:uid="{00000000-0005-0000-0000-00002D400000}"/>
    <cellStyle name="Normal 2 4 2 3" xfId="17033" xr:uid="{00000000-0005-0000-0000-00002E400000}"/>
    <cellStyle name="Normal 2 4 2 3 2" xfId="17034" xr:uid="{00000000-0005-0000-0000-00002F400000}"/>
    <cellStyle name="Normal 2 4 2 3 2 2" xfId="17035" xr:uid="{00000000-0005-0000-0000-000030400000}"/>
    <cellStyle name="Normal 2 4 2 3 3" xfId="17036" xr:uid="{00000000-0005-0000-0000-000031400000}"/>
    <cellStyle name="Normal 2 4 2 4" xfId="17037" xr:uid="{00000000-0005-0000-0000-000032400000}"/>
    <cellStyle name="Normal 2 4 2 4 2" xfId="17038" xr:uid="{00000000-0005-0000-0000-000033400000}"/>
    <cellStyle name="Normal 2 4 2 4 2 2" xfId="17039" xr:uid="{00000000-0005-0000-0000-000034400000}"/>
    <cellStyle name="Normal 2 4 2 4 3" xfId="17040" xr:uid="{00000000-0005-0000-0000-000035400000}"/>
    <cellStyle name="Normal 2 4 2 5" xfId="17041" xr:uid="{00000000-0005-0000-0000-000036400000}"/>
    <cellStyle name="Normal 2 4 2 6" xfId="17030" xr:uid="{00000000-0005-0000-0000-000037400000}"/>
    <cellStyle name="Normal 2 4 3" xfId="17042" xr:uid="{00000000-0005-0000-0000-000038400000}"/>
    <cellStyle name="Normal 2 4 3 2" xfId="17043" xr:uid="{00000000-0005-0000-0000-000039400000}"/>
    <cellStyle name="Normal 2 4 3 2 2" xfId="17044" xr:uid="{00000000-0005-0000-0000-00003A400000}"/>
    <cellStyle name="Normal 2 4 3 2 2 2" xfId="17045" xr:uid="{00000000-0005-0000-0000-00003B400000}"/>
    <cellStyle name="Normal 2 4 3 2 3" xfId="17046" xr:uid="{00000000-0005-0000-0000-00003C400000}"/>
    <cellStyle name="Normal 2 4 3 2 3 2" xfId="17047" xr:uid="{00000000-0005-0000-0000-00003D400000}"/>
    <cellStyle name="Normal 2 4 3 2 3 2 2" xfId="17048" xr:uid="{00000000-0005-0000-0000-00003E400000}"/>
    <cellStyle name="Normal 2 4 3 2 3 3" xfId="17049" xr:uid="{00000000-0005-0000-0000-00003F400000}"/>
    <cellStyle name="Normal 2 4 3 2 4" xfId="17050" xr:uid="{00000000-0005-0000-0000-000040400000}"/>
    <cellStyle name="Normal 2 4 3 3" xfId="17051" xr:uid="{00000000-0005-0000-0000-000041400000}"/>
    <cellStyle name="Normal 2 4 4" xfId="17052" xr:uid="{00000000-0005-0000-0000-000042400000}"/>
    <cellStyle name="Normal 2 4 4 2" xfId="17053" xr:uid="{00000000-0005-0000-0000-000043400000}"/>
    <cellStyle name="Normal 2 4 4 2 2" xfId="17054" xr:uid="{00000000-0005-0000-0000-000044400000}"/>
    <cellStyle name="Normal 2 4 4 3" xfId="17055" xr:uid="{00000000-0005-0000-0000-000045400000}"/>
    <cellStyle name="Normal 2 4 5" xfId="17056" xr:uid="{00000000-0005-0000-0000-000046400000}"/>
    <cellStyle name="Normal 2 4 5 2" xfId="17057" xr:uid="{00000000-0005-0000-0000-000047400000}"/>
    <cellStyle name="Normal 2 4 5 2 2" xfId="17058" xr:uid="{00000000-0005-0000-0000-000048400000}"/>
    <cellStyle name="Normal 2 4 5 3" xfId="17059" xr:uid="{00000000-0005-0000-0000-000049400000}"/>
    <cellStyle name="Normal 2 4 6" xfId="17060" xr:uid="{00000000-0005-0000-0000-00004A400000}"/>
    <cellStyle name="Normal 2 4 7" xfId="17029" xr:uid="{00000000-0005-0000-0000-00004B400000}"/>
    <cellStyle name="Normal 2 5" xfId="99" xr:uid="{00000000-0005-0000-0000-00004C400000}"/>
    <cellStyle name="Normal 2 5 2" xfId="17062" xr:uid="{00000000-0005-0000-0000-00004D400000}"/>
    <cellStyle name="Normal 2 5 2 2" xfId="17063" xr:uid="{00000000-0005-0000-0000-00004E400000}"/>
    <cellStyle name="Normal 2 5 2 2 2" xfId="17064" xr:uid="{00000000-0005-0000-0000-00004F400000}"/>
    <cellStyle name="Normal 2 5 2 3" xfId="17065" xr:uid="{00000000-0005-0000-0000-000050400000}"/>
    <cellStyle name="Normal 2 5 2 3 2" xfId="17066" xr:uid="{00000000-0005-0000-0000-000051400000}"/>
    <cellStyle name="Normal 2 5 2 3 2 2" xfId="17067" xr:uid="{00000000-0005-0000-0000-000052400000}"/>
    <cellStyle name="Normal 2 5 2 3 3" xfId="17068" xr:uid="{00000000-0005-0000-0000-000053400000}"/>
    <cellStyle name="Normal 2 5 2 4" xfId="17069" xr:uid="{00000000-0005-0000-0000-000054400000}"/>
    <cellStyle name="Normal 2 5 2 4 2" xfId="17070" xr:uid="{00000000-0005-0000-0000-000055400000}"/>
    <cellStyle name="Normal 2 5 2 4 2 2" xfId="17071" xr:uid="{00000000-0005-0000-0000-000056400000}"/>
    <cellStyle name="Normal 2 5 2 4 3" xfId="17072" xr:uid="{00000000-0005-0000-0000-000057400000}"/>
    <cellStyle name="Normal 2 5 2 5" xfId="17073" xr:uid="{00000000-0005-0000-0000-000058400000}"/>
    <cellStyle name="Normal 2 5 3" xfId="17074" xr:uid="{00000000-0005-0000-0000-000059400000}"/>
    <cellStyle name="Normal 2 5 3 2" xfId="17075" xr:uid="{00000000-0005-0000-0000-00005A400000}"/>
    <cellStyle name="Normal 2 5 3 2 2" xfId="17076" xr:uid="{00000000-0005-0000-0000-00005B400000}"/>
    <cellStyle name="Normal 2 5 3 2 2 2" xfId="17077" xr:uid="{00000000-0005-0000-0000-00005C400000}"/>
    <cellStyle name="Normal 2 5 3 2 3" xfId="17078" xr:uid="{00000000-0005-0000-0000-00005D400000}"/>
    <cellStyle name="Normal 2 5 3 2 3 2" xfId="17079" xr:uid="{00000000-0005-0000-0000-00005E400000}"/>
    <cellStyle name="Normal 2 5 3 2 3 2 2" xfId="17080" xr:uid="{00000000-0005-0000-0000-00005F400000}"/>
    <cellStyle name="Normal 2 5 3 2 3 3" xfId="17081" xr:uid="{00000000-0005-0000-0000-000060400000}"/>
    <cellStyle name="Normal 2 5 3 2 4" xfId="17082" xr:uid="{00000000-0005-0000-0000-000061400000}"/>
    <cellStyle name="Normal 2 5 3 3" xfId="17083" xr:uid="{00000000-0005-0000-0000-000062400000}"/>
    <cellStyle name="Normal 2 5 4" xfId="17084" xr:uid="{00000000-0005-0000-0000-000063400000}"/>
    <cellStyle name="Normal 2 5 4 2" xfId="17085" xr:uid="{00000000-0005-0000-0000-000064400000}"/>
    <cellStyle name="Normal 2 5 4 2 2" xfId="17086" xr:uid="{00000000-0005-0000-0000-000065400000}"/>
    <cellStyle name="Normal 2 5 4 3" xfId="17087" xr:uid="{00000000-0005-0000-0000-000066400000}"/>
    <cellStyle name="Normal 2 5 5" xfId="17088" xr:uid="{00000000-0005-0000-0000-000067400000}"/>
    <cellStyle name="Normal 2 5 5 2" xfId="17089" xr:uid="{00000000-0005-0000-0000-000068400000}"/>
    <cellStyle name="Normal 2 5 5 2 2" xfId="17090" xr:uid="{00000000-0005-0000-0000-000069400000}"/>
    <cellStyle name="Normal 2 5 5 3" xfId="17091" xr:uid="{00000000-0005-0000-0000-00006A400000}"/>
    <cellStyle name="Normal 2 5 6" xfId="17092" xr:uid="{00000000-0005-0000-0000-00006B400000}"/>
    <cellStyle name="Normal 2 5 7" xfId="17061" xr:uid="{00000000-0005-0000-0000-00006C400000}"/>
    <cellStyle name="Normal 2 6" xfId="82" xr:uid="{00000000-0005-0000-0000-00006D400000}"/>
    <cellStyle name="Normal 2 6 10" xfId="204" xr:uid="{00000000-0005-0000-0000-00006E400000}"/>
    <cellStyle name="Normal 2 6 10 2" xfId="340" xr:uid="{00000000-0005-0000-0000-00006F400000}"/>
    <cellStyle name="Normal 2 6 10 3" xfId="463" xr:uid="{00000000-0005-0000-0000-000070400000}"/>
    <cellStyle name="Normal 2 6 10 4" xfId="545" xr:uid="{00000000-0005-0000-0000-000071400000}"/>
    <cellStyle name="Normal 2 6 10 5" xfId="53830" xr:uid="{00000000-0005-0000-0000-000072400000}"/>
    <cellStyle name="Normal 2 6 11" xfId="258" xr:uid="{00000000-0005-0000-0000-000073400000}"/>
    <cellStyle name="Normal 2 6 12" xfId="381" xr:uid="{00000000-0005-0000-0000-000074400000}"/>
    <cellStyle name="Normal 2 6 13" xfId="504" xr:uid="{00000000-0005-0000-0000-000075400000}"/>
    <cellStyle name="Normal 2 6 14" xfId="544" xr:uid="{00000000-0005-0000-0000-000076400000}"/>
    <cellStyle name="Normal 2 6 15" xfId="17093" xr:uid="{00000000-0005-0000-0000-000077400000}"/>
    <cellStyle name="Normal 2 6 16" xfId="53705" xr:uid="{00000000-0005-0000-0000-000078400000}"/>
    <cellStyle name="Normal 2 6 17" xfId="53746" xr:uid="{00000000-0005-0000-0000-000079400000}"/>
    <cellStyle name="Normal 2 6 2" xfId="110" xr:uid="{00000000-0005-0000-0000-00007A400000}"/>
    <cellStyle name="Normal 2 6 2 10" xfId="383" xr:uid="{00000000-0005-0000-0000-00007B400000}"/>
    <cellStyle name="Normal 2 6 2 11" xfId="506" xr:uid="{00000000-0005-0000-0000-00007C400000}"/>
    <cellStyle name="Normal 2 6 2 12" xfId="546" xr:uid="{00000000-0005-0000-0000-00007D400000}"/>
    <cellStyle name="Normal 2 6 2 13" xfId="17094" xr:uid="{00000000-0005-0000-0000-00007E400000}"/>
    <cellStyle name="Normal 2 6 2 14" xfId="53707" xr:uid="{00000000-0005-0000-0000-00007F400000}"/>
    <cellStyle name="Normal 2 6 2 15" xfId="53747" xr:uid="{00000000-0005-0000-0000-000080400000}"/>
    <cellStyle name="Normal 2 6 2 2" xfId="116" xr:uid="{00000000-0005-0000-0000-000081400000}"/>
    <cellStyle name="Normal 2 6 2 2 10" xfId="53713" xr:uid="{00000000-0005-0000-0000-000082400000}"/>
    <cellStyle name="Normal 2 6 2 2 11" xfId="53748" xr:uid="{00000000-0005-0000-0000-000083400000}"/>
    <cellStyle name="Normal 2 6 2 2 2" xfId="153" xr:uid="{00000000-0005-0000-0000-000084400000}"/>
    <cellStyle name="Normal 2 6 2 2 2 2" xfId="194" xr:uid="{00000000-0005-0000-0000-000085400000}"/>
    <cellStyle name="Normal 2 6 2 2 2 2 2" xfId="330" xr:uid="{00000000-0005-0000-0000-000086400000}"/>
    <cellStyle name="Normal 2 6 2 2 2 2 3" xfId="453" xr:uid="{00000000-0005-0000-0000-000087400000}"/>
    <cellStyle name="Normal 2 6 2 2 2 2 4" xfId="549" xr:uid="{00000000-0005-0000-0000-000088400000}"/>
    <cellStyle name="Normal 2 6 2 2 2 2 5" xfId="53820" xr:uid="{00000000-0005-0000-0000-000089400000}"/>
    <cellStyle name="Normal 2 6 2 2 2 3" xfId="235" xr:uid="{00000000-0005-0000-0000-00008A400000}"/>
    <cellStyle name="Normal 2 6 2 2 2 3 2" xfId="371" xr:uid="{00000000-0005-0000-0000-00008B400000}"/>
    <cellStyle name="Normal 2 6 2 2 2 3 3" xfId="494" xr:uid="{00000000-0005-0000-0000-00008C400000}"/>
    <cellStyle name="Normal 2 6 2 2 2 3 4" xfId="550" xr:uid="{00000000-0005-0000-0000-00008D400000}"/>
    <cellStyle name="Normal 2 6 2 2 2 3 5" xfId="53861" xr:uid="{00000000-0005-0000-0000-00008E400000}"/>
    <cellStyle name="Normal 2 6 2 2 2 4" xfId="289" xr:uid="{00000000-0005-0000-0000-00008F400000}"/>
    <cellStyle name="Normal 2 6 2 2 2 5" xfId="412" xr:uid="{00000000-0005-0000-0000-000090400000}"/>
    <cellStyle name="Normal 2 6 2 2 2 6" xfId="535" xr:uid="{00000000-0005-0000-0000-000091400000}"/>
    <cellStyle name="Normal 2 6 2 2 2 7" xfId="548" xr:uid="{00000000-0005-0000-0000-000092400000}"/>
    <cellStyle name="Normal 2 6 2 2 2 8" xfId="53736" xr:uid="{00000000-0005-0000-0000-000093400000}"/>
    <cellStyle name="Normal 2 6 2 2 2 9" xfId="53749" xr:uid="{00000000-0005-0000-0000-000094400000}"/>
    <cellStyle name="Normal 2 6 2 2 3" xfId="171" xr:uid="{00000000-0005-0000-0000-000095400000}"/>
    <cellStyle name="Normal 2 6 2 2 3 2" xfId="307" xr:uid="{00000000-0005-0000-0000-000096400000}"/>
    <cellStyle name="Normal 2 6 2 2 3 3" xfId="430" xr:uid="{00000000-0005-0000-0000-000097400000}"/>
    <cellStyle name="Normal 2 6 2 2 3 4" xfId="551" xr:uid="{00000000-0005-0000-0000-000098400000}"/>
    <cellStyle name="Normal 2 6 2 2 3 5" xfId="53797" xr:uid="{00000000-0005-0000-0000-000099400000}"/>
    <cellStyle name="Normal 2 6 2 2 4" xfId="212" xr:uid="{00000000-0005-0000-0000-00009A400000}"/>
    <cellStyle name="Normal 2 6 2 2 4 2" xfId="348" xr:uid="{00000000-0005-0000-0000-00009B400000}"/>
    <cellStyle name="Normal 2 6 2 2 4 3" xfId="471" xr:uid="{00000000-0005-0000-0000-00009C400000}"/>
    <cellStyle name="Normal 2 6 2 2 4 4" xfId="552" xr:uid="{00000000-0005-0000-0000-00009D400000}"/>
    <cellStyle name="Normal 2 6 2 2 4 5" xfId="53838" xr:uid="{00000000-0005-0000-0000-00009E400000}"/>
    <cellStyle name="Normal 2 6 2 2 5" xfId="266" xr:uid="{00000000-0005-0000-0000-00009F400000}"/>
    <cellStyle name="Normal 2 6 2 2 6" xfId="389" xr:uid="{00000000-0005-0000-0000-0000A0400000}"/>
    <cellStyle name="Normal 2 6 2 2 7" xfId="512" xr:uid="{00000000-0005-0000-0000-0000A1400000}"/>
    <cellStyle name="Normal 2 6 2 2 8" xfId="547" xr:uid="{00000000-0005-0000-0000-0000A2400000}"/>
    <cellStyle name="Normal 2 6 2 2 9" xfId="17095" xr:uid="{00000000-0005-0000-0000-0000A3400000}"/>
    <cellStyle name="Normal 2 6 2 3" xfId="120" xr:uid="{00000000-0005-0000-0000-0000A4400000}"/>
    <cellStyle name="Normal 2 6 2 3 10" xfId="53717" xr:uid="{00000000-0005-0000-0000-0000A5400000}"/>
    <cellStyle name="Normal 2 6 2 3 11" xfId="53750" xr:uid="{00000000-0005-0000-0000-0000A6400000}"/>
    <cellStyle name="Normal 2 6 2 3 2" xfId="157" xr:uid="{00000000-0005-0000-0000-0000A7400000}"/>
    <cellStyle name="Normal 2 6 2 3 2 2" xfId="198" xr:uid="{00000000-0005-0000-0000-0000A8400000}"/>
    <cellStyle name="Normal 2 6 2 3 2 2 2" xfId="334" xr:uid="{00000000-0005-0000-0000-0000A9400000}"/>
    <cellStyle name="Normal 2 6 2 3 2 2 3" xfId="457" xr:uid="{00000000-0005-0000-0000-0000AA400000}"/>
    <cellStyle name="Normal 2 6 2 3 2 2 4" xfId="555" xr:uid="{00000000-0005-0000-0000-0000AB400000}"/>
    <cellStyle name="Normal 2 6 2 3 2 2 5" xfId="53824" xr:uid="{00000000-0005-0000-0000-0000AC400000}"/>
    <cellStyle name="Normal 2 6 2 3 2 3" xfId="239" xr:uid="{00000000-0005-0000-0000-0000AD400000}"/>
    <cellStyle name="Normal 2 6 2 3 2 3 2" xfId="375" xr:uid="{00000000-0005-0000-0000-0000AE400000}"/>
    <cellStyle name="Normal 2 6 2 3 2 3 3" xfId="498" xr:uid="{00000000-0005-0000-0000-0000AF400000}"/>
    <cellStyle name="Normal 2 6 2 3 2 3 4" xfId="556" xr:uid="{00000000-0005-0000-0000-0000B0400000}"/>
    <cellStyle name="Normal 2 6 2 3 2 3 5" xfId="53865" xr:uid="{00000000-0005-0000-0000-0000B1400000}"/>
    <cellStyle name="Normal 2 6 2 3 2 4" xfId="293" xr:uid="{00000000-0005-0000-0000-0000B2400000}"/>
    <cellStyle name="Normal 2 6 2 3 2 5" xfId="416" xr:uid="{00000000-0005-0000-0000-0000B3400000}"/>
    <cellStyle name="Normal 2 6 2 3 2 6" xfId="539" xr:uid="{00000000-0005-0000-0000-0000B4400000}"/>
    <cellStyle name="Normal 2 6 2 3 2 7" xfId="554" xr:uid="{00000000-0005-0000-0000-0000B5400000}"/>
    <cellStyle name="Normal 2 6 2 3 2 8" xfId="53740" xr:uid="{00000000-0005-0000-0000-0000B6400000}"/>
    <cellStyle name="Normal 2 6 2 3 2 9" xfId="53751" xr:uid="{00000000-0005-0000-0000-0000B7400000}"/>
    <cellStyle name="Normal 2 6 2 3 3" xfId="175" xr:uid="{00000000-0005-0000-0000-0000B8400000}"/>
    <cellStyle name="Normal 2 6 2 3 3 2" xfId="311" xr:uid="{00000000-0005-0000-0000-0000B9400000}"/>
    <cellStyle name="Normal 2 6 2 3 3 3" xfId="434" xr:uid="{00000000-0005-0000-0000-0000BA400000}"/>
    <cellStyle name="Normal 2 6 2 3 3 4" xfId="557" xr:uid="{00000000-0005-0000-0000-0000BB400000}"/>
    <cellStyle name="Normal 2 6 2 3 3 5" xfId="53801" xr:uid="{00000000-0005-0000-0000-0000BC400000}"/>
    <cellStyle name="Normal 2 6 2 3 4" xfId="216" xr:uid="{00000000-0005-0000-0000-0000BD400000}"/>
    <cellStyle name="Normal 2 6 2 3 4 2" xfId="352" xr:uid="{00000000-0005-0000-0000-0000BE400000}"/>
    <cellStyle name="Normal 2 6 2 3 4 3" xfId="475" xr:uid="{00000000-0005-0000-0000-0000BF400000}"/>
    <cellStyle name="Normal 2 6 2 3 4 4" xfId="558" xr:uid="{00000000-0005-0000-0000-0000C0400000}"/>
    <cellStyle name="Normal 2 6 2 3 4 5" xfId="53842" xr:uid="{00000000-0005-0000-0000-0000C1400000}"/>
    <cellStyle name="Normal 2 6 2 3 5" xfId="270" xr:uid="{00000000-0005-0000-0000-0000C2400000}"/>
    <cellStyle name="Normal 2 6 2 3 6" xfId="393" xr:uid="{00000000-0005-0000-0000-0000C3400000}"/>
    <cellStyle name="Normal 2 6 2 3 7" xfId="516" xr:uid="{00000000-0005-0000-0000-0000C4400000}"/>
    <cellStyle name="Normal 2 6 2 3 8" xfId="553" xr:uid="{00000000-0005-0000-0000-0000C5400000}"/>
    <cellStyle name="Normal 2 6 2 3 9" xfId="53700" xr:uid="{00000000-0005-0000-0000-0000C6400000}"/>
    <cellStyle name="Normal 2 6 2 4" xfId="124" xr:uid="{00000000-0005-0000-0000-0000C7400000}"/>
    <cellStyle name="Normal 2 6 2 4 10" xfId="53721" xr:uid="{00000000-0005-0000-0000-0000C8400000}"/>
    <cellStyle name="Normal 2 6 2 4 11" xfId="53752" xr:uid="{00000000-0005-0000-0000-0000C9400000}"/>
    <cellStyle name="Normal 2 6 2 4 2" xfId="161" xr:uid="{00000000-0005-0000-0000-0000CA400000}"/>
    <cellStyle name="Normal 2 6 2 4 2 2" xfId="202" xr:uid="{00000000-0005-0000-0000-0000CB400000}"/>
    <cellStyle name="Normal 2 6 2 4 2 2 2" xfId="338" xr:uid="{00000000-0005-0000-0000-0000CC400000}"/>
    <cellStyle name="Normal 2 6 2 4 2 2 3" xfId="461" xr:uid="{00000000-0005-0000-0000-0000CD400000}"/>
    <cellStyle name="Normal 2 6 2 4 2 2 4" xfId="561" xr:uid="{00000000-0005-0000-0000-0000CE400000}"/>
    <cellStyle name="Normal 2 6 2 4 2 2 5" xfId="53828" xr:uid="{00000000-0005-0000-0000-0000CF400000}"/>
    <cellStyle name="Normal 2 6 2 4 2 3" xfId="243" xr:uid="{00000000-0005-0000-0000-0000D0400000}"/>
    <cellStyle name="Normal 2 6 2 4 2 3 2" xfId="379" xr:uid="{00000000-0005-0000-0000-0000D1400000}"/>
    <cellStyle name="Normal 2 6 2 4 2 3 3" xfId="502" xr:uid="{00000000-0005-0000-0000-0000D2400000}"/>
    <cellStyle name="Normal 2 6 2 4 2 3 4" xfId="562" xr:uid="{00000000-0005-0000-0000-0000D3400000}"/>
    <cellStyle name="Normal 2 6 2 4 2 3 5" xfId="53869" xr:uid="{00000000-0005-0000-0000-0000D4400000}"/>
    <cellStyle name="Normal 2 6 2 4 2 4" xfId="297" xr:uid="{00000000-0005-0000-0000-0000D5400000}"/>
    <cellStyle name="Normal 2 6 2 4 2 5" xfId="420" xr:uid="{00000000-0005-0000-0000-0000D6400000}"/>
    <cellStyle name="Normal 2 6 2 4 2 6" xfId="543" xr:uid="{00000000-0005-0000-0000-0000D7400000}"/>
    <cellStyle name="Normal 2 6 2 4 2 7" xfId="560" xr:uid="{00000000-0005-0000-0000-0000D8400000}"/>
    <cellStyle name="Normal 2 6 2 4 2 8" xfId="53744" xr:uid="{00000000-0005-0000-0000-0000D9400000}"/>
    <cellStyle name="Normal 2 6 2 4 2 9" xfId="53753" xr:uid="{00000000-0005-0000-0000-0000DA400000}"/>
    <cellStyle name="Normal 2 6 2 4 3" xfId="179" xr:uid="{00000000-0005-0000-0000-0000DB400000}"/>
    <cellStyle name="Normal 2 6 2 4 3 2" xfId="315" xr:uid="{00000000-0005-0000-0000-0000DC400000}"/>
    <cellStyle name="Normal 2 6 2 4 3 3" xfId="438" xr:uid="{00000000-0005-0000-0000-0000DD400000}"/>
    <cellStyle name="Normal 2 6 2 4 3 4" xfId="563" xr:uid="{00000000-0005-0000-0000-0000DE400000}"/>
    <cellStyle name="Normal 2 6 2 4 3 5" xfId="53805" xr:uid="{00000000-0005-0000-0000-0000DF400000}"/>
    <cellStyle name="Normal 2 6 2 4 4" xfId="220" xr:uid="{00000000-0005-0000-0000-0000E0400000}"/>
    <cellStyle name="Normal 2 6 2 4 4 2" xfId="356" xr:uid="{00000000-0005-0000-0000-0000E1400000}"/>
    <cellStyle name="Normal 2 6 2 4 4 3" xfId="479" xr:uid="{00000000-0005-0000-0000-0000E2400000}"/>
    <cellStyle name="Normal 2 6 2 4 4 4" xfId="564" xr:uid="{00000000-0005-0000-0000-0000E3400000}"/>
    <cellStyle name="Normal 2 6 2 4 4 5" xfId="53846" xr:uid="{00000000-0005-0000-0000-0000E4400000}"/>
    <cellStyle name="Normal 2 6 2 4 5" xfId="274" xr:uid="{00000000-0005-0000-0000-0000E5400000}"/>
    <cellStyle name="Normal 2 6 2 4 6" xfId="397" xr:uid="{00000000-0005-0000-0000-0000E6400000}"/>
    <cellStyle name="Normal 2 6 2 4 7" xfId="520" xr:uid="{00000000-0005-0000-0000-0000E7400000}"/>
    <cellStyle name="Normal 2 6 2 4 8" xfId="559" xr:uid="{00000000-0005-0000-0000-0000E8400000}"/>
    <cellStyle name="Normal 2 6 2 4 9" xfId="53701" xr:uid="{00000000-0005-0000-0000-0000E9400000}"/>
    <cellStyle name="Normal 2 6 2 5" xfId="147" xr:uid="{00000000-0005-0000-0000-0000EA400000}"/>
    <cellStyle name="Normal 2 6 2 5 2" xfId="188" xr:uid="{00000000-0005-0000-0000-0000EB400000}"/>
    <cellStyle name="Normal 2 6 2 5 2 2" xfId="324" xr:uid="{00000000-0005-0000-0000-0000EC400000}"/>
    <cellStyle name="Normal 2 6 2 5 2 3" xfId="447" xr:uid="{00000000-0005-0000-0000-0000ED400000}"/>
    <cellStyle name="Normal 2 6 2 5 2 4" xfId="566" xr:uid="{00000000-0005-0000-0000-0000EE400000}"/>
    <cellStyle name="Normal 2 6 2 5 2 5" xfId="53814" xr:uid="{00000000-0005-0000-0000-0000EF400000}"/>
    <cellStyle name="Normal 2 6 2 5 3" xfId="229" xr:uid="{00000000-0005-0000-0000-0000F0400000}"/>
    <cellStyle name="Normal 2 6 2 5 3 2" xfId="365" xr:uid="{00000000-0005-0000-0000-0000F1400000}"/>
    <cellStyle name="Normal 2 6 2 5 3 3" xfId="488" xr:uid="{00000000-0005-0000-0000-0000F2400000}"/>
    <cellStyle name="Normal 2 6 2 5 3 4" xfId="567" xr:uid="{00000000-0005-0000-0000-0000F3400000}"/>
    <cellStyle name="Normal 2 6 2 5 3 5" xfId="53855" xr:uid="{00000000-0005-0000-0000-0000F4400000}"/>
    <cellStyle name="Normal 2 6 2 5 4" xfId="283" xr:uid="{00000000-0005-0000-0000-0000F5400000}"/>
    <cellStyle name="Normal 2 6 2 5 5" xfId="406" xr:uid="{00000000-0005-0000-0000-0000F6400000}"/>
    <cellStyle name="Normal 2 6 2 5 6" xfId="529" xr:uid="{00000000-0005-0000-0000-0000F7400000}"/>
    <cellStyle name="Normal 2 6 2 5 7" xfId="565" xr:uid="{00000000-0005-0000-0000-0000F8400000}"/>
    <cellStyle name="Normal 2 6 2 5 8" xfId="53730" xr:uid="{00000000-0005-0000-0000-0000F9400000}"/>
    <cellStyle name="Normal 2 6 2 5 9" xfId="53754" xr:uid="{00000000-0005-0000-0000-0000FA400000}"/>
    <cellStyle name="Normal 2 6 2 6" xfId="143" xr:uid="{00000000-0005-0000-0000-0000FB400000}"/>
    <cellStyle name="Normal 2 6 2 6 2" xfId="184" xr:uid="{00000000-0005-0000-0000-0000FC400000}"/>
    <cellStyle name="Normal 2 6 2 6 2 2" xfId="320" xr:uid="{00000000-0005-0000-0000-0000FD400000}"/>
    <cellStyle name="Normal 2 6 2 6 2 3" xfId="443" xr:uid="{00000000-0005-0000-0000-0000FE400000}"/>
    <cellStyle name="Normal 2 6 2 6 2 4" xfId="569" xr:uid="{00000000-0005-0000-0000-0000FF400000}"/>
    <cellStyle name="Normal 2 6 2 6 2 5" xfId="53810" xr:uid="{00000000-0005-0000-0000-000000410000}"/>
    <cellStyle name="Normal 2 6 2 6 3" xfId="225" xr:uid="{00000000-0005-0000-0000-000001410000}"/>
    <cellStyle name="Normal 2 6 2 6 3 2" xfId="361" xr:uid="{00000000-0005-0000-0000-000002410000}"/>
    <cellStyle name="Normal 2 6 2 6 3 3" xfId="484" xr:uid="{00000000-0005-0000-0000-000003410000}"/>
    <cellStyle name="Normal 2 6 2 6 3 4" xfId="570" xr:uid="{00000000-0005-0000-0000-000004410000}"/>
    <cellStyle name="Normal 2 6 2 6 3 5" xfId="53851" xr:uid="{00000000-0005-0000-0000-000005410000}"/>
    <cellStyle name="Normal 2 6 2 6 4" xfId="279" xr:uid="{00000000-0005-0000-0000-000006410000}"/>
    <cellStyle name="Normal 2 6 2 6 5" xfId="402" xr:uid="{00000000-0005-0000-0000-000007410000}"/>
    <cellStyle name="Normal 2 6 2 6 6" xfId="525" xr:uid="{00000000-0005-0000-0000-000008410000}"/>
    <cellStyle name="Normal 2 6 2 6 7" xfId="568" xr:uid="{00000000-0005-0000-0000-000009410000}"/>
    <cellStyle name="Normal 2 6 2 6 8" xfId="53726" xr:uid="{00000000-0005-0000-0000-00000A410000}"/>
    <cellStyle name="Normal 2 6 2 6 9" xfId="53755" xr:uid="{00000000-0005-0000-0000-00000B410000}"/>
    <cellStyle name="Normal 2 6 2 7" xfId="165" xr:uid="{00000000-0005-0000-0000-00000C410000}"/>
    <cellStyle name="Normal 2 6 2 7 2" xfId="301" xr:uid="{00000000-0005-0000-0000-00000D410000}"/>
    <cellStyle name="Normal 2 6 2 7 3" xfId="424" xr:uid="{00000000-0005-0000-0000-00000E410000}"/>
    <cellStyle name="Normal 2 6 2 7 4" xfId="571" xr:uid="{00000000-0005-0000-0000-00000F410000}"/>
    <cellStyle name="Normal 2 6 2 7 5" xfId="53791" xr:uid="{00000000-0005-0000-0000-000010410000}"/>
    <cellStyle name="Normal 2 6 2 8" xfId="206" xr:uid="{00000000-0005-0000-0000-000011410000}"/>
    <cellStyle name="Normal 2 6 2 8 2" xfId="342" xr:uid="{00000000-0005-0000-0000-000012410000}"/>
    <cellStyle name="Normal 2 6 2 8 3" xfId="465" xr:uid="{00000000-0005-0000-0000-000013410000}"/>
    <cellStyle name="Normal 2 6 2 8 4" xfId="572" xr:uid="{00000000-0005-0000-0000-000014410000}"/>
    <cellStyle name="Normal 2 6 2 8 5" xfId="53832" xr:uid="{00000000-0005-0000-0000-000015410000}"/>
    <cellStyle name="Normal 2 6 2 9" xfId="260" xr:uid="{00000000-0005-0000-0000-000016410000}"/>
    <cellStyle name="Normal 2 6 3" xfId="111" xr:uid="{00000000-0005-0000-0000-000017410000}"/>
    <cellStyle name="Normal 2 6 3 10" xfId="53708" xr:uid="{00000000-0005-0000-0000-000018410000}"/>
    <cellStyle name="Normal 2 6 3 11" xfId="53756" xr:uid="{00000000-0005-0000-0000-000019410000}"/>
    <cellStyle name="Normal 2 6 3 2" xfId="148" xr:uid="{00000000-0005-0000-0000-00001A410000}"/>
    <cellStyle name="Normal 2 6 3 2 10" xfId="53757" xr:uid="{00000000-0005-0000-0000-00001B410000}"/>
    <cellStyle name="Normal 2 6 3 2 2" xfId="189" xr:uid="{00000000-0005-0000-0000-00001C410000}"/>
    <cellStyle name="Normal 2 6 3 2 2 2" xfId="325" xr:uid="{00000000-0005-0000-0000-00001D410000}"/>
    <cellStyle name="Normal 2 6 3 2 2 3" xfId="448" xr:uid="{00000000-0005-0000-0000-00001E410000}"/>
    <cellStyle name="Normal 2 6 3 2 2 4" xfId="575" xr:uid="{00000000-0005-0000-0000-00001F410000}"/>
    <cellStyle name="Normal 2 6 3 2 2 5" xfId="17098" xr:uid="{00000000-0005-0000-0000-000020410000}"/>
    <cellStyle name="Normal 2 6 3 2 2 6" xfId="53815" xr:uid="{00000000-0005-0000-0000-000021410000}"/>
    <cellStyle name="Normal 2 6 3 2 3" xfId="230" xr:uid="{00000000-0005-0000-0000-000022410000}"/>
    <cellStyle name="Normal 2 6 3 2 3 2" xfId="366" xr:uid="{00000000-0005-0000-0000-000023410000}"/>
    <cellStyle name="Normal 2 6 3 2 3 3" xfId="489" xr:uid="{00000000-0005-0000-0000-000024410000}"/>
    <cellStyle name="Normal 2 6 3 2 3 4" xfId="576" xr:uid="{00000000-0005-0000-0000-000025410000}"/>
    <cellStyle name="Normal 2 6 3 2 3 5" xfId="53856" xr:uid="{00000000-0005-0000-0000-000026410000}"/>
    <cellStyle name="Normal 2 6 3 2 4" xfId="284" xr:uid="{00000000-0005-0000-0000-000027410000}"/>
    <cellStyle name="Normal 2 6 3 2 5" xfId="407" xr:uid="{00000000-0005-0000-0000-000028410000}"/>
    <cellStyle name="Normal 2 6 3 2 6" xfId="530" xr:uid="{00000000-0005-0000-0000-000029410000}"/>
    <cellStyle name="Normal 2 6 3 2 7" xfId="574" xr:uid="{00000000-0005-0000-0000-00002A410000}"/>
    <cellStyle name="Normal 2 6 3 2 8" xfId="17097" xr:uid="{00000000-0005-0000-0000-00002B410000}"/>
    <cellStyle name="Normal 2 6 3 2 9" xfId="53731" xr:uid="{00000000-0005-0000-0000-00002C410000}"/>
    <cellStyle name="Normal 2 6 3 3" xfId="166" xr:uid="{00000000-0005-0000-0000-00002D410000}"/>
    <cellStyle name="Normal 2 6 3 3 2" xfId="302" xr:uid="{00000000-0005-0000-0000-00002E410000}"/>
    <cellStyle name="Normal 2 6 3 3 3" xfId="425" xr:uid="{00000000-0005-0000-0000-00002F410000}"/>
    <cellStyle name="Normal 2 6 3 3 4" xfId="577" xr:uid="{00000000-0005-0000-0000-000030410000}"/>
    <cellStyle name="Normal 2 6 3 3 5" xfId="17099" xr:uid="{00000000-0005-0000-0000-000031410000}"/>
    <cellStyle name="Normal 2 6 3 3 6" xfId="53792" xr:uid="{00000000-0005-0000-0000-000032410000}"/>
    <cellStyle name="Normal 2 6 3 4" xfId="207" xr:uid="{00000000-0005-0000-0000-000033410000}"/>
    <cellStyle name="Normal 2 6 3 4 2" xfId="343" xr:uid="{00000000-0005-0000-0000-000034410000}"/>
    <cellStyle name="Normal 2 6 3 4 3" xfId="466" xr:uid="{00000000-0005-0000-0000-000035410000}"/>
    <cellStyle name="Normal 2 6 3 4 4" xfId="578" xr:uid="{00000000-0005-0000-0000-000036410000}"/>
    <cellStyle name="Normal 2 6 3 4 5" xfId="53833" xr:uid="{00000000-0005-0000-0000-000037410000}"/>
    <cellStyle name="Normal 2 6 3 5" xfId="261" xr:uid="{00000000-0005-0000-0000-000038410000}"/>
    <cellStyle name="Normal 2 6 3 6" xfId="384" xr:uid="{00000000-0005-0000-0000-000039410000}"/>
    <cellStyle name="Normal 2 6 3 7" xfId="507" xr:uid="{00000000-0005-0000-0000-00003A410000}"/>
    <cellStyle name="Normal 2 6 3 8" xfId="573" xr:uid="{00000000-0005-0000-0000-00003B410000}"/>
    <cellStyle name="Normal 2 6 3 9" xfId="17096" xr:uid="{00000000-0005-0000-0000-00003C410000}"/>
    <cellStyle name="Normal 2 6 4" xfId="114" xr:uid="{00000000-0005-0000-0000-00003D410000}"/>
    <cellStyle name="Normal 2 6 4 10" xfId="53711" xr:uid="{00000000-0005-0000-0000-00003E410000}"/>
    <cellStyle name="Normal 2 6 4 11" xfId="53758" xr:uid="{00000000-0005-0000-0000-00003F410000}"/>
    <cellStyle name="Normal 2 6 4 2" xfId="151" xr:uid="{00000000-0005-0000-0000-000040410000}"/>
    <cellStyle name="Normal 2 6 4 2 10" xfId="53759" xr:uid="{00000000-0005-0000-0000-000041410000}"/>
    <cellStyle name="Normal 2 6 4 2 2" xfId="192" xr:uid="{00000000-0005-0000-0000-000042410000}"/>
    <cellStyle name="Normal 2 6 4 2 2 2" xfId="328" xr:uid="{00000000-0005-0000-0000-000043410000}"/>
    <cellStyle name="Normal 2 6 4 2 2 3" xfId="451" xr:uid="{00000000-0005-0000-0000-000044410000}"/>
    <cellStyle name="Normal 2 6 4 2 2 4" xfId="581" xr:uid="{00000000-0005-0000-0000-000045410000}"/>
    <cellStyle name="Normal 2 6 4 2 2 5" xfId="17102" xr:uid="{00000000-0005-0000-0000-000046410000}"/>
    <cellStyle name="Normal 2 6 4 2 2 6" xfId="53818" xr:uid="{00000000-0005-0000-0000-000047410000}"/>
    <cellStyle name="Normal 2 6 4 2 3" xfId="233" xr:uid="{00000000-0005-0000-0000-000048410000}"/>
    <cellStyle name="Normal 2 6 4 2 3 2" xfId="369" xr:uid="{00000000-0005-0000-0000-000049410000}"/>
    <cellStyle name="Normal 2 6 4 2 3 3" xfId="492" xr:uid="{00000000-0005-0000-0000-00004A410000}"/>
    <cellStyle name="Normal 2 6 4 2 3 4" xfId="582" xr:uid="{00000000-0005-0000-0000-00004B410000}"/>
    <cellStyle name="Normal 2 6 4 2 3 5" xfId="53859" xr:uid="{00000000-0005-0000-0000-00004C410000}"/>
    <cellStyle name="Normal 2 6 4 2 4" xfId="287" xr:uid="{00000000-0005-0000-0000-00004D410000}"/>
    <cellStyle name="Normal 2 6 4 2 5" xfId="410" xr:uid="{00000000-0005-0000-0000-00004E410000}"/>
    <cellStyle name="Normal 2 6 4 2 6" xfId="533" xr:uid="{00000000-0005-0000-0000-00004F410000}"/>
    <cellStyle name="Normal 2 6 4 2 7" xfId="580" xr:uid="{00000000-0005-0000-0000-000050410000}"/>
    <cellStyle name="Normal 2 6 4 2 8" xfId="17101" xr:uid="{00000000-0005-0000-0000-000051410000}"/>
    <cellStyle name="Normal 2 6 4 2 9" xfId="53734" xr:uid="{00000000-0005-0000-0000-000052410000}"/>
    <cellStyle name="Normal 2 6 4 3" xfId="169" xr:uid="{00000000-0005-0000-0000-000053410000}"/>
    <cellStyle name="Normal 2 6 4 3 2" xfId="305" xr:uid="{00000000-0005-0000-0000-000054410000}"/>
    <cellStyle name="Normal 2 6 4 3 3" xfId="428" xr:uid="{00000000-0005-0000-0000-000055410000}"/>
    <cellStyle name="Normal 2 6 4 3 4" xfId="583" xr:uid="{00000000-0005-0000-0000-000056410000}"/>
    <cellStyle name="Normal 2 6 4 3 5" xfId="17103" xr:uid="{00000000-0005-0000-0000-000057410000}"/>
    <cellStyle name="Normal 2 6 4 3 6" xfId="53795" xr:uid="{00000000-0005-0000-0000-000058410000}"/>
    <cellStyle name="Normal 2 6 4 4" xfId="210" xr:uid="{00000000-0005-0000-0000-000059410000}"/>
    <cellStyle name="Normal 2 6 4 4 2" xfId="346" xr:uid="{00000000-0005-0000-0000-00005A410000}"/>
    <cellStyle name="Normal 2 6 4 4 3" xfId="469" xr:uid="{00000000-0005-0000-0000-00005B410000}"/>
    <cellStyle name="Normal 2 6 4 4 4" xfId="584" xr:uid="{00000000-0005-0000-0000-00005C410000}"/>
    <cellStyle name="Normal 2 6 4 4 5" xfId="53836" xr:uid="{00000000-0005-0000-0000-00005D410000}"/>
    <cellStyle name="Normal 2 6 4 5" xfId="264" xr:uid="{00000000-0005-0000-0000-00005E410000}"/>
    <cellStyle name="Normal 2 6 4 6" xfId="387" xr:uid="{00000000-0005-0000-0000-00005F410000}"/>
    <cellStyle name="Normal 2 6 4 7" xfId="510" xr:uid="{00000000-0005-0000-0000-000060410000}"/>
    <cellStyle name="Normal 2 6 4 8" xfId="579" xr:uid="{00000000-0005-0000-0000-000061410000}"/>
    <cellStyle name="Normal 2 6 4 9" xfId="17100" xr:uid="{00000000-0005-0000-0000-000062410000}"/>
    <cellStyle name="Normal 2 6 5" xfId="118" xr:uid="{00000000-0005-0000-0000-000063410000}"/>
    <cellStyle name="Normal 2 6 5 10" xfId="53715" xr:uid="{00000000-0005-0000-0000-000064410000}"/>
    <cellStyle name="Normal 2 6 5 11" xfId="53760" xr:uid="{00000000-0005-0000-0000-000065410000}"/>
    <cellStyle name="Normal 2 6 5 2" xfId="155" xr:uid="{00000000-0005-0000-0000-000066410000}"/>
    <cellStyle name="Normal 2 6 5 2 2" xfId="196" xr:uid="{00000000-0005-0000-0000-000067410000}"/>
    <cellStyle name="Normal 2 6 5 2 2 2" xfId="332" xr:uid="{00000000-0005-0000-0000-000068410000}"/>
    <cellStyle name="Normal 2 6 5 2 2 3" xfId="455" xr:uid="{00000000-0005-0000-0000-000069410000}"/>
    <cellStyle name="Normal 2 6 5 2 2 4" xfId="587" xr:uid="{00000000-0005-0000-0000-00006A410000}"/>
    <cellStyle name="Normal 2 6 5 2 2 5" xfId="53822" xr:uid="{00000000-0005-0000-0000-00006B410000}"/>
    <cellStyle name="Normal 2 6 5 2 3" xfId="237" xr:uid="{00000000-0005-0000-0000-00006C410000}"/>
    <cellStyle name="Normal 2 6 5 2 3 2" xfId="373" xr:uid="{00000000-0005-0000-0000-00006D410000}"/>
    <cellStyle name="Normal 2 6 5 2 3 3" xfId="496" xr:uid="{00000000-0005-0000-0000-00006E410000}"/>
    <cellStyle name="Normal 2 6 5 2 3 4" xfId="588" xr:uid="{00000000-0005-0000-0000-00006F410000}"/>
    <cellStyle name="Normal 2 6 5 2 3 5" xfId="53863" xr:uid="{00000000-0005-0000-0000-000070410000}"/>
    <cellStyle name="Normal 2 6 5 2 4" xfId="291" xr:uid="{00000000-0005-0000-0000-000071410000}"/>
    <cellStyle name="Normal 2 6 5 2 5" xfId="414" xr:uid="{00000000-0005-0000-0000-000072410000}"/>
    <cellStyle name="Normal 2 6 5 2 6" xfId="537" xr:uid="{00000000-0005-0000-0000-000073410000}"/>
    <cellStyle name="Normal 2 6 5 2 7" xfId="586" xr:uid="{00000000-0005-0000-0000-000074410000}"/>
    <cellStyle name="Normal 2 6 5 2 8" xfId="53738" xr:uid="{00000000-0005-0000-0000-000075410000}"/>
    <cellStyle name="Normal 2 6 5 2 9" xfId="53761" xr:uid="{00000000-0005-0000-0000-000076410000}"/>
    <cellStyle name="Normal 2 6 5 3" xfId="173" xr:uid="{00000000-0005-0000-0000-000077410000}"/>
    <cellStyle name="Normal 2 6 5 3 2" xfId="309" xr:uid="{00000000-0005-0000-0000-000078410000}"/>
    <cellStyle name="Normal 2 6 5 3 3" xfId="432" xr:uid="{00000000-0005-0000-0000-000079410000}"/>
    <cellStyle name="Normal 2 6 5 3 4" xfId="589" xr:uid="{00000000-0005-0000-0000-00007A410000}"/>
    <cellStyle name="Normal 2 6 5 3 5" xfId="53799" xr:uid="{00000000-0005-0000-0000-00007B410000}"/>
    <cellStyle name="Normal 2 6 5 4" xfId="214" xr:uid="{00000000-0005-0000-0000-00007C410000}"/>
    <cellStyle name="Normal 2 6 5 4 2" xfId="350" xr:uid="{00000000-0005-0000-0000-00007D410000}"/>
    <cellStyle name="Normal 2 6 5 4 3" xfId="473" xr:uid="{00000000-0005-0000-0000-00007E410000}"/>
    <cellStyle name="Normal 2 6 5 4 4" xfId="590" xr:uid="{00000000-0005-0000-0000-00007F410000}"/>
    <cellStyle name="Normal 2 6 5 4 5" xfId="53840" xr:uid="{00000000-0005-0000-0000-000080410000}"/>
    <cellStyle name="Normal 2 6 5 5" xfId="268" xr:uid="{00000000-0005-0000-0000-000081410000}"/>
    <cellStyle name="Normal 2 6 5 6" xfId="391" xr:uid="{00000000-0005-0000-0000-000082410000}"/>
    <cellStyle name="Normal 2 6 5 7" xfId="514" xr:uid="{00000000-0005-0000-0000-000083410000}"/>
    <cellStyle name="Normal 2 6 5 8" xfId="585" xr:uid="{00000000-0005-0000-0000-000084410000}"/>
    <cellStyle name="Normal 2 6 5 9" xfId="17104" xr:uid="{00000000-0005-0000-0000-000085410000}"/>
    <cellStyle name="Normal 2 6 6" xfId="122" xr:uid="{00000000-0005-0000-0000-000086410000}"/>
    <cellStyle name="Normal 2 6 6 10" xfId="53719" xr:uid="{00000000-0005-0000-0000-000087410000}"/>
    <cellStyle name="Normal 2 6 6 11" xfId="53762" xr:uid="{00000000-0005-0000-0000-000088410000}"/>
    <cellStyle name="Normal 2 6 6 2" xfId="159" xr:uid="{00000000-0005-0000-0000-000089410000}"/>
    <cellStyle name="Normal 2 6 6 2 2" xfId="200" xr:uid="{00000000-0005-0000-0000-00008A410000}"/>
    <cellStyle name="Normal 2 6 6 2 2 2" xfId="336" xr:uid="{00000000-0005-0000-0000-00008B410000}"/>
    <cellStyle name="Normal 2 6 6 2 2 3" xfId="459" xr:uid="{00000000-0005-0000-0000-00008C410000}"/>
    <cellStyle name="Normal 2 6 6 2 2 4" xfId="593" xr:uid="{00000000-0005-0000-0000-00008D410000}"/>
    <cellStyle name="Normal 2 6 6 2 2 5" xfId="53826" xr:uid="{00000000-0005-0000-0000-00008E410000}"/>
    <cellStyle name="Normal 2 6 6 2 3" xfId="241" xr:uid="{00000000-0005-0000-0000-00008F410000}"/>
    <cellStyle name="Normal 2 6 6 2 3 2" xfId="377" xr:uid="{00000000-0005-0000-0000-000090410000}"/>
    <cellStyle name="Normal 2 6 6 2 3 3" xfId="500" xr:uid="{00000000-0005-0000-0000-000091410000}"/>
    <cellStyle name="Normal 2 6 6 2 3 4" xfId="594" xr:uid="{00000000-0005-0000-0000-000092410000}"/>
    <cellStyle name="Normal 2 6 6 2 3 5" xfId="53867" xr:uid="{00000000-0005-0000-0000-000093410000}"/>
    <cellStyle name="Normal 2 6 6 2 4" xfId="295" xr:uid="{00000000-0005-0000-0000-000094410000}"/>
    <cellStyle name="Normal 2 6 6 2 5" xfId="418" xr:uid="{00000000-0005-0000-0000-000095410000}"/>
    <cellStyle name="Normal 2 6 6 2 6" xfId="541" xr:uid="{00000000-0005-0000-0000-000096410000}"/>
    <cellStyle name="Normal 2 6 6 2 7" xfId="592" xr:uid="{00000000-0005-0000-0000-000097410000}"/>
    <cellStyle name="Normal 2 6 6 2 8" xfId="53742" xr:uid="{00000000-0005-0000-0000-000098410000}"/>
    <cellStyle name="Normal 2 6 6 2 9" xfId="53763" xr:uid="{00000000-0005-0000-0000-000099410000}"/>
    <cellStyle name="Normal 2 6 6 3" xfId="177" xr:uid="{00000000-0005-0000-0000-00009A410000}"/>
    <cellStyle name="Normal 2 6 6 3 2" xfId="313" xr:uid="{00000000-0005-0000-0000-00009B410000}"/>
    <cellStyle name="Normal 2 6 6 3 3" xfId="436" xr:uid="{00000000-0005-0000-0000-00009C410000}"/>
    <cellStyle name="Normal 2 6 6 3 4" xfId="595" xr:uid="{00000000-0005-0000-0000-00009D410000}"/>
    <cellStyle name="Normal 2 6 6 3 5" xfId="53803" xr:uid="{00000000-0005-0000-0000-00009E410000}"/>
    <cellStyle name="Normal 2 6 6 4" xfId="218" xr:uid="{00000000-0005-0000-0000-00009F410000}"/>
    <cellStyle name="Normal 2 6 6 4 2" xfId="354" xr:uid="{00000000-0005-0000-0000-0000A0410000}"/>
    <cellStyle name="Normal 2 6 6 4 3" xfId="477" xr:uid="{00000000-0005-0000-0000-0000A1410000}"/>
    <cellStyle name="Normal 2 6 6 4 4" xfId="596" xr:uid="{00000000-0005-0000-0000-0000A2410000}"/>
    <cellStyle name="Normal 2 6 6 4 5" xfId="53844" xr:uid="{00000000-0005-0000-0000-0000A3410000}"/>
    <cellStyle name="Normal 2 6 6 5" xfId="272" xr:uid="{00000000-0005-0000-0000-0000A4410000}"/>
    <cellStyle name="Normal 2 6 6 6" xfId="395" xr:uid="{00000000-0005-0000-0000-0000A5410000}"/>
    <cellStyle name="Normal 2 6 6 7" xfId="518" xr:uid="{00000000-0005-0000-0000-0000A6410000}"/>
    <cellStyle name="Normal 2 6 6 8" xfId="591" xr:uid="{00000000-0005-0000-0000-0000A7410000}"/>
    <cellStyle name="Normal 2 6 6 9" xfId="53702" xr:uid="{00000000-0005-0000-0000-0000A8410000}"/>
    <cellStyle name="Normal 2 6 7" xfId="145" xr:uid="{00000000-0005-0000-0000-0000A9410000}"/>
    <cellStyle name="Normal 2 6 7 2" xfId="186" xr:uid="{00000000-0005-0000-0000-0000AA410000}"/>
    <cellStyle name="Normal 2 6 7 2 2" xfId="322" xr:uid="{00000000-0005-0000-0000-0000AB410000}"/>
    <cellStyle name="Normal 2 6 7 2 3" xfId="445" xr:uid="{00000000-0005-0000-0000-0000AC410000}"/>
    <cellStyle name="Normal 2 6 7 2 4" xfId="598" xr:uid="{00000000-0005-0000-0000-0000AD410000}"/>
    <cellStyle name="Normal 2 6 7 2 5" xfId="53812" xr:uid="{00000000-0005-0000-0000-0000AE410000}"/>
    <cellStyle name="Normal 2 6 7 3" xfId="227" xr:uid="{00000000-0005-0000-0000-0000AF410000}"/>
    <cellStyle name="Normal 2 6 7 3 2" xfId="363" xr:uid="{00000000-0005-0000-0000-0000B0410000}"/>
    <cellStyle name="Normal 2 6 7 3 3" xfId="486" xr:uid="{00000000-0005-0000-0000-0000B1410000}"/>
    <cellStyle name="Normal 2 6 7 3 4" xfId="599" xr:uid="{00000000-0005-0000-0000-0000B2410000}"/>
    <cellStyle name="Normal 2 6 7 3 5" xfId="53853" xr:uid="{00000000-0005-0000-0000-0000B3410000}"/>
    <cellStyle name="Normal 2 6 7 4" xfId="281" xr:uid="{00000000-0005-0000-0000-0000B4410000}"/>
    <cellStyle name="Normal 2 6 7 5" xfId="404" xr:uid="{00000000-0005-0000-0000-0000B5410000}"/>
    <cellStyle name="Normal 2 6 7 6" xfId="527" xr:uid="{00000000-0005-0000-0000-0000B6410000}"/>
    <cellStyle name="Normal 2 6 7 7" xfId="597" xr:uid="{00000000-0005-0000-0000-0000B7410000}"/>
    <cellStyle name="Normal 2 6 7 8" xfId="53728" xr:uid="{00000000-0005-0000-0000-0000B8410000}"/>
    <cellStyle name="Normal 2 6 7 9" xfId="53764" xr:uid="{00000000-0005-0000-0000-0000B9410000}"/>
    <cellStyle name="Normal 2 6 8" xfId="137" xr:uid="{00000000-0005-0000-0000-0000BA410000}"/>
    <cellStyle name="Normal 2 6 8 2" xfId="181" xr:uid="{00000000-0005-0000-0000-0000BB410000}"/>
    <cellStyle name="Normal 2 6 8 2 2" xfId="317" xr:uid="{00000000-0005-0000-0000-0000BC410000}"/>
    <cellStyle name="Normal 2 6 8 2 3" xfId="440" xr:uid="{00000000-0005-0000-0000-0000BD410000}"/>
    <cellStyle name="Normal 2 6 8 2 4" xfId="601" xr:uid="{00000000-0005-0000-0000-0000BE410000}"/>
    <cellStyle name="Normal 2 6 8 2 5" xfId="53807" xr:uid="{00000000-0005-0000-0000-0000BF410000}"/>
    <cellStyle name="Normal 2 6 8 3" xfId="222" xr:uid="{00000000-0005-0000-0000-0000C0410000}"/>
    <cellStyle name="Normal 2 6 8 3 2" xfId="358" xr:uid="{00000000-0005-0000-0000-0000C1410000}"/>
    <cellStyle name="Normal 2 6 8 3 3" xfId="481" xr:uid="{00000000-0005-0000-0000-0000C2410000}"/>
    <cellStyle name="Normal 2 6 8 3 4" xfId="602" xr:uid="{00000000-0005-0000-0000-0000C3410000}"/>
    <cellStyle name="Normal 2 6 8 3 5" xfId="53848" xr:uid="{00000000-0005-0000-0000-0000C4410000}"/>
    <cellStyle name="Normal 2 6 8 4" xfId="276" xr:uid="{00000000-0005-0000-0000-0000C5410000}"/>
    <cellStyle name="Normal 2 6 8 5" xfId="399" xr:uid="{00000000-0005-0000-0000-0000C6410000}"/>
    <cellStyle name="Normal 2 6 8 6" xfId="522" xr:uid="{00000000-0005-0000-0000-0000C7410000}"/>
    <cellStyle name="Normal 2 6 8 7" xfId="600" xr:uid="{00000000-0005-0000-0000-0000C8410000}"/>
    <cellStyle name="Normal 2 6 8 8" xfId="53723" xr:uid="{00000000-0005-0000-0000-0000C9410000}"/>
    <cellStyle name="Normal 2 6 8 9" xfId="53765" xr:uid="{00000000-0005-0000-0000-0000CA410000}"/>
    <cellStyle name="Normal 2 6 9" xfId="163" xr:uid="{00000000-0005-0000-0000-0000CB410000}"/>
    <cellStyle name="Normal 2 6 9 2" xfId="299" xr:uid="{00000000-0005-0000-0000-0000CC410000}"/>
    <cellStyle name="Normal 2 6 9 3" xfId="422" xr:uid="{00000000-0005-0000-0000-0000CD410000}"/>
    <cellStyle name="Normal 2 6 9 4" xfId="603" xr:uid="{00000000-0005-0000-0000-0000CE410000}"/>
    <cellStyle name="Normal 2 6 9 5" xfId="53789" xr:uid="{00000000-0005-0000-0000-0000CF410000}"/>
    <cellStyle name="Normal 2 7" xfId="127" xr:uid="{00000000-0005-0000-0000-0000D0410000}"/>
    <cellStyle name="Normal 2 7 2" xfId="17105" xr:uid="{00000000-0005-0000-0000-0000D1410000}"/>
    <cellStyle name="Normal 2 7 2 2" xfId="17106" xr:uid="{00000000-0005-0000-0000-0000D2410000}"/>
    <cellStyle name="Normal 2 7 3" xfId="17107" xr:uid="{00000000-0005-0000-0000-0000D3410000}"/>
    <cellStyle name="Normal 2 8" xfId="17108" xr:uid="{00000000-0005-0000-0000-0000D4410000}"/>
    <cellStyle name="Normal 2 8 2" xfId="17109" xr:uid="{00000000-0005-0000-0000-0000D5410000}"/>
    <cellStyle name="Normal 2 8 2 2" xfId="17110" xr:uid="{00000000-0005-0000-0000-0000D6410000}"/>
    <cellStyle name="Normal 2 8 3" xfId="17111" xr:uid="{00000000-0005-0000-0000-0000D7410000}"/>
    <cellStyle name="Normal 2 9" xfId="17112" xr:uid="{00000000-0005-0000-0000-0000D8410000}"/>
    <cellStyle name="Normal 2 9 2" xfId="17113" xr:uid="{00000000-0005-0000-0000-0000D9410000}"/>
    <cellStyle name="Normal 2_Action Item List 01.27.10" xfId="17114" xr:uid="{00000000-0005-0000-0000-0000DA410000}"/>
    <cellStyle name="Normal 20" xfId="17115" xr:uid="{00000000-0005-0000-0000-0000DB410000}"/>
    <cellStyle name="Normal 20 2" xfId="17116" xr:uid="{00000000-0005-0000-0000-0000DC410000}"/>
    <cellStyle name="Normal 20 2 2" xfId="17117" xr:uid="{00000000-0005-0000-0000-0000DD410000}"/>
    <cellStyle name="Normal 20 2 2 2" xfId="17118" xr:uid="{00000000-0005-0000-0000-0000DE410000}"/>
    <cellStyle name="Normal 20 2 2 2 2" xfId="17119" xr:uid="{00000000-0005-0000-0000-0000DF410000}"/>
    <cellStyle name="Normal 20 2 2 3" xfId="17120" xr:uid="{00000000-0005-0000-0000-0000E0410000}"/>
    <cellStyle name="Normal 20 2 2 3 2" xfId="17121" xr:uid="{00000000-0005-0000-0000-0000E1410000}"/>
    <cellStyle name="Normal 20 2 2 3 2 2" xfId="17122" xr:uid="{00000000-0005-0000-0000-0000E2410000}"/>
    <cellStyle name="Normal 20 2 2 3 3" xfId="17123" xr:uid="{00000000-0005-0000-0000-0000E3410000}"/>
    <cellStyle name="Normal 20 2 2 4" xfId="17124" xr:uid="{00000000-0005-0000-0000-0000E4410000}"/>
    <cellStyle name="Normal 20 2 2 4 2" xfId="17125" xr:uid="{00000000-0005-0000-0000-0000E5410000}"/>
    <cellStyle name="Normal 20 2 2 4 2 2" xfId="17126" xr:uid="{00000000-0005-0000-0000-0000E6410000}"/>
    <cellStyle name="Normal 20 2 2 4 3" xfId="17127" xr:uid="{00000000-0005-0000-0000-0000E7410000}"/>
    <cellStyle name="Normal 20 2 2 5" xfId="17128" xr:uid="{00000000-0005-0000-0000-0000E8410000}"/>
    <cellStyle name="Normal 20 2 3" xfId="17129" xr:uid="{00000000-0005-0000-0000-0000E9410000}"/>
    <cellStyle name="Normal 20 2 3 2" xfId="17130" xr:uid="{00000000-0005-0000-0000-0000EA410000}"/>
    <cellStyle name="Normal 20 2 3 2 2" xfId="17131" xr:uid="{00000000-0005-0000-0000-0000EB410000}"/>
    <cellStyle name="Normal 20 2 3 3" xfId="17132" xr:uid="{00000000-0005-0000-0000-0000EC410000}"/>
    <cellStyle name="Normal 20 2 4" xfId="17133" xr:uid="{00000000-0005-0000-0000-0000ED410000}"/>
    <cellStyle name="Normal 20 2 4 2" xfId="17134" xr:uid="{00000000-0005-0000-0000-0000EE410000}"/>
    <cellStyle name="Normal 20 2 4 2 2" xfId="17135" xr:uid="{00000000-0005-0000-0000-0000EF410000}"/>
    <cellStyle name="Normal 20 2 4 3" xfId="17136" xr:uid="{00000000-0005-0000-0000-0000F0410000}"/>
    <cellStyle name="Normal 20 2 5" xfId="17137" xr:uid="{00000000-0005-0000-0000-0000F1410000}"/>
    <cellStyle name="Normal 20 2 5 2" xfId="17138" xr:uid="{00000000-0005-0000-0000-0000F2410000}"/>
    <cellStyle name="Normal 20 2 5 2 2" xfId="17139" xr:uid="{00000000-0005-0000-0000-0000F3410000}"/>
    <cellStyle name="Normal 20 2 5 3" xfId="17140" xr:uid="{00000000-0005-0000-0000-0000F4410000}"/>
    <cellStyle name="Normal 20 2 6" xfId="17141" xr:uid="{00000000-0005-0000-0000-0000F5410000}"/>
    <cellStyle name="Normal 20 3" xfId="17142" xr:uid="{00000000-0005-0000-0000-0000F6410000}"/>
    <cellStyle name="Normal 20 3 2" xfId="17143" xr:uid="{00000000-0005-0000-0000-0000F7410000}"/>
    <cellStyle name="Normal 20 3 2 2" xfId="17144" xr:uid="{00000000-0005-0000-0000-0000F8410000}"/>
    <cellStyle name="Normal 20 3 3" xfId="17145" xr:uid="{00000000-0005-0000-0000-0000F9410000}"/>
    <cellStyle name="Normal 20 3 3 2" xfId="17146" xr:uid="{00000000-0005-0000-0000-0000FA410000}"/>
    <cellStyle name="Normal 20 3 3 2 2" xfId="17147" xr:uid="{00000000-0005-0000-0000-0000FB410000}"/>
    <cellStyle name="Normal 20 3 3 3" xfId="17148" xr:uid="{00000000-0005-0000-0000-0000FC410000}"/>
    <cellStyle name="Normal 20 3 4" xfId="17149" xr:uid="{00000000-0005-0000-0000-0000FD410000}"/>
    <cellStyle name="Normal 20 3 4 2" xfId="17150" xr:uid="{00000000-0005-0000-0000-0000FE410000}"/>
    <cellStyle name="Normal 20 3 4 2 2" xfId="17151" xr:uid="{00000000-0005-0000-0000-0000FF410000}"/>
    <cellStyle name="Normal 20 3 4 3" xfId="17152" xr:uid="{00000000-0005-0000-0000-000000420000}"/>
    <cellStyle name="Normal 20 3 5" xfId="17153" xr:uid="{00000000-0005-0000-0000-000001420000}"/>
    <cellStyle name="Normal 20 4" xfId="17154" xr:uid="{00000000-0005-0000-0000-000002420000}"/>
    <cellStyle name="Normal 20 4 2" xfId="17155" xr:uid="{00000000-0005-0000-0000-000003420000}"/>
    <cellStyle name="Normal 20 4 2 2" xfId="17156" xr:uid="{00000000-0005-0000-0000-000004420000}"/>
    <cellStyle name="Normal 20 4 2 2 2" xfId="17157" xr:uid="{00000000-0005-0000-0000-000005420000}"/>
    <cellStyle name="Normal 20 4 2 3" xfId="17158" xr:uid="{00000000-0005-0000-0000-000006420000}"/>
    <cellStyle name="Normal 20 4 2 3 2" xfId="17159" xr:uid="{00000000-0005-0000-0000-000007420000}"/>
    <cellStyle name="Normal 20 4 2 3 2 2" xfId="17160" xr:uid="{00000000-0005-0000-0000-000008420000}"/>
    <cellStyle name="Normal 20 4 2 3 3" xfId="17161" xr:uid="{00000000-0005-0000-0000-000009420000}"/>
    <cellStyle name="Normal 20 4 2 4" xfId="17162" xr:uid="{00000000-0005-0000-0000-00000A420000}"/>
    <cellStyle name="Normal 20 4 3" xfId="17163" xr:uid="{00000000-0005-0000-0000-00000B420000}"/>
    <cellStyle name="Normal 20 4 3 2" xfId="17164" xr:uid="{00000000-0005-0000-0000-00000C420000}"/>
    <cellStyle name="Normal 20 4 3 2 2" xfId="17165" xr:uid="{00000000-0005-0000-0000-00000D420000}"/>
    <cellStyle name="Normal 20 4 3 3" xfId="17166" xr:uid="{00000000-0005-0000-0000-00000E420000}"/>
    <cellStyle name="Normal 20 4 4" xfId="17167" xr:uid="{00000000-0005-0000-0000-00000F420000}"/>
    <cellStyle name="Normal 20 4 4 2" xfId="17168" xr:uid="{00000000-0005-0000-0000-000010420000}"/>
    <cellStyle name="Normal 20 4 4 2 2" xfId="17169" xr:uid="{00000000-0005-0000-0000-000011420000}"/>
    <cellStyle name="Normal 20 4 4 3" xfId="17170" xr:uid="{00000000-0005-0000-0000-000012420000}"/>
    <cellStyle name="Normal 20 4 5" xfId="17171" xr:uid="{00000000-0005-0000-0000-000013420000}"/>
    <cellStyle name="Normal 20 4 5 2" xfId="17172" xr:uid="{00000000-0005-0000-0000-000014420000}"/>
    <cellStyle name="Normal 20 4 5 2 2" xfId="17173" xr:uid="{00000000-0005-0000-0000-000015420000}"/>
    <cellStyle name="Normal 20 4 5 3" xfId="17174" xr:uid="{00000000-0005-0000-0000-000016420000}"/>
    <cellStyle name="Normal 20 4 6" xfId="17175" xr:uid="{00000000-0005-0000-0000-000017420000}"/>
    <cellStyle name="Normal 20 5" xfId="17176" xr:uid="{00000000-0005-0000-0000-000018420000}"/>
    <cellStyle name="Normal 200" xfId="17177" xr:uid="{00000000-0005-0000-0000-000019420000}"/>
    <cellStyle name="Normal 200 2" xfId="17178" xr:uid="{00000000-0005-0000-0000-00001A420000}"/>
    <cellStyle name="Normal 200 2 2" xfId="17179" xr:uid="{00000000-0005-0000-0000-00001B420000}"/>
    <cellStyle name="Normal 200 2 2 2" xfId="17180" xr:uid="{00000000-0005-0000-0000-00001C420000}"/>
    <cellStyle name="Normal 200 2 2 2 2" xfId="17181" xr:uid="{00000000-0005-0000-0000-00001D420000}"/>
    <cellStyle name="Normal 200 2 2 3" xfId="17182" xr:uid="{00000000-0005-0000-0000-00001E420000}"/>
    <cellStyle name="Normal 200 2 2 3 2" xfId="17183" xr:uid="{00000000-0005-0000-0000-00001F420000}"/>
    <cellStyle name="Normal 200 2 2 3 2 2" xfId="17184" xr:uid="{00000000-0005-0000-0000-000020420000}"/>
    <cellStyle name="Normal 200 2 2 3 3" xfId="17185" xr:uid="{00000000-0005-0000-0000-000021420000}"/>
    <cellStyle name="Normal 200 2 2 4" xfId="17186" xr:uid="{00000000-0005-0000-0000-000022420000}"/>
    <cellStyle name="Normal 200 2 2 4 2" xfId="17187" xr:uid="{00000000-0005-0000-0000-000023420000}"/>
    <cellStyle name="Normal 200 2 2 4 2 2" xfId="17188" xr:uid="{00000000-0005-0000-0000-000024420000}"/>
    <cellStyle name="Normal 200 2 2 4 3" xfId="17189" xr:uid="{00000000-0005-0000-0000-000025420000}"/>
    <cellStyle name="Normal 200 2 2 5" xfId="17190" xr:uid="{00000000-0005-0000-0000-000026420000}"/>
    <cellStyle name="Normal 200 2 3" xfId="17191" xr:uid="{00000000-0005-0000-0000-000027420000}"/>
    <cellStyle name="Normal 200 2 3 2" xfId="17192" xr:uid="{00000000-0005-0000-0000-000028420000}"/>
    <cellStyle name="Normal 200 2 3 2 2" xfId="17193" xr:uid="{00000000-0005-0000-0000-000029420000}"/>
    <cellStyle name="Normal 200 2 3 2 2 2" xfId="17194" xr:uid="{00000000-0005-0000-0000-00002A420000}"/>
    <cellStyle name="Normal 200 2 3 2 3" xfId="17195" xr:uid="{00000000-0005-0000-0000-00002B420000}"/>
    <cellStyle name="Normal 200 2 3 2 3 2" xfId="17196" xr:uid="{00000000-0005-0000-0000-00002C420000}"/>
    <cellStyle name="Normal 200 2 3 2 3 2 2" xfId="17197" xr:uid="{00000000-0005-0000-0000-00002D420000}"/>
    <cellStyle name="Normal 200 2 3 2 3 3" xfId="17198" xr:uid="{00000000-0005-0000-0000-00002E420000}"/>
    <cellStyle name="Normal 200 2 3 2 4" xfId="17199" xr:uid="{00000000-0005-0000-0000-00002F420000}"/>
    <cellStyle name="Normal 200 2 3 3" xfId="17200" xr:uid="{00000000-0005-0000-0000-000030420000}"/>
    <cellStyle name="Normal 200 2 3 3 2" xfId="17201" xr:uid="{00000000-0005-0000-0000-000031420000}"/>
    <cellStyle name="Normal 200 2 3 3 2 2" xfId="17202" xr:uid="{00000000-0005-0000-0000-000032420000}"/>
    <cellStyle name="Normal 200 2 3 3 3" xfId="17203" xr:uid="{00000000-0005-0000-0000-000033420000}"/>
    <cellStyle name="Normal 200 2 3 4" xfId="17204" xr:uid="{00000000-0005-0000-0000-000034420000}"/>
    <cellStyle name="Normal 200 2 3 4 2" xfId="17205" xr:uid="{00000000-0005-0000-0000-000035420000}"/>
    <cellStyle name="Normal 200 2 3 4 2 2" xfId="17206" xr:uid="{00000000-0005-0000-0000-000036420000}"/>
    <cellStyle name="Normal 200 2 3 4 3" xfId="17207" xr:uid="{00000000-0005-0000-0000-000037420000}"/>
    <cellStyle name="Normal 200 2 3 5" xfId="17208" xr:uid="{00000000-0005-0000-0000-000038420000}"/>
    <cellStyle name="Normal 200 2 3 5 2" xfId="17209" xr:uid="{00000000-0005-0000-0000-000039420000}"/>
    <cellStyle name="Normal 200 2 3 5 2 2" xfId="17210" xr:uid="{00000000-0005-0000-0000-00003A420000}"/>
    <cellStyle name="Normal 200 2 3 5 3" xfId="17211" xr:uid="{00000000-0005-0000-0000-00003B420000}"/>
    <cellStyle name="Normal 200 2 3 6" xfId="17212" xr:uid="{00000000-0005-0000-0000-00003C420000}"/>
    <cellStyle name="Normal 200 2 4" xfId="17213" xr:uid="{00000000-0005-0000-0000-00003D420000}"/>
    <cellStyle name="Normal 200 2 4 2" xfId="17214" xr:uid="{00000000-0005-0000-0000-00003E420000}"/>
    <cellStyle name="Normal 200 2 4 2 2" xfId="17215" xr:uid="{00000000-0005-0000-0000-00003F420000}"/>
    <cellStyle name="Normal 200 2 4 3" xfId="17216" xr:uid="{00000000-0005-0000-0000-000040420000}"/>
    <cellStyle name="Normal 200 2 5" xfId="17217" xr:uid="{00000000-0005-0000-0000-000041420000}"/>
    <cellStyle name="Normal 200 2 5 2" xfId="17218" xr:uid="{00000000-0005-0000-0000-000042420000}"/>
    <cellStyle name="Normal 200 2 5 2 2" xfId="17219" xr:uid="{00000000-0005-0000-0000-000043420000}"/>
    <cellStyle name="Normal 200 2 5 3" xfId="17220" xr:uid="{00000000-0005-0000-0000-000044420000}"/>
    <cellStyle name="Normal 200 2 6" xfId="17221" xr:uid="{00000000-0005-0000-0000-000045420000}"/>
    <cellStyle name="Normal 200 2 6 2" xfId="17222" xr:uid="{00000000-0005-0000-0000-000046420000}"/>
    <cellStyle name="Normal 200 2 6 2 2" xfId="17223" xr:uid="{00000000-0005-0000-0000-000047420000}"/>
    <cellStyle name="Normal 200 2 6 3" xfId="17224" xr:uid="{00000000-0005-0000-0000-000048420000}"/>
    <cellStyle name="Normal 200 2 7" xfId="17225" xr:uid="{00000000-0005-0000-0000-000049420000}"/>
    <cellStyle name="Normal 200 3" xfId="17226" xr:uid="{00000000-0005-0000-0000-00004A420000}"/>
    <cellStyle name="Normal 200 3 2" xfId="17227" xr:uid="{00000000-0005-0000-0000-00004B420000}"/>
    <cellStyle name="Normal 200 3 2 2" xfId="17228" xr:uid="{00000000-0005-0000-0000-00004C420000}"/>
    <cellStyle name="Normal 200 3 3" xfId="17229" xr:uid="{00000000-0005-0000-0000-00004D420000}"/>
    <cellStyle name="Normal 200 3 3 2" xfId="17230" xr:uid="{00000000-0005-0000-0000-00004E420000}"/>
    <cellStyle name="Normal 200 3 3 2 2" xfId="17231" xr:uid="{00000000-0005-0000-0000-00004F420000}"/>
    <cellStyle name="Normal 200 3 3 3" xfId="17232" xr:uid="{00000000-0005-0000-0000-000050420000}"/>
    <cellStyle name="Normal 200 3 4" xfId="17233" xr:uid="{00000000-0005-0000-0000-000051420000}"/>
    <cellStyle name="Normal 200 3 4 2" xfId="17234" xr:uid="{00000000-0005-0000-0000-000052420000}"/>
    <cellStyle name="Normal 200 3 4 2 2" xfId="17235" xr:uid="{00000000-0005-0000-0000-000053420000}"/>
    <cellStyle name="Normal 200 3 4 3" xfId="17236" xr:uid="{00000000-0005-0000-0000-000054420000}"/>
    <cellStyle name="Normal 200 3 5" xfId="17237" xr:uid="{00000000-0005-0000-0000-000055420000}"/>
    <cellStyle name="Normal 200 4" xfId="17238" xr:uid="{00000000-0005-0000-0000-000056420000}"/>
    <cellStyle name="Normal 200 4 2" xfId="17239" xr:uid="{00000000-0005-0000-0000-000057420000}"/>
    <cellStyle name="Normal 200 4 2 2" xfId="17240" xr:uid="{00000000-0005-0000-0000-000058420000}"/>
    <cellStyle name="Normal 200 4 2 2 2" xfId="17241" xr:uid="{00000000-0005-0000-0000-000059420000}"/>
    <cellStyle name="Normal 200 4 2 3" xfId="17242" xr:uid="{00000000-0005-0000-0000-00005A420000}"/>
    <cellStyle name="Normal 200 4 2 3 2" xfId="17243" xr:uid="{00000000-0005-0000-0000-00005B420000}"/>
    <cellStyle name="Normal 200 4 2 3 2 2" xfId="17244" xr:uid="{00000000-0005-0000-0000-00005C420000}"/>
    <cellStyle name="Normal 200 4 2 3 3" xfId="17245" xr:uid="{00000000-0005-0000-0000-00005D420000}"/>
    <cellStyle name="Normal 200 4 2 4" xfId="17246" xr:uid="{00000000-0005-0000-0000-00005E420000}"/>
    <cellStyle name="Normal 200 4 3" xfId="17247" xr:uid="{00000000-0005-0000-0000-00005F420000}"/>
    <cellStyle name="Normal 200 4 3 2" xfId="17248" xr:uid="{00000000-0005-0000-0000-000060420000}"/>
    <cellStyle name="Normal 200 4 3 2 2" xfId="17249" xr:uid="{00000000-0005-0000-0000-000061420000}"/>
    <cellStyle name="Normal 200 4 3 3" xfId="17250" xr:uid="{00000000-0005-0000-0000-000062420000}"/>
    <cellStyle name="Normal 200 4 4" xfId="17251" xr:uid="{00000000-0005-0000-0000-000063420000}"/>
    <cellStyle name="Normal 200 4 4 2" xfId="17252" xr:uid="{00000000-0005-0000-0000-000064420000}"/>
    <cellStyle name="Normal 200 4 4 2 2" xfId="17253" xr:uid="{00000000-0005-0000-0000-000065420000}"/>
    <cellStyle name="Normal 200 4 4 3" xfId="17254" xr:uid="{00000000-0005-0000-0000-000066420000}"/>
    <cellStyle name="Normal 200 4 5" xfId="17255" xr:uid="{00000000-0005-0000-0000-000067420000}"/>
    <cellStyle name="Normal 200 4 5 2" xfId="17256" xr:uid="{00000000-0005-0000-0000-000068420000}"/>
    <cellStyle name="Normal 200 4 5 2 2" xfId="17257" xr:uid="{00000000-0005-0000-0000-000069420000}"/>
    <cellStyle name="Normal 200 4 5 3" xfId="17258" xr:uid="{00000000-0005-0000-0000-00006A420000}"/>
    <cellStyle name="Normal 200 4 6" xfId="17259" xr:uid="{00000000-0005-0000-0000-00006B420000}"/>
    <cellStyle name="Normal 200 5" xfId="17260" xr:uid="{00000000-0005-0000-0000-00006C420000}"/>
    <cellStyle name="Normal 200 5 2" xfId="17261" xr:uid="{00000000-0005-0000-0000-00006D420000}"/>
    <cellStyle name="Normal 200 5 2 2" xfId="17262" xr:uid="{00000000-0005-0000-0000-00006E420000}"/>
    <cellStyle name="Normal 200 5 3" xfId="17263" xr:uid="{00000000-0005-0000-0000-00006F420000}"/>
    <cellStyle name="Normal 200 6" xfId="17264" xr:uid="{00000000-0005-0000-0000-000070420000}"/>
    <cellStyle name="Normal 200 6 2" xfId="17265" xr:uid="{00000000-0005-0000-0000-000071420000}"/>
    <cellStyle name="Normal 200 6 2 2" xfId="17266" xr:uid="{00000000-0005-0000-0000-000072420000}"/>
    <cellStyle name="Normal 200 6 3" xfId="17267" xr:uid="{00000000-0005-0000-0000-000073420000}"/>
    <cellStyle name="Normal 200 7" xfId="17268" xr:uid="{00000000-0005-0000-0000-000074420000}"/>
    <cellStyle name="Normal 200 7 2" xfId="17269" xr:uid="{00000000-0005-0000-0000-000075420000}"/>
    <cellStyle name="Normal 200 7 2 2" xfId="17270" xr:uid="{00000000-0005-0000-0000-000076420000}"/>
    <cellStyle name="Normal 200 7 3" xfId="17271" xr:uid="{00000000-0005-0000-0000-000077420000}"/>
    <cellStyle name="Normal 200 8" xfId="17272" xr:uid="{00000000-0005-0000-0000-000078420000}"/>
    <cellStyle name="Normal 201" xfId="17273" xr:uid="{00000000-0005-0000-0000-000079420000}"/>
    <cellStyle name="Normal 201 2" xfId="17274" xr:uid="{00000000-0005-0000-0000-00007A420000}"/>
    <cellStyle name="Normal 201 2 2" xfId="17275" xr:uid="{00000000-0005-0000-0000-00007B420000}"/>
    <cellStyle name="Normal 201 2 2 2" xfId="17276" xr:uid="{00000000-0005-0000-0000-00007C420000}"/>
    <cellStyle name="Normal 201 2 2 2 2" xfId="17277" xr:uid="{00000000-0005-0000-0000-00007D420000}"/>
    <cellStyle name="Normal 201 2 2 3" xfId="17278" xr:uid="{00000000-0005-0000-0000-00007E420000}"/>
    <cellStyle name="Normal 201 2 2 3 2" xfId="17279" xr:uid="{00000000-0005-0000-0000-00007F420000}"/>
    <cellStyle name="Normal 201 2 2 3 2 2" xfId="17280" xr:uid="{00000000-0005-0000-0000-000080420000}"/>
    <cellStyle name="Normal 201 2 2 3 3" xfId="17281" xr:uid="{00000000-0005-0000-0000-000081420000}"/>
    <cellStyle name="Normal 201 2 2 4" xfId="17282" xr:uid="{00000000-0005-0000-0000-000082420000}"/>
    <cellStyle name="Normal 201 2 2 4 2" xfId="17283" xr:uid="{00000000-0005-0000-0000-000083420000}"/>
    <cellStyle name="Normal 201 2 2 4 2 2" xfId="17284" xr:uid="{00000000-0005-0000-0000-000084420000}"/>
    <cellStyle name="Normal 201 2 2 4 3" xfId="17285" xr:uid="{00000000-0005-0000-0000-000085420000}"/>
    <cellStyle name="Normal 201 2 2 5" xfId="17286" xr:uid="{00000000-0005-0000-0000-000086420000}"/>
    <cellStyle name="Normal 201 2 3" xfId="17287" xr:uid="{00000000-0005-0000-0000-000087420000}"/>
    <cellStyle name="Normal 201 2 3 2" xfId="17288" xr:uid="{00000000-0005-0000-0000-000088420000}"/>
    <cellStyle name="Normal 201 2 3 2 2" xfId="17289" xr:uid="{00000000-0005-0000-0000-000089420000}"/>
    <cellStyle name="Normal 201 2 3 2 2 2" xfId="17290" xr:uid="{00000000-0005-0000-0000-00008A420000}"/>
    <cellStyle name="Normal 201 2 3 2 3" xfId="17291" xr:uid="{00000000-0005-0000-0000-00008B420000}"/>
    <cellStyle name="Normal 201 2 3 2 3 2" xfId="17292" xr:uid="{00000000-0005-0000-0000-00008C420000}"/>
    <cellStyle name="Normal 201 2 3 2 3 2 2" xfId="17293" xr:uid="{00000000-0005-0000-0000-00008D420000}"/>
    <cellStyle name="Normal 201 2 3 2 3 3" xfId="17294" xr:uid="{00000000-0005-0000-0000-00008E420000}"/>
    <cellStyle name="Normal 201 2 3 2 4" xfId="17295" xr:uid="{00000000-0005-0000-0000-00008F420000}"/>
    <cellStyle name="Normal 201 2 3 3" xfId="17296" xr:uid="{00000000-0005-0000-0000-000090420000}"/>
    <cellStyle name="Normal 201 2 3 3 2" xfId="17297" xr:uid="{00000000-0005-0000-0000-000091420000}"/>
    <cellStyle name="Normal 201 2 3 3 2 2" xfId="17298" xr:uid="{00000000-0005-0000-0000-000092420000}"/>
    <cellStyle name="Normal 201 2 3 3 3" xfId="17299" xr:uid="{00000000-0005-0000-0000-000093420000}"/>
    <cellStyle name="Normal 201 2 3 4" xfId="17300" xr:uid="{00000000-0005-0000-0000-000094420000}"/>
    <cellStyle name="Normal 201 2 3 4 2" xfId="17301" xr:uid="{00000000-0005-0000-0000-000095420000}"/>
    <cellStyle name="Normal 201 2 3 4 2 2" xfId="17302" xr:uid="{00000000-0005-0000-0000-000096420000}"/>
    <cellStyle name="Normal 201 2 3 4 3" xfId="17303" xr:uid="{00000000-0005-0000-0000-000097420000}"/>
    <cellStyle name="Normal 201 2 3 5" xfId="17304" xr:uid="{00000000-0005-0000-0000-000098420000}"/>
    <cellStyle name="Normal 201 2 3 5 2" xfId="17305" xr:uid="{00000000-0005-0000-0000-000099420000}"/>
    <cellStyle name="Normal 201 2 3 5 2 2" xfId="17306" xr:uid="{00000000-0005-0000-0000-00009A420000}"/>
    <cellStyle name="Normal 201 2 3 5 3" xfId="17307" xr:uid="{00000000-0005-0000-0000-00009B420000}"/>
    <cellStyle name="Normal 201 2 3 6" xfId="17308" xr:uid="{00000000-0005-0000-0000-00009C420000}"/>
    <cellStyle name="Normal 201 2 4" xfId="17309" xr:uid="{00000000-0005-0000-0000-00009D420000}"/>
    <cellStyle name="Normal 201 2 4 2" xfId="17310" xr:uid="{00000000-0005-0000-0000-00009E420000}"/>
    <cellStyle name="Normal 201 2 4 2 2" xfId="17311" xr:uid="{00000000-0005-0000-0000-00009F420000}"/>
    <cellStyle name="Normal 201 2 4 3" xfId="17312" xr:uid="{00000000-0005-0000-0000-0000A0420000}"/>
    <cellStyle name="Normal 201 2 5" xfId="17313" xr:uid="{00000000-0005-0000-0000-0000A1420000}"/>
    <cellStyle name="Normal 201 2 5 2" xfId="17314" xr:uid="{00000000-0005-0000-0000-0000A2420000}"/>
    <cellStyle name="Normal 201 2 5 2 2" xfId="17315" xr:uid="{00000000-0005-0000-0000-0000A3420000}"/>
    <cellStyle name="Normal 201 2 5 3" xfId="17316" xr:uid="{00000000-0005-0000-0000-0000A4420000}"/>
    <cellStyle name="Normal 201 2 6" xfId="17317" xr:uid="{00000000-0005-0000-0000-0000A5420000}"/>
    <cellStyle name="Normal 201 2 6 2" xfId="17318" xr:uid="{00000000-0005-0000-0000-0000A6420000}"/>
    <cellStyle name="Normal 201 2 6 2 2" xfId="17319" xr:uid="{00000000-0005-0000-0000-0000A7420000}"/>
    <cellStyle name="Normal 201 2 6 3" xfId="17320" xr:uid="{00000000-0005-0000-0000-0000A8420000}"/>
    <cellStyle name="Normal 201 2 7" xfId="17321" xr:uid="{00000000-0005-0000-0000-0000A9420000}"/>
    <cellStyle name="Normal 201 3" xfId="17322" xr:uid="{00000000-0005-0000-0000-0000AA420000}"/>
    <cellStyle name="Normal 201 3 2" xfId="17323" xr:uid="{00000000-0005-0000-0000-0000AB420000}"/>
    <cellStyle name="Normal 201 3 2 2" xfId="17324" xr:uid="{00000000-0005-0000-0000-0000AC420000}"/>
    <cellStyle name="Normal 201 3 3" xfId="17325" xr:uid="{00000000-0005-0000-0000-0000AD420000}"/>
    <cellStyle name="Normal 201 3 3 2" xfId="17326" xr:uid="{00000000-0005-0000-0000-0000AE420000}"/>
    <cellStyle name="Normal 201 3 3 2 2" xfId="17327" xr:uid="{00000000-0005-0000-0000-0000AF420000}"/>
    <cellStyle name="Normal 201 3 3 3" xfId="17328" xr:uid="{00000000-0005-0000-0000-0000B0420000}"/>
    <cellStyle name="Normal 201 3 4" xfId="17329" xr:uid="{00000000-0005-0000-0000-0000B1420000}"/>
    <cellStyle name="Normal 201 3 4 2" xfId="17330" xr:uid="{00000000-0005-0000-0000-0000B2420000}"/>
    <cellStyle name="Normal 201 3 4 2 2" xfId="17331" xr:uid="{00000000-0005-0000-0000-0000B3420000}"/>
    <cellStyle name="Normal 201 3 4 3" xfId="17332" xr:uid="{00000000-0005-0000-0000-0000B4420000}"/>
    <cellStyle name="Normal 201 3 5" xfId="17333" xr:uid="{00000000-0005-0000-0000-0000B5420000}"/>
    <cellStyle name="Normal 201 4" xfId="17334" xr:uid="{00000000-0005-0000-0000-0000B6420000}"/>
    <cellStyle name="Normal 201 4 2" xfId="17335" xr:uid="{00000000-0005-0000-0000-0000B7420000}"/>
    <cellStyle name="Normal 201 4 2 2" xfId="17336" xr:uid="{00000000-0005-0000-0000-0000B8420000}"/>
    <cellStyle name="Normal 201 4 2 2 2" xfId="17337" xr:uid="{00000000-0005-0000-0000-0000B9420000}"/>
    <cellStyle name="Normal 201 4 2 3" xfId="17338" xr:uid="{00000000-0005-0000-0000-0000BA420000}"/>
    <cellStyle name="Normal 201 4 2 3 2" xfId="17339" xr:uid="{00000000-0005-0000-0000-0000BB420000}"/>
    <cellStyle name="Normal 201 4 2 3 2 2" xfId="17340" xr:uid="{00000000-0005-0000-0000-0000BC420000}"/>
    <cellStyle name="Normal 201 4 2 3 3" xfId="17341" xr:uid="{00000000-0005-0000-0000-0000BD420000}"/>
    <cellStyle name="Normal 201 4 2 4" xfId="17342" xr:uid="{00000000-0005-0000-0000-0000BE420000}"/>
    <cellStyle name="Normal 201 4 3" xfId="17343" xr:uid="{00000000-0005-0000-0000-0000BF420000}"/>
    <cellStyle name="Normal 201 4 3 2" xfId="17344" xr:uid="{00000000-0005-0000-0000-0000C0420000}"/>
    <cellStyle name="Normal 201 4 3 2 2" xfId="17345" xr:uid="{00000000-0005-0000-0000-0000C1420000}"/>
    <cellStyle name="Normal 201 4 3 3" xfId="17346" xr:uid="{00000000-0005-0000-0000-0000C2420000}"/>
    <cellStyle name="Normal 201 4 4" xfId="17347" xr:uid="{00000000-0005-0000-0000-0000C3420000}"/>
    <cellStyle name="Normal 201 4 4 2" xfId="17348" xr:uid="{00000000-0005-0000-0000-0000C4420000}"/>
    <cellStyle name="Normal 201 4 4 2 2" xfId="17349" xr:uid="{00000000-0005-0000-0000-0000C5420000}"/>
    <cellStyle name="Normal 201 4 4 3" xfId="17350" xr:uid="{00000000-0005-0000-0000-0000C6420000}"/>
    <cellStyle name="Normal 201 4 5" xfId="17351" xr:uid="{00000000-0005-0000-0000-0000C7420000}"/>
    <cellStyle name="Normal 201 4 5 2" xfId="17352" xr:uid="{00000000-0005-0000-0000-0000C8420000}"/>
    <cellStyle name="Normal 201 4 5 2 2" xfId="17353" xr:uid="{00000000-0005-0000-0000-0000C9420000}"/>
    <cellStyle name="Normal 201 4 5 3" xfId="17354" xr:uid="{00000000-0005-0000-0000-0000CA420000}"/>
    <cellStyle name="Normal 201 4 6" xfId="17355" xr:uid="{00000000-0005-0000-0000-0000CB420000}"/>
    <cellStyle name="Normal 201 5" xfId="17356" xr:uid="{00000000-0005-0000-0000-0000CC420000}"/>
    <cellStyle name="Normal 201 5 2" xfId="17357" xr:uid="{00000000-0005-0000-0000-0000CD420000}"/>
    <cellStyle name="Normal 201 5 2 2" xfId="17358" xr:uid="{00000000-0005-0000-0000-0000CE420000}"/>
    <cellStyle name="Normal 201 5 3" xfId="17359" xr:uid="{00000000-0005-0000-0000-0000CF420000}"/>
    <cellStyle name="Normal 201 6" xfId="17360" xr:uid="{00000000-0005-0000-0000-0000D0420000}"/>
    <cellStyle name="Normal 201 6 2" xfId="17361" xr:uid="{00000000-0005-0000-0000-0000D1420000}"/>
    <cellStyle name="Normal 201 6 2 2" xfId="17362" xr:uid="{00000000-0005-0000-0000-0000D2420000}"/>
    <cellStyle name="Normal 201 6 3" xfId="17363" xr:uid="{00000000-0005-0000-0000-0000D3420000}"/>
    <cellStyle name="Normal 201 7" xfId="17364" xr:uid="{00000000-0005-0000-0000-0000D4420000}"/>
    <cellStyle name="Normal 201 7 2" xfId="17365" xr:uid="{00000000-0005-0000-0000-0000D5420000}"/>
    <cellStyle name="Normal 201 7 2 2" xfId="17366" xr:uid="{00000000-0005-0000-0000-0000D6420000}"/>
    <cellStyle name="Normal 201 7 3" xfId="17367" xr:uid="{00000000-0005-0000-0000-0000D7420000}"/>
    <cellStyle name="Normal 201 8" xfId="17368" xr:uid="{00000000-0005-0000-0000-0000D8420000}"/>
    <cellStyle name="Normal 202" xfId="17369" xr:uid="{00000000-0005-0000-0000-0000D9420000}"/>
    <cellStyle name="Normal 202 2" xfId="17370" xr:uid="{00000000-0005-0000-0000-0000DA420000}"/>
    <cellStyle name="Normal 202 2 2" xfId="17371" xr:uid="{00000000-0005-0000-0000-0000DB420000}"/>
    <cellStyle name="Normal 202 2 2 2" xfId="17372" xr:uid="{00000000-0005-0000-0000-0000DC420000}"/>
    <cellStyle name="Normal 202 2 2 2 2" xfId="17373" xr:uid="{00000000-0005-0000-0000-0000DD420000}"/>
    <cellStyle name="Normal 202 2 2 3" xfId="17374" xr:uid="{00000000-0005-0000-0000-0000DE420000}"/>
    <cellStyle name="Normal 202 2 2 3 2" xfId="17375" xr:uid="{00000000-0005-0000-0000-0000DF420000}"/>
    <cellStyle name="Normal 202 2 2 3 2 2" xfId="17376" xr:uid="{00000000-0005-0000-0000-0000E0420000}"/>
    <cellStyle name="Normal 202 2 2 3 3" xfId="17377" xr:uid="{00000000-0005-0000-0000-0000E1420000}"/>
    <cellStyle name="Normal 202 2 2 4" xfId="17378" xr:uid="{00000000-0005-0000-0000-0000E2420000}"/>
    <cellStyle name="Normal 202 2 2 4 2" xfId="17379" xr:uid="{00000000-0005-0000-0000-0000E3420000}"/>
    <cellStyle name="Normal 202 2 2 4 2 2" xfId="17380" xr:uid="{00000000-0005-0000-0000-0000E4420000}"/>
    <cellStyle name="Normal 202 2 2 4 3" xfId="17381" xr:uid="{00000000-0005-0000-0000-0000E5420000}"/>
    <cellStyle name="Normal 202 2 2 5" xfId="17382" xr:uid="{00000000-0005-0000-0000-0000E6420000}"/>
    <cellStyle name="Normal 202 2 3" xfId="17383" xr:uid="{00000000-0005-0000-0000-0000E7420000}"/>
    <cellStyle name="Normal 202 2 3 2" xfId="17384" xr:uid="{00000000-0005-0000-0000-0000E8420000}"/>
    <cellStyle name="Normal 202 2 3 2 2" xfId="17385" xr:uid="{00000000-0005-0000-0000-0000E9420000}"/>
    <cellStyle name="Normal 202 2 3 2 2 2" xfId="17386" xr:uid="{00000000-0005-0000-0000-0000EA420000}"/>
    <cellStyle name="Normal 202 2 3 2 3" xfId="17387" xr:uid="{00000000-0005-0000-0000-0000EB420000}"/>
    <cellStyle name="Normal 202 2 3 2 3 2" xfId="17388" xr:uid="{00000000-0005-0000-0000-0000EC420000}"/>
    <cellStyle name="Normal 202 2 3 2 3 2 2" xfId="17389" xr:uid="{00000000-0005-0000-0000-0000ED420000}"/>
    <cellStyle name="Normal 202 2 3 2 3 3" xfId="17390" xr:uid="{00000000-0005-0000-0000-0000EE420000}"/>
    <cellStyle name="Normal 202 2 3 2 4" xfId="17391" xr:uid="{00000000-0005-0000-0000-0000EF420000}"/>
    <cellStyle name="Normal 202 2 3 3" xfId="17392" xr:uid="{00000000-0005-0000-0000-0000F0420000}"/>
    <cellStyle name="Normal 202 2 3 3 2" xfId="17393" xr:uid="{00000000-0005-0000-0000-0000F1420000}"/>
    <cellStyle name="Normal 202 2 3 3 2 2" xfId="17394" xr:uid="{00000000-0005-0000-0000-0000F2420000}"/>
    <cellStyle name="Normal 202 2 3 3 3" xfId="17395" xr:uid="{00000000-0005-0000-0000-0000F3420000}"/>
    <cellStyle name="Normal 202 2 3 4" xfId="17396" xr:uid="{00000000-0005-0000-0000-0000F4420000}"/>
    <cellStyle name="Normal 202 2 3 4 2" xfId="17397" xr:uid="{00000000-0005-0000-0000-0000F5420000}"/>
    <cellStyle name="Normal 202 2 3 4 2 2" xfId="17398" xr:uid="{00000000-0005-0000-0000-0000F6420000}"/>
    <cellStyle name="Normal 202 2 3 4 3" xfId="17399" xr:uid="{00000000-0005-0000-0000-0000F7420000}"/>
    <cellStyle name="Normal 202 2 3 5" xfId="17400" xr:uid="{00000000-0005-0000-0000-0000F8420000}"/>
    <cellStyle name="Normal 202 2 3 5 2" xfId="17401" xr:uid="{00000000-0005-0000-0000-0000F9420000}"/>
    <cellStyle name="Normal 202 2 3 5 2 2" xfId="17402" xr:uid="{00000000-0005-0000-0000-0000FA420000}"/>
    <cellStyle name="Normal 202 2 3 5 3" xfId="17403" xr:uid="{00000000-0005-0000-0000-0000FB420000}"/>
    <cellStyle name="Normal 202 2 3 6" xfId="17404" xr:uid="{00000000-0005-0000-0000-0000FC420000}"/>
    <cellStyle name="Normal 202 2 4" xfId="17405" xr:uid="{00000000-0005-0000-0000-0000FD420000}"/>
    <cellStyle name="Normal 202 2 4 2" xfId="17406" xr:uid="{00000000-0005-0000-0000-0000FE420000}"/>
    <cellStyle name="Normal 202 2 4 2 2" xfId="17407" xr:uid="{00000000-0005-0000-0000-0000FF420000}"/>
    <cellStyle name="Normal 202 2 4 3" xfId="17408" xr:uid="{00000000-0005-0000-0000-000000430000}"/>
    <cellStyle name="Normal 202 2 5" xfId="17409" xr:uid="{00000000-0005-0000-0000-000001430000}"/>
    <cellStyle name="Normal 202 2 5 2" xfId="17410" xr:uid="{00000000-0005-0000-0000-000002430000}"/>
    <cellStyle name="Normal 202 2 5 2 2" xfId="17411" xr:uid="{00000000-0005-0000-0000-000003430000}"/>
    <cellStyle name="Normal 202 2 5 3" xfId="17412" xr:uid="{00000000-0005-0000-0000-000004430000}"/>
    <cellStyle name="Normal 202 2 6" xfId="17413" xr:uid="{00000000-0005-0000-0000-000005430000}"/>
    <cellStyle name="Normal 202 2 6 2" xfId="17414" xr:uid="{00000000-0005-0000-0000-000006430000}"/>
    <cellStyle name="Normal 202 2 6 2 2" xfId="17415" xr:uid="{00000000-0005-0000-0000-000007430000}"/>
    <cellStyle name="Normal 202 2 6 3" xfId="17416" xr:uid="{00000000-0005-0000-0000-000008430000}"/>
    <cellStyle name="Normal 202 2 7" xfId="17417" xr:uid="{00000000-0005-0000-0000-000009430000}"/>
    <cellStyle name="Normal 202 3" xfId="17418" xr:uid="{00000000-0005-0000-0000-00000A430000}"/>
    <cellStyle name="Normal 202 3 2" xfId="17419" xr:uid="{00000000-0005-0000-0000-00000B430000}"/>
    <cellStyle name="Normal 202 3 2 2" xfId="17420" xr:uid="{00000000-0005-0000-0000-00000C430000}"/>
    <cellStyle name="Normal 202 3 3" xfId="17421" xr:uid="{00000000-0005-0000-0000-00000D430000}"/>
    <cellStyle name="Normal 202 3 3 2" xfId="17422" xr:uid="{00000000-0005-0000-0000-00000E430000}"/>
    <cellStyle name="Normal 202 3 3 2 2" xfId="17423" xr:uid="{00000000-0005-0000-0000-00000F430000}"/>
    <cellStyle name="Normal 202 3 3 3" xfId="17424" xr:uid="{00000000-0005-0000-0000-000010430000}"/>
    <cellStyle name="Normal 202 3 4" xfId="17425" xr:uid="{00000000-0005-0000-0000-000011430000}"/>
    <cellStyle name="Normal 202 3 4 2" xfId="17426" xr:uid="{00000000-0005-0000-0000-000012430000}"/>
    <cellStyle name="Normal 202 3 4 2 2" xfId="17427" xr:uid="{00000000-0005-0000-0000-000013430000}"/>
    <cellStyle name="Normal 202 3 4 3" xfId="17428" xr:uid="{00000000-0005-0000-0000-000014430000}"/>
    <cellStyle name="Normal 202 3 5" xfId="17429" xr:uid="{00000000-0005-0000-0000-000015430000}"/>
    <cellStyle name="Normal 202 4" xfId="17430" xr:uid="{00000000-0005-0000-0000-000016430000}"/>
    <cellStyle name="Normal 202 4 2" xfId="17431" xr:uid="{00000000-0005-0000-0000-000017430000}"/>
    <cellStyle name="Normal 202 4 2 2" xfId="17432" xr:uid="{00000000-0005-0000-0000-000018430000}"/>
    <cellStyle name="Normal 202 4 2 2 2" xfId="17433" xr:uid="{00000000-0005-0000-0000-000019430000}"/>
    <cellStyle name="Normal 202 4 2 3" xfId="17434" xr:uid="{00000000-0005-0000-0000-00001A430000}"/>
    <cellStyle name="Normal 202 4 2 3 2" xfId="17435" xr:uid="{00000000-0005-0000-0000-00001B430000}"/>
    <cellStyle name="Normal 202 4 2 3 2 2" xfId="17436" xr:uid="{00000000-0005-0000-0000-00001C430000}"/>
    <cellStyle name="Normal 202 4 2 3 3" xfId="17437" xr:uid="{00000000-0005-0000-0000-00001D430000}"/>
    <cellStyle name="Normal 202 4 2 4" xfId="17438" xr:uid="{00000000-0005-0000-0000-00001E430000}"/>
    <cellStyle name="Normal 202 4 3" xfId="17439" xr:uid="{00000000-0005-0000-0000-00001F430000}"/>
    <cellStyle name="Normal 202 4 3 2" xfId="17440" xr:uid="{00000000-0005-0000-0000-000020430000}"/>
    <cellStyle name="Normal 202 4 3 2 2" xfId="17441" xr:uid="{00000000-0005-0000-0000-000021430000}"/>
    <cellStyle name="Normal 202 4 3 3" xfId="17442" xr:uid="{00000000-0005-0000-0000-000022430000}"/>
    <cellStyle name="Normal 202 4 4" xfId="17443" xr:uid="{00000000-0005-0000-0000-000023430000}"/>
    <cellStyle name="Normal 202 4 4 2" xfId="17444" xr:uid="{00000000-0005-0000-0000-000024430000}"/>
    <cellStyle name="Normal 202 4 4 2 2" xfId="17445" xr:uid="{00000000-0005-0000-0000-000025430000}"/>
    <cellStyle name="Normal 202 4 4 3" xfId="17446" xr:uid="{00000000-0005-0000-0000-000026430000}"/>
    <cellStyle name="Normal 202 4 5" xfId="17447" xr:uid="{00000000-0005-0000-0000-000027430000}"/>
    <cellStyle name="Normal 202 4 5 2" xfId="17448" xr:uid="{00000000-0005-0000-0000-000028430000}"/>
    <cellStyle name="Normal 202 4 5 2 2" xfId="17449" xr:uid="{00000000-0005-0000-0000-000029430000}"/>
    <cellStyle name="Normal 202 4 5 3" xfId="17450" xr:uid="{00000000-0005-0000-0000-00002A430000}"/>
    <cellStyle name="Normal 202 4 6" xfId="17451" xr:uid="{00000000-0005-0000-0000-00002B430000}"/>
    <cellStyle name="Normal 202 5" xfId="17452" xr:uid="{00000000-0005-0000-0000-00002C430000}"/>
    <cellStyle name="Normal 202 5 2" xfId="17453" xr:uid="{00000000-0005-0000-0000-00002D430000}"/>
    <cellStyle name="Normal 202 5 2 2" xfId="17454" xr:uid="{00000000-0005-0000-0000-00002E430000}"/>
    <cellStyle name="Normal 202 5 3" xfId="17455" xr:uid="{00000000-0005-0000-0000-00002F430000}"/>
    <cellStyle name="Normal 202 6" xfId="17456" xr:uid="{00000000-0005-0000-0000-000030430000}"/>
    <cellStyle name="Normal 202 6 2" xfId="17457" xr:uid="{00000000-0005-0000-0000-000031430000}"/>
    <cellStyle name="Normal 202 6 2 2" xfId="17458" xr:uid="{00000000-0005-0000-0000-000032430000}"/>
    <cellStyle name="Normal 202 6 3" xfId="17459" xr:uid="{00000000-0005-0000-0000-000033430000}"/>
    <cellStyle name="Normal 202 7" xfId="17460" xr:uid="{00000000-0005-0000-0000-000034430000}"/>
    <cellStyle name="Normal 202 7 2" xfId="17461" xr:uid="{00000000-0005-0000-0000-000035430000}"/>
    <cellStyle name="Normal 202 7 2 2" xfId="17462" xr:uid="{00000000-0005-0000-0000-000036430000}"/>
    <cellStyle name="Normal 202 7 3" xfId="17463" xr:uid="{00000000-0005-0000-0000-000037430000}"/>
    <cellStyle name="Normal 202 8" xfId="17464" xr:uid="{00000000-0005-0000-0000-000038430000}"/>
    <cellStyle name="Normal 203" xfId="17465" xr:uid="{00000000-0005-0000-0000-000039430000}"/>
    <cellStyle name="Normal 203 2" xfId="17466" xr:uid="{00000000-0005-0000-0000-00003A430000}"/>
    <cellStyle name="Normal 203 2 2" xfId="17467" xr:uid="{00000000-0005-0000-0000-00003B430000}"/>
    <cellStyle name="Normal 203 2 2 2" xfId="17468" xr:uid="{00000000-0005-0000-0000-00003C430000}"/>
    <cellStyle name="Normal 203 2 2 2 2" xfId="17469" xr:uid="{00000000-0005-0000-0000-00003D430000}"/>
    <cellStyle name="Normal 203 2 2 3" xfId="17470" xr:uid="{00000000-0005-0000-0000-00003E430000}"/>
    <cellStyle name="Normal 203 2 2 3 2" xfId="17471" xr:uid="{00000000-0005-0000-0000-00003F430000}"/>
    <cellStyle name="Normal 203 2 2 3 2 2" xfId="17472" xr:uid="{00000000-0005-0000-0000-000040430000}"/>
    <cellStyle name="Normal 203 2 2 3 3" xfId="17473" xr:uid="{00000000-0005-0000-0000-000041430000}"/>
    <cellStyle name="Normal 203 2 2 4" xfId="17474" xr:uid="{00000000-0005-0000-0000-000042430000}"/>
    <cellStyle name="Normal 203 2 2 4 2" xfId="17475" xr:uid="{00000000-0005-0000-0000-000043430000}"/>
    <cellStyle name="Normal 203 2 2 4 2 2" xfId="17476" xr:uid="{00000000-0005-0000-0000-000044430000}"/>
    <cellStyle name="Normal 203 2 2 4 3" xfId="17477" xr:uid="{00000000-0005-0000-0000-000045430000}"/>
    <cellStyle name="Normal 203 2 2 5" xfId="17478" xr:uid="{00000000-0005-0000-0000-000046430000}"/>
    <cellStyle name="Normal 203 2 3" xfId="17479" xr:uid="{00000000-0005-0000-0000-000047430000}"/>
    <cellStyle name="Normal 203 2 3 2" xfId="17480" xr:uid="{00000000-0005-0000-0000-000048430000}"/>
    <cellStyle name="Normal 203 2 3 2 2" xfId="17481" xr:uid="{00000000-0005-0000-0000-000049430000}"/>
    <cellStyle name="Normal 203 2 3 2 2 2" xfId="17482" xr:uid="{00000000-0005-0000-0000-00004A430000}"/>
    <cellStyle name="Normal 203 2 3 2 3" xfId="17483" xr:uid="{00000000-0005-0000-0000-00004B430000}"/>
    <cellStyle name="Normal 203 2 3 2 3 2" xfId="17484" xr:uid="{00000000-0005-0000-0000-00004C430000}"/>
    <cellStyle name="Normal 203 2 3 2 3 2 2" xfId="17485" xr:uid="{00000000-0005-0000-0000-00004D430000}"/>
    <cellStyle name="Normal 203 2 3 2 3 3" xfId="17486" xr:uid="{00000000-0005-0000-0000-00004E430000}"/>
    <cellStyle name="Normal 203 2 3 2 4" xfId="17487" xr:uid="{00000000-0005-0000-0000-00004F430000}"/>
    <cellStyle name="Normal 203 2 3 3" xfId="17488" xr:uid="{00000000-0005-0000-0000-000050430000}"/>
    <cellStyle name="Normal 203 2 3 3 2" xfId="17489" xr:uid="{00000000-0005-0000-0000-000051430000}"/>
    <cellStyle name="Normal 203 2 3 3 2 2" xfId="17490" xr:uid="{00000000-0005-0000-0000-000052430000}"/>
    <cellStyle name="Normal 203 2 3 3 3" xfId="17491" xr:uid="{00000000-0005-0000-0000-000053430000}"/>
    <cellStyle name="Normal 203 2 3 4" xfId="17492" xr:uid="{00000000-0005-0000-0000-000054430000}"/>
    <cellStyle name="Normal 203 2 3 4 2" xfId="17493" xr:uid="{00000000-0005-0000-0000-000055430000}"/>
    <cellStyle name="Normal 203 2 3 4 2 2" xfId="17494" xr:uid="{00000000-0005-0000-0000-000056430000}"/>
    <cellStyle name="Normal 203 2 3 4 3" xfId="17495" xr:uid="{00000000-0005-0000-0000-000057430000}"/>
    <cellStyle name="Normal 203 2 3 5" xfId="17496" xr:uid="{00000000-0005-0000-0000-000058430000}"/>
    <cellStyle name="Normal 203 2 3 5 2" xfId="17497" xr:uid="{00000000-0005-0000-0000-000059430000}"/>
    <cellStyle name="Normal 203 2 3 5 2 2" xfId="17498" xr:uid="{00000000-0005-0000-0000-00005A430000}"/>
    <cellStyle name="Normal 203 2 3 5 3" xfId="17499" xr:uid="{00000000-0005-0000-0000-00005B430000}"/>
    <cellStyle name="Normal 203 2 3 6" xfId="17500" xr:uid="{00000000-0005-0000-0000-00005C430000}"/>
    <cellStyle name="Normal 203 2 4" xfId="17501" xr:uid="{00000000-0005-0000-0000-00005D430000}"/>
    <cellStyle name="Normal 203 2 4 2" xfId="17502" xr:uid="{00000000-0005-0000-0000-00005E430000}"/>
    <cellStyle name="Normal 203 2 4 2 2" xfId="17503" xr:uid="{00000000-0005-0000-0000-00005F430000}"/>
    <cellStyle name="Normal 203 2 4 3" xfId="17504" xr:uid="{00000000-0005-0000-0000-000060430000}"/>
    <cellStyle name="Normal 203 2 5" xfId="17505" xr:uid="{00000000-0005-0000-0000-000061430000}"/>
    <cellStyle name="Normal 203 2 5 2" xfId="17506" xr:uid="{00000000-0005-0000-0000-000062430000}"/>
    <cellStyle name="Normal 203 2 5 2 2" xfId="17507" xr:uid="{00000000-0005-0000-0000-000063430000}"/>
    <cellStyle name="Normal 203 2 5 3" xfId="17508" xr:uid="{00000000-0005-0000-0000-000064430000}"/>
    <cellStyle name="Normal 203 2 6" xfId="17509" xr:uid="{00000000-0005-0000-0000-000065430000}"/>
    <cellStyle name="Normal 203 2 6 2" xfId="17510" xr:uid="{00000000-0005-0000-0000-000066430000}"/>
    <cellStyle name="Normal 203 2 6 2 2" xfId="17511" xr:uid="{00000000-0005-0000-0000-000067430000}"/>
    <cellStyle name="Normal 203 2 6 3" xfId="17512" xr:uid="{00000000-0005-0000-0000-000068430000}"/>
    <cellStyle name="Normal 203 2 7" xfId="17513" xr:uid="{00000000-0005-0000-0000-000069430000}"/>
    <cellStyle name="Normal 203 3" xfId="17514" xr:uid="{00000000-0005-0000-0000-00006A430000}"/>
    <cellStyle name="Normal 203 3 2" xfId="17515" xr:uid="{00000000-0005-0000-0000-00006B430000}"/>
    <cellStyle name="Normal 203 3 2 2" xfId="17516" xr:uid="{00000000-0005-0000-0000-00006C430000}"/>
    <cellStyle name="Normal 203 3 3" xfId="17517" xr:uid="{00000000-0005-0000-0000-00006D430000}"/>
    <cellStyle name="Normal 203 3 3 2" xfId="17518" xr:uid="{00000000-0005-0000-0000-00006E430000}"/>
    <cellStyle name="Normal 203 3 3 2 2" xfId="17519" xr:uid="{00000000-0005-0000-0000-00006F430000}"/>
    <cellStyle name="Normal 203 3 3 3" xfId="17520" xr:uid="{00000000-0005-0000-0000-000070430000}"/>
    <cellStyle name="Normal 203 3 4" xfId="17521" xr:uid="{00000000-0005-0000-0000-000071430000}"/>
    <cellStyle name="Normal 203 3 4 2" xfId="17522" xr:uid="{00000000-0005-0000-0000-000072430000}"/>
    <cellStyle name="Normal 203 3 4 2 2" xfId="17523" xr:uid="{00000000-0005-0000-0000-000073430000}"/>
    <cellStyle name="Normal 203 3 4 3" xfId="17524" xr:uid="{00000000-0005-0000-0000-000074430000}"/>
    <cellStyle name="Normal 203 3 5" xfId="17525" xr:uid="{00000000-0005-0000-0000-000075430000}"/>
    <cellStyle name="Normal 203 4" xfId="17526" xr:uid="{00000000-0005-0000-0000-000076430000}"/>
    <cellStyle name="Normal 203 4 2" xfId="17527" xr:uid="{00000000-0005-0000-0000-000077430000}"/>
    <cellStyle name="Normal 203 4 2 2" xfId="17528" xr:uid="{00000000-0005-0000-0000-000078430000}"/>
    <cellStyle name="Normal 203 4 2 2 2" xfId="17529" xr:uid="{00000000-0005-0000-0000-000079430000}"/>
    <cellStyle name="Normal 203 4 2 3" xfId="17530" xr:uid="{00000000-0005-0000-0000-00007A430000}"/>
    <cellStyle name="Normal 203 4 2 3 2" xfId="17531" xr:uid="{00000000-0005-0000-0000-00007B430000}"/>
    <cellStyle name="Normal 203 4 2 3 2 2" xfId="17532" xr:uid="{00000000-0005-0000-0000-00007C430000}"/>
    <cellStyle name="Normal 203 4 2 3 3" xfId="17533" xr:uid="{00000000-0005-0000-0000-00007D430000}"/>
    <cellStyle name="Normal 203 4 2 4" xfId="17534" xr:uid="{00000000-0005-0000-0000-00007E430000}"/>
    <cellStyle name="Normal 203 4 3" xfId="17535" xr:uid="{00000000-0005-0000-0000-00007F430000}"/>
    <cellStyle name="Normal 203 4 3 2" xfId="17536" xr:uid="{00000000-0005-0000-0000-000080430000}"/>
    <cellStyle name="Normal 203 4 3 2 2" xfId="17537" xr:uid="{00000000-0005-0000-0000-000081430000}"/>
    <cellStyle name="Normal 203 4 3 3" xfId="17538" xr:uid="{00000000-0005-0000-0000-000082430000}"/>
    <cellStyle name="Normal 203 4 4" xfId="17539" xr:uid="{00000000-0005-0000-0000-000083430000}"/>
    <cellStyle name="Normal 203 4 4 2" xfId="17540" xr:uid="{00000000-0005-0000-0000-000084430000}"/>
    <cellStyle name="Normal 203 4 4 2 2" xfId="17541" xr:uid="{00000000-0005-0000-0000-000085430000}"/>
    <cellStyle name="Normal 203 4 4 3" xfId="17542" xr:uid="{00000000-0005-0000-0000-000086430000}"/>
    <cellStyle name="Normal 203 4 5" xfId="17543" xr:uid="{00000000-0005-0000-0000-000087430000}"/>
    <cellStyle name="Normal 203 4 5 2" xfId="17544" xr:uid="{00000000-0005-0000-0000-000088430000}"/>
    <cellStyle name="Normal 203 4 5 2 2" xfId="17545" xr:uid="{00000000-0005-0000-0000-000089430000}"/>
    <cellStyle name="Normal 203 4 5 3" xfId="17546" xr:uid="{00000000-0005-0000-0000-00008A430000}"/>
    <cellStyle name="Normal 203 4 6" xfId="17547" xr:uid="{00000000-0005-0000-0000-00008B430000}"/>
    <cellStyle name="Normal 203 5" xfId="17548" xr:uid="{00000000-0005-0000-0000-00008C430000}"/>
    <cellStyle name="Normal 203 5 2" xfId="17549" xr:uid="{00000000-0005-0000-0000-00008D430000}"/>
    <cellStyle name="Normal 203 5 2 2" xfId="17550" xr:uid="{00000000-0005-0000-0000-00008E430000}"/>
    <cellStyle name="Normal 203 5 3" xfId="17551" xr:uid="{00000000-0005-0000-0000-00008F430000}"/>
    <cellStyle name="Normal 203 6" xfId="17552" xr:uid="{00000000-0005-0000-0000-000090430000}"/>
    <cellStyle name="Normal 203 6 2" xfId="17553" xr:uid="{00000000-0005-0000-0000-000091430000}"/>
    <cellStyle name="Normal 203 6 2 2" xfId="17554" xr:uid="{00000000-0005-0000-0000-000092430000}"/>
    <cellStyle name="Normal 203 6 3" xfId="17555" xr:uid="{00000000-0005-0000-0000-000093430000}"/>
    <cellStyle name="Normal 203 7" xfId="17556" xr:uid="{00000000-0005-0000-0000-000094430000}"/>
    <cellStyle name="Normal 203 7 2" xfId="17557" xr:uid="{00000000-0005-0000-0000-000095430000}"/>
    <cellStyle name="Normal 203 7 2 2" xfId="17558" xr:uid="{00000000-0005-0000-0000-000096430000}"/>
    <cellStyle name="Normal 203 7 3" xfId="17559" xr:uid="{00000000-0005-0000-0000-000097430000}"/>
    <cellStyle name="Normal 203 8" xfId="17560" xr:uid="{00000000-0005-0000-0000-000098430000}"/>
    <cellStyle name="Normal 204" xfId="17561" xr:uid="{00000000-0005-0000-0000-000099430000}"/>
    <cellStyle name="Normal 204 2" xfId="17562" xr:uid="{00000000-0005-0000-0000-00009A430000}"/>
    <cellStyle name="Normal 204 2 2" xfId="17563" xr:uid="{00000000-0005-0000-0000-00009B430000}"/>
    <cellStyle name="Normal 204 2 2 2" xfId="17564" xr:uid="{00000000-0005-0000-0000-00009C430000}"/>
    <cellStyle name="Normal 204 2 3" xfId="17565" xr:uid="{00000000-0005-0000-0000-00009D430000}"/>
    <cellStyle name="Normal 204 2 3 2" xfId="17566" xr:uid="{00000000-0005-0000-0000-00009E430000}"/>
    <cellStyle name="Normal 204 2 3 2 2" xfId="17567" xr:uid="{00000000-0005-0000-0000-00009F430000}"/>
    <cellStyle name="Normal 204 2 3 3" xfId="17568" xr:uid="{00000000-0005-0000-0000-0000A0430000}"/>
    <cellStyle name="Normal 204 2 4" xfId="17569" xr:uid="{00000000-0005-0000-0000-0000A1430000}"/>
    <cellStyle name="Normal 204 2 4 2" xfId="17570" xr:uid="{00000000-0005-0000-0000-0000A2430000}"/>
    <cellStyle name="Normal 204 2 4 2 2" xfId="17571" xr:uid="{00000000-0005-0000-0000-0000A3430000}"/>
    <cellStyle name="Normal 204 2 4 3" xfId="17572" xr:uid="{00000000-0005-0000-0000-0000A4430000}"/>
    <cellStyle name="Normal 204 2 5" xfId="17573" xr:uid="{00000000-0005-0000-0000-0000A5430000}"/>
    <cellStyle name="Normal 204 3" xfId="17574" xr:uid="{00000000-0005-0000-0000-0000A6430000}"/>
    <cellStyle name="Normal 204 3 2" xfId="17575" xr:uid="{00000000-0005-0000-0000-0000A7430000}"/>
    <cellStyle name="Normal 204 3 2 2" xfId="17576" xr:uid="{00000000-0005-0000-0000-0000A8430000}"/>
    <cellStyle name="Normal 204 3 2 2 2" xfId="17577" xr:uid="{00000000-0005-0000-0000-0000A9430000}"/>
    <cellStyle name="Normal 204 3 2 3" xfId="17578" xr:uid="{00000000-0005-0000-0000-0000AA430000}"/>
    <cellStyle name="Normal 204 3 2 3 2" xfId="17579" xr:uid="{00000000-0005-0000-0000-0000AB430000}"/>
    <cellStyle name="Normal 204 3 2 3 2 2" xfId="17580" xr:uid="{00000000-0005-0000-0000-0000AC430000}"/>
    <cellStyle name="Normal 204 3 2 3 3" xfId="17581" xr:uid="{00000000-0005-0000-0000-0000AD430000}"/>
    <cellStyle name="Normal 204 3 2 4" xfId="17582" xr:uid="{00000000-0005-0000-0000-0000AE430000}"/>
    <cellStyle name="Normal 204 3 3" xfId="17583" xr:uid="{00000000-0005-0000-0000-0000AF430000}"/>
    <cellStyle name="Normal 204 3 3 2" xfId="17584" xr:uid="{00000000-0005-0000-0000-0000B0430000}"/>
    <cellStyle name="Normal 204 3 3 2 2" xfId="17585" xr:uid="{00000000-0005-0000-0000-0000B1430000}"/>
    <cellStyle name="Normal 204 3 3 3" xfId="17586" xr:uid="{00000000-0005-0000-0000-0000B2430000}"/>
    <cellStyle name="Normal 204 3 4" xfId="17587" xr:uid="{00000000-0005-0000-0000-0000B3430000}"/>
    <cellStyle name="Normal 204 3 4 2" xfId="17588" xr:uid="{00000000-0005-0000-0000-0000B4430000}"/>
    <cellStyle name="Normal 204 3 4 2 2" xfId="17589" xr:uid="{00000000-0005-0000-0000-0000B5430000}"/>
    <cellStyle name="Normal 204 3 4 3" xfId="17590" xr:uid="{00000000-0005-0000-0000-0000B6430000}"/>
    <cellStyle name="Normal 204 3 5" xfId="17591" xr:uid="{00000000-0005-0000-0000-0000B7430000}"/>
    <cellStyle name="Normal 204 3 5 2" xfId="17592" xr:uid="{00000000-0005-0000-0000-0000B8430000}"/>
    <cellStyle name="Normal 204 3 5 2 2" xfId="17593" xr:uid="{00000000-0005-0000-0000-0000B9430000}"/>
    <cellStyle name="Normal 204 3 5 3" xfId="17594" xr:uid="{00000000-0005-0000-0000-0000BA430000}"/>
    <cellStyle name="Normal 204 3 6" xfId="17595" xr:uid="{00000000-0005-0000-0000-0000BB430000}"/>
    <cellStyle name="Normal 204 4" xfId="17596" xr:uid="{00000000-0005-0000-0000-0000BC430000}"/>
    <cellStyle name="Normal 204 4 2" xfId="17597" xr:uid="{00000000-0005-0000-0000-0000BD430000}"/>
    <cellStyle name="Normal 204 4 2 2" xfId="17598" xr:uid="{00000000-0005-0000-0000-0000BE430000}"/>
    <cellStyle name="Normal 204 4 3" xfId="17599" xr:uid="{00000000-0005-0000-0000-0000BF430000}"/>
    <cellStyle name="Normal 204 5" xfId="17600" xr:uid="{00000000-0005-0000-0000-0000C0430000}"/>
    <cellStyle name="Normal 204 5 2" xfId="17601" xr:uid="{00000000-0005-0000-0000-0000C1430000}"/>
    <cellStyle name="Normal 204 5 2 2" xfId="17602" xr:uid="{00000000-0005-0000-0000-0000C2430000}"/>
    <cellStyle name="Normal 204 5 3" xfId="17603" xr:uid="{00000000-0005-0000-0000-0000C3430000}"/>
    <cellStyle name="Normal 204 6" xfId="17604" xr:uid="{00000000-0005-0000-0000-0000C4430000}"/>
    <cellStyle name="Normal 204 6 2" xfId="17605" xr:uid="{00000000-0005-0000-0000-0000C5430000}"/>
    <cellStyle name="Normal 204 6 2 2" xfId="17606" xr:uid="{00000000-0005-0000-0000-0000C6430000}"/>
    <cellStyle name="Normal 204 6 3" xfId="17607" xr:uid="{00000000-0005-0000-0000-0000C7430000}"/>
    <cellStyle name="Normal 204 7" xfId="17608" xr:uid="{00000000-0005-0000-0000-0000C8430000}"/>
    <cellStyle name="Normal 205" xfId="17609" xr:uid="{00000000-0005-0000-0000-0000C9430000}"/>
    <cellStyle name="Normal 205 2" xfId="17610" xr:uid="{00000000-0005-0000-0000-0000CA430000}"/>
    <cellStyle name="Normal 205 2 2" xfId="17611" xr:uid="{00000000-0005-0000-0000-0000CB430000}"/>
    <cellStyle name="Normal 205 2 2 2" xfId="17612" xr:uid="{00000000-0005-0000-0000-0000CC430000}"/>
    <cellStyle name="Normal 205 2 3" xfId="17613" xr:uid="{00000000-0005-0000-0000-0000CD430000}"/>
    <cellStyle name="Normal 205 2 3 2" xfId="17614" xr:uid="{00000000-0005-0000-0000-0000CE430000}"/>
    <cellStyle name="Normal 205 2 3 2 2" xfId="17615" xr:uid="{00000000-0005-0000-0000-0000CF430000}"/>
    <cellStyle name="Normal 205 2 3 3" xfId="17616" xr:uid="{00000000-0005-0000-0000-0000D0430000}"/>
    <cellStyle name="Normal 205 2 4" xfId="17617" xr:uid="{00000000-0005-0000-0000-0000D1430000}"/>
    <cellStyle name="Normal 205 2 4 2" xfId="17618" xr:uid="{00000000-0005-0000-0000-0000D2430000}"/>
    <cellStyle name="Normal 205 2 4 2 2" xfId="17619" xr:uid="{00000000-0005-0000-0000-0000D3430000}"/>
    <cellStyle name="Normal 205 2 4 3" xfId="17620" xr:uid="{00000000-0005-0000-0000-0000D4430000}"/>
    <cellStyle name="Normal 205 2 5" xfId="17621" xr:uid="{00000000-0005-0000-0000-0000D5430000}"/>
    <cellStyle name="Normal 205 3" xfId="17622" xr:uid="{00000000-0005-0000-0000-0000D6430000}"/>
    <cellStyle name="Normal 205 3 2" xfId="17623" xr:uid="{00000000-0005-0000-0000-0000D7430000}"/>
    <cellStyle name="Normal 205 3 2 2" xfId="17624" xr:uid="{00000000-0005-0000-0000-0000D8430000}"/>
    <cellStyle name="Normal 205 3 2 2 2" xfId="17625" xr:uid="{00000000-0005-0000-0000-0000D9430000}"/>
    <cellStyle name="Normal 205 3 2 3" xfId="17626" xr:uid="{00000000-0005-0000-0000-0000DA430000}"/>
    <cellStyle name="Normal 205 3 2 3 2" xfId="17627" xr:uid="{00000000-0005-0000-0000-0000DB430000}"/>
    <cellStyle name="Normal 205 3 2 3 2 2" xfId="17628" xr:uid="{00000000-0005-0000-0000-0000DC430000}"/>
    <cellStyle name="Normal 205 3 2 3 3" xfId="17629" xr:uid="{00000000-0005-0000-0000-0000DD430000}"/>
    <cellStyle name="Normal 205 3 2 4" xfId="17630" xr:uid="{00000000-0005-0000-0000-0000DE430000}"/>
    <cellStyle name="Normal 205 3 3" xfId="17631" xr:uid="{00000000-0005-0000-0000-0000DF430000}"/>
    <cellStyle name="Normal 205 3 3 2" xfId="17632" xr:uid="{00000000-0005-0000-0000-0000E0430000}"/>
    <cellStyle name="Normal 205 3 3 2 2" xfId="17633" xr:uid="{00000000-0005-0000-0000-0000E1430000}"/>
    <cellStyle name="Normal 205 3 3 3" xfId="17634" xr:uid="{00000000-0005-0000-0000-0000E2430000}"/>
    <cellStyle name="Normal 205 3 4" xfId="17635" xr:uid="{00000000-0005-0000-0000-0000E3430000}"/>
    <cellStyle name="Normal 205 3 4 2" xfId="17636" xr:uid="{00000000-0005-0000-0000-0000E4430000}"/>
    <cellStyle name="Normal 205 3 4 2 2" xfId="17637" xr:uid="{00000000-0005-0000-0000-0000E5430000}"/>
    <cellStyle name="Normal 205 3 4 3" xfId="17638" xr:uid="{00000000-0005-0000-0000-0000E6430000}"/>
    <cellStyle name="Normal 205 3 5" xfId="17639" xr:uid="{00000000-0005-0000-0000-0000E7430000}"/>
    <cellStyle name="Normal 205 3 5 2" xfId="17640" xr:uid="{00000000-0005-0000-0000-0000E8430000}"/>
    <cellStyle name="Normal 205 3 5 2 2" xfId="17641" xr:uid="{00000000-0005-0000-0000-0000E9430000}"/>
    <cellStyle name="Normal 205 3 5 3" xfId="17642" xr:uid="{00000000-0005-0000-0000-0000EA430000}"/>
    <cellStyle name="Normal 205 3 6" xfId="17643" xr:uid="{00000000-0005-0000-0000-0000EB430000}"/>
    <cellStyle name="Normal 205 4" xfId="17644" xr:uid="{00000000-0005-0000-0000-0000EC430000}"/>
    <cellStyle name="Normal 205 4 2" xfId="17645" xr:uid="{00000000-0005-0000-0000-0000ED430000}"/>
    <cellStyle name="Normal 205 4 2 2" xfId="17646" xr:uid="{00000000-0005-0000-0000-0000EE430000}"/>
    <cellStyle name="Normal 205 4 3" xfId="17647" xr:uid="{00000000-0005-0000-0000-0000EF430000}"/>
    <cellStyle name="Normal 205 5" xfId="17648" xr:uid="{00000000-0005-0000-0000-0000F0430000}"/>
    <cellStyle name="Normal 205 5 2" xfId="17649" xr:uid="{00000000-0005-0000-0000-0000F1430000}"/>
    <cellStyle name="Normal 205 5 2 2" xfId="17650" xr:uid="{00000000-0005-0000-0000-0000F2430000}"/>
    <cellStyle name="Normal 205 5 3" xfId="17651" xr:uid="{00000000-0005-0000-0000-0000F3430000}"/>
    <cellStyle name="Normal 205 6" xfId="17652" xr:uid="{00000000-0005-0000-0000-0000F4430000}"/>
    <cellStyle name="Normal 205 6 2" xfId="17653" xr:uid="{00000000-0005-0000-0000-0000F5430000}"/>
    <cellStyle name="Normal 205 6 2 2" xfId="17654" xr:uid="{00000000-0005-0000-0000-0000F6430000}"/>
    <cellStyle name="Normal 205 6 3" xfId="17655" xr:uid="{00000000-0005-0000-0000-0000F7430000}"/>
    <cellStyle name="Normal 205 7" xfId="17656" xr:uid="{00000000-0005-0000-0000-0000F8430000}"/>
    <cellStyle name="Normal 206" xfId="17657" xr:uid="{00000000-0005-0000-0000-0000F9430000}"/>
    <cellStyle name="Normal 206 2" xfId="17658" xr:uid="{00000000-0005-0000-0000-0000FA430000}"/>
    <cellStyle name="Normal 206 2 2" xfId="17659" xr:uid="{00000000-0005-0000-0000-0000FB430000}"/>
    <cellStyle name="Normal 206 2 2 2" xfId="17660" xr:uid="{00000000-0005-0000-0000-0000FC430000}"/>
    <cellStyle name="Normal 206 2 3" xfId="17661" xr:uid="{00000000-0005-0000-0000-0000FD430000}"/>
    <cellStyle name="Normal 206 2 3 2" xfId="17662" xr:uid="{00000000-0005-0000-0000-0000FE430000}"/>
    <cellStyle name="Normal 206 2 3 2 2" xfId="17663" xr:uid="{00000000-0005-0000-0000-0000FF430000}"/>
    <cellStyle name="Normal 206 2 3 3" xfId="17664" xr:uid="{00000000-0005-0000-0000-000000440000}"/>
    <cellStyle name="Normal 206 2 4" xfId="17665" xr:uid="{00000000-0005-0000-0000-000001440000}"/>
    <cellStyle name="Normal 206 2 4 2" xfId="17666" xr:uid="{00000000-0005-0000-0000-000002440000}"/>
    <cellStyle name="Normal 206 2 4 2 2" xfId="17667" xr:uid="{00000000-0005-0000-0000-000003440000}"/>
    <cellStyle name="Normal 206 2 4 3" xfId="17668" xr:uid="{00000000-0005-0000-0000-000004440000}"/>
    <cellStyle name="Normal 206 2 5" xfId="17669" xr:uid="{00000000-0005-0000-0000-000005440000}"/>
    <cellStyle name="Normal 206 3" xfId="17670" xr:uid="{00000000-0005-0000-0000-000006440000}"/>
    <cellStyle name="Normal 206 3 2" xfId="17671" xr:uid="{00000000-0005-0000-0000-000007440000}"/>
    <cellStyle name="Normal 206 3 2 2" xfId="17672" xr:uid="{00000000-0005-0000-0000-000008440000}"/>
    <cellStyle name="Normal 206 3 2 2 2" xfId="17673" xr:uid="{00000000-0005-0000-0000-000009440000}"/>
    <cellStyle name="Normal 206 3 2 3" xfId="17674" xr:uid="{00000000-0005-0000-0000-00000A440000}"/>
    <cellStyle name="Normal 206 3 2 3 2" xfId="17675" xr:uid="{00000000-0005-0000-0000-00000B440000}"/>
    <cellStyle name="Normal 206 3 2 3 2 2" xfId="17676" xr:uid="{00000000-0005-0000-0000-00000C440000}"/>
    <cellStyle name="Normal 206 3 2 3 3" xfId="17677" xr:uid="{00000000-0005-0000-0000-00000D440000}"/>
    <cellStyle name="Normal 206 3 2 4" xfId="17678" xr:uid="{00000000-0005-0000-0000-00000E440000}"/>
    <cellStyle name="Normal 206 3 3" xfId="17679" xr:uid="{00000000-0005-0000-0000-00000F440000}"/>
    <cellStyle name="Normal 206 3 3 2" xfId="17680" xr:uid="{00000000-0005-0000-0000-000010440000}"/>
    <cellStyle name="Normal 206 3 3 2 2" xfId="17681" xr:uid="{00000000-0005-0000-0000-000011440000}"/>
    <cellStyle name="Normal 206 3 3 3" xfId="17682" xr:uid="{00000000-0005-0000-0000-000012440000}"/>
    <cellStyle name="Normal 206 3 4" xfId="17683" xr:uid="{00000000-0005-0000-0000-000013440000}"/>
    <cellStyle name="Normal 206 3 4 2" xfId="17684" xr:uid="{00000000-0005-0000-0000-000014440000}"/>
    <cellStyle name="Normal 206 3 4 2 2" xfId="17685" xr:uid="{00000000-0005-0000-0000-000015440000}"/>
    <cellStyle name="Normal 206 3 4 3" xfId="17686" xr:uid="{00000000-0005-0000-0000-000016440000}"/>
    <cellStyle name="Normal 206 3 5" xfId="17687" xr:uid="{00000000-0005-0000-0000-000017440000}"/>
    <cellStyle name="Normal 206 3 5 2" xfId="17688" xr:uid="{00000000-0005-0000-0000-000018440000}"/>
    <cellStyle name="Normal 206 3 5 2 2" xfId="17689" xr:uid="{00000000-0005-0000-0000-000019440000}"/>
    <cellStyle name="Normal 206 3 5 3" xfId="17690" xr:uid="{00000000-0005-0000-0000-00001A440000}"/>
    <cellStyle name="Normal 206 3 6" xfId="17691" xr:uid="{00000000-0005-0000-0000-00001B440000}"/>
    <cellStyle name="Normal 206 4" xfId="17692" xr:uid="{00000000-0005-0000-0000-00001C440000}"/>
    <cellStyle name="Normal 206 4 2" xfId="17693" xr:uid="{00000000-0005-0000-0000-00001D440000}"/>
    <cellStyle name="Normal 206 4 2 2" xfId="17694" xr:uid="{00000000-0005-0000-0000-00001E440000}"/>
    <cellStyle name="Normal 206 4 3" xfId="17695" xr:uid="{00000000-0005-0000-0000-00001F440000}"/>
    <cellStyle name="Normal 206 5" xfId="17696" xr:uid="{00000000-0005-0000-0000-000020440000}"/>
    <cellStyle name="Normal 206 5 2" xfId="17697" xr:uid="{00000000-0005-0000-0000-000021440000}"/>
    <cellStyle name="Normal 206 5 2 2" xfId="17698" xr:uid="{00000000-0005-0000-0000-000022440000}"/>
    <cellStyle name="Normal 206 5 3" xfId="17699" xr:uid="{00000000-0005-0000-0000-000023440000}"/>
    <cellStyle name="Normal 206 6" xfId="17700" xr:uid="{00000000-0005-0000-0000-000024440000}"/>
    <cellStyle name="Normal 206 6 2" xfId="17701" xr:uid="{00000000-0005-0000-0000-000025440000}"/>
    <cellStyle name="Normal 206 6 2 2" xfId="17702" xr:uid="{00000000-0005-0000-0000-000026440000}"/>
    <cellStyle name="Normal 206 6 3" xfId="17703" xr:uid="{00000000-0005-0000-0000-000027440000}"/>
    <cellStyle name="Normal 206 7" xfId="17704" xr:uid="{00000000-0005-0000-0000-000028440000}"/>
    <cellStyle name="Normal 207" xfId="17705" xr:uid="{00000000-0005-0000-0000-000029440000}"/>
    <cellStyle name="Normal 207 2" xfId="17706" xr:uid="{00000000-0005-0000-0000-00002A440000}"/>
    <cellStyle name="Normal 207 2 2" xfId="17707" xr:uid="{00000000-0005-0000-0000-00002B440000}"/>
    <cellStyle name="Normal 207 2 2 2" xfId="17708" xr:uid="{00000000-0005-0000-0000-00002C440000}"/>
    <cellStyle name="Normal 207 2 3" xfId="17709" xr:uid="{00000000-0005-0000-0000-00002D440000}"/>
    <cellStyle name="Normal 207 2 3 2" xfId="17710" xr:uid="{00000000-0005-0000-0000-00002E440000}"/>
    <cellStyle name="Normal 207 2 3 2 2" xfId="17711" xr:uid="{00000000-0005-0000-0000-00002F440000}"/>
    <cellStyle name="Normal 207 2 3 3" xfId="17712" xr:uid="{00000000-0005-0000-0000-000030440000}"/>
    <cellStyle name="Normal 207 2 4" xfId="17713" xr:uid="{00000000-0005-0000-0000-000031440000}"/>
    <cellStyle name="Normal 207 2 4 2" xfId="17714" xr:uid="{00000000-0005-0000-0000-000032440000}"/>
    <cellStyle name="Normal 207 2 4 2 2" xfId="17715" xr:uid="{00000000-0005-0000-0000-000033440000}"/>
    <cellStyle name="Normal 207 2 4 3" xfId="17716" xr:uid="{00000000-0005-0000-0000-000034440000}"/>
    <cellStyle name="Normal 207 2 5" xfId="17717" xr:uid="{00000000-0005-0000-0000-000035440000}"/>
    <cellStyle name="Normal 207 3" xfId="17718" xr:uid="{00000000-0005-0000-0000-000036440000}"/>
    <cellStyle name="Normal 207 3 2" xfId="17719" xr:uid="{00000000-0005-0000-0000-000037440000}"/>
    <cellStyle name="Normal 207 3 2 2" xfId="17720" xr:uid="{00000000-0005-0000-0000-000038440000}"/>
    <cellStyle name="Normal 207 3 2 2 2" xfId="17721" xr:uid="{00000000-0005-0000-0000-000039440000}"/>
    <cellStyle name="Normal 207 3 2 3" xfId="17722" xr:uid="{00000000-0005-0000-0000-00003A440000}"/>
    <cellStyle name="Normal 207 3 2 3 2" xfId="17723" xr:uid="{00000000-0005-0000-0000-00003B440000}"/>
    <cellStyle name="Normal 207 3 2 3 2 2" xfId="17724" xr:uid="{00000000-0005-0000-0000-00003C440000}"/>
    <cellStyle name="Normal 207 3 2 3 3" xfId="17725" xr:uid="{00000000-0005-0000-0000-00003D440000}"/>
    <cellStyle name="Normal 207 3 2 4" xfId="17726" xr:uid="{00000000-0005-0000-0000-00003E440000}"/>
    <cellStyle name="Normal 207 3 3" xfId="17727" xr:uid="{00000000-0005-0000-0000-00003F440000}"/>
    <cellStyle name="Normal 207 3 3 2" xfId="17728" xr:uid="{00000000-0005-0000-0000-000040440000}"/>
    <cellStyle name="Normal 207 3 3 2 2" xfId="17729" xr:uid="{00000000-0005-0000-0000-000041440000}"/>
    <cellStyle name="Normal 207 3 3 3" xfId="17730" xr:uid="{00000000-0005-0000-0000-000042440000}"/>
    <cellStyle name="Normal 207 3 4" xfId="17731" xr:uid="{00000000-0005-0000-0000-000043440000}"/>
    <cellStyle name="Normal 207 3 4 2" xfId="17732" xr:uid="{00000000-0005-0000-0000-000044440000}"/>
    <cellStyle name="Normal 207 3 4 2 2" xfId="17733" xr:uid="{00000000-0005-0000-0000-000045440000}"/>
    <cellStyle name="Normal 207 3 4 3" xfId="17734" xr:uid="{00000000-0005-0000-0000-000046440000}"/>
    <cellStyle name="Normal 207 3 5" xfId="17735" xr:uid="{00000000-0005-0000-0000-000047440000}"/>
    <cellStyle name="Normal 207 3 5 2" xfId="17736" xr:uid="{00000000-0005-0000-0000-000048440000}"/>
    <cellStyle name="Normal 207 3 5 2 2" xfId="17737" xr:uid="{00000000-0005-0000-0000-000049440000}"/>
    <cellStyle name="Normal 207 3 5 3" xfId="17738" xr:uid="{00000000-0005-0000-0000-00004A440000}"/>
    <cellStyle name="Normal 207 3 6" xfId="17739" xr:uid="{00000000-0005-0000-0000-00004B440000}"/>
    <cellStyle name="Normal 207 4" xfId="17740" xr:uid="{00000000-0005-0000-0000-00004C440000}"/>
    <cellStyle name="Normal 207 4 2" xfId="17741" xr:uid="{00000000-0005-0000-0000-00004D440000}"/>
    <cellStyle name="Normal 207 4 2 2" xfId="17742" xr:uid="{00000000-0005-0000-0000-00004E440000}"/>
    <cellStyle name="Normal 207 4 3" xfId="17743" xr:uid="{00000000-0005-0000-0000-00004F440000}"/>
    <cellStyle name="Normal 207 5" xfId="17744" xr:uid="{00000000-0005-0000-0000-000050440000}"/>
    <cellStyle name="Normal 207 5 2" xfId="17745" xr:uid="{00000000-0005-0000-0000-000051440000}"/>
    <cellStyle name="Normal 207 5 2 2" xfId="17746" xr:uid="{00000000-0005-0000-0000-000052440000}"/>
    <cellStyle name="Normal 207 5 3" xfId="17747" xr:uid="{00000000-0005-0000-0000-000053440000}"/>
    <cellStyle name="Normal 207 6" xfId="17748" xr:uid="{00000000-0005-0000-0000-000054440000}"/>
    <cellStyle name="Normal 207 6 2" xfId="17749" xr:uid="{00000000-0005-0000-0000-000055440000}"/>
    <cellStyle name="Normal 207 6 2 2" xfId="17750" xr:uid="{00000000-0005-0000-0000-000056440000}"/>
    <cellStyle name="Normal 207 6 3" xfId="17751" xr:uid="{00000000-0005-0000-0000-000057440000}"/>
    <cellStyle name="Normal 207 7" xfId="17752" xr:uid="{00000000-0005-0000-0000-000058440000}"/>
    <cellStyle name="Normal 208" xfId="17753" xr:uid="{00000000-0005-0000-0000-000059440000}"/>
    <cellStyle name="Normal 208 2" xfId="17754" xr:uid="{00000000-0005-0000-0000-00005A440000}"/>
    <cellStyle name="Normal 208 2 2" xfId="17755" xr:uid="{00000000-0005-0000-0000-00005B440000}"/>
    <cellStyle name="Normal 208 2 2 2" xfId="17756" xr:uid="{00000000-0005-0000-0000-00005C440000}"/>
    <cellStyle name="Normal 208 2 3" xfId="17757" xr:uid="{00000000-0005-0000-0000-00005D440000}"/>
    <cellStyle name="Normal 208 2 3 2" xfId="17758" xr:uid="{00000000-0005-0000-0000-00005E440000}"/>
    <cellStyle name="Normal 208 2 3 2 2" xfId="17759" xr:uid="{00000000-0005-0000-0000-00005F440000}"/>
    <cellStyle name="Normal 208 2 3 3" xfId="17760" xr:uid="{00000000-0005-0000-0000-000060440000}"/>
    <cellStyle name="Normal 208 2 4" xfId="17761" xr:uid="{00000000-0005-0000-0000-000061440000}"/>
    <cellStyle name="Normal 208 2 4 2" xfId="17762" xr:uid="{00000000-0005-0000-0000-000062440000}"/>
    <cellStyle name="Normal 208 2 4 2 2" xfId="17763" xr:uid="{00000000-0005-0000-0000-000063440000}"/>
    <cellStyle name="Normal 208 2 4 3" xfId="17764" xr:uid="{00000000-0005-0000-0000-000064440000}"/>
    <cellStyle name="Normal 208 2 5" xfId="17765" xr:uid="{00000000-0005-0000-0000-000065440000}"/>
    <cellStyle name="Normal 208 3" xfId="17766" xr:uid="{00000000-0005-0000-0000-000066440000}"/>
    <cellStyle name="Normal 208 3 2" xfId="17767" xr:uid="{00000000-0005-0000-0000-000067440000}"/>
    <cellStyle name="Normal 208 3 2 2" xfId="17768" xr:uid="{00000000-0005-0000-0000-000068440000}"/>
    <cellStyle name="Normal 208 3 2 2 2" xfId="17769" xr:uid="{00000000-0005-0000-0000-000069440000}"/>
    <cellStyle name="Normal 208 3 2 3" xfId="17770" xr:uid="{00000000-0005-0000-0000-00006A440000}"/>
    <cellStyle name="Normal 208 3 2 3 2" xfId="17771" xr:uid="{00000000-0005-0000-0000-00006B440000}"/>
    <cellStyle name="Normal 208 3 2 3 2 2" xfId="17772" xr:uid="{00000000-0005-0000-0000-00006C440000}"/>
    <cellStyle name="Normal 208 3 2 3 3" xfId="17773" xr:uid="{00000000-0005-0000-0000-00006D440000}"/>
    <cellStyle name="Normal 208 3 2 4" xfId="17774" xr:uid="{00000000-0005-0000-0000-00006E440000}"/>
    <cellStyle name="Normal 208 3 3" xfId="17775" xr:uid="{00000000-0005-0000-0000-00006F440000}"/>
    <cellStyle name="Normal 208 3 3 2" xfId="17776" xr:uid="{00000000-0005-0000-0000-000070440000}"/>
    <cellStyle name="Normal 208 3 3 2 2" xfId="17777" xr:uid="{00000000-0005-0000-0000-000071440000}"/>
    <cellStyle name="Normal 208 3 3 3" xfId="17778" xr:uid="{00000000-0005-0000-0000-000072440000}"/>
    <cellStyle name="Normal 208 3 4" xfId="17779" xr:uid="{00000000-0005-0000-0000-000073440000}"/>
    <cellStyle name="Normal 208 3 4 2" xfId="17780" xr:uid="{00000000-0005-0000-0000-000074440000}"/>
    <cellStyle name="Normal 208 3 4 2 2" xfId="17781" xr:uid="{00000000-0005-0000-0000-000075440000}"/>
    <cellStyle name="Normal 208 3 4 3" xfId="17782" xr:uid="{00000000-0005-0000-0000-000076440000}"/>
    <cellStyle name="Normal 208 3 5" xfId="17783" xr:uid="{00000000-0005-0000-0000-000077440000}"/>
    <cellStyle name="Normal 208 3 5 2" xfId="17784" xr:uid="{00000000-0005-0000-0000-000078440000}"/>
    <cellStyle name="Normal 208 3 5 2 2" xfId="17785" xr:uid="{00000000-0005-0000-0000-000079440000}"/>
    <cellStyle name="Normal 208 3 5 3" xfId="17786" xr:uid="{00000000-0005-0000-0000-00007A440000}"/>
    <cellStyle name="Normal 208 3 6" xfId="17787" xr:uid="{00000000-0005-0000-0000-00007B440000}"/>
    <cellStyle name="Normal 208 4" xfId="17788" xr:uid="{00000000-0005-0000-0000-00007C440000}"/>
    <cellStyle name="Normal 208 4 2" xfId="17789" xr:uid="{00000000-0005-0000-0000-00007D440000}"/>
    <cellStyle name="Normal 208 4 2 2" xfId="17790" xr:uid="{00000000-0005-0000-0000-00007E440000}"/>
    <cellStyle name="Normal 208 4 3" xfId="17791" xr:uid="{00000000-0005-0000-0000-00007F440000}"/>
    <cellStyle name="Normal 208 5" xfId="17792" xr:uid="{00000000-0005-0000-0000-000080440000}"/>
    <cellStyle name="Normal 208 5 2" xfId="17793" xr:uid="{00000000-0005-0000-0000-000081440000}"/>
    <cellStyle name="Normal 208 5 2 2" xfId="17794" xr:uid="{00000000-0005-0000-0000-000082440000}"/>
    <cellStyle name="Normal 208 5 3" xfId="17795" xr:uid="{00000000-0005-0000-0000-000083440000}"/>
    <cellStyle name="Normal 208 6" xfId="17796" xr:uid="{00000000-0005-0000-0000-000084440000}"/>
    <cellStyle name="Normal 208 6 2" xfId="17797" xr:uid="{00000000-0005-0000-0000-000085440000}"/>
    <cellStyle name="Normal 208 6 2 2" xfId="17798" xr:uid="{00000000-0005-0000-0000-000086440000}"/>
    <cellStyle name="Normal 208 6 3" xfId="17799" xr:uid="{00000000-0005-0000-0000-000087440000}"/>
    <cellStyle name="Normal 208 7" xfId="17800" xr:uid="{00000000-0005-0000-0000-000088440000}"/>
    <cellStyle name="Normal 209" xfId="17801" xr:uid="{00000000-0005-0000-0000-000089440000}"/>
    <cellStyle name="Normal 209 2" xfId="17802" xr:uid="{00000000-0005-0000-0000-00008A440000}"/>
    <cellStyle name="Normal 209 2 2" xfId="17803" xr:uid="{00000000-0005-0000-0000-00008B440000}"/>
    <cellStyle name="Normal 209 2 2 2" xfId="17804" xr:uid="{00000000-0005-0000-0000-00008C440000}"/>
    <cellStyle name="Normal 209 2 3" xfId="17805" xr:uid="{00000000-0005-0000-0000-00008D440000}"/>
    <cellStyle name="Normal 209 2 3 2" xfId="17806" xr:uid="{00000000-0005-0000-0000-00008E440000}"/>
    <cellStyle name="Normal 209 2 3 2 2" xfId="17807" xr:uid="{00000000-0005-0000-0000-00008F440000}"/>
    <cellStyle name="Normal 209 2 3 3" xfId="17808" xr:uid="{00000000-0005-0000-0000-000090440000}"/>
    <cellStyle name="Normal 209 2 4" xfId="17809" xr:uid="{00000000-0005-0000-0000-000091440000}"/>
    <cellStyle name="Normal 209 2 4 2" xfId="17810" xr:uid="{00000000-0005-0000-0000-000092440000}"/>
    <cellStyle name="Normal 209 2 4 2 2" xfId="17811" xr:uid="{00000000-0005-0000-0000-000093440000}"/>
    <cellStyle name="Normal 209 2 4 3" xfId="17812" xr:uid="{00000000-0005-0000-0000-000094440000}"/>
    <cellStyle name="Normal 209 2 5" xfId="17813" xr:uid="{00000000-0005-0000-0000-000095440000}"/>
    <cellStyle name="Normal 209 3" xfId="17814" xr:uid="{00000000-0005-0000-0000-000096440000}"/>
    <cellStyle name="Normal 209 3 2" xfId="17815" xr:uid="{00000000-0005-0000-0000-000097440000}"/>
    <cellStyle name="Normal 209 3 2 2" xfId="17816" xr:uid="{00000000-0005-0000-0000-000098440000}"/>
    <cellStyle name="Normal 209 3 2 2 2" xfId="17817" xr:uid="{00000000-0005-0000-0000-000099440000}"/>
    <cellStyle name="Normal 209 3 2 3" xfId="17818" xr:uid="{00000000-0005-0000-0000-00009A440000}"/>
    <cellStyle name="Normal 209 3 2 3 2" xfId="17819" xr:uid="{00000000-0005-0000-0000-00009B440000}"/>
    <cellStyle name="Normal 209 3 2 3 2 2" xfId="17820" xr:uid="{00000000-0005-0000-0000-00009C440000}"/>
    <cellStyle name="Normal 209 3 2 3 3" xfId="17821" xr:uid="{00000000-0005-0000-0000-00009D440000}"/>
    <cellStyle name="Normal 209 3 2 4" xfId="17822" xr:uid="{00000000-0005-0000-0000-00009E440000}"/>
    <cellStyle name="Normal 209 3 3" xfId="17823" xr:uid="{00000000-0005-0000-0000-00009F440000}"/>
    <cellStyle name="Normal 209 3 3 2" xfId="17824" xr:uid="{00000000-0005-0000-0000-0000A0440000}"/>
    <cellStyle name="Normal 209 3 3 2 2" xfId="17825" xr:uid="{00000000-0005-0000-0000-0000A1440000}"/>
    <cellStyle name="Normal 209 3 3 3" xfId="17826" xr:uid="{00000000-0005-0000-0000-0000A2440000}"/>
    <cellStyle name="Normal 209 3 4" xfId="17827" xr:uid="{00000000-0005-0000-0000-0000A3440000}"/>
    <cellStyle name="Normal 209 3 4 2" xfId="17828" xr:uid="{00000000-0005-0000-0000-0000A4440000}"/>
    <cellStyle name="Normal 209 3 4 2 2" xfId="17829" xr:uid="{00000000-0005-0000-0000-0000A5440000}"/>
    <cellStyle name="Normal 209 3 4 3" xfId="17830" xr:uid="{00000000-0005-0000-0000-0000A6440000}"/>
    <cellStyle name="Normal 209 3 5" xfId="17831" xr:uid="{00000000-0005-0000-0000-0000A7440000}"/>
    <cellStyle name="Normal 209 3 5 2" xfId="17832" xr:uid="{00000000-0005-0000-0000-0000A8440000}"/>
    <cellStyle name="Normal 209 3 5 2 2" xfId="17833" xr:uid="{00000000-0005-0000-0000-0000A9440000}"/>
    <cellStyle name="Normal 209 3 5 3" xfId="17834" xr:uid="{00000000-0005-0000-0000-0000AA440000}"/>
    <cellStyle name="Normal 209 3 6" xfId="17835" xr:uid="{00000000-0005-0000-0000-0000AB440000}"/>
    <cellStyle name="Normal 209 4" xfId="17836" xr:uid="{00000000-0005-0000-0000-0000AC440000}"/>
    <cellStyle name="Normal 209 4 2" xfId="17837" xr:uid="{00000000-0005-0000-0000-0000AD440000}"/>
    <cellStyle name="Normal 209 4 2 2" xfId="17838" xr:uid="{00000000-0005-0000-0000-0000AE440000}"/>
    <cellStyle name="Normal 209 4 3" xfId="17839" xr:uid="{00000000-0005-0000-0000-0000AF440000}"/>
    <cellStyle name="Normal 209 5" xfId="17840" xr:uid="{00000000-0005-0000-0000-0000B0440000}"/>
    <cellStyle name="Normal 209 5 2" xfId="17841" xr:uid="{00000000-0005-0000-0000-0000B1440000}"/>
    <cellStyle name="Normal 209 5 2 2" xfId="17842" xr:uid="{00000000-0005-0000-0000-0000B2440000}"/>
    <cellStyle name="Normal 209 5 3" xfId="17843" xr:uid="{00000000-0005-0000-0000-0000B3440000}"/>
    <cellStyle name="Normal 209 6" xfId="17844" xr:uid="{00000000-0005-0000-0000-0000B4440000}"/>
    <cellStyle name="Normal 209 6 2" xfId="17845" xr:uid="{00000000-0005-0000-0000-0000B5440000}"/>
    <cellStyle name="Normal 209 6 2 2" xfId="17846" xr:uid="{00000000-0005-0000-0000-0000B6440000}"/>
    <cellStyle name="Normal 209 6 3" xfId="17847" xr:uid="{00000000-0005-0000-0000-0000B7440000}"/>
    <cellStyle name="Normal 209 7" xfId="17848" xr:uid="{00000000-0005-0000-0000-0000B8440000}"/>
    <cellStyle name="Normal 21" xfId="17849" xr:uid="{00000000-0005-0000-0000-0000B9440000}"/>
    <cellStyle name="Normal 21 2" xfId="17850" xr:uid="{00000000-0005-0000-0000-0000BA440000}"/>
    <cellStyle name="Normal 21 2 2" xfId="17851" xr:uid="{00000000-0005-0000-0000-0000BB440000}"/>
    <cellStyle name="Normal 21 2 2 2" xfId="17852" xr:uid="{00000000-0005-0000-0000-0000BC440000}"/>
    <cellStyle name="Normal 21 2 2 2 2" xfId="17853" xr:uid="{00000000-0005-0000-0000-0000BD440000}"/>
    <cellStyle name="Normal 21 2 2 3" xfId="17854" xr:uid="{00000000-0005-0000-0000-0000BE440000}"/>
    <cellStyle name="Normal 21 2 2 3 2" xfId="17855" xr:uid="{00000000-0005-0000-0000-0000BF440000}"/>
    <cellStyle name="Normal 21 2 2 3 2 2" xfId="17856" xr:uid="{00000000-0005-0000-0000-0000C0440000}"/>
    <cellStyle name="Normal 21 2 2 3 3" xfId="17857" xr:uid="{00000000-0005-0000-0000-0000C1440000}"/>
    <cellStyle name="Normal 21 2 2 4" xfId="17858" xr:uid="{00000000-0005-0000-0000-0000C2440000}"/>
    <cellStyle name="Normal 21 2 2 4 2" xfId="17859" xr:uid="{00000000-0005-0000-0000-0000C3440000}"/>
    <cellStyle name="Normal 21 2 2 4 2 2" xfId="17860" xr:uid="{00000000-0005-0000-0000-0000C4440000}"/>
    <cellStyle name="Normal 21 2 2 4 3" xfId="17861" xr:uid="{00000000-0005-0000-0000-0000C5440000}"/>
    <cellStyle name="Normal 21 2 2 5" xfId="17862" xr:uid="{00000000-0005-0000-0000-0000C6440000}"/>
    <cellStyle name="Normal 21 2 3" xfId="17863" xr:uid="{00000000-0005-0000-0000-0000C7440000}"/>
    <cellStyle name="Normal 21 2 3 2" xfId="17864" xr:uid="{00000000-0005-0000-0000-0000C8440000}"/>
    <cellStyle name="Normal 21 2 3 2 2" xfId="17865" xr:uid="{00000000-0005-0000-0000-0000C9440000}"/>
    <cellStyle name="Normal 21 2 3 3" xfId="17866" xr:uid="{00000000-0005-0000-0000-0000CA440000}"/>
    <cellStyle name="Normal 21 2 4" xfId="17867" xr:uid="{00000000-0005-0000-0000-0000CB440000}"/>
    <cellStyle name="Normal 21 2 4 2" xfId="17868" xr:uid="{00000000-0005-0000-0000-0000CC440000}"/>
    <cellStyle name="Normal 21 2 4 2 2" xfId="17869" xr:uid="{00000000-0005-0000-0000-0000CD440000}"/>
    <cellStyle name="Normal 21 2 4 3" xfId="17870" xr:uid="{00000000-0005-0000-0000-0000CE440000}"/>
    <cellStyle name="Normal 21 2 5" xfId="17871" xr:uid="{00000000-0005-0000-0000-0000CF440000}"/>
    <cellStyle name="Normal 21 2 5 2" xfId="17872" xr:uid="{00000000-0005-0000-0000-0000D0440000}"/>
    <cellStyle name="Normal 21 2 5 2 2" xfId="17873" xr:uid="{00000000-0005-0000-0000-0000D1440000}"/>
    <cellStyle name="Normal 21 2 5 3" xfId="17874" xr:uid="{00000000-0005-0000-0000-0000D2440000}"/>
    <cellStyle name="Normal 21 2 6" xfId="17875" xr:uid="{00000000-0005-0000-0000-0000D3440000}"/>
    <cellStyle name="Normal 21 3" xfId="17876" xr:uid="{00000000-0005-0000-0000-0000D4440000}"/>
    <cellStyle name="Normal 21 3 2" xfId="17877" xr:uid="{00000000-0005-0000-0000-0000D5440000}"/>
    <cellStyle name="Normal 21 3 2 2" xfId="17878" xr:uid="{00000000-0005-0000-0000-0000D6440000}"/>
    <cellStyle name="Normal 21 3 3" xfId="17879" xr:uid="{00000000-0005-0000-0000-0000D7440000}"/>
    <cellStyle name="Normal 21 3 3 2" xfId="17880" xr:uid="{00000000-0005-0000-0000-0000D8440000}"/>
    <cellStyle name="Normal 21 3 3 2 2" xfId="17881" xr:uid="{00000000-0005-0000-0000-0000D9440000}"/>
    <cellStyle name="Normal 21 3 3 3" xfId="17882" xr:uid="{00000000-0005-0000-0000-0000DA440000}"/>
    <cellStyle name="Normal 21 3 4" xfId="17883" xr:uid="{00000000-0005-0000-0000-0000DB440000}"/>
    <cellStyle name="Normal 21 3 4 2" xfId="17884" xr:uid="{00000000-0005-0000-0000-0000DC440000}"/>
    <cellStyle name="Normal 21 3 4 2 2" xfId="17885" xr:uid="{00000000-0005-0000-0000-0000DD440000}"/>
    <cellStyle name="Normal 21 3 4 3" xfId="17886" xr:uid="{00000000-0005-0000-0000-0000DE440000}"/>
    <cellStyle name="Normal 21 3 5" xfId="17887" xr:uid="{00000000-0005-0000-0000-0000DF440000}"/>
    <cellStyle name="Normal 21 4" xfId="17888" xr:uid="{00000000-0005-0000-0000-0000E0440000}"/>
    <cellStyle name="Normal 21 4 2" xfId="17889" xr:uid="{00000000-0005-0000-0000-0000E1440000}"/>
    <cellStyle name="Normal 21 4 2 2" xfId="17890" xr:uid="{00000000-0005-0000-0000-0000E2440000}"/>
    <cellStyle name="Normal 21 4 2 2 2" xfId="17891" xr:uid="{00000000-0005-0000-0000-0000E3440000}"/>
    <cellStyle name="Normal 21 4 2 3" xfId="17892" xr:uid="{00000000-0005-0000-0000-0000E4440000}"/>
    <cellStyle name="Normal 21 4 2 3 2" xfId="17893" xr:uid="{00000000-0005-0000-0000-0000E5440000}"/>
    <cellStyle name="Normal 21 4 2 3 2 2" xfId="17894" xr:uid="{00000000-0005-0000-0000-0000E6440000}"/>
    <cellStyle name="Normal 21 4 2 3 3" xfId="17895" xr:uid="{00000000-0005-0000-0000-0000E7440000}"/>
    <cellStyle name="Normal 21 4 2 4" xfId="17896" xr:uid="{00000000-0005-0000-0000-0000E8440000}"/>
    <cellStyle name="Normal 21 4 3" xfId="17897" xr:uid="{00000000-0005-0000-0000-0000E9440000}"/>
    <cellStyle name="Normal 21 4 3 2" xfId="17898" xr:uid="{00000000-0005-0000-0000-0000EA440000}"/>
    <cellStyle name="Normal 21 4 3 2 2" xfId="17899" xr:uid="{00000000-0005-0000-0000-0000EB440000}"/>
    <cellStyle name="Normal 21 4 3 3" xfId="17900" xr:uid="{00000000-0005-0000-0000-0000EC440000}"/>
    <cellStyle name="Normal 21 4 4" xfId="17901" xr:uid="{00000000-0005-0000-0000-0000ED440000}"/>
    <cellStyle name="Normal 21 4 4 2" xfId="17902" xr:uid="{00000000-0005-0000-0000-0000EE440000}"/>
    <cellStyle name="Normal 21 4 4 2 2" xfId="17903" xr:uid="{00000000-0005-0000-0000-0000EF440000}"/>
    <cellStyle name="Normal 21 4 4 3" xfId="17904" xr:uid="{00000000-0005-0000-0000-0000F0440000}"/>
    <cellStyle name="Normal 21 4 5" xfId="17905" xr:uid="{00000000-0005-0000-0000-0000F1440000}"/>
    <cellStyle name="Normal 21 4 5 2" xfId="17906" xr:uid="{00000000-0005-0000-0000-0000F2440000}"/>
    <cellStyle name="Normal 21 4 5 2 2" xfId="17907" xr:uid="{00000000-0005-0000-0000-0000F3440000}"/>
    <cellStyle name="Normal 21 4 5 3" xfId="17908" xr:uid="{00000000-0005-0000-0000-0000F4440000}"/>
    <cellStyle name="Normal 21 4 6" xfId="17909" xr:uid="{00000000-0005-0000-0000-0000F5440000}"/>
    <cellStyle name="Normal 21 5" xfId="17910" xr:uid="{00000000-0005-0000-0000-0000F6440000}"/>
    <cellStyle name="Normal 210" xfId="17911" xr:uid="{00000000-0005-0000-0000-0000F7440000}"/>
    <cellStyle name="Normal 210 2" xfId="17912" xr:uid="{00000000-0005-0000-0000-0000F8440000}"/>
    <cellStyle name="Normal 210 2 2" xfId="17913" xr:uid="{00000000-0005-0000-0000-0000F9440000}"/>
    <cellStyle name="Normal 210 2 2 2" xfId="17914" xr:uid="{00000000-0005-0000-0000-0000FA440000}"/>
    <cellStyle name="Normal 210 2 3" xfId="17915" xr:uid="{00000000-0005-0000-0000-0000FB440000}"/>
    <cellStyle name="Normal 210 2 3 2" xfId="17916" xr:uid="{00000000-0005-0000-0000-0000FC440000}"/>
    <cellStyle name="Normal 210 2 3 2 2" xfId="17917" xr:uid="{00000000-0005-0000-0000-0000FD440000}"/>
    <cellStyle name="Normal 210 2 3 3" xfId="17918" xr:uid="{00000000-0005-0000-0000-0000FE440000}"/>
    <cellStyle name="Normal 210 2 4" xfId="17919" xr:uid="{00000000-0005-0000-0000-0000FF440000}"/>
    <cellStyle name="Normal 210 2 4 2" xfId="17920" xr:uid="{00000000-0005-0000-0000-000000450000}"/>
    <cellStyle name="Normal 210 2 4 2 2" xfId="17921" xr:uid="{00000000-0005-0000-0000-000001450000}"/>
    <cellStyle name="Normal 210 2 4 3" xfId="17922" xr:uid="{00000000-0005-0000-0000-000002450000}"/>
    <cellStyle name="Normal 210 2 5" xfId="17923" xr:uid="{00000000-0005-0000-0000-000003450000}"/>
    <cellStyle name="Normal 210 3" xfId="17924" xr:uid="{00000000-0005-0000-0000-000004450000}"/>
    <cellStyle name="Normal 210 3 2" xfId="17925" xr:uid="{00000000-0005-0000-0000-000005450000}"/>
    <cellStyle name="Normal 210 3 2 2" xfId="17926" xr:uid="{00000000-0005-0000-0000-000006450000}"/>
    <cellStyle name="Normal 210 3 2 2 2" xfId="17927" xr:uid="{00000000-0005-0000-0000-000007450000}"/>
    <cellStyle name="Normal 210 3 2 3" xfId="17928" xr:uid="{00000000-0005-0000-0000-000008450000}"/>
    <cellStyle name="Normal 210 3 2 3 2" xfId="17929" xr:uid="{00000000-0005-0000-0000-000009450000}"/>
    <cellStyle name="Normal 210 3 2 3 2 2" xfId="17930" xr:uid="{00000000-0005-0000-0000-00000A450000}"/>
    <cellStyle name="Normal 210 3 2 3 3" xfId="17931" xr:uid="{00000000-0005-0000-0000-00000B450000}"/>
    <cellStyle name="Normal 210 3 2 4" xfId="17932" xr:uid="{00000000-0005-0000-0000-00000C450000}"/>
    <cellStyle name="Normal 210 3 3" xfId="17933" xr:uid="{00000000-0005-0000-0000-00000D450000}"/>
    <cellStyle name="Normal 210 3 3 2" xfId="17934" xr:uid="{00000000-0005-0000-0000-00000E450000}"/>
    <cellStyle name="Normal 210 3 3 2 2" xfId="17935" xr:uid="{00000000-0005-0000-0000-00000F450000}"/>
    <cellStyle name="Normal 210 3 3 3" xfId="17936" xr:uid="{00000000-0005-0000-0000-000010450000}"/>
    <cellStyle name="Normal 210 3 4" xfId="17937" xr:uid="{00000000-0005-0000-0000-000011450000}"/>
    <cellStyle name="Normal 210 3 4 2" xfId="17938" xr:uid="{00000000-0005-0000-0000-000012450000}"/>
    <cellStyle name="Normal 210 3 4 2 2" xfId="17939" xr:uid="{00000000-0005-0000-0000-000013450000}"/>
    <cellStyle name="Normal 210 3 4 3" xfId="17940" xr:uid="{00000000-0005-0000-0000-000014450000}"/>
    <cellStyle name="Normal 210 3 5" xfId="17941" xr:uid="{00000000-0005-0000-0000-000015450000}"/>
    <cellStyle name="Normal 210 3 5 2" xfId="17942" xr:uid="{00000000-0005-0000-0000-000016450000}"/>
    <cellStyle name="Normal 210 3 5 2 2" xfId="17943" xr:uid="{00000000-0005-0000-0000-000017450000}"/>
    <cellStyle name="Normal 210 3 5 3" xfId="17944" xr:uid="{00000000-0005-0000-0000-000018450000}"/>
    <cellStyle name="Normal 210 3 6" xfId="17945" xr:uid="{00000000-0005-0000-0000-000019450000}"/>
    <cellStyle name="Normal 210 4" xfId="17946" xr:uid="{00000000-0005-0000-0000-00001A450000}"/>
    <cellStyle name="Normal 210 4 2" xfId="17947" xr:uid="{00000000-0005-0000-0000-00001B450000}"/>
    <cellStyle name="Normal 210 4 2 2" xfId="17948" xr:uid="{00000000-0005-0000-0000-00001C450000}"/>
    <cellStyle name="Normal 210 4 3" xfId="17949" xr:uid="{00000000-0005-0000-0000-00001D450000}"/>
    <cellStyle name="Normal 210 5" xfId="17950" xr:uid="{00000000-0005-0000-0000-00001E450000}"/>
    <cellStyle name="Normal 210 5 2" xfId="17951" xr:uid="{00000000-0005-0000-0000-00001F450000}"/>
    <cellStyle name="Normal 210 5 2 2" xfId="17952" xr:uid="{00000000-0005-0000-0000-000020450000}"/>
    <cellStyle name="Normal 210 5 3" xfId="17953" xr:uid="{00000000-0005-0000-0000-000021450000}"/>
    <cellStyle name="Normal 210 6" xfId="17954" xr:uid="{00000000-0005-0000-0000-000022450000}"/>
    <cellStyle name="Normal 210 6 2" xfId="17955" xr:uid="{00000000-0005-0000-0000-000023450000}"/>
    <cellStyle name="Normal 210 6 2 2" xfId="17956" xr:uid="{00000000-0005-0000-0000-000024450000}"/>
    <cellStyle name="Normal 210 6 3" xfId="17957" xr:uid="{00000000-0005-0000-0000-000025450000}"/>
    <cellStyle name="Normal 210 7" xfId="17958" xr:uid="{00000000-0005-0000-0000-000026450000}"/>
    <cellStyle name="Normal 211" xfId="17959" xr:uid="{00000000-0005-0000-0000-000027450000}"/>
    <cellStyle name="Normal 211 2" xfId="17960" xr:uid="{00000000-0005-0000-0000-000028450000}"/>
    <cellStyle name="Normal 211 2 2" xfId="17961" xr:uid="{00000000-0005-0000-0000-000029450000}"/>
    <cellStyle name="Normal 211 2 2 2" xfId="17962" xr:uid="{00000000-0005-0000-0000-00002A450000}"/>
    <cellStyle name="Normal 211 2 3" xfId="17963" xr:uid="{00000000-0005-0000-0000-00002B450000}"/>
    <cellStyle name="Normal 211 2 3 2" xfId="17964" xr:uid="{00000000-0005-0000-0000-00002C450000}"/>
    <cellStyle name="Normal 211 2 3 2 2" xfId="17965" xr:uid="{00000000-0005-0000-0000-00002D450000}"/>
    <cellStyle name="Normal 211 2 3 3" xfId="17966" xr:uid="{00000000-0005-0000-0000-00002E450000}"/>
    <cellStyle name="Normal 211 2 4" xfId="17967" xr:uid="{00000000-0005-0000-0000-00002F450000}"/>
    <cellStyle name="Normal 211 2 4 2" xfId="17968" xr:uid="{00000000-0005-0000-0000-000030450000}"/>
    <cellStyle name="Normal 211 2 4 2 2" xfId="17969" xr:uid="{00000000-0005-0000-0000-000031450000}"/>
    <cellStyle name="Normal 211 2 4 3" xfId="17970" xr:uid="{00000000-0005-0000-0000-000032450000}"/>
    <cellStyle name="Normal 211 2 5" xfId="17971" xr:uid="{00000000-0005-0000-0000-000033450000}"/>
    <cellStyle name="Normal 211 3" xfId="17972" xr:uid="{00000000-0005-0000-0000-000034450000}"/>
    <cellStyle name="Normal 211 3 2" xfId="17973" xr:uid="{00000000-0005-0000-0000-000035450000}"/>
    <cellStyle name="Normal 211 3 2 2" xfId="17974" xr:uid="{00000000-0005-0000-0000-000036450000}"/>
    <cellStyle name="Normal 211 3 2 2 2" xfId="17975" xr:uid="{00000000-0005-0000-0000-000037450000}"/>
    <cellStyle name="Normal 211 3 2 3" xfId="17976" xr:uid="{00000000-0005-0000-0000-000038450000}"/>
    <cellStyle name="Normal 211 3 2 3 2" xfId="17977" xr:uid="{00000000-0005-0000-0000-000039450000}"/>
    <cellStyle name="Normal 211 3 2 3 2 2" xfId="17978" xr:uid="{00000000-0005-0000-0000-00003A450000}"/>
    <cellStyle name="Normal 211 3 2 3 3" xfId="17979" xr:uid="{00000000-0005-0000-0000-00003B450000}"/>
    <cellStyle name="Normal 211 3 2 4" xfId="17980" xr:uid="{00000000-0005-0000-0000-00003C450000}"/>
    <cellStyle name="Normal 211 3 3" xfId="17981" xr:uid="{00000000-0005-0000-0000-00003D450000}"/>
    <cellStyle name="Normal 211 3 3 2" xfId="17982" xr:uid="{00000000-0005-0000-0000-00003E450000}"/>
    <cellStyle name="Normal 211 3 3 2 2" xfId="17983" xr:uid="{00000000-0005-0000-0000-00003F450000}"/>
    <cellStyle name="Normal 211 3 3 3" xfId="17984" xr:uid="{00000000-0005-0000-0000-000040450000}"/>
    <cellStyle name="Normal 211 3 4" xfId="17985" xr:uid="{00000000-0005-0000-0000-000041450000}"/>
    <cellStyle name="Normal 211 3 4 2" xfId="17986" xr:uid="{00000000-0005-0000-0000-000042450000}"/>
    <cellStyle name="Normal 211 3 4 2 2" xfId="17987" xr:uid="{00000000-0005-0000-0000-000043450000}"/>
    <cellStyle name="Normal 211 3 4 3" xfId="17988" xr:uid="{00000000-0005-0000-0000-000044450000}"/>
    <cellStyle name="Normal 211 3 5" xfId="17989" xr:uid="{00000000-0005-0000-0000-000045450000}"/>
    <cellStyle name="Normal 211 3 5 2" xfId="17990" xr:uid="{00000000-0005-0000-0000-000046450000}"/>
    <cellStyle name="Normal 211 3 5 2 2" xfId="17991" xr:uid="{00000000-0005-0000-0000-000047450000}"/>
    <cellStyle name="Normal 211 3 5 3" xfId="17992" xr:uid="{00000000-0005-0000-0000-000048450000}"/>
    <cellStyle name="Normal 211 3 6" xfId="17993" xr:uid="{00000000-0005-0000-0000-000049450000}"/>
    <cellStyle name="Normal 211 4" xfId="17994" xr:uid="{00000000-0005-0000-0000-00004A450000}"/>
    <cellStyle name="Normal 211 4 2" xfId="17995" xr:uid="{00000000-0005-0000-0000-00004B450000}"/>
    <cellStyle name="Normal 211 4 2 2" xfId="17996" xr:uid="{00000000-0005-0000-0000-00004C450000}"/>
    <cellStyle name="Normal 211 4 3" xfId="17997" xr:uid="{00000000-0005-0000-0000-00004D450000}"/>
    <cellStyle name="Normal 211 5" xfId="17998" xr:uid="{00000000-0005-0000-0000-00004E450000}"/>
    <cellStyle name="Normal 211 5 2" xfId="17999" xr:uid="{00000000-0005-0000-0000-00004F450000}"/>
    <cellStyle name="Normal 211 5 2 2" xfId="18000" xr:uid="{00000000-0005-0000-0000-000050450000}"/>
    <cellStyle name="Normal 211 5 3" xfId="18001" xr:uid="{00000000-0005-0000-0000-000051450000}"/>
    <cellStyle name="Normal 211 6" xfId="18002" xr:uid="{00000000-0005-0000-0000-000052450000}"/>
    <cellStyle name="Normal 211 6 2" xfId="18003" xr:uid="{00000000-0005-0000-0000-000053450000}"/>
    <cellStyle name="Normal 211 6 2 2" xfId="18004" xr:uid="{00000000-0005-0000-0000-000054450000}"/>
    <cellStyle name="Normal 211 6 3" xfId="18005" xr:uid="{00000000-0005-0000-0000-000055450000}"/>
    <cellStyle name="Normal 211 7" xfId="18006" xr:uid="{00000000-0005-0000-0000-000056450000}"/>
    <cellStyle name="Normal 212" xfId="18007" xr:uid="{00000000-0005-0000-0000-000057450000}"/>
    <cellStyle name="Normal 212 2" xfId="18008" xr:uid="{00000000-0005-0000-0000-000058450000}"/>
    <cellStyle name="Normal 212 2 2" xfId="18009" xr:uid="{00000000-0005-0000-0000-000059450000}"/>
    <cellStyle name="Normal 212 2 2 2" xfId="18010" xr:uid="{00000000-0005-0000-0000-00005A450000}"/>
    <cellStyle name="Normal 212 2 3" xfId="18011" xr:uid="{00000000-0005-0000-0000-00005B450000}"/>
    <cellStyle name="Normal 212 2 3 2" xfId="18012" xr:uid="{00000000-0005-0000-0000-00005C450000}"/>
    <cellStyle name="Normal 212 2 3 2 2" xfId="18013" xr:uid="{00000000-0005-0000-0000-00005D450000}"/>
    <cellStyle name="Normal 212 2 3 3" xfId="18014" xr:uid="{00000000-0005-0000-0000-00005E450000}"/>
    <cellStyle name="Normal 212 2 4" xfId="18015" xr:uid="{00000000-0005-0000-0000-00005F450000}"/>
    <cellStyle name="Normal 212 2 4 2" xfId="18016" xr:uid="{00000000-0005-0000-0000-000060450000}"/>
    <cellStyle name="Normal 212 2 4 2 2" xfId="18017" xr:uid="{00000000-0005-0000-0000-000061450000}"/>
    <cellStyle name="Normal 212 2 4 3" xfId="18018" xr:uid="{00000000-0005-0000-0000-000062450000}"/>
    <cellStyle name="Normal 212 2 5" xfId="18019" xr:uid="{00000000-0005-0000-0000-000063450000}"/>
    <cellStyle name="Normal 212 3" xfId="18020" xr:uid="{00000000-0005-0000-0000-000064450000}"/>
    <cellStyle name="Normal 212 3 2" xfId="18021" xr:uid="{00000000-0005-0000-0000-000065450000}"/>
    <cellStyle name="Normal 212 3 2 2" xfId="18022" xr:uid="{00000000-0005-0000-0000-000066450000}"/>
    <cellStyle name="Normal 212 3 2 2 2" xfId="18023" xr:uid="{00000000-0005-0000-0000-000067450000}"/>
    <cellStyle name="Normal 212 3 2 3" xfId="18024" xr:uid="{00000000-0005-0000-0000-000068450000}"/>
    <cellStyle name="Normal 212 3 2 3 2" xfId="18025" xr:uid="{00000000-0005-0000-0000-000069450000}"/>
    <cellStyle name="Normal 212 3 2 3 2 2" xfId="18026" xr:uid="{00000000-0005-0000-0000-00006A450000}"/>
    <cellStyle name="Normal 212 3 2 3 3" xfId="18027" xr:uid="{00000000-0005-0000-0000-00006B450000}"/>
    <cellStyle name="Normal 212 3 2 4" xfId="18028" xr:uid="{00000000-0005-0000-0000-00006C450000}"/>
    <cellStyle name="Normal 212 3 3" xfId="18029" xr:uid="{00000000-0005-0000-0000-00006D450000}"/>
    <cellStyle name="Normal 212 3 3 2" xfId="18030" xr:uid="{00000000-0005-0000-0000-00006E450000}"/>
    <cellStyle name="Normal 212 3 3 2 2" xfId="18031" xr:uid="{00000000-0005-0000-0000-00006F450000}"/>
    <cellStyle name="Normal 212 3 3 3" xfId="18032" xr:uid="{00000000-0005-0000-0000-000070450000}"/>
    <cellStyle name="Normal 212 3 4" xfId="18033" xr:uid="{00000000-0005-0000-0000-000071450000}"/>
    <cellStyle name="Normal 212 3 4 2" xfId="18034" xr:uid="{00000000-0005-0000-0000-000072450000}"/>
    <cellStyle name="Normal 212 3 4 2 2" xfId="18035" xr:uid="{00000000-0005-0000-0000-000073450000}"/>
    <cellStyle name="Normal 212 3 4 3" xfId="18036" xr:uid="{00000000-0005-0000-0000-000074450000}"/>
    <cellStyle name="Normal 212 3 5" xfId="18037" xr:uid="{00000000-0005-0000-0000-000075450000}"/>
    <cellStyle name="Normal 212 3 5 2" xfId="18038" xr:uid="{00000000-0005-0000-0000-000076450000}"/>
    <cellStyle name="Normal 212 3 5 2 2" xfId="18039" xr:uid="{00000000-0005-0000-0000-000077450000}"/>
    <cellStyle name="Normal 212 3 5 3" xfId="18040" xr:uid="{00000000-0005-0000-0000-000078450000}"/>
    <cellStyle name="Normal 212 3 6" xfId="18041" xr:uid="{00000000-0005-0000-0000-000079450000}"/>
    <cellStyle name="Normal 212 4" xfId="18042" xr:uid="{00000000-0005-0000-0000-00007A450000}"/>
    <cellStyle name="Normal 212 4 2" xfId="18043" xr:uid="{00000000-0005-0000-0000-00007B450000}"/>
    <cellStyle name="Normal 212 4 2 2" xfId="18044" xr:uid="{00000000-0005-0000-0000-00007C450000}"/>
    <cellStyle name="Normal 212 4 3" xfId="18045" xr:uid="{00000000-0005-0000-0000-00007D450000}"/>
    <cellStyle name="Normal 212 5" xfId="18046" xr:uid="{00000000-0005-0000-0000-00007E450000}"/>
    <cellStyle name="Normal 212 5 2" xfId="18047" xr:uid="{00000000-0005-0000-0000-00007F450000}"/>
    <cellStyle name="Normal 212 5 2 2" xfId="18048" xr:uid="{00000000-0005-0000-0000-000080450000}"/>
    <cellStyle name="Normal 212 5 3" xfId="18049" xr:uid="{00000000-0005-0000-0000-000081450000}"/>
    <cellStyle name="Normal 212 6" xfId="18050" xr:uid="{00000000-0005-0000-0000-000082450000}"/>
    <cellStyle name="Normal 212 6 2" xfId="18051" xr:uid="{00000000-0005-0000-0000-000083450000}"/>
    <cellStyle name="Normal 212 6 2 2" xfId="18052" xr:uid="{00000000-0005-0000-0000-000084450000}"/>
    <cellStyle name="Normal 212 6 3" xfId="18053" xr:uid="{00000000-0005-0000-0000-000085450000}"/>
    <cellStyle name="Normal 212 7" xfId="18054" xr:uid="{00000000-0005-0000-0000-000086450000}"/>
    <cellStyle name="Normal 213" xfId="18055" xr:uid="{00000000-0005-0000-0000-000087450000}"/>
    <cellStyle name="Normal 213 2" xfId="18056" xr:uid="{00000000-0005-0000-0000-000088450000}"/>
    <cellStyle name="Normal 213 2 2" xfId="18057" xr:uid="{00000000-0005-0000-0000-000089450000}"/>
    <cellStyle name="Normal 213 2 2 2" xfId="18058" xr:uid="{00000000-0005-0000-0000-00008A450000}"/>
    <cellStyle name="Normal 213 2 3" xfId="18059" xr:uid="{00000000-0005-0000-0000-00008B450000}"/>
    <cellStyle name="Normal 213 2 3 2" xfId="18060" xr:uid="{00000000-0005-0000-0000-00008C450000}"/>
    <cellStyle name="Normal 213 2 3 2 2" xfId="18061" xr:uid="{00000000-0005-0000-0000-00008D450000}"/>
    <cellStyle name="Normal 213 2 3 3" xfId="18062" xr:uid="{00000000-0005-0000-0000-00008E450000}"/>
    <cellStyle name="Normal 213 2 4" xfId="18063" xr:uid="{00000000-0005-0000-0000-00008F450000}"/>
    <cellStyle name="Normal 213 2 4 2" xfId="18064" xr:uid="{00000000-0005-0000-0000-000090450000}"/>
    <cellStyle name="Normal 213 2 4 2 2" xfId="18065" xr:uid="{00000000-0005-0000-0000-000091450000}"/>
    <cellStyle name="Normal 213 2 4 3" xfId="18066" xr:uid="{00000000-0005-0000-0000-000092450000}"/>
    <cellStyle name="Normal 213 2 5" xfId="18067" xr:uid="{00000000-0005-0000-0000-000093450000}"/>
    <cellStyle name="Normal 213 3" xfId="18068" xr:uid="{00000000-0005-0000-0000-000094450000}"/>
    <cellStyle name="Normal 213 3 2" xfId="18069" xr:uid="{00000000-0005-0000-0000-000095450000}"/>
    <cellStyle name="Normal 213 3 2 2" xfId="18070" xr:uid="{00000000-0005-0000-0000-000096450000}"/>
    <cellStyle name="Normal 213 3 2 2 2" xfId="18071" xr:uid="{00000000-0005-0000-0000-000097450000}"/>
    <cellStyle name="Normal 213 3 2 3" xfId="18072" xr:uid="{00000000-0005-0000-0000-000098450000}"/>
    <cellStyle name="Normal 213 3 2 3 2" xfId="18073" xr:uid="{00000000-0005-0000-0000-000099450000}"/>
    <cellStyle name="Normal 213 3 2 3 2 2" xfId="18074" xr:uid="{00000000-0005-0000-0000-00009A450000}"/>
    <cellStyle name="Normal 213 3 2 3 3" xfId="18075" xr:uid="{00000000-0005-0000-0000-00009B450000}"/>
    <cellStyle name="Normal 213 3 2 4" xfId="18076" xr:uid="{00000000-0005-0000-0000-00009C450000}"/>
    <cellStyle name="Normal 213 3 3" xfId="18077" xr:uid="{00000000-0005-0000-0000-00009D450000}"/>
    <cellStyle name="Normal 213 3 3 2" xfId="18078" xr:uid="{00000000-0005-0000-0000-00009E450000}"/>
    <cellStyle name="Normal 213 3 3 2 2" xfId="18079" xr:uid="{00000000-0005-0000-0000-00009F450000}"/>
    <cellStyle name="Normal 213 3 3 3" xfId="18080" xr:uid="{00000000-0005-0000-0000-0000A0450000}"/>
    <cellStyle name="Normal 213 3 4" xfId="18081" xr:uid="{00000000-0005-0000-0000-0000A1450000}"/>
    <cellStyle name="Normal 213 3 4 2" xfId="18082" xr:uid="{00000000-0005-0000-0000-0000A2450000}"/>
    <cellStyle name="Normal 213 3 4 2 2" xfId="18083" xr:uid="{00000000-0005-0000-0000-0000A3450000}"/>
    <cellStyle name="Normal 213 3 4 3" xfId="18084" xr:uid="{00000000-0005-0000-0000-0000A4450000}"/>
    <cellStyle name="Normal 213 3 5" xfId="18085" xr:uid="{00000000-0005-0000-0000-0000A5450000}"/>
    <cellStyle name="Normal 213 3 5 2" xfId="18086" xr:uid="{00000000-0005-0000-0000-0000A6450000}"/>
    <cellStyle name="Normal 213 3 5 2 2" xfId="18087" xr:uid="{00000000-0005-0000-0000-0000A7450000}"/>
    <cellStyle name="Normal 213 3 5 3" xfId="18088" xr:uid="{00000000-0005-0000-0000-0000A8450000}"/>
    <cellStyle name="Normal 213 3 6" xfId="18089" xr:uid="{00000000-0005-0000-0000-0000A9450000}"/>
    <cellStyle name="Normal 213 4" xfId="18090" xr:uid="{00000000-0005-0000-0000-0000AA450000}"/>
    <cellStyle name="Normal 213 4 2" xfId="18091" xr:uid="{00000000-0005-0000-0000-0000AB450000}"/>
    <cellStyle name="Normal 213 4 2 2" xfId="18092" xr:uid="{00000000-0005-0000-0000-0000AC450000}"/>
    <cellStyle name="Normal 213 4 3" xfId="18093" xr:uid="{00000000-0005-0000-0000-0000AD450000}"/>
    <cellStyle name="Normal 213 5" xfId="18094" xr:uid="{00000000-0005-0000-0000-0000AE450000}"/>
    <cellStyle name="Normal 213 5 2" xfId="18095" xr:uid="{00000000-0005-0000-0000-0000AF450000}"/>
    <cellStyle name="Normal 213 5 2 2" xfId="18096" xr:uid="{00000000-0005-0000-0000-0000B0450000}"/>
    <cellStyle name="Normal 213 5 3" xfId="18097" xr:uid="{00000000-0005-0000-0000-0000B1450000}"/>
    <cellStyle name="Normal 213 6" xfId="18098" xr:uid="{00000000-0005-0000-0000-0000B2450000}"/>
    <cellStyle name="Normal 213 6 2" xfId="18099" xr:uid="{00000000-0005-0000-0000-0000B3450000}"/>
    <cellStyle name="Normal 213 6 2 2" xfId="18100" xr:uid="{00000000-0005-0000-0000-0000B4450000}"/>
    <cellStyle name="Normal 213 6 3" xfId="18101" xr:uid="{00000000-0005-0000-0000-0000B5450000}"/>
    <cellStyle name="Normal 213 7" xfId="18102" xr:uid="{00000000-0005-0000-0000-0000B6450000}"/>
    <cellStyle name="Normal 214" xfId="18103" xr:uid="{00000000-0005-0000-0000-0000B7450000}"/>
    <cellStyle name="Normal 214 2" xfId="18104" xr:uid="{00000000-0005-0000-0000-0000B8450000}"/>
    <cellStyle name="Normal 214 2 2" xfId="18105" xr:uid="{00000000-0005-0000-0000-0000B9450000}"/>
    <cellStyle name="Normal 214 2 2 2" xfId="18106" xr:uid="{00000000-0005-0000-0000-0000BA450000}"/>
    <cellStyle name="Normal 214 2 3" xfId="18107" xr:uid="{00000000-0005-0000-0000-0000BB450000}"/>
    <cellStyle name="Normal 214 2 3 2" xfId="18108" xr:uid="{00000000-0005-0000-0000-0000BC450000}"/>
    <cellStyle name="Normal 214 2 3 2 2" xfId="18109" xr:uid="{00000000-0005-0000-0000-0000BD450000}"/>
    <cellStyle name="Normal 214 2 3 3" xfId="18110" xr:uid="{00000000-0005-0000-0000-0000BE450000}"/>
    <cellStyle name="Normal 214 2 4" xfId="18111" xr:uid="{00000000-0005-0000-0000-0000BF450000}"/>
    <cellStyle name="Normal 214 2 4 2" xfId="18112" xr:uid="{00000000-0005-0000-0000-0000C0450000}"/>
    <cellStyle name="Normal 214 2 4 2 2" xfId="18113" xr:uid="{00000000-0005-0000-0000-0000C1450000}"/>
    <cellStyle name="Normal 214 2 4 3" xfId="18114" xr:uid="{00000000-0005-0000-0000-0000C2450000}"/>
    <cellStyle name="Normal 214 2 5" xfId="18115" xr:uid="{00000000-0005-0000-0000-0000C3450000}"/>
    <cellStyle name="Normal 214 3" xfId="18116" xr:uid="{00000000-0005-0000-0000-0000C4450000}"/>
    <cellStyle name="Normal 214 3 2" xfId="18117" xr:uid="{00000000-0005-0000-0000-0000C5450000}"/>
    <cellStyle name="Normal 214 3 2 2" xfId="18118" xr:uid="{00000000-0005-0000-0000-0000C6450000}"/>
    <cellStyle name="Normal 214 3 2 2 2" xfId="18119" xr:uid="{00000000-0005-0000-0000-0000C7450000}"/>
    <cellStyle name="Normal 214 3 2 3" xfId="18120" xr:uid="{00000000-0005-0000-0000-0000C8450000}"/>
    <cellStyle name="Normal 214 3 2 3 2" xfId="18121" xr:uid="{00000000-0005-0000-0000-0000C9450000}"/>
    <cellStyle name="Normal 214 3 2 3 2 2" xfId="18122" xr:uid="{00000000-0005-0000-0000-0000CA450000}"/>
    <cellStyle name="Normal 214 3 2 3 3" xfId="18123" xr:uid="{00000000-0005-0000-0000-0000CB450000}"/>
    <cellStyle name="Normal 214 3 2 4" xfId="18124" xr:uid="{00000000-0005-0000-0000-0000CC450000}"/>
    <cellStyle name="Normal 214 3 3" xfId="18125" xr:uid="{00000000-0005-0000-0000-0000CD450000}"/>
    <cellStyle name="Normal 214 3 3 2" xfId="18126" xr:uid="{00000000-0005-0000-0000-0000CE450000}"/>
    <cellStyle name="Normal 214 3 3 2 2" xfId="18127" xr:uid="{00000000-0005-0000-0000-0000CF450000}"/>
    <cellStyle name="Normal 214 3 3 3" xfId="18128" xr:uid="{00000000-0005-0000-0000-0000D0450000}"/>
    <cellStyle name="Normal 214 3 4" xfId="18129" xr:uid="{00000000-0005-0000-0000-0000D1450000}"/>
    <cellStyle name="Normal 214 3 4 2" xfId="18130" xr:uid="{00000000-0005-0000-0000-0000D2450000}"/>
    <cellStyle name="Normal 214 3 4 2 2" xfId="18131" xr:uid="{00000000-0005-0000-0000-0000D3450000}"/>
    <cellStyle name="Normal 214 3 4 3" xfId="18132" xr:uid="{00000000-0005-0000-0000-0000D4450000}"/>
    <cellStyle name="Normal 214 3 5" xfId="18133" xr:uid="{00000000-0005-0000-0000-0000D5450000}"/>
    <cellStyle name="Normal 214 3 5 2" xfId="18134" xr:uid="{00000000-0005-0000-0000-0000D6450000}"/>
    <cellStyle name="Normal 214 3 5 2 2" xfId="18135" xr:uid="{00000000-0005-0000-0000-0000D7450000}"/>
    <cellStyle name="Normal 214 3 5 3" xfId="18136" xr:uid="{00000000-0005-0000-0000-0000D8450000}"/>
    <cellStyle name="Normal 214 3 6" xfId="18137" xr:uid="{00000000-0005-0000-0000-0000D9450000}"/>
    <cellStyle name="Normal 214 4" xfId="18138" xr:uid="{00000000-0005-0000-0000-0000DA450000}"/>
    <cellStyle name="Normal 214 4 2" xfId="18139" xr:uid="{00000000-0005-0000-0000-0000DB450000}"/>
    <cellStyle name="Normal 214 4 2 2" xfId="18140" xr:uid="{00000000-0005-0000-0000-0000DC450000}"/>
    <cellStyle name="Normal 214 4 3" xfId="18141" xr:uid="{00000000-0005-0000-0000-0000DD450000}"/>
    <cellStyle name="Normal 214 5" xfId="18142" xr:uid="{00000000-0005-0000-0000-0000DE450000}"/>
    <cellStyle name="Normal 214 5 2" xfId="18143" xr:uid="{00000000-0005-0000-0000-0000DF450000}"/>
    <cellStyle name="Normal 214 5 2 2" xfId="18144" xr:uid="{00000000-0005-0000-0000-0000E0450000}"/>
    <cellStyle name="Normal 214 5 3" xfId="18145" xr:uid="{00000000-0005-0000-0000-0000E1450000}"/>
    <cellStyle name="Normal 214 6" xfId="18146" xr:uid="{00000000-0005-0000-0000-0000E2450000}"/>
    <cellStyle name="Normal 214 6 2" xfId="18147" xr:uid="{00000000-0005-0000-0000-0000E3450000}"/>
    <cellStyle name="Normal 214 6 2 2" xfId="18148" xr:uid="{00000000-0005-0000-0000-0000E4450000}"/>
    <cellStyle name="Normal 214 6 3" xfId="18149" xr:uid="{00000000-0005-0000-0000-0000E5450000}"/>
    <cellStyle name="Normal 214 7" xfId="18150" xr:uid="{00000000-0005-0000-0000-0000E6450000}"/>
    <cellStyle name="Normal 215" xfId="18151" xr:uid="{00000000-0005-0000-0000-0000E7450000}"/>
    <cellStyle name="Normal 215 2" xfId="18152" xr:uid="{00000000-0005-0000-0000-0000E8450000}"/>
    <cellStyle name="Normal 215 2 2" xfId="18153" xr:uid="{00000000-0005-0000-0000-0000E9450000}"/>
    <cellStyle name="Normal 215 2 2 2" xfId="18154" xr:uid="{00000000-0005-0000-0000-0000EA450000}"/>
    <cellStyle name="Normal 215 2 3" xfId="18155" xr:uid="{00000000-0005-0000-0000-0000EB450000}"/>
    <cellStyle name="Normal 215 2 3 2" xfId="18156" xr:uid="{00000000-0005-0000-0000-0000EC450000}"/>
    <cellStyle name="Normal 215 2 3 2 2" xfId="18157" xr:uid="{00000000-0005-0000-0000-0000ED450000}"/>
    <cellStyle name="Normal 215 2 3 3" xfId="18158" xr:uid="{00000000-0005-0000-0000-0000EE450000}"/>
    <cellStyle name="Normal 215 2 4" xfId="18159" xr:uid="{00000000-0005-0000-0000-0000EF450000}"/>
    <cellStyle name="Normal 215 2 4 2" xfId="18160" xr:uid="{00000000-0005-0000-0000-0000F0450000}"/>
    <cellStyle name="Normal 215 2 4 2 2" xfId="18161" xr:uid="{00000000-0005-0000-0000-0000F1450000}"/>
    <cellStyle name="Normal 215 2 4 3" xfId="18162" xr:uid="{00000000-0005-0000-0000-0000F2450000}"/>
    <cellStyle name="Normal 215 2 5" xfId="18163" xr:uid="{00000000-0005-0000-0000-0000F3450000}"/>
    <cellStyle name="Normal 215 3" xfId="18164" xr:uid="{00000000-0005-0000-0000-0000F4450000}"/>
    <cellStyle name="Normal 215 3 2" xfId="18165" xr:uid="{00000000-0005-0000-0000-0000F5450000}"/>
    <cellStyle name="Normal 215 3 2 2" xfId="18166" xr:uid="{00000000-0005-0000-0000-0000F6450000}"/>
    <cellStyle name="Normal 215 3 2 2 2" xfId="18167" xr:uid="{00000000-0005-0000-0000-0000F7450000}"/>
    <cellStyle name="Normal 215 3 2 3" xfId="18168" xr:uid="{00000000-0005-0000-0000-0000F8450000}"/>
    <cellStyle name="Normal 215 3 2 3 2" xfId="18169" xr:uid="{00000000-0005-0000-0000-0000F9450000}"/>
    <cellStyle name="Normal 215 3 2 3 2 2" xfId="18170" xr:uid="{00000000-0005-0000-0000-0000FA450000}"/>
    <cellStyle name="Normal 215 3 2 3 3" xfId="18171" xr:uid="{00000000-0005-0000-0000-0000FB450000}"/>
    <cellStyle name="Normal 215 3 2 4" xfId="18172" xr:uid="{00000000-0005-0000-0000-0000FC450000}"/>
    <cellStyle name="Normal 215 3 3" xfId="18173" xr:uid="{00000000-0005-0000-0000-0000FD450000}"/>
    <cellStyle name="Normal 215 3 3 2" xfId="18174" xr:uid="{00000000-0005-0000-0000-0000FE450000}"/>
    <cellStyle name="Normal 215 3 3 2 2" xfId="18175" xr:uid="{00000000-0005-0000-0000-0000FF450000}"/>
    <cellStyle name="Normal 215 3 3 3" xfId="18176" xr:uid="{00000000-0005-0000-0000-000000460000}"/>
    <cellStyle name="Normal 215 3 4" xfId="18177" xr:uid="{00000000-0005-0000-0000-000001460000}"/>
    <cellStyle name="Normal 215 3 4 2" xfId="18178" xr:uid="{00000000-0005-0000-0000-000002460000}"/>
    <cellStyle name="Normal 215 3 4 2 2" xfId="18179" xr:uid="{00000000-0005-0000-0000-000003460000}"/>
    <cellStyle name="Normal 215 3 4 3" xfId="18180" xr:uid="{00000000-0005-0000-0000-000004460000}"/>
    <cellStyle name="Normal 215 3 5" xfId="18181" xr:uid="{00000000-0005-0000-0000-000005460000}"/>
    <cellStyle name="Normal 215 3 5 2" xfId="18182" xr:uid="{00000000-0005-0000-0000-000006460000}"/>
    <cellStyle name="Normal 215 3 5 2 2" xfId="18183" xr:uid="{00000000-0005-0000-0000-000007460000}"/>
    <cellStyle name="Normal 215 3 5 3" xfId="18184" xr:uid="{00000000-0005-0000-0000-000008460000}"/>
    <cellStyle name="Normal 215 3 6" xfId="18185" xr:uid="{00000000-0005-0000-0000-000009460000}"/>
    <cellStyle name="Normal 215 4" xfId="18186" xr:uid="{00000000-0005-0000-0000-00000A460000}"/>
    <cellStyle name="Normal 215 4 2" xfId="18187" xr:uid="{00000000-0005-0000-0000-00000B460000}"/>
    <cellStyle name="Normal 215 4 2 2" xfId="18188" xr:uid="{00000000-0005-0000-0000-00000C460000}"/>
    <cellStyle name="Normal 215 4 3" xfId="18189" xr:uid="{00000000-0005-0000-0000-00000D460000}"/>
    <cellStyle name="Normal 215 5" xfId="18190" xr:uid="{00000000-0005-0000-0000-00000E460000}"/>
    <cellStyle name="Normal 215 5 2" xfId="18191" xr:uid="{00000000-0005-0000-0000-00000F460000}"/>
    <cellStyle name="Normal 215 5 2 2" xfId="18192" xr:uid="{00000000-0005-0000-0000-000010460000}"/>
    <cellStyle name="Normal 215 5 3" xfId="18193" xr:uid="{00000000-0005-0000-0000-000011460000}"/>
    <cellStyle name="Normal 215 6" xfId="18194" xr:uid="{00000000-0005-0000-0000-000012460000}"/>
    <cellStyle name="Normal 215 6 2" xfId="18195" xr:uid="{00000000-0005-0000-0000-000013460000}"/>
    <cellStyle name="Normal 215 6 2 2" xfId="18196" xr:uid="{00000000-0005-0000-0000-000014460000}"/>
    <cellStyle name="Normal 215 6 3" xfId="18197" xr:uid="{00000000-0005-0000-0000-000015460000}"/>
    <cellStyle name="Normal 215 7" xfId="18198" xr:uid="{00000000-0005-0000-0000-000016460000}"/>
    <cellStyle name="Normal 216" xfId="18199" xr:uid="{00000000-0005-0000-0000-000017460000}"/>
    <cellStyle name="Normal 216 2" xfId="18200" xr:uid="{00000000-0005-0000-0000-000018460000}"/>
    <cellStyle name="Normal 216 2 2" xfId="18201" xr:uid="{00000000-0005-0000-0000-000019460000}"/>
    <cellStyle name="Normal 216 2 2 2" xfId="18202" xr:uid="{00000000-0005-0000-0000-00001A460000}"/>
    <cellStyle name="Normal 216 2 3" xfId="18203" xr:uid="{00000000-0005-0000-0000-00001B460000}"/>
    <cellStyle name="Normal 216 2 3 2" xfId="18204" xr:uid="{00000000-0005-0000-0000-00001C460000}"/>
    <cellStyle name="Normal 216 2 3 2 2" xfId="18205" xr:uid="{00000000-0005-0000-0000-00001D460000}"/>
    <cellStyle name="Normal 216 2 3 3" xfId="18206" xr:uid="{00000000-0005-0000-0000-00001E460000}"/>
    <cellStyle name="Normal 216 2 4" xfId="18207" xr:uid="{00000000-0005-0000-0000-00001F460000}"/>
    <cellStyle name="Normal 216 2 4 2" xfId="18208" xr:uid="{00000000-0005-0000-0000-000020460000}"/>
    <cellStyle name="Normal 216 2 4 2 2" xfId="18209" xr:uid="{00000000-0005-0000-0000-000021460000}"/>
    <cellStyle name="Normal 216 2 4 3" xfId="18210" xr:uid="{00000000-0005-0000-0000-000022460000}"/>
    <cellStyle name="Normal 216 2 5" xfId="18211" xr:uid="{00000000-0005-0000-0000-000023460000}"/>
    <cellStyle name="Normal 216 3" xfId="18212" xr:uid="{00000000-0005-0000-0000-000024460000}"/>
    <cellStyle name="Normal 216 3 2" xfId="18213" xr:uid="{00000000-0005-0000-0000-000025460000}"/>
    <cellStyle name="Normal 216 3 2 2" xfId="18214" xr:uid="{00000000-0005-0000-0000-000026460000}"/>
    <cellStyle name="Normal 216 3 2 2 2" xfId="18215" xr:uid="{00000000-0005-0000-0000-000027460000}"/>
    <cellStyle name="Normal 216 3 2 3" xfId="18216" xr:uid="{00000000-0005-0000-0000-000028460000}"/>
    <cellStyle name="Normal 216 3 2 3 2" xfId="18217" xr:uid="{00000000-0005-0000-0000-000029460000}"/>
    <cellStyle name="Normal 216 3 2 3 2 2" xfId="18218" xr:uid="{00000000-0005-0000-0000-00002A460000}"/>
    <cellStyle name="Normal 216 3 2 3 3" xfId="18219" xr:uid="{00000000-0005-0000-0000-00002B460000}"/>
    <cellStyle name="Normal 216 3 2 4" xfId="18220" xr:uid="{00000000-0005-0000-0000-00002C460000}"/>
    <cellStyle name="Normal 216 3 3" xfId="18221" xr:uid="{00000000-0005-0000-0000-00002D460000}"/>
    <cellStyle name="Normal 216 3 3 2" xfId="18222" xr:uid="{00000000-0005-0000-0000-00002E460000}"/>
    <cellStyle name="Normal 216 3 3 2 2" xfId="18223" xr:uid="{00000000-0005-0000-0000-00002F460000}"/>
    <cellStyle name="Normal 216 3 3 3" xfId="18224" xr:uid="{00000000-0005-0000-0000-000030460000}"/>
    <cellStyle name="Normal 216 3 4" xfId="18225" xr:uid="{00000000-0005-0000-0000-000031460000}"/>
    <cellStyle name="Normal 216 3 4 2" xfId="18226" xr:uid="{00000000-0005-0000-0000-000032460000}"/>
    <cellStyle name="Normal 216 3 4 2 2" xfId="18227" xr:uid="{00000000-0005-0000-0000-000033460000}"/>
    <cellStyle name="Normal 216 3 4 3" xfId="18228" xr:uid="{00000000-0005-0000-0000-000034460000}"/>
    <cellStyle name="Normal 216 3 5" xfId="18229" xr:uid="{00000000-0005-0000-0000-000035460000}"/>
    <cellStyle name="Normal 216 3 5 2" xfId="18230" xr:uid="{00000000-0005-0000-0000-000036460000}"/>
    <cellStyle name="Normal 216 3 5 2 2" xfId="18231" xr:uid="{00000000-0005-0000-0000-000037460000}"/>
    <cellStyle name="Normal 216 3 5 3" xfId="18232" xr:uid="{00000000-0005-0000-0000-000038460000}"/>
    <cellStyle name="Normal 216 3 6" xfId="18233" xr:uid="{00000000-0005-0000-0000-000039460000}"/>
    <cellStyle name="Normal 216 4" xfId="18234" xr:uid="{00000000-0005-0000-0000-00003A460000}"/>
    <cellStyle name="Normal 216 4 2" xfId="18235" xr:uid="{00000000-0005-0000-0000-00003B460000}"/>
    <cellStyle name="Normal 216 4 2 2" xfId="18236" xr:uid="{00000000-0005-0000-0000-00003C460000}"/>
    <cellStyle name="Normal 216 4 3" xfId="18237" xr:uid="{00000000-0005-0000-0000-00003D460000}"/>
    <cellStyle name="Normal 216 5" xfId="18238" xr:uid="{00000000-0005-0000-0000-00003E460000}"/>
    <cellStyle name="Normal 216 5 2" xfId="18239" xr:uid="{00000000-0005-0000-0000-00003F460000}"/>
    <cellStyle name="Normal 216 5 2 2" xfId="18240" xr:uid="{00000000-0005-0000-0000-000040460000}"/>
    <cellStyle name="Normal 216 5 3" xfId="18241" xr:uid="{00000000-0005-0000-0000-000041460000}"/>
    <cellStyle name="Normal 216 6" xfId="18242" xr:uid="{00000000-0005-0000-0000-000042460000}"/>
    <cellStyle name="Normal 216 6 2" xfId="18243" xr:uid="{00000000-0005-0000-0000-000043460000}"/>
    <cellStyle name="Normal 216 6 2 2" xfId="18244" xr:uid="{00000000-0005-0000-0000-000044460000}"/>
    <cellStyle name="Normal 216 6 3" xfId="18245" xr:uid="{00000000-0005-0000-0000-000045460000}"/>
    <cellStyle name="Normal 216 7" xfId="18246" xr:uid="{00000000-0005-0000-0000-000046460000}"/>
    <cellStyle name="Normal 217" xfId="18247" xr:uid="{00000000-0005-0000-0000-000047460000}"/>
    <cellStyle name="Normal 217 2" xfId="18248" xr:uid="{00000000-0005-0000-0000-000048460000}"/>
    <cellStyle name="Normal 217 2 2" xfId="18249" xr:uid="{00000000-0005-0000-0000-000049460000}"/>
    <cellStyle name="Normal 217 2 2 2" xfId="18250" xr:uid="{00000000-0005-0000-0000-00004A460000}"/>
    <cellStyle name="Normal 217 2 2 2 2" xfId="18251" xr:uid="{00000000-0005-0000-0000-00004B460000}"/>
    <cellStyle name="Normal 217 2 2 3" xfId="18252" xr:uid="{00000000-0005-0000-0000-00004C460000}"/>
    <cellStyle name="Normal 217 2 2 3 2" xfId="18253" xr:uid="{00000000-0005-0000-0000-00004D460000}"/>
    <cellStyle name="Normal 217 2 2 3 2 2" xfId="18254" xr:uid="{00000000-0005-0000-0000-00004E460000}"/>
    <cellStyle name="Normal 217 2 2 3 3" xfId="18255" xr:uid="{00000000-0005-0000-0000-00004F460000}"/>
    <cellStyle name="Normal 217 2 2 4" xfId="18256" xr:uid="{00000000-0005-0000-0000-000050460000}"/>
    <cellStyle name="Normal 217 2 2 4 2" xfId="18257" xr:uid="{00000000-0005-0000-0000-000051460000}"/>
    <cellStyle name="Normal 217 2 2 4 2 2" xfId="18258" xr:uid="{00000000-0005-0000-0000-000052460000}"/>
    <cellStyle name="Normal 217 2 2 4 3" xfId="18259" xr:uid="{00000000-0005-0000-0000-000053460000}"/>
    <cellStyle name="Normal 217 2 2 5" xfId="18260" xr:uid="{00000000-0005-0000-0000-000054460000}"/>
    <cellStyle name="Normal 217 2 3" xfId="18261" xr:uid="{00000000-0005-0000-0000-000055460000}"/>
    <cellStyle name="Normal 217 2 3 2" xfId="18262" xr:uid="{00000000-0005-0000-0000-000056460000}"/>
    <cellStyle name="Normal 217 2 3 2 2" xfId="18263" xr:uid="{00000000-0005-0000-0000-000057460000}"/>
    <cellStyle name="Normal 217 2 3 2 2 2" xfId="18264" xr:uid="{00000000-0005-0000-0000-000058460000}"/>
    <cellStyle name="Normal 217 2 3 2 3" xfId="18265" xr:uid="{00000000-0005-0000-0000-000059460000}"/>
    <cellStyle name="Normal 217 2 3 2 3 2" xfId="18266" xr:uid="{00000000-0005-0000-0000-00005A460000}"/>
    <cellStyle name="Normal 217 2 3 2 3 2 2" xfId="18267" xr:uid="{00000000-0005-0000-0000-00005B460000}"/>
    <cellStyle name="Normal 217 2 3 2 3 3" xfId="18268" xr:uid="{00000000-0005-0000-0000-00005C460000}"/>
    <cellStyle name="Normal 217 2 3 2 4" xfId="18269" xr:uid="{00000000-0005-0000-0000-00005D460000}"/>
    <cellStyle name="Normal 217 2 3 3" xfId="18270" xr:uid="{00000000-0005-0000-0000-00005E460000}"/>
    <cellStyle name="Normal 217 2 3 3 2" xfId="18271" xr:uid="{00000000-0005-0000-0000-00005F460000}"/>
    <cellStyle name="Normal 217 2 3 3 2 2" xfId="18272" xr:uid="{00000000-0005-0000-0000-000060460000}"/>
    <cellStyle name="Normal 217 2 3 3 3" xfId="18273" xr:uid="{00000000-0005-0000-0000-000061460000}"/>
    <cellStyle name="Normal 217 2 3 4" xfId="18274" xr:uid="{00000000-0005-0000-0000-000062460000}"/>
    <cellStyle name="Normal 217 2 3 4 2" xfId="18275" xr:uid="{00000000-0005-0000-0000-000063460000}"/>
    <cellStyle name="Normal 217 2 3 4 2 2" xfId="18276" xr:uid="{00000000-0005-0000-0000-000064460000}"/>
    <cellStyle name="Normal 217 2 3 4 3" xfId="18277" xr:uid="{00000000-0005-0000-0000-000065460000}"/>
    <cellStyle name="Normal 217 2 3 5" xfId="18278" xr:uid="{00000000-0005-0000-0000-000066460000}"/>
    <cellStyle name="Normal 217 2 3 5 2" xfId="18279" xr:uid="{00000000-0005-0000-0000-000067460000}"/>
    <cellStyle name="Normal 217 2 3 5 2 2" xfId="18280" xr:uid="{00000000-0005-0000-0000-000068460000}"/>
    <cellStyle name="Normal 217 2 3 5 3" xfId="18281" xr:uid="{00000000-0005-0000-0000-000069460000}"/>
    <cellStyle name="Normal 217 2 3 6" xfId="18282" xr:uid="{00000000-0005-0000-0000-00006A460000}"/>
    <cellStyle name="Normal 217 2 4" xfId="18283" xr:uid="{00000000-0005-0000-0000-00006B460000}"/>
    <cellStyle name="Normal 217 2 4 2" xfId="18284" xr:uid="{00000000-0005-0000-0000-00006C460000}"/>
    <cellStyle name="Normal 217 2 4 2 2" xfId="18285" xr:uid="{00000000-0005-0000-0000-00006D460000}"/>
    <cellStyle name="Normal 217 2 4 3" xfId="18286" xr:uid="{00000000-0005-0000-0000-00006E460000}"/>
    <cellStyle name="Normal 217 2 5" xfId="18287" xr:uid="{00000000-0005-0000-0000-00006F460000}"/>
    <cellStyle name="Normal 217 2 5 2" xfId="18288" xr:uid="{00000000-0005-0000-0000-000070460000}"/>
    <cellStyle name="Normal 217 2 5 2 2" xfId="18289" xr:uid="{00000000-0005-0000-0000-000071460000}"/>
    <cellStyle name="Normal 217 2 5 3" xfId="18290" xr:uid="{00000000-0005-0000-0000-000072460000}"/>
    <cellStyle name="Normal 217 2 6" xfId="18291" xr:uid="{00000000-0005-0000-0000-000073460000}"/>
    <cellStyle name="Normal 217 2 6 2" xfId="18292" xr:uid="{00000000-0005-0000-0000-000074460000}"/>
    <cellStyle name="Normal 217 2 6 2 2" xfId="18293" xr:uid="{00000000-0005-0000-0000-000075460000}"/>
    <cellStyle name="Normal 217 2 6 3" xfId="18294" xr:uid="{00000000-0005-0000-0000-000076460000}"/>
    <cellStyle name="Normal 217 2 7" xfId="18295" xr:uid="{00000000-0005-0000-0000-000077460000}"/>
    <cellStyle name="Normal 217 3" xfId="18296" xr:uid="{00000000-0005-0000-0000-000078460000}"/>
    <cellStyle name="Normal 217 3 2" xfId="18297" xr:uid="{00000000-0005-0000-0000-000079460000}"/>
    <cellStyle name="Normal 217 3 2 2" xfId="18298" xr:uid="{00000000-0005-0000-0000-00007A460000}"/>
    <cellStyle name="Normal 217 3 3" xfId="18299" xr:uid="{00000000-0005-0000-0000-00007B460000}"/>
    <cellStyle name="Normal 217 3 3 2" xfId="18300" xr:uid="{00000000-0005-0000-0000-00007C460000}"/>
    <cellStyle name="Normal 217 3 3 2 2" xfId="18301" xr:uid="{00000000-0005-0000-0000-00007D460000}"/>
    <cellStyle name="Normal 217 3 3 3" xfId="18302" xr:uid="{00000000-0005-0000-0000-00007E460000}"/>
    <cellStyle name="Normal 217 3 4" xfId="18303" xr:uid="{00000000-0005-0000-0000-00007F460000}"/>
    <cellStyle name="Normal 217 3 4 2" xfId="18304" xr:uid="{00000000-0005-0000-0000-000080460000}"/>
    <cellStyle name="Normal 217 3 4 2 2" xfId="18305" xr:uid="{00000000-0005-0000-0000-000081460000}"/>
    <cellStyle name="Normal 217 3 4 3" xfId="18306" xr:uid="{00000000-0005-0000-0000-000082460000}"/>
    <cellStyle name="Normal 217 3 5" xfId="18307" xr:uid="{00000000-0005-0000-0000-000083460000}"/>
    <cellStyle name="Normal 217 4" xfId="18308" xr:uid="{00000000-0005-0000-0000-000084460000}"/>
    <cellStyle name="Normal 217 4 2" xfId="18309" xr:uid="{00000000-0005-0000-0000-000085460000}"/>
    <cellStyle name="Normal 217 4 2 2" xfId="18310" xr:uid="{00000000-0005-0000-0000-000086460000}"/>
    <cellStyle name="Normal 217 4 2 2 2" xfId="18311" xr:uid="{00000000-0005-0000-0000-000087460000}"/>
    <cellStyle name="Normal 217 4 2 3" xfId="18312" xr:uid="{00000000-0005-0000-0000-000088460000}"/>
    <cellStyle name="Normal 217 4 2 3 2" xfId="18313" xr:uid="{00000000-0005-0000-0000-000089460000}"/>
    <cellStyle name="Normal 217 4 2 3 2 2" xfId="18314" xr:uid="{00000000-0005-0000-0000-00008A460000}"/>
    <cellStyle name="Normal 217 4 2 3 3" xfId="18315" xr:uid="{00000000-0005-0000-0000-00008B460000}"/>
    <cellStyle name="Normal 217 4 2 4" xfId="18316" xr:uid="{00000000-0005-0000-0000-00008C460000}"/>
    <cellStyle name="Normal 217 4 3" xfId="18317" xr:uid="{00000000-0005-0000-0000-00008D460000}"/>
    <cellStyle name="Normal 217 4 3 2" xfId="18318" xr:uid="{00000000-0005-0000-0000-00008E460000}"/>
    <cellStyle name="Normal 217 4 3 2 2" xfId="18319" xr:uid="{00000000-0005-0000-0000-00008F460000}"/>
    <cellStyle name="Normal 217 4 3 3" xfId="18320" xr:uid="{00000000-0005-0000-0000-000090460000}"/>
    <cellStyle name="Normal 217 4 4" xfId="18321" xr:uid="{00000000-0005-0000-0000-000091460000}"/>
    <cellStyle name="Normal 217 4 4 2" xfId="18322" xr:uid="{00000000-0005-0000-0000-000092460000}"/>
    <cellStyle name="Normal 217 4 4 2 2" xfId="18323" xr:uid="{00000000-0005-0000-0000-000093460000}"/>
    <cellStyle name="Normal 217 4 4 3" xfId="18324" xr:uid="{00000000-0005-0000-0000-000094460000}"/>
    <cellStyle name="Normal 217 4 5" xfId="18325" xr:uid="{00000000-0005-0000-0000-000095460000}"/>
    <cellStyle name="Normal 217 4 5 2" xfId="18326" xr:uid="{00000000-0005-0000-0000-000096460000}"/>
    <cellStyle name="Normal 217 4 5 2 2" xfId="18327" xr:uid="{00000000-0005-0000-0000-000097460000}"/>
    <cellStyle name="Normal 217 4 5 3" xfId="18328" xr:uid="{00000000-0005-0000-0000-000098460000}"/>
    <cellStyle name="Normal 217 4 6" xfId="18329" xr:uid="{00000000-0005-0000-0000-000099460000}"/>
    <cellStyle name="Normal 217 5" xfId="18330" xr:uid="{00000000-0005-0000-0000-00009A460000}"/>
    <cellStyle name="Normal 217 5 2" xfId="18331" xr:uid="{00000000-0005-0000-0000-00009B460000}"/>
    <cellStyle name="Normal 217 5 2 2" xfId="18332" xr:uid="{00000000-0005-0000-0000-00009C460000}"/>
    <cellStyle name="Normal 217 5 3" xfId="18333" xr:uid="{00000000-0005-0000-0000-00009D460000}"/>
    <cellStyle name="Normal 217 6" xfId="18334" xr:uid="{00000000-0005-0000-0000-00009E460000}"/>
    <cellStyle name="Normal 217 6 2" xfId="18335" xr:uid="{00000000-0005-0000-0000-00009F460000}"/>
    <cellStyle name="Normal 217 6 2 2" xfId="18336" xr:uid="{00000000-0005-0000-0000-0000A0460000}"/>
    <cellStyle name="Normal 217 6 3" xfId="18337" xr:uid="{00000000-0005-0000-0000-0000A1460000}"/>
    <cellStyle name="Normal 217 7" xfId="18338" xr:uid="{00000000-0005-0000-0000-0000A2460000}"/>
    <cellStyle name="Normal 217 7 2" xfId="18339" xr:uid="{00000000-0005-0000-0000-0000A3460000}"/>
    <cellStyle name="Normal 217 7 2 2" xfId="18340" xr:uid="{00000000-0005-0000-0000-0000A4460000}"/>
    <cellStyle name="Normal 217 7 3" xfId="18341" xr:uid="{00000000-0005-0000-0000-0000A5460000}"/>
    <cellStyle name="Normal 217 8" xfId="18342" xr:uid="{00000000-0005-0000-0000-0000A6460000}"/>
    <cellStyle name="Normal 218" xfId="18343" xr:uid="{00000000-0005-0000-0000-0000A7460000}"/>
    <cellStyle name="Normal 218 2" xfId="18344" xr:uid="{00000000-0005-0000-0000-0000A8460000}"/>
    <cellStyle name="Normal 218 2 2" xfId="18345" xr:uid="{00000000-0005-0000-0000-0000A9460000}"/>
    <cellStyle name="Normal 218 2 2 2" xfId="18346" xr:uid="{00000000-0005-0000-0000-0000AA460000}"/>
    <cellStyle name="Normal 218 2 2 2 2" xfId="18347" xr:uid="{00000000-0005-0000-0000-0000AB460000}"/>
    <cellStyle name="Normal 218 2 2 3" xfId="18348" xr:uid="{00000000-0005-0000-0000-0000AC460000}"/>
    <cellStyle name="Normal 218 2 2 3 2" xfId="18349" xr:uid="{00000000-0005-0000-0000-0000AD460000}"/>
    <cellStyle name="Normal 218 2 2 3 2 2" xfId="18350" xr:uid="{00000000-0005-0000-0000-0000AE460000}"/>
    <cellStyle name="Normal 218 2 2 3 3" xfId="18351" xr:uid="{00000000-0005-0000-0000-0000AF460000}"/>
    <cellStyle name="Normal 218 2 2 4" xfId="18352" xr:uid="{00000000-0005-0000-0000-0000B0460000}"/>
    <cellStyle name="Normal 218 2 2 4 2" xfId="18353" xr:uid="{00000000-0005-0000-0000-0000B1460000}"/>
    <cellStyle name="Normal 218 2 2 4 2 2" xfId="18354" xr:uid="{00000000-0005-0000-0000-0000B2460000}"/>
    <cellStyle name="Normal 218 2 2 4 3" xfId="18355" xr:uid="{00000000-0005-0000-0000-0000B3460000}"/>
    <cellStyle name="Normal 218 2 2 5" xfId="18356" xr:uid="{00000000-0005-0000-0000-0000B4460000}"/>
    <cellStyle name="Normal 218 2 3" xfId="18357" xr:uid="{00000000-0005-0000-0000-0000B5460000}"/>
    <cellStyle name="Normal 218 2 3 2" xfId="18358" xr:uid="{00000000-0005-0000-0000-0000B6460000}"/>
    <cellStyle name="Normal 218 2 3 2 2" xfId="18359" xr:uid="{00000000-0005-0000-0000-0000B7460000}"/>
    <cellStyle name="Normal 218 2 3 2 2 2" xfId="18360" xr:uid="{00000000-0005-0000-0000-0000B8460000}"/>
    <cellStyle name="Normal 218 2 3 2 3" xfId="18361" xr:uid="{00000000-0005-0000-0000-0000B9460000}"/>
    <cellStyle name="Normal 218 2 3 2 3 2" xfId="18362" xr:uid="{00000000-0005-0000-0000-0000BA460000}"/>
    <cellStyle name="Normal 218 2 3 2 3 2 2" xfId="18363" xr:uid="{00000000-0005-0000-0000-0000BB460000}"/>
    <cellStyle name="Normal 218 2 3 2 3 3" xfId="18364" xr:uid="{00000000-0005-0000-0000-0000BC460000}"/>
    <cellStyle name="Normal 218 2 3 2 4" xfId="18365" xr:uid="{00000000-0005-0000-0000-0000BD460000}"/>
    <cellStyle name="Normal 218 2 3 3" xfId="18366" xr:uid="{00000000-0005-0000-0000-0000BE460000}"/>
    <cellStyle name="Normal 218 2 3 3 2" xfId="18367" xr:uid="{00000000-0005-0000-0000-0000BF460000}"/>
    <cellStyle name="Normal 218 2 3 3 2 2" xfId="18368" xr:uid="{00000000-0005-0000-0000-0000C0460000}"/>
    <cellStyle name="Normal 218 2 3 3 3" xfId="18369" xr:uid="{00000000-0005-0000-0000-0000C1460000}"/>
    <cellStyle name="Normal 218 2 3 4" xfId="18370" xr:uid="{00000000-0005-0000-0000-0000C2460000}"/>
    <cellStyle name="Normal 218 2 3 4 2" xfId="18371" xr:uid="{00000000-0005-0000-0000-0000C3460000}"/>
    <cellStyle name="Normal 218 2 3 4 2 2" xfId="18372" xr:uid="{00000000-0005-0000-0000-0000C4460000}"/>
    <cellStyle name="Normal 218 2 3 4 3" xfId="18373" xr:uid="{00000000-0005-0000-0000-0000C5460000}"/>
    <cellStyle name="Normal 218 2 3 5" xfId="18374" xr:uid="{00000000-0005-0000-0000-0000C6460000}"/>
    <cellStyle name="Normal 218 2 3 5 2" xfId="18375" xr:uid="{00000000-0005-0000-0000-0000C7460000}"/>
    <cellStyle name="Normal 218 2 3 5 2 2" xfId="18376" xr:uid="{00000000-0005-0000-0000-0000C8460000}"/>
    <cellStyle name="Normal 218 2 3 5 3" xfId="18377" xr:uid="{00000000-0005-0000-0000-0000C9460000}"/>
    <cellStyle name="Normal 218 2 3 6" xfId="18378" xr:uid="{00000000-0005-0000-0000-0000CA460000}"/>
    <cellStyle name="Normal 218 2 4" xfId="18379" xr:uid="{00000000-0005-0000-0000-0000CB460000}"/>
    <cellStyle name="Normal 218 2 4 2" xfId="18380" xr:uid="{00000000-0005-0000-0000-0000CC460000}"/>
    <cellStyle name="Normal 218 2 4 2 2" xfId="18381" xr:uid="{00000000-0005-0000-0000-0000CD460000}"/>
    <cellStyle name="Normal 218 2 4 3" xfId="18382" xr:uid="{00000000-0005-0000-0000-0000CE460000}"/>
    <cellStyle name="Normal 218 2 5" xfId="18383" xr:uid="{00000000-0005-0000-0000-0000CF460000}"/>
    <cellStyle name="Normal 218 2 5 2" xfId="18384" xr:uid="{00000000-0005-0000-0000-0000D0460000}"/>
    <cellStyle name="Normal 218 2 5 2 2" xfId="18385" xr:uid="{00000000-0005-0000-0000-0000D1460000}"/>
    <cellStyle name="Normal 218 2 5 3" xfId="18386" xr:uid="{00000000-0005-0000-0000-0000D2460000}"/>
    <cellStyle name="Normal 218 2 6" xfId="18387" xr:uid="{00000000-0005-0000-0000-0000D3460000}"/>
    <cellStyle name="Normal 218 2 6 2" xfId="18388" xr:uid="{00000000-0005-0000-0000-0000D4460000}"/>
    <cellStyle name="Normal 218 2 6 2 2" xfId="18389" xr:uid="{00000000-0005-0000-0000-0000D5460000}"/>
    <cellStyle name="Normal 218 2 6 3" xfId="18390" xr:uid="{00000000-0005-0000-0000-0000D6460000}"/>
    <cellStyle name="Normal 218 2 7" xfId="18391" xr:uid="{00000000-0005-0000-0000-0000D7460000}"/>
    <cellStyle name="Normal 218 3" xfId="18392" xr:uid="{00000000-0005-0000-0000-0000D8460000}"/>
    <cellStyle name="Normal 218 3 2" xfId="18393" xr:uid="{00000000-0005-0000-0000-0000D9460000}"/>
    <cellStyle name="Normal 218 3 2 2" xfId="18394" xr:uid="{00000000-0005-0000-0000-0000DA460000}"/>
    <cellStyle name="Normal 218 3 3" xfId="18395" xr:uid="{00000000-0005-0000-0000-0000DB460000}"/>
    <cellStyle name="Normal 218 3 3 2" xfId="18396" xr:uid="{00000000-0005-0000-0000-0000DC460000}"/>
    <cellStyle name="Normal 218 3 3 2 2" xfId="18397" xr:uid="{00000000-0005-0000-0000-0000DD460000}"/>
    <cellStyle name="Normal 218 3 3 3" xfId="18398" xr:uid="{00000000-0005-0000-0000-0000DE460000}"/>
    <cellStyle name="Normal 218 3 4" xfId="18399" xr:uid="{00000000-0005-0000-0000-0000DF460000}"/>
    <cellStyle name="Normal 218 3 4 2" xfId="18400" xr:uid="{00000000-0005-0000-0000-0000E0460000}"/>
    <cellStyle name="Normal 218 3 4 2 2" xfId="18401" xr:uid="{00000000-0005-0000-0000-0000E1460000}"/>
    <cellStyle name="Normal 218 3 4 3" xfId="18402" xr:uid="{00000000-0005-0000-0000-0000E2460000}"/>
    <cellStyle name="Normal 218 3 5" xfId="18403" xr:uid="{00000000-0005-0000-0000-0000E3460000}"/>
    <cellStyle name="Normal 218 4" xfId="18404" xr:uid="{00000000-0005-0000-0000-0000E4460000}"/>
    <cellStyle name="Normal 218 4 2" xfId="18405" xr:uid="{00000000-0005-0000-0000-0000E5460000}"/>
    <cellStyle name="Normal 218 4 2 2" xfId="18406" xr:uid="{00000000-0005-0000-0000-0000E6460000}"/>
    <cellStyle name="Normal 218 4 2 2 2" xfId="18407" xr:uid="{00000000-0005-0000-0000-0000E7460000}"/>
    <cellStyle name="Normal 218 4 2 3" xfId="18408" xr:uid="{00000000-0005-0000-0000-0000E8460000}"/>
    <cellStyle name="Normal 218 4 2 3 2" xfId="18409" xr:uid="{00000000-0005-0000-0000-0000E9460000}"/>
    <cellStyle name="Normal 218 4 2 3 2 2" xfId="18410" xr:uid="{00000000-0005-0000-0000-0000EA460000}"/>
    <cellStyle name="Normal 218 4 2 3 3" xfId="18411" xr:uid="{00000000-0005-0000-0000-0000EB460000}"/>
    <cellStyle name="Normal 218 4 2 4" xfId="18412" xr:uid="{00000000-0005-0000-0000-0000EC460000}"/>
    <cellStyle name="Normal 218 4 3" xfId="18413" xr:uid="{00000000-0005-0000-0000-0000ED460000}"/>
    <cellStyle name="Normal 218 4 3 2" xfId="18414" xr:uid="{00000000-0005-0000-0000-0000EE460000}"/>
    <cellStyle name="Normal 218 4 3 2 2" xfId="18415" xr:uid="{00000000-0005-0000-0000-0000EF460000}"/>
    <cellStyle name="Normal 218 4 3 3" xfId="18416" xr:uid="{00000000-0005-0000-0000-0000F0460000}"/>
    <cellStyle name="Normal 218 4 4" xfId="18417" xr:uid="{00000000-0005-0000-0000-0000F1460000}"/>
    <cellStyle name="Normal 218 4 4 2" xfId="18418" xr:uid="{00000000-0005-0000-0000-0000F2460000}"/>
    <cellStyle name="Normal 218 4 4 2 2" xfId="18419" xr:uid="{00000000-0005-0000-0000-0000F3460000}"/>
    <cellStyle name="Normal 218 4 4 3" xfId="18420" xr:uid="{00000000-0005-0000-0000-0000F4460000}"/>
    <cellStyle name="Normal 218 4 5" xfId="18421" xr:uid="{00000000-0005-0000-0000-0000F5460000}"/>
    <cellStyle name="Normal 218 4 5 2" xfId="18422" xr:uid="{00000000-0005-0000-0000-0000F6460000}"/>
    <cellStyle name="Normal 218 4 5 2 2" xfId="18423" xr:uid="{00000000-0005-0000-0000-0000F7460000}"/>
    <cellStyle name="Normal 218 4 5 3" xfId="18424" xr:uid="{00000000-0005-0000-0000-0000F8460000}"/>
    <cellStyle name="Normal 218 4 6" xfId="18425" xr:uid="{00000000-0005-0000-0000-0000F9460000}"/>
    <cellStyle name="Normal 218 5" xfId="18426" xr:uid="{00000000-0005-0000-0000-0000FA460000}"/>
    <cellStyle name="Normal 218 5 2" xfId="18427" xr:uid="{00000000-0005-0000-0000-0000FB460000}"/>
    <cellStyle name="Normal 218 5 2 2" xfId="18428" xr:uid="{00000000-0005-0000-0000-0000FC460000}"/>
    <cellStyle name="Normal 218 5 3" xfId="18429" xr:uid="{00000000-0005-0000-0000-0000FD460000}"/>
    <cellStyle name="Normal 218 6" xfId="18430" xr:uid="{00000000-0005-0000-0000-0000FE460000}"/>
    <cellStyle name="Normal 218 6 2" xfId="18431" xr:uid="{00000000-0005-0000-0000-0000FF460000}"/>
    <cellStyle name="Normal 218 6 2 2" xfId="18432" xr:uid="{00000000-0005-0000-0000-000000470000}"/>
    <cellStyle name="Normal 218 6 3" xfId="18433" xr:uid="{00000000-0005-0000-0000-000001470000}"/>
    <cellStyle name="Normal 218 7" xfId="18434" xr:uid="{00000000-0005-0000-0000-000002470000}"/>
    <cellStyle name="Normal 218 7 2" xfId="18435" xr:uid="{00000000-0005-0000-0000-000003470000}"/>
    <cellStyle name="Normal 218 7 2 2" xfId="18436" xr:uid="{00000000-0005-0000-0000-000004470000}"/>
    <cellStyle name="Normal 218 7 3" xfId="18437" xr:uid="{00000000-0005-0000-0000-000005470000}"/>
    <cellStyle name="Normal 218 8" xfId="18438" xr:uid="{00000000-0005-0000-0000-000006470000}"/>
    <cellStyle name="Normal 219" xfId="18439" xr:uid="{00000000-0005-0000-0000-000007470000}"/>
    <cellStyle name="Normal 219 2" xfId="18440" xr:uid="{00000000-0005-0000-0000-000008470000}"/>
    <cellStyle name="Normal 219 2 2" xfId="18441" xr:uid="{00000000-0005-0000-0000-000009470000}"/>
    <cellStyle name="Normal 219 2 2 2" xfId="18442" xr:uid="{00000000-0005-0000-0000-00000A470000}"/>
    <cellStyle name="Normal 219 2 2 2 2" xfId="18443" xr:uid="{00000000-0005-0000-0000-00000B470000}"/>
    <cellStyle name="Normal 219 2 2 3" xfId="18444" xr:uid="{00000000-0005-0000-0000-00000C470000}"/>
    <cellStyle name="Normal 219 2 2 3 2" xfId="18445" xr:uid="{00000000-0005-0000-0000-00000D470000}"/>
    <cellStyle name="Normal 219 2 2 3 2 2" xfId="18446" xr:uid="{00000000-0005-0000-0000-00000E470000}"/>
    <cellStyle name="Normal 219 2 2 3 3" xfId="18447" xr:uid="{00000000-0005-0000-0000-00000F470000}"/>
    <cellStyle name="Normal 219 2 2 4" xfId="18448" xr:uid="{00000000-0005-0000-0000-000010470000}"/>
    <cellStyle name="Normal 219 2 2 4 2" xfId="18449" xr:uid="{00000000-0005-0000-0000-000011470000}"/>
    <cellStyle name="Normal 219 2 2 4 2 2" xfId="18450" xr:uid="{00000000-0005-0000-0000-000012470000}"/>
    <cellStyle name="Normal 219 2 2 4 3" xfId="18451" xr:uid="{00000000-0005-0000-0000-000013470000}"/>
    <cellStyle name="Normal 219 2 2 5" xfId="18452" xr:uid="{00000000-0005-0000-0000-000014470000}"/>
    <cellStyle name="Normal 219 2 3" xfId="18453" xr:uid="{00000000-0005-0000-0000-000015470000}"/>
    <cellStyle name="Normal 219 2 3 2" xfId="18454" xr:uid="{00000000-0005-0000-0000-000016470000}"/>
    <cellStyle name="Normal 219 2 3 2 2" xfId="18455" xr:uid="{00000000-0005-0000-0000-000017470000}"/>
    <cellStyle name="Normal 219 2 3 2 2 2" xfId="18456" xr:uid="{00000000-0005-0000-0000-000018470000}"/>
    <cellStyle name="Normal 219 2 3 2 3" xfId="18457" xr:uid="{00000000-0005-0000-0000-000019470000}"/>
    <cellStyle name="Normal 219 2 3 2 3 2" xfId="18458" xr:uid="{00000000-0005-0000-0000-00001A470000}"/>
    <cellStyle name="Normal 219 2 3 2 3 2 2" xfId="18459" xr:uid="{00000000-0005-0000-0000-00001B470000}"/>
    <cellStyle name="Normal 219 2 3 2 3 3" xfId="18460" xr:uid="{00000000-0005-0000-0000-00001C470000}"/>
    <cellStyle name="Normal 219 2 3 2 4" xfId="18461" xr:uid="{00000000-0005-0000-0000-00001D470000}"/>
    <cellStyle name="Normal 219 2 3 3" xfId="18462" xr:uid="{00000000-0005-0000-0000-00001E470000}"/>
    <cellStyle name="Normal 219 2 3 3 2" xfId="18463" xr:uid="{00000000-0005-0000-0000-00001F470000}"/>
    <cellStyle name="Normal 219 2 3 3 2 2" xfId="18464" xr:uid="{00000000-0005-0000-0000-000020470000}"/>
    <cellStyle name="Normal 219 2 3 3 3" xfId="18465" xr:uid="{00000000-0005-0000-0000-000021470000}"/>
    <cellStyle name="Normal 219 2 3 4" xfId="18466" xr:uid="{00000000-0005-0000-0000-000022470000}"/>
    <cellStyle name="Normal 219 2 3 4 2" xfId="18467" xr:uid="{00000000-0005-0000-0000-000023470000}"/>
    <cellStyle name="Normal 219 2 3 4 2 2" xfId="18468" xr:uid="{00000000-0005-0000-0000-000024470000}"/>
    <cellStyle name="Normal 219 2 3 4 3" xfId="18469" xr:uid="{00000000-0005-0000-0000-000025470000}"/>
    <cellStyle name="Normal 219 2 3 5" xfId="18470" xr:uid="{00000000-0005-0000-0000-000026470000}"/>
    <cellStyle name="Normal 219 2 3 5 2" xfId="18471" xr:uid="{00000000-0005-0000-0000-000027470000}"/>
    <cellStyle name="Normal 219 2 3 5 2 2" xfId="18472" xr:uid="{00000000-0005-0000-0000-000028470000}"/>
    <cellStyle name="Normal 219 2 3 5 3" xfId="18473" xr:uid="{00000000-0005-0000-0000-000029470000}"/>
    <cellStyle name="Normal 219 2 3 6" xfId="18474" xr:uid="{00000000-0005-0000-0000-00002A470000}"/>
    <cellStyle name="Normal 219 2 4" xfId="18475" xr:uid="{00000000-0005-0000-0000-00002B470000}"/>
    <cellStyle name="Normal 219 2 4 2" xfId="18476" xr:uid="{00000000-0005-0000-0000-00002C470000}"/>
    <cellStyle name="Normal 219 2 4 2 2" xfId="18477" xr:uid="{00000000-0005-0000-0000-00002D470000}"/>
    <cellStyle name="Normal 219 2 4 3" xfId="18478" xr:uid="{00000000-0005-0000-0000-00002E470000}"/>
    <cellStyle name="Normal 219 2 5" xfId="18479" xr:uid="{00000000-0005-0000-0000-00002F470000}"/>
    <cellStyle name="Normal 219 2 5 2" xfId="18480" xr:uid="{00000000-0005-0000-0000-000030470000}"/>
    <cellStyle name="Normal 219 2 5 2 2" xfId="18481" xr:uid="{00000000-0005-0000-0000-000031470000}"/>
    <cellStyle name="Normal 219 2 5 3" xfId="18482" xr:uid="{00000000-0005-0000-0000-000032470000}"/>
    <cellStyle name="Normal 219 2 6" xfId="18483" xr:uid="{00000000-0005-0000-0000-000033470000}"/>
    <cellStyle name="Normal 219 2 6 2" xfId="18484" xr:uid="{00000000-0005-0000-0000-000034470000}"/>
    <cellStyle name="Normal 219 2 6 2 2" xfId="18485" xr:uid="{00000000-0005-0000-0000-000035470000}"/>
    <cellStyle name="Normal 219 2 6 3" xfId="18486" xr:uid="{00000000-0005-0000-0000-000036470000}"/>
    <cellStyle name="Normal 219 2 7" xfId="18487" xr:uid="{00000000-0005-0000-0000-000037470000}"/>
    <cellStyle name="Normal 219 3" xfId="18488" xr:uid="{00000000-0005-0000-0000-000038470000}"/>
    <cellStyle name="Normal 219 3 2" xfId="18489" xr:uid="{00000000-0005-0000-0000-000039470000}"/>
    <cellStyle name="Normal 219 3 2 2" xfId="18490" xr:uid="{00000000-0005-0000-0000-00003A470000}"/>
    <cellStyle name="Normal 219 3 3" xfId="18491" xr:uid="{00000000-0005-0000-0000-00003B470000}"/>
    <cellStyle name="Normal 219 3 3 2" xfId="18492" xr:uid="{00000000-0005-0000-0000-00003C470000}"/>
    <cellStyle name="Normal 219 3 3 2 2" xfId="18493" xr:uid="{00000000-0005-0000-0000-00003D470000}"/>
    <cellStyle name="Normal 219 3 3 3" xfId="18494" xr:uid="{00000000-0005-0000-0000-00003E470000}"/>
    <cellStyle name="Normal 219 3 4" xfId="18495" xr:uid="{00000000-0005-0000-0000-00003F470000}"/>
    <cellStyle name="Normal 219 3 4 2" xfId="18496" xr:uid="{00000000-0005-0000-0000-000040470000}"/>
    <cellStyle name="Normal 219 3 4 2 2" xfId="18497" xr:uid="{00000000-0005-0000-0000-000041470000}"/>
    <cellStyle name="Normal 219 3 4 3" xfId="18498" xr:uid="{00000000-0005-0000-0000-000042470000}"/>
    <cellStyle name="Normal 219 3 5" xfId="18499" xr:uid="{00000000-0005-0000-0000-000043470000}"/>
    <cellStyle name="Normal 219 4" xfId="18500" xr:uid="{00000000-0005-0000-0000-000044470000}"/>
    <cellStyle name="Normal 219 4 2" xfId="18501" xr:uid="{00000000-0005-0000-0000-000045470000}"/>
    <cellStyle name="Normal 219 4 2 2" xfId="18502" xr:uid="{00000000-0005-0000-0000-000046470000}"/>
    <cellStyle name="Normal 219 4 2 2 2" xfId="18503" xr:uid="{00000000-0005-0000-0000-000047470000}"/>
    <cellStyle name="Normal 219 4 2 3" xfId="18504" xr:uid="{00000000-0005-0000-0000-000048470000}"/>
    <cellStyle name="Normal 219 4 2 3 2" xfId="18505" xr:uid="{00000000-0005-0000-0000-000049470000}"/>
    <cellStyle name="Normal 219 4 2 3 2 2" xfId="18506" xr:uid="{00000000-0005-0000-0000-00004A470000}"/>
    <cellStyle name="Normal 219 4 2 3 3" xfId="18507" xr:uid="{00000000-0005-0000-0000-00004B470000}"/>
    <cellStyle name="Normal 219 4 2 4" xfId="18508" xr:uid="{00000000-0005-0000-0000-00004C470000}"/>
    <cellStyle name="Normal 219 4 3" xfId="18509" xr:uid="{00000000-0005-0000-0000-00004D470000}"/>
    <cellStyle name="Normal 219 4 3 2" xfId="18510" xr:uid="{00000000-0005-0000-0000-00004E470000}"/>
    <cellStyle name="Normal 219 4 3 2 2" xfId="18511" xr:uid="{00000000-0005-0000-0000-00004F470000}"/>
    <cellStyle name="Normal 219 4 3 3" xfId="18512" xr:uid="{00000000-0005-0000-0000-000050470000}"/>
    <cellStyle name="Normal 219 4 4" xfId="18513" xr:uid="{00000000-0005-0000-0000-000051470000}"/>
    <cellStyle name="Normal 219 4 4 2" xfId="18514" xr:uid="{00000000-0005-0000-0000-000052470000}"/>
    <cellStyle name="Normal 219 4 4 2 2" xfId="18515" xr:uid="{00000000-0005-0000-0000-000053470000}"/>
    <cellStyle name="Normal 219 4 4 3" xfId="18516" xr:uid="{00000000-0005-0000-0000-000054470000}"/>
    <cellStyle name="Normal 219 4 5" xfId="18517" xr:uid="{00000000-0005-0000-0000-000055470000}"/>
    <cellStyle name="Normal 219 4 5 2" xfId="18518" xr:uid="{00000000-0005-0000-0000-000056470000}"/>
    <cellStyle name="Normal 219 4 5 2 2" xfId="18519" xr:uid="{00000000-0005-0000-0000-000057470000}"/>
    <cellStyle name="Normal 219 4 5 3" xfId="18520" xr:uid="{00000000-0005-0000-0000-000058470000}"/>
    <cellStyle name="Normal 219 4 6" xfId="18521" xr:uid="{00000000-0005-0000-0000-000059470000}"/>
    <cellStyle name="Normal 219 5" xfId="18522" xr:uid="{00000000-0005-0000-0000-00005A470000}"/>
    <cellStyle name="Normal 219 5 2" xfId="18523" xr:uid="{00000000-0005-0000-0000-00005B470000}"/>
    <cellStyle name="Normal 219 5 2 2" xfId="18524" xr:uid="{00000000-0005-0000-0000-00005C470000}"/>
    <cellStyle name="Normal 219 5 3" xfId="18525" xr:uid="{00000000-0005-0000-0000-00005D470000}"/>
    <cellStyle name="Normal 219 6" xfId="18526" xr:uid="{00000000-0005-0000-0000-00005E470000}"/>
    <cellStyle name="Normal 219 6 2" xfId="18527" xr:uid="{00000000-0005-0000-0000-00005F470000}"/>
    <cellStyle name="Normal 219 6 2 2" xfId="18528" xr:uid="{00000000-0005-0000-0000-000060470000}"/>
    <cellStyle name="Normal 219 6 3" xfId="18529" xr:uid="{00000000-0005-0000-0000-000061470000}"/>
    <cellStyle name="Normal 219 7" xfId="18530" xr:uid="{00000000-0005-0000-0000-000062470000}"/>
    <cellStyle name="Normal 219 7 2" xfId="18531" xr:uid="{00000000-0005-0000-0000-000063470000}"/>
    <cellStyle name="Normal 219 7 2 2" xfId="18532" xr:uid="{00000000-0005-0000-0000-000064470000}"/>
    <cellStyle name="Normal 219 7 3" xfId="18533" xr:uid="{00000000-0005-0000-0000-000065470000}"/>
    <cellStyle name="Normal 219 8" xfId="18534" xr:uid="{00000000-0005-0000-0000-000066470000}"/>
    <cellStyle name="Normal 22" xfId="18535" xr:uid="{00000000-0005-0000-0000-000067470000}"/>
    <cellStyle name="Normal 22 2" xfId="18536" xr:uid="{00000000-0005-0000-0000-000068470000}"/>
    <cellStyle name="Normal 22 2 2" xfId="18537" xr:uid="{00000000-0005-0000-0000-000069470000}"/>
    <cellStyle name="Normal 22 2 2 2" xfId="18538" xr:uid="{00000000-0005-0000-0000-00006A470000}"/>
    <cellStyle name="Normal 22 2 2 2 2" xfId="18539" xr:uid="{00000000-0005-0000-0000-00006B470000}"/>
    <cellStyle name="Normal 22 2 2 3" xfId="18540" xr:uid="{00000000-0005-0000-0000-00006C470000}"/>
    <cellStyle name="Normal 22 2 2 3 2" xfId="18541" xr:uid="{00000000-0005-0000-0000-00006D470000}"/>
    <cellStyle name="Normal 22 2 2 3 2 2" xfId="18542" xr:uid="{00000000-0005-0000-0000-00006E470000}"/>
    <cellStyle name="Normal 22 2 2 3 3" xfId="18543" xr:uid="{00000000-0005-0000-0000-00006F470000}"/>
    <cellStyle name="Normal 22 2 2 4" xfId="18544" xr:uid="{00000000-0005-0000-0000-000070470000}"/>
    <cellStyle name="Normal 22 2 2 4 2" xfId="18545" xr:uid="{00000000-0005-0000-0000-000071470000}"/>
    <cellStyle name="Normal 22 2 2 4 2 2" xfId="18546" xr:uid="{00000000-0005-0000-0000-000072470000}"/>
    <cellStyle name="Normal 22 2 2 4 3" xfId="18547" xr:uid="{00000000-0005-0000-0000-000073470000}"/>
    <cellStyle name="Normal 22 2 2 5" xfId="18548" xr:uid="{00000000-0005-0000-0000-000074470000}"/>
    <cellStyle name="Normal 22 2 3" xfId="18549" xr:uid="{00000000-0005-0000-0000-000075470000}"/>
    <cellStyle name="Normal 22 2 3 2" xfId="18550" xr:uid="{00000000-0005-0000-0000-000076470000}"/>
    <cellStyle name="Normal 22 2 3 2 2" xfId="18551" xr:uid="{00000000-0005-0000-0000-000077470000}"/>
    <cellStyle name="Normal 22 2 3 3" xfId="18552" xr:uid="{00000000-0005-0000-0000-000078470000}"/>
    <cellStyle name="Normal 22 2 4" xfId="18553" xr:uid="{00000000-0005-0000-0000-000079470000}"/>
    <cellStyle name="Normal 22 2 4 2" xfId="18554" xr:uid="{00000000-0005-0000-0000-00007A470000}"/>
    <cellStyle name="Normal 22 2 4 2 2" xfId="18555" xr:uid="{00000000-0005-0000-0000-00007B470000}"/>
    <cellStyle name="Normal 22 2 4 3" xfId="18556" xr:uid="{00000000-0005-0000-0000-00007C470000}"/>
    <cellStyle name="Normal 22 2 5" xfId="18557" xr:uid="{00000000-0005-0000-0000-00007D470000}"/>
    <cellStyle name="Normal 22 2 5 2" xfId="18558" xr:uid="{00000000-0005-0000-0000-00007E470000}"/>
    <cellStyle name="Normal 22 2 5 2 2" xfId="18559" xr:uid="{00000000-0005-0000-0000-00007F470000}"/>
    <cellStyle name="Normal 22 2 5 3" xfId="18560" xr:uid="{00000000-0005-0000-0000-000080470000}"/>
    <cellStyle name="Normal 22 2 6" xfId="18561" xr:uid="{00000000-0005-0000-0000-000081470000}"/>
    <cellStyle name="Normal 22 3" xfId="18562" xr:uid="{00000000-0005-0000-0000-000082470000}"/>
    <cellStyle name="Normal 22 3 2" xfId="18563" xr:uid="{00000000-0005-0000-0000-000083470000}"/>
    <cellStyle name="Normal 22 3 2 2" xfId="18564" xr:uid="{00000000-0005-0000-0000-000084470000}"/>
    <cellStyle name="Normal 22 3 3" xfId="18565" xr:uid="{00000000-0005-0000-0000-000085470000}"/>
    <cellStyle name="Normal 22 3 3 2" xfId="18566" xr:uid="{00000000-0005-0000-0000-000086470000}"/>
    <cellStyle name="Normal 22 3 3 2 2" xfId="18567" xr:uid="{00000000-0005-0000-0000-000087470000}"/>
    <cellStyle name="Normal 22 3 3 3" xfId="18568" xr:uid="{00000000-0005-0000-0000-000088470000}"/>
    <cellStyle name="Normal 22 3 4" xfId="18569" xr:uid="{00000000-0005-0000-0000-000089470000}"/>
    <cellStyle name="Normal 22 3 4 2" xfId="18570" xr:uid="{00000000-0005-0000-0000-00008A470000}"/>
    <cellStyle name="Normal 22 3 4 2 2" xfId="18571" xr:uid="{00000000-0005-0000-0000-00008B470000}"/>
    <cellStyle name="Normal 22 3 4 3" xfId="18572" xr:uid="{00000000-0005-0000-0000-00008C470000}"/>
    <cellStyle name="Normal 22 3 5" xfId="18573" xr:uid="{00000000-0005-0000-0000-00008D470000}"/>
    <cellStyle name="Normal 22 4" xfId="18574" xr:uid="{00000000-0005-0000-0000-00008E470000}"/>
    <cellStyle name="Normal 22 4 2" xfId="18575" xr:uid="{00000000-0005-0000-0000-00008F470000}"/>
    <cellStyle name="Normal 22 4 2 2" xfId="18576" xr:uid="{00000000-0005-0000-0000-000090470000}"/>
    <cellStyle name="Normal 22 4 2 2 2" xfId="18577" xr:uid="{00000000-0005-0000-0000-000091470000}"/>
    <cellStyle name="Normal 22 4 2 3" xfId="18578" xr:uid="{00000000-0005-0000-0000-000092470000}"/>
    <cellStyle name="Normal 22 4 2 3 2" xfId="18579" xr:uid="{00000000-0005-0000-0000-000093470000}"/>
    <cellStyle name="Normal 22 4 2 3 2 2" xfId="18580" xr:uid="{00000000-0005-0000-0000-000094470000}"/>
    <cellStyle name="Normal 22 4 2 3 3" xfId="18581" xr:uid="{00000000-0005-0000-0000-000095470000}"/>
    <cellStyle name="Normal 22 4 2 4" xfId="18582" xr:uid="{00000000-0005-0000-0000-000096470000}"/>
    <cellStyle name="Normal 22 4 3" xfId="18583" xr:uid="{00000000-0005-0000-0000-000097470000}"/>
    <cellStyle name="Normal 22 4 3 2" xfId="18584" xr:uid="{00000000-0005-0000-0000-000098470000}"/>
    <cellStyle name="Normal 22 4 3 2 2" xfId="18585" xr:uid="{00000000-0005-0000-0000-000099470000}"/>
    <cellStyle name="Normal 22 4 3 3" xfId="18586" xr:uid="{00000000-0005-0000-0000-00009A470000}"/>
    <cellStyle name="Normal 22 4 4" xfId="18587" xr:uid="{00000000-0005-0000-0000-00009B470000}"/>
    <cellStyle name="Normal 22 4 4 2" xfId="18588" xr:uid="{00000000-0005-0000-0000-00009C470000}"/>
    <cellStyle name="Normal 22 4 4 2 2" xfId="18589" xr:uid="{00000000-0005-0000-0000-00009D470000}"/>
    <cellStyle name="Normal 22 4 4 3" xfId="18590" xr:uid="{00000000-0005-0000-0000-00009E470000}"/>
    <cellStyle name="Normal 22 4 5" xfId="18591" xr:uid="{00000000-0005-0000-0000-00009F470000}"/>
    <cellStyle name="Normal 22 4 5 2" xfId="18592" xr:uid="{00000000-0005-0000-0000-0000A0470000}"/>
    <cellStyle name="Normal 22 4 5 2 2" xfId="18593" xr:uid="{00000000-0005-0000-0000-0000A1470000}"/>
    <cellStyle name="Normal 22 4 5 3" xfId="18594" xr:uid="{00000000-0005-0000-0000-0000A2470000}"/>
    <cellStyle name="Normal 22 4 6" xfId="18595" xr:uid="{00000000-0005-0000-0000-0000A3470000}"/>
    <cellStyle name="Normal 22 5" xfId="18596" xr:uid="{00000000-0005-0000-0000-0000A4470000}"/>
    <cellStyle name="Normal 220" xfId="18597" xr:uid="{00000000-0005-0000-0000-0000A5470000}"/>
    <cellStyle name="Normal 220 2" xfId="18598" xr:uid="{00000000-0005-0000-0000-0000A6470000}"/>
    <cellStyle name="Normal 220 2 2" xfId="18599" xr:uid="{00000000-0005-0000-0000-0000A7470000}"/>
    <cellStyle name="Normal 220 2 2 2" xfId="18600" xr:uid="{00000000-0005-0000-0000-0000A8470000}"/>
    <cellStyle name="Normal 220 2 2 2 2" xfId="18601" xr:uid="{00000000-0005-0000-0000-0000A9470000}"/>
    <cellStyle name="Normal 220 2 2 3" xfId="18602" xr:uid="{00000000-0005-0000-0000-0000AA470000}"/>
    <cellStyle name="Normal 220 2 2 3 2" xfId="18603" xr:uid="{00000000-0005-0000-0000-0000AB470000}"/>
    <cellStyle name="Normal 220 2 2 3 2 2" xfId="18604" xr:uid="{00000000-0005-0000-0000-0000AC470000}"/>
    <cellStyle name="Normal 220 2 2 3 3" xfId="18605" xr:uid="{00000000-0005-0000-0000-0000AD470000}"/>
    <cellStyle name="Normal 220 2 2 4" xfId="18606" xr:uid="{00000000-0005-0000-0000-0000AE470000}"/>
    <cellStyle name="Normal 220 2 2 4 2" xfId="18607" xr:uid="{00000000-0005-0000-0000-0000AF470000}"/>
    <cellStyle name="Normal 220 2 2 4 2 2" xfId="18608" xr:uid="{00000000-0005-0000-0000-0000B0470000}"/>
    <cellStyle name="Normal 220 2 2 4 3" xfId="18609" xr:uid="{00000000-0005-0000-0000-0000B1470000}"/>
    <cellStyle name="Normal 220 2 2 5" xfId="18610" xr:uid="{00000000-0005-0000-0000-0000B2470000}"/>
    <cellStyle name="Normal 220 2 3" xfId="18611" xr:uid="{00000000-0005-0000-0000-0000B3470000}"/>
    <cellStyle name="Normal 220 2 3 2" xfId="18612" xr:uid="{00000000-0005-0000-0000-0000B4470000}"/>
    <cellStyle name="Normal 220 2 3 2 2" xfId="18613" xr:uid="{00000000-0005-0000-0000-0000B5470000}"/>
    <cellStyle name="Normal 220 2 3 2 2 2" xfId="18614" xr:uid="{00000000-0005-0000-0000-0000B6470000}"/>
    <cellStyle name="Normal 220 2 3 2 3" xfId="18615" xr:uid="{00000000-0005-0000-0000-0000B7470000}"/>
    <cellStyle name="Normal 220 2 3 2 3 2" xfId="18616" xr:uid="{00000000-0005-0000-0000-0000B8470000}"/>
    <cellStyle name="Normal 220 2 3 2 3 2 2" xfId="18617" xr:uid="{00000000-0005-0000-0000-0000B9470000}"/>
    <cellStyle name="Normal 220 2 3 2 3 3" xfId="18618" xr:uid="{00000000-0005-0000-0000-0000BA470000}"/>
    <cellStyle name="Normal 220 2 3 2 4" xfId="18619" xr:uid="{00000000-0005-0000-0000-0000BB470000}"/>
    <cellStyle name="Normal 220 2 3 3" xfId="18620" xr:uid="{00000000-0005-0000-0000-0000BC470000}"/>
    <cellStyle name="Normal 220 2 3 3 2" xfId="18621" xr:uid="{00000000-0005-0000-0000-0000BD470000}"/>
    <cellStyle name="Normal 220 2 3 3 2 2" xfId="18622" xr:uid="{00000000-0005-0000-0000-0000BE470000}"/>
    <cellStyle name="Normal 220 2 3 3 3" xfId="18623" xr:uid="{00000000-0005-0000-0000-0000BF470000}"/>
    <cellStyle name="Normal 220 2 3 4" xfId="18624" xr:uid="{00000000-0005-0000-0000-0000C0470000}"/>
    <cellStyle name="Normal 220 2 3 4 2" xfId="18625" xr:uid="{00000000-0005-0000-0000-0000C1470000}"/>
    <cellStyle name="Normal 220 2 3 4 2 2" xfId="18626" xr:uid="{00000000-0005-0000-0000-0000C2470000}"/>
    <cellStyle name="Normal 220 2 3 4 3" xfId="18627" xr:uid="{00000000-0005-0000-0000-0000C3470000}"/>
    <cellStyle name="Normal 220 2 3 5" xfId="18628" xr:uid="{00000000-0005-0000-0000-0000C4470000}"/>
    <cellStyle name="Normal 220 2 3 5 2" xfId="18629" xr:uid="{00000000-0005-0000-0000-0000C5470000}"/>
    <cellStyle name="Normal 220 2 3 5 2 2" xfId="18630" xr:uid="{00000000-0005-0000-0000-0000C6470000}"/>
    <cellStyle name="Normal 220 2 3 5 3" xfId="18631" xr:uid="{00000000-0005-0000-0000-0000C7470000}"/>
    <cellStyle name="Normal 220 2 3 6" xfId="18632" xr:uid="{00000000-0005-0000-0000-0000C8470000}"/>
    <cellStyle name="Normal 220 2 4" xfId="18633" xr:uid="{00000000-0005-0000-0000-0000C9470000}"/>
    <cellStyle name="Normal 220 2 4 2" xfId="18634" xr:uid="{00000000-0005-0000-0000-0000CA470000}"/>
    <cellStyle name="Normal 220 2 4 2 2" xfId="18635" xr:uid="{00000000-0005-0000-0000-0000CB470000}"/>
    <cellStyle name="Normal 220 2 4 3" xfId="18636" xr:uid="{00000000-0005-0000-0000-0000CC470000}"/>
    <cellStyle name="Normal 220 2 5" xfId="18637" xr:uid="{00000000-0005-0000-0000-0000CD470000}"/>
    <cellStyle name="Normal 220 2 5 2" xfId="18638" xr:uid="{00000000-0005-0000-0000-0000CE470000}"/>
    <cellStyle name="Normal 220 2 5 2 2" xfId="18639" xr:uid="{00000000-0005-0000-0000-0000CF470000}"/>
    <cellStyle name="Normal 220 2 5 3" xfId="18640" xr:uid="{00000000-0005-0000-0000-0000D0470000}"/>
    <cellStyle name="Normal 220 2 6" xfId="18641" xr:uid="{00000000-0005-0000-0000-0000D1470000}"/>
    <cellStyle name="Normal 220 2 6 2" xfId="18642" xr:uid="{00000000-0005-0000-0000-0000D2470000}"/>
    <cellStyle name="Normal 220 2 6 2 2" xfId="18643" xr:uid="{00000000-0005-0000-0000-0000D3470000}"/>
    <cellStyle name="Normal 220 2 6 3" xfId="18644" xr:uid="{00000000-0005-0000-0000-0000D4470000}"/>
    <cellStyle name="Normal 220 2 7" xfId="18645" xr:uid="{00000000-0005-0000-0000-0000D5470000}"/>
    <cellStyle name="Normal 220 3" xfId="18646" xr:uid="{00000000-0005-0000-0000-0000D6470000}"/>
    <cellStyle name="Normal 220 3 2" xfId="18647" xr:uid="{00000000-0005-0000-0000-0000D7470000}"/>
    <cellStyle name="Normal 220 3 2 2" xfId="18648" xr:uid="{00000000-0005-0000-0000-0000D8470000}"/>
    <cellStyle name="Normal 220 3 3" xfId="18649" xr:uid="{00000000-0005-0000-0000-0000D9470000}"/>
    <cellStyle name="Normal 220 3 3 2" xfId="18650" xr:uid="{00000000-0005-0000-0000-0000DA470000}"/>
    <cellStyle name="Normal 220 3 3 2 2" xfId="18651" xr:uid="{00000000-0005-0000-0000-0000DB470000}"/>
    <cellStyle name="Normal 220 3 3 3" xfId="18652" xr:uid="{00000000-0005-0000-0000-0000DC470000}"/>
    <cellStyle name="Normal 220 3 4" xfId="18653" xr:uid="{00000000-0005-0000-0000-0000DD470000}"/>
    <cellStyle name="Normal 220 3 4 2" xfId="18654" xr:uid="{00000000-0005-0000-0000-0000DE470000}"/>
    <cellStyle name="Normal 220 3 4 2 2" xfId="18655" xr:uid="{00000000-0005-0000-0000-0000DF470000}"/>
    <cellStyle name="Normal 220 3 4 3" xfId="18656" xr:uid="{00000000-0005-0000-0000-0000E0470000}"/>
    <cellStyle name="Normal 220 3 5" xfId="18657" xr:uid="{00000000-0005-0000-0000-0000E1470000}"/>
    <cellStyle name="Normal 220 4" xfId="18658" xr:uid="{00000000-0005-0000-0000-0000E2470000}"/>
    <cellStyle name="Normal 220 4 2" xfId="18659" xr:uid="{00000000-0005-0000-0000-0000E3470000}"/>
    <cellStyle name="Normal 220 4 2 2" xfId="18660" xr:uid="{00000000-0005-0000-0000-0000E4470000}"/>
    <cellStyle name="Normal 220 4 2 2 2" xfId="18661" xr:uid="{00000000-0005-0000-0000-0000E5470000}"/>
    <cellStyle name="Normal 220 4 2 3" xfId="18662" xr:uid="{00000000-0005-0000-0000-0000E6470000}"/>
    <cellStyle name="Normal 220 4 2 3 2" xfId="18663" xr:uid="{00000000-0005-0000-0000-0000E7470000}"/>
    <cellStyle name="Normal 220 4 2 3 2 2" xfId="18664" xr:uid="{00000000-0005-0000-0000-0000E8470000}"/>
    <cellStyle name="Normal 220 4 2 3 3" xfId="18665" xr:uid="{00000000-0005-0000-0000-0000E9470000}"/>
    <cellStyle name="Normal 220 4 2 4" xfId="18666" xr:uid="{00000000-0005-0000-0000-0000EA470000}"/>
    <cellStyle name="Normal 220 4 3" xfId="18667" xr:uid="{00000000-0005-0000-0000-0000EB470000}"/>
    <cellStyle name="Normal 220 4 3 2" xfId="18668" xr:uid="{00000000-0005-0000-0000-0000EC470000}"/>
    <cellStyle name="Normal 220 4 3 2 2" xfId="18669" xr:uid="{00000000-0005-0000-0000-0000ED470000}"/>
    <cellStyle name="Normal 220 4 3 3" xfId="18670" xr:uid="{00000000-0005-0000-0000-0000EE470000}"/>
    <cellStyle name="Normal 220 4 4" xfId="18671" xr:uid="{00000000-0005-0000-0000-0000EF470000}"/>
    <cellStyle name="Normal 220 4 4 2" xfId="18672" xr:uid="{00000000-0005-0000-0000-0000F0470000}"/>
    <cellStyle name="Normal 220 4 4 2 2" xfId="18673" xr:uid="{00000000-0005-0000-0000-0000F1470000}"/>
    <cellStyle name="Normal 220 4 4 3" xfId="18674" xr:uid="{00000000-0005-0000-0000-0000F2470000}"/>
    <cellStyle name="Normal 220 4 5" xfId="18675" xr:uid="{00000000-0005-0000-0000-0000F3470000}"/>
    <cellStyle name="Normal 220 4 5 2" xfId="18676" xr:uid="{00000000-0005-0000-0000-0000F4470000}"/>
    <cellStyle name="Normal 220 4 5 2 2" xfId="18677" xr:uid="{00000000-0005-0000-0000-0000F5470000}"/>
    <cellStyle name="Normal 220 4 5 3" xfId="18678" xr:uid="{00000000-0005-0000-0000-0000F6470000}"/>
    <cellStyle name="Normal 220 4 6" xfId="18679" xr:uid="{00000000-0005-0000-0000-0000F7470000}"/>
    <cellStyle name="Normal 220 5" xfId="18680" xr:uid="{00000000-0005-0000-0000-0000F8470000}"/>
    <cellStyle name="Normal 220 5 2" xfId="18681" xr:uid="{00000000-0005-0000-0000-0000F9470000}"/>
    <cellStyle name="Normal 220 5 2 2" xfId="18682" xr:uid="{00000000-0005-0000-0000-0000FA470000}"/>
    <cellStyle name="Normal 220 5 3" xfId="18683" xr:uid="{00000000-0005-0000-0000-0000FB470000}"/>
    <cellStyle name="Normal 220 6" xfId="18684" xr:uid="{00000000-0005-0000-0000-0000FC470000}"/>
    <cellStyle name="Normal 220 6 2" xfId="18685" xr:uid="{00000000-0005-0000-0000-0000FD470000}"/>
    <cellStyle name="Normal 220 6 2 2" xfId="18686" xr:uid="{00000000-0005-0000-0000-0000FE470000}"/>
    <cellStyle name="Normal 220 6 3" xfId="18687" xr:uid="{00000000-0005-0000-0000-0000FF470000}"/>
    <cellStyle name="Normal 220 7" xfId="18688" xr:uid="{00000000-0005-0000-0000-000000480000}"/>
    <cellStyle name="Normal 220 7 2" xfId="18689" xr:uid="{00000000-0005-0000-0000-000001480000}"/>
    <cellStyle name="Normal 220 7 2 2" xfId="18690" xr:uid="{00000000-0005-0000-0000-000002480000}"/>
    <cellStyle name="Normal 220 7 3" xfId="18691" xr:uid="{00000000-0005-0000-0000-000003480000}"/>
    <cellStyle name="Normal 220 8" xfId="18692" xr:uid="{00000000-0005-0000-0000-000004480000}"/>
    <cellStyle name="Normal 221" xfId="18693" xr:uid="{00000000-0005-0000-0000-000005480000}"/>
    <cellStyle name="Normal 221 2" xfId="18694" xr:uid="{00000000-0005-0000-0000-000006480000}"/>
    <cellStyle name="Normal 221 2 2" xfId="18695" xr:uid="{00000000-0005-0000-0000-000007480000}"/>
    <cellStyle name="Normal 221 2 2 2" xfId="18696" xr:uid="{00000000-0005-0000-0000-000008480000}"/>
    <cellStyle name="Normal 221 2 2 2 2" xfId="18697" xr:uid="{00000000-0005-0000-0000-000009480000}"/>
    <cellStyle name="Normal 221 2 2 3" xfId="18698" xr:uid="{00000000-0005-0000-0000-00000A480000}"/>
    <cellStyle name="Normal 221 2 2 3 2" xfId="18699" xr:uid="{00000000-0005-0000-0000-00000B480000}"/>
    <cellStyle name="Normal 221 2 2 3 2 2" xfId="18700" xr:uid="{00000000-0005-0000-0000-00000C480000}"/>
    <cellStyle name="Normal 221 2 2 3 3" xfId="18701" xr:uid="{00000000-0005-0000-0000-00000D480000}"/>
    <cellStyle name="Normal 221 2 2 4" xfId="18702" xr:uid="{00000000-0005-0000-0000-00000E480000}"/>
    <cellStyle name="Normal 221 2 2 4 2" xfId="18703" xr:uid="{00000000-0005-0000-0000-00000F480000}"/>
    <cellStyle name="Normal 221 2 2 4 2 2" xfId="18704" xr:uid="{00000000-0005-0000-0000-000010480000}"/>
    <cellStyle name="Normal 221 2 2 4 3" xfId="18705" xr:uid="{00000000-0005-0000-0000-000011480000}"/>
    <cellStyle name="Normal 221 2 2 5" xfId="18706" xr:uid="{00000000-0005-0000-0000-000012480000}"/>
    <cellStyle name="Normal 221 2 3" xfId="18707" xr:uid="{00000000-0005-0000-0000-000013480000}"/>
    <cellStyle name="Normal 221 2 3 2" xfId="18708" xr:uid="{00000000-0005-0000-0000-000014480000}"/>
    <cellStyle name="Normal 221 2 3 2 2" xfId="18709" xr:uid="{00000000-0005-0000-0000-000015480000}"/>
    <cellStyle name="Normal 221 2 3 2 2 2" xfId="18710" xr:uid="{00000000-0005-0000-0000-000016480000}"/>
    <cellStyle name="Normal 221 2 3 2 3" xfId="18711" xr:uid="{00000000-0005-0000-0000-000017480000}"/>
    <cellStyle name="Normal 221 2 3 2 3 2" xfId="18712" xr:uid="{00000000-0005-0000-0000-000018480000}"/>
    <cellStyle name="Normal 221 2 3 2 3 2 2" xfId="18713" xr:uid="{00000000-0005-0000-0000-000019480000}"/>
    <cellStyle name="Normal 221 2 3 2 3 3" xfId="18714" xr:uid="{00000000-0005-0000-0000-00001A480000}"/>
    <cellStyle name="Normal 221 2 3 2 4" xfId="18715" xr:uid="{00000000-0005-0000-0000-00001B480000}"/>
    <cellStyle name="Normal 221 2 3 3" xfId="18716" xr:uid="{00000000-0005-0000-0000-00001C480000}"/>
    <cellStyle name="Normal 221 2 3 3 2" xfId="18717" xr:uid="{00000000-0005-0000-0000-00001D480000}"/>
    <cellStyle name="Normal 221 2 3 3 2 2" xfId="18718" xr:uid="{00000000-0005-0000-0000-00001E480000}"/>
    <cellStyle name="Normal 221 2 3 3 3" xfId="18719" xr:uid="{00000000-0005-0000-0000-00001F480000}"/>
    <cellStyle name="Normal 221 2 3 4" xfId="18720" xr:uid="{00000000-0005-0000-0000-000020480000}"/>
    <cellStyle name="Normal 221 2 3 4 2" xfId="18721" xr:uid="{00000000-0005-0000-0000-000021480000}"/>
    <cellStyle name="Normal 221 2 3 4 2 2" xfId="18722" xr:uid="{00000000-0005-0000-0000-000022480000}"/>
    <cellStyle name="Normal 221 2 3 4 3" xfId="18723" xr:uid="{00000000-0005-0000-0000-000023480000}"/>
    <cellStyle name="Normal 221 2 3 5" xfId="18724" xr:uid="{00000000-0005-0000-0000-000024480000}"/>
    <cellStyle name="Normal 221 2 3 5 2" xfId="18725" xr:uid="{00000000-0005-0000-0000-000025480000}"/>
    <cellStyle name="Normal 221 2 3 5 2 2" xfId="18726" xr:uid="{00000000-0005-0000-0000-000026480000}"/>
    <cellStyle name="Normal 221 2 3 5 3" xfId="18727" xr:uid="{00000000-0005-0000-0000-000027480000}"/>
    <cellStyle name="Normal 221 2 3 6" xfId="18728" xr:uid="{00000000-0005-0000-0000-000028480000}"/>
    <cellStyle name="Normal 221 2 4" xfId="18729" xr:uid="{00000000-0005-0000-0000-000029480000}"/>
    <cellStyle name="Normal 221 2 4 2" xfId="18730" xr:uid="{00000000-0005-0000-0000-00002A480000}"/>
    <cellStyle name="Normal 221 2 4 2 2" xfId="18731" xr:uid="{00000000-0005-0000-0000-00002B480000}"/>
    <cellStyle name="Normal 221 2 4 3" xfId="18732" xr:uid="{00000000-0005-0000-0000-00002C480000}"/>
    <cellStyle name="Normal 221 2 5" xfId="18733" xr:uid="{00000000-0005-0000-0000-00002D480000}"/>
    <cellStyle name="Normal 221 2 5 2" xfId="18734" xr:uid="{00000000-0005-0000-0000-00002E480000}"/>
    <cellStyle name="Normal 221 2 5 2 2" xfId="18735" xr:uid="{00000000-0005-0000-0000-00002F480000}"/>
    <cellStyle name="Normal 221 2 5 3" xfId="18736" xr:uid="{00000000-0005-0000-0000-000030480000}"/>
    <cellStyle name="Normal 221 2 6" xfId="18737" xr:uid="{00000000-0005-0000-0000-000031480000}"/>
    <cellStyle name="Normal 221 2 6 2" xfId="18738" xr:uid="{00000000-0005-0000-0000-000032480000}"/>
    <cellStyle name="Normal 221 2 6 2 2" xfId="18739" xr:uid="{00000000-0005-0000-0000-000033480000}"/>
    <cellStyle name="Normal 221 2 6 3" xfId="18740" xr:uid="{00000000-0005-0000-0000-000034480000}"/>
    <cellStyle name="Normal 221 2 7" xfId="18741" xr:uid="{00000000-0005-0000-0000-000035480000}"/>
    <cellStyle name="Normal 221 3" xfId="18742" xr:uid="{00000000-0005-0000-0000-000036480000}"/>
    <cellStyle name="Normal 221 3 2" xfId="18743" xr:uid="{00000000-0005-0000-0000-000037480000}"/>
    <cellStyle name="Normal 221 3 2 2" xfId="18744" xr:uid="{00000000-0005-0000-0000-000038480000}"/>
    <cellStyle name="Normal 221 3 3" xfId="18745" xr:uid="{00000000-0005-0000-0000-000039480000}"/>
    <cellStyle name="Normal 221 3 3 2" xfId="18746" xr:uid="{00000000-0005-0000-0000-00003A480000}"/>
    <cellStyle name="Normal 221 3 3 2 2" xfId="18747" xr:uid="{00000000-0005-0000-0000-00003B480000}"/>
    <cellStyle name="Normal 221 3 3 3" xfId="18748" xr:uid="{00000000-0005-0000-0000-00003C480000}"/>
    <cellStyle name="Normal 221 3 4" xfId="18749" xr:uid="{00000000-0005-0000-0000-00003D480000}"/>
    <cellStyle name="Normal 221 3 4 2" xfId="18750" xr:uid="{00000000-0005-0000-0000-00003E480000}"/>
    <cellStyle name="Normal 221 3 4 2 2" xfId="18751" xr:uid="{00000000-0005-0000-0000-00003F480000}"/>
    <cellStyle name="Normal 221 3 4 3" xfId="18752" xr:uid="{00000000-0005-0000-0000-000040480000}"/>
    <cellStyle name="Normal 221 3 5" xfId="18753" xr:uid="{00000000-0005-0000-0000-000041480000}"/>
    <cellStyle name="Normal 221 4" xfId="18754" xr:uid="{00000000-0005-0000-0000-000042480000}"/>
    <cellStyle name="Normal 221 4 2" xfId="18755" xr:uid="{00000000-0005-0000-0000-000043480000}"/>
    <cellStyle name="Normal 221 4 2 2" xfId="18756" xr:uid="{00000000-0005-0000-0000-000044480000}"/>
    <cellStyle name="Normal 221 4 2 2 2" xfId="18757" xr:uid="{00000000-0005-0000-0000-000045480000}"/>
    <cellStyle name="Normal 221 4 2 3" xfId="18758" xr:uid="{00000000-0005-0000-0000-000046480000}"/>
    <cellStyle name="Normal 221 4 2 3 2" xfId="18759" xr:uid="{00000000-0005-0000-0000-000047480000}"/>
    <cellStyle name="Normal 221 4 2 3 2 2" xfId="18760" xr:uid="{00000000-0005-0000-0000-000048480000}"/>
    <cellStyle name="Normal 221 4 2 3 3" xfId="18761" xr:uid="{00000000-0005-0000-0000-000049480000}"/>
    <cellStyle name="Normal 221 4 2 4" xfId="18762" xr:uid="{00000000-0005-0000-0000-00004A480000}"/>
    <cellStyle name="Normal 221 4 3" xfId="18763" xr:uid="{00000000-0005-0000-0000-00004B480000}"/>
    <cellStyle name="Normal 221 4 3 2" xfId="18764" xr:uid="{00000000-0005-0000-0000-00004C480000}"/>
    <cellStyle name="Normal 221 4 3 2 2" xfId="18765" xr:uid="{00000000-0005-0000-0000-00004D480000}"/>
    <cellStyle name="Normal 221 4 3 3" xfId="18766" xr:uid="{00000000-0005-0000-0000-00004E480000}"/>
    <cellStyle name="Normal 221 4 4" xfId="18767" xr:uid="{00000000-0005-0000-0000-00004F480000}"/>
    <cellStyle name="Normal 221 4 4 2" xfId="18768" xr:uid="{00000000-0005-0000-0000-000050480000}"/>
    <cellStyle name="Normal 221 4 4 2 2" xfId="18769" xr:uid="{00000000-0005-0000-0000-000051480000}"/>
    <cellStyle name="Normal 221 4 4 3" xfId="18770" xr:uid="{00000000-0005-0000-0000-000052480000}"/>
    <cellStyle name="Normal 221 4 5" xfId="18771" xr:uid="{00000000-0005-0000-0000-000053480000}"/>
    <cellStyle name="Normal 221 4 5 2" xfId="18772" xr:uid="{00000000-0005-0000-0000-000054480000}"/>
    <cellStyle name="Normal 221 4 5 2 2" xfId="18773" xr:uid="{00000000-0005-0000-0000-000055480000}"/>
    <cellStyle name="Normal 221 4 5 3" xfId="18774" xr:uid="{00000000-0005-0000-0000-000056480000}"/>
    <cellStyle name="Normal 221 4 6" xfId="18775" xr:uid="{00000000-0005-0000-0000-000057480000}"/>
    <cellStyle name="Normal 221 5" xfId="18776" xr:uid="{00000000-0005-0000-0000-000058480000}"/>
    <cellStyle name="Normal 221 5 2" xfId="18777" xr:uid="{00000000-0005-0000-0000-000059480000}"/>
    <cellStyle name="Normal 221 5 2 2" xfId="18778" xr:uid="{00000000-0005-0000-0000-00005A480000}"/>
    <cellStyle name="Normal 221 5 3" xfId="18779" xr:uid="{00000000-0005-0000-0000-00005B480000}"/>
    <cellStyle name="Normal 221 6" xfId="18780" xr:uid="{00000000-0005-0000-0000-00005C480000}"/>
    <cellStyle name="Normal 221 6 2" xfId="18781" xr:uid="{00000000-0005-0000-0000-00005D480000}"/>
    <cellStyle name="Normal 221 6 2 2" xfId="18782" xr:uid="{00000000-0005-0000-0000-00005E480000}"/>
    <cellStyle name="Normal 221 6 3" xfId="18783" xr:uid="{00000000-0005-0000-0000-00005F480000}"/>
    <cellStyle name="Normal 221 7" xfId="18784" xr:uid="{00000000-0005-0000-0000-000060480000}"/>
    <cellStyle name="Normal 221 7 2" xfId="18785" xr:uid="{00000000-0005-0000-0000-000061480000}"/>
    <cellStyle name="Normal 221 7 2 2" xfId="18786" xr:uid="{00000000-0005-0000-0000-000062480000}"/>
    <cellStyle name="Normal 221 7 3" xfId="18787" xr:uid="{00000000-0005-0000-0000-000063480000}"/>
    <cellStyle name="Normal 221 8" xfId="18788" xr:uid="{00000000-0005-0000-0000-000064480000}"/>
    <cellStyle name="Normal 222" xfId="18789" xr:uid="{00000000-0005-0000-0000-000065480000}"/>
    <cellStyle name="Normal 222 2" xfId="18790" xr:uid="{00000000-0005-0000-0000-000066480000}"/>
    <cellStyle name="Normal 222 2 2" xfId="18791" xr:uid="{00000000-0005-0000-0000-000067480000}"/>
    <cellStyle name="Normal 222 2 2 2" xfId="18792" xr:uid="{00000000-0005-0000-0000-000068480000}"/>
    <cellStyle name="Normal 222 2 2 2 2" xfId="18793" xr:uid="{00000000-0005-0000-0000-000069480000}"/>
    <cellStyle name="Normal 222 2 2 3" xfId="18794" xr:uid="{00000000-0005-0000-0000-00006A480000}"/>
    <cellStyle name="Normal 222 2 2 3 2" xfId="18795" xr:uid="{00000000-0005-0000-0000-00006B480000}"/>
    <cellStyle name="Normal 222 2 2 3 2 2" xfId="18796" xr:uid="{00000000-0005-0000-0000-00006C480000}"/>
    <cellStyle name="Normal 222 2 2 3 3" xfId="18797" xr:uid="{00000000-0005-0000-0000-00006D480000}"/>
    <cellStyle name="Normal 222 2 2 4" xfId="18798" xr:uid="{00000000-0005-0000-0000-00006E480000}"/>
    <cellStyle name="Normal 222 2 2 4 2" xfId="18799" xr:uid="{00000000-0005-0000-0000-00006F480000}"/>
    <cellStyle name="Normal 222 2 2 4 2 2" xfId="18800" xr:uid="{00000000-0005-0000-0000-000070480000}"/>
    <cellStyle name="Normal 222 2 2 4 3" xfId="18801" xr:uid="{00000000-0005-0000-0000-000071480000}"/>
    <cellStyle name="Normal 222 2 2 5" xfId="18802" xr:uid="{00000000-0005-0000-0000-000072480000}"/>
    <cellStyle name="Normal 222 2 3" xfId="18803" xr:uid="{00000000-0005-0000-0000-000073480000}"/>
    <cellStyle name="Normal 222 2 3 2" xfId="18804" xr:uid="{00000000-0005-0000-0000-000074480000}"/>
    <cellStyle name="Normal 222 2 3 2 2" xfId="18805" xr:uid="{00000000-0005-0000-0000-000075480000}"/>
    <cellStyle name="Normal 222 2 3 2 2 2" xfId="18806" xr:uid="{00000000-0005-0000-0000-000076480000}"/>
    <cellStyle name="Normal 222 2 3 2 3" xfId="18807" xr:uid="{00000000-0005-0000-0000-000077480000}"/>
    <cellStyle name="Normal 222 2 3 2 3 2" xfId="18808" xr:uid="{00000000-0005-0000-0000-000078480000}"/>
    <cellStyle name="Normal 222 2 3 2 3 2 2" xfId="18809" xr:uid="{00000000-0005-0000-0000-000079480000}"/>
    <cellStyle name="Normal 222 2 3 2 3 3" xfId="18810" xr:uid="{00000000-0005-0000-0000-00007A480000}"/>
    <cellStyle name="Normal 222 2 3 2 4" xfId="18811" xr:uid="{00000000-0005-0000-0000-00007B480000}"/>
    <cellStyle name="Normal 222 2 3 3" xfId="18812" xr:uid="{00000000-0005-0000-0000-00007C480000}"/>
    <cellStyle name="Normal 222 2 3 3 2" xfId="18813" xr:uid="{00000000-0005-0000-0000-00007D480000}"/>
    <cellStyle name="Normal 222 2 3 3 2 2" xfId="18814" xr:uid="{00000000-0005-0000-0000-00007E480000}"/>
    <cellStyle name="Normal 222 2 3 3 3" xfId="18815" xr:uid="{00000000-0005-0000-0000-00007F480000}"/>
    <cellStyle name="Normal 222 2 3 4" xfId="18816" xr:uid="{00000000-0005-0000-0000-000080480000}"/>
    <cellStyle name="Normal 222 2 3 4 2" xfId="18817" xr:uid="{00000000-0005-0000-0000-000081480000}"/>
    <cellStyle name="Normal 222 2 3 4 2 2" xfId="18818" xr:uid="{00000000-0005-0000-0000-000082480000}"/>
    <cellStyle name="Normal 222 2 3 4 3" xfId="18819" xr:uid="{00000000-0005-0000-0000-000083480000}"/>
    <cellStyle name="Normal 222 2 3 5" xfId="18820" xr:uid="{00000000-0005-0000-0000-000084480000}"/>
    <cellStyle name="Normal 222 2 3 5 2" xfId="18821" xr:uid="{00000000-0005-0000-0000-000085480000}"/>
    <cellStyle name="Normal 222 2 3 5 2 2" xfId="18822" xr:uid="{00000000-0005-0000-0000-000086480000}"/>
    <cellStyle name="Normal 222 2 3 5 3" xfId="18823" xr:uid="{00000000-0005-0000-0000-000087480000}"/>
    <cellStyle name="Normal 222 2 3 6" xfId="18824" xr:uid="{00000000-0005-0000-0000-000088480000}"/>
    <cellStyle name="Normal 222 2 4" xfId="18825" xr:uid="{00000000-0005-0000-0000-000089480000}"/>
    <cellStyle name="Normal 222 2 4 2" xfId="18826" xr:uid="{00000000-0005-0000-0000-00008A480000}"/>
    <cellStyle name="Normal 222 2 4 2 2" xfId="18827" xr:uid="{00000000-0005-0000-0000-00008B480000}"/>
    <cellStyle name="Normal 222 2 4 3" xfId="18828" xr:uid="{00000000-0005-0000-0000-00008C480000}"/>
    <cellStyle name="Normal 222 2 5" xfId="18829" xr:uid="{00000000-0005-0000-0000-00008D480000}"/>
    <cellStyle name="Normal 222 2 5 2" xfId="18830" xr:uid="{00000000-0005-0000-0000-00008E480000}"/>
    <cellStyle name="Normal 222 2 5 2 2" xfId="18831" xr:uid="{00000000-0005-0000-0000-00008F480000}"/>
    <cellStyle name="Normal 222 2 5 3" xfId="18832" xr:uid="{00000000-0005-0000-0000-000090480000}"/>
    <cellStyle name="Normal 222 2 6" xfId="18833" xr:uid="{00000000-0005-0000-0000-000091480000}"/>
    <cellStyle name="Normal 222 2 6 2" xfId="18834" xr:uid="{00000000-0005-0000-0000-000092480000}"/>
    <cellStyle name="Normal 222 2 6 2 2" xfId="18835" xr:uid="{00000000-0005-0000-0000-000093480000}"/>
    <cellStyle name="Normal 222 2 6 3" xfId="18836" xr:uid="{00000000-0005-0000-0000-000094480000}"/>
    <cellStyle name="Normal 222 2 7" xfId="18837" xr:uid="{00000000-0005-0000-0000-000095480000}"/>
    <cellStyle name="Normal 222 3" xfId="18838" xr:uid="{00000000-0005-0000-0000-000096480000}"/>
    <cellStyle name="Normal 222 3 2" xfId="18839" xr:uid="{00000000-0005-0000-0000-000097480000}"/>
    <cellStyle name="Normal 222 3 2 2" xfId="18840" xr:uid="{00000000-0005-0000-0000-000098480000}"/>
    <cellStyle name="Normal 222 3 3" xfId="18841" xr:uid="{00000000-0005-0000-0000-000099480000}"/>
    <cellStyle name="Normal 222 3 3 2" xfId="18842" xr:uid="{00000000-0005-0000-0000-00009A480000}"/>
    <cellStyle name="Normal 222 3 3 2 2" xfId="18843" xr:uid="{00000000-0005-0000-0000-00009B480000}"/>
    <cellStyle name="Normal 222 3 3 3" xfId="18844" xr:uid="{00000000-0005-0000-0000-00009C480000}"/>
    <cellStyle name="Normal 222 3 4" xfId="18845" xr:uid="{00000000-0005-0000-0000-00009D480000}"/>
    <cellStyle name="Normal 222 3 4 2" xfId="18846" xr:uid="{00000000-0005-0000-0000-00009E480000}"/>
    <cellStyle name="Normal 222 3 4 2 2" xfId="18847" xr:uid="{00000000-0005-0000-0000-00009F480000}"/>
    <cellStyle name="Normal 222 3 4 3" xfId="18848" xr:uid="{00000000-0005-0000-0000-0000A0480000}"/>
    <cellStyle name="Normal 222 3 5" xfId="18849" xr:uid="{00000000-0005-0000-0000-0000A1480000}"/>
    <cellStyle name="Normal 222 4" xfId="18850" xr:uid="{00000000-0005-0000-0000-0000A2480000}"/>
    <cellStyle name="Normal 222 4 2" xfId="18851" xr:uid="{00000000-0005-0000-0000-0000A3480000}"/>
    <cellStyle name="Normal 222 4 2 2" xfId="18852" xr:uid="{00000000-0005-0000-0000-0000A4480000}"/>
    <cellStyle name="Normal 222 4 2 2 2" xfId="18853" xr:uid="{00000000-0005-0000-0000-0000A5480000}"/>
    <cellStyle name="Normal 222 4 2 3" xfId="18854" xr:uid="{00000000-0005-0000-0000-0000A6480000}"/>
    <cellStyle name="Normal 222 4 2 3 2" xfId="18855" xr:uid="{00000000-0005-0000-0000-0000A7480000}"/>
    <cellStyle name="Normal 222 4 2 3 2 2" xfId="18856" xr:uid="{00000000-0005-0000-0000-0000A8480000}"/>
    <cellStyle name="Normal 222 4 2 3 3" xfId="18857" xr:uid="{00000000-0005-0000-0000-0000A9480000}"/>
    <cellStyle name="Normal 222 4 2 4" xfId="18858" xr:uid="{00000000-0005-0000-0000-0000AA480000}"/>
    <cellStyle name="Normal 222 4 3" xfId="18859" xr:uid="{00000000-0005-0000-0000-0000AB480000}"/>
    <cellStyle name="Normal 222 4 3 2" xfId="18860" xr:uid="{00000000-0005-0000-0000-0000AC480000}"/>
    <cellStyle name="Normal 222 4 3 2 2" xfId="18861" xr:uid="{00000000-0005-0000-0000-0000AD480000}"/>
    <cellStyle name="Normal 222 4 3 3" xfId="18862" xr:uid="{00000000-0005-0000-0000-0000AE480000}"/>
    <cellStyle name="Normal 222 4 4" xfId="18863" xr:uid="{00000000-0005-0000-0000-0000AF480000}"/>
    <cellStyle name="Normal 222 4 4 2" xfId="18864" xr:uid="{00000000-0005-0000-0000-0000B0480000}"/>
    <cellStyle name="Normal 222 4 4 2 2" xfId="18865" xr:uid="{00000000-0005-0000-0000-0000B1480000}"/>
    <cellStyle name="Normal 222 4 4 3" xfId="18866" xr:uid="{00000000-0005-0000-0000-0000B2480000}"/>
    <cellStyle name="Normal 222 4 5" xfId="18867" xr:uid="{00000000-0005-0000-0000-0000B3480000}"/>
    <cellStyle name="Normal 222 4 5 2" xfId="18868" xr:uid="{00000000-0005-0000-0000-0000B4480000}"/>
    <cellStyle name="Normal 222 4 5 2 2" xfId="18869" xr:uid="{00000000-0005-0000-0000-0000B5480000}"/>
    <cellStyle name="Normal 222 4 5 3" xfId="18870" xr:uid="{00000000-0005-0000-0000-0000B6480000}"/>
    <cellStyle name="Normal 222 4 6" xfId="18871" xr:uid="{00000000-0005-0000-0000-0000B7480000}"/>
    <cellStyle name="Normal 222 5" xfId="18872" xr:uid="{00000000-0005-0000-0000-0000B8480000}"/>
    <cellStyle name="Normal 222 5 2" xfId="18873" xr:uid="{00000000-0005-0000-0000-0000B9480000}"/>
    <cellStyle name="Normal 222 5 2 2" xfId="18874" xr:uid="{00000000-0005-0000-0000-0000BA480000}"/>
    <cellStyle name="Normal 222 5 3" xfId="18875" xr:uid="{00000000-0005-0000-0000-0000BB480000}"/>
    <cellStyle name="Normal 222 6" xfId="18876" xr:uid="{00000000-0005-0000-0000-0000BC480000}"/>
    <cellStyle name="Normal 222 6 2" xfId="18877" xr:uid="{00000000-0005-0000-0000-0000BD480000}"/>
    <cellStyle name="Normal 222 6 2 2" xfId="18878" xr:uid="{00000000-0005-0000-0000-0000BE480000}"/>
    <cellStyle name="Normal 222 6 3" xfId="18879" xr:uid="{00000000-0005-0000-0000-0000BF480000}"/>
    <cellStyle name="Normal 222 7" xfId="18880" xr:uid="{00000000-0005-0000-0000-0000C0480000}"/>
    <cellStyle name="Normal 222 7 2" xfId="18881" xr:uid="{00000000-0005-0000-0000-0000C1480000}"/>
    <cellStyle name="Normal 222 7 2 2" xfId="18882" xr:uid="{00000000-0005-0000-0000-0000C2480000}"/>
    <cellStyle name="Normal 222 7 3" xfId="18883" xr:uid="{00000000-0005-0000-0000-0000C3480000}"/>
    <cellStyle name="Normal 222 8" xfId="18884" xr:uid="{00000000-0005-0000-0000-0000C4480000}"/>
    <cellStyle name="Normal 223" xfId="18885" xr:uid="{00000000-0005-0000-0000-0000C5480000}"/>
    <cellStyle name="Normal 223 2" xfId="18886" xr:uid="{00000000-0005-0000-0000-0000C6480000}"/>
    <cellStyle name="Normal 223 2 2" xfId="18887" xr:uid="{00000000-0005-0000-0000-0000C7480000}"/>
    <cellStyle name="Normal 223 2 2 2" xfId="18888" xr:uid="{00000000-0005-0000-0000-0000C8480000}"/>
    <cellStyle name="Normal 223 2 2 2 2" xfId="18889" xr:uid="{00000000-0005-0000-0000-0000C9480000}"/>
    <cellStyle name="Normal 223 2 2 3" xfId="18890" xr:uid="{00000000-0005-0000-0000-0000CA480000}"/>
    <cellStyle name="Normal 223 2 2 3 2" xfId="18891" xr:uid="{00000000-0005-0000-0000-0000CB480000}"/>
    <cellStyle name="Normal 223 2 2 3 2 2" xfId="18892" xr:uid="{00000000-0005-0000-0000-0000CC480000}"/>
    <cellStyle name="Normal 223 2 2 3 3" xfId="18893" xr:uid="{00000000-0005-0000-0000-0000CD480000}"/>
    <cellStyle name="Normal 223 2 2 4" xfId="18894" xr:uid="{00000000-0005-0000-0000-0000CE480000}"/>
    <cellStyle name="Normal 223 2 2 4 2" xfId="18895" xr:uid="{00000000-0005-0000-0000-0000CF480000}"/>
    <cellStyle name="Normal 223 2 2 4 2 2" xfId="18896" xr:uid="{00000000-0005-0000-0000-0000D0480000}"/>
    <cellStyle name="Normal 223 2 2 4 3" xfId="18897" xr:uid="{00000000-0005-0000-0000-0000D1480000}"/>
    <cellStyle name="Normal 223 2 2 5" xfId="18898" xr:uid="{00000000-0005-0000-0000-0000D2480000}"/>
    <cellStyle name="Normal 223 2 3" xfId="18899" xr:uid="{00000000-0005-0000-0000-0000D3480000}"/>
    <cellStyle name="Normal 223 2 3 2" xfId="18900" xr:uid="{00000000-0005-0000-0000-0000D4480000}"/>
    <cellStyle name="Normal 223 2 3 2 2" xfId="18901" xr:uid="{00000000-0005-0000-0000-0000D5480000}"/>
    <cellStyle name="Normal 223 2 3 2 2 2" xfId="18902" xr:uid="{00000000-0005-0000-0000-0000D6480000}"/>
    <cellStyle name="Normal 223 2 3 2 3" xfId="18903" xr:uid="{00000000-0005-0000-0000-0000D7480000}"/>
    <cellStyle name="Normal 223 2 3 2 3 2" xfId="18904" xr:uid="{00000000-0005-0000-0000-0000D8480000}"/>
    <cellStyle name="Normal 223 2 3 2 3 2 2" xfId="18905" xr:uid="{00000000-0005-0000-0000-0000D9480000}"/>
    <cellStyle name="Normal 223 2 3 2 3 3" xfId="18906" xr:uid="{00000000-0005-0000-0000-0000DA480000}"/>
    <cellStyle name="Normal 223 2 3 2 4" xfId="18907" xr:uid="{00000000-0005-0000-0000-0000DB480000}"/>
    <cellStyle name="Normal 223 2 3 3" xfId="18908" xr:uid="{00000000-0005-0000-0000-0000DC480000}"/>
    <cellStyle name="Normal 223 2 3 3 2" xfId="18909" xr:uid="{00000000-0005-0000-0000-0000DD480000}"/>
    <cellStyle name="Normal 223 2 3 3 2 2" xfId="18910" xr:uid="{00000000-0005-0000-0000-0000DE480000}"/>
    <cellStyle name="Normal 223 2 3 3 3" xfId="18911" xr:uid="{00000000-0005-0000-0000-0000DF480000}"/>
    <cellStyle name="Normal 223 2 3 4" xfId="18912" xr:uid="{00000000-0005-0000-0000-0000E0480000}"/>
    <cellStyle name="Normal 223 2 3 4 2" xfId="18913" xr:uid="{00000000-0005-0000-0000-0000E1480000}"/>
    <cellStyle name="Normal 223 2 3 4 2 2" xfId="18914" xr:uid="{00000000-0005-0000-0000-0000E2480000}"/>
    <cellStyle name="Normal 223 2 3 4 3" xfId="18915" xr:uid="{00000000-0005-0000-0000-0000E3480000}"/>
    <cellStyle name="Normal 223 2 3 5" xfId="18916" xr:uid="{00000000-0005-0000-0000-0000E4480000}"/>
    <cellStyle name="Normal 223 2 3 5 2" xfId="18917" xr:uid="{00000000-0005-0000-0000-0000E5480000}"/>
    <cellStyle name="Normal 223 2 3 5 2 2" xfId="18918" xr:uid="{00000000-0005-0000-0000-0000E6480000}"/>
    <cellStyle name="Normal 223 2 3 5 3" xfId="18919" xr:uid="{00000000-0005-0000-0000-0000E7480000}"/>
    <cellStyle name="Normal 223 2 3 6" xfId="18920" xr:uid="{00000000-0005-0000-0000-0000E8480000}"/>
    <cellStyle name="Normal 223 2 4" xfId="18921" xr:uid="{00000000-0005-0000-0000-0000E9480000}"/>
    <cellStyle name="Normal 223 2 4 2" xfId="18922" xr:uid="{00000000-0005-0000-0000-0000EA480000}"/>
    <cellStyle name="Normal 223 2 4 2 2" xfId="18923" xr:uid="{00000000-0005-0000-0000-0000EB480000}"/>
    <cellStyle name="Normal 223 2 4 3" xfId="18924" xr:uid="{00000000-0005-0000-0000-0000EC480000}"/>
    <cellStyle name="Normal 223 2 5" xfId="18925" xr:uid="{00000000-0005-0000-0000-0000ED480000}"/>
    <cellStyle name="Normal 223 2 5 2" xfId="18926" xr:uid="{00000000-0005-0000-0000-0000EE480000}"/>
    <cellStyle name="Normal 223 2 5 2 2" xfId="18927" xr:uid="{00000000-0005-0000-0000-0000EF480000}"/>
    <cellStyle name="Normal 223 2 5 3" xfId="18928" xr:uid="{00000000-0005-0000-0000-0000F0480000}"/>
    <cellStyle name="Normal 223 2 6" xfId="18929" xr:uid="{00000000-0005-0000-0000-0000F1480000}"/>
    <cellStyle name="Normal 223 2 6 2" xfId="18930" xr:uid="{00000000-0005-0000-0000-0000F2480000}"/>
    <cellStyle name="Normal 223 2 6 2 2" xfId="18931" xr:uid="{00000000-0005-0000-0000-0000F3480000}"/>
    <cellStyle name="Normal 223 2 6 3" xfId="18932" xr:uid="{00000000-0005-0000-0000-0000F4480000}"/>
    <cellStyle name="Normal 223 2 7" xfId="18933" xr:uid="{00000000-0005-0000-0000-0000F5480000}"/>
    <cellStyle name="Normal 223 3" xfId="18934" xr:uid="{00000000-0005-0000-0000-0000F6480000}"/>
    <cellStyle name="Normal 223 3 2" xfId="18935" xr:uid="{00000000-0005-0000-0000-0000F7480000}"/>
    <cellStyle name="Normal 223 3 2 2" xfId="18936" xr:uid="{00000000-0005-0000-0000-0000F8480000}"/>
    <cellStyle name="Normal 223 3 3" xfId="18937" xr:uid="{00000000-0005-0000-0000-0000F9480000}"/>
    <cellStyle name="Normal 223 3 3 2" xfId="18938" xr:uid="{00000000-0005-0000-0000-0000FA480000}"/>
    <cellStyle name="Normal 223 3 3 2 2" xfId="18939" xr:uid="{00000000-0005-0000-0000-0000FB480000}"/>
    <cellStyle name="Normal 223 3 3 3" xfId="18940" xr:uid="{00000000-0005-0000-0000-0000FC480000}"/>
    <cellStyle name="Normal 223 3 4" xfId="18941" xr:uid="{00000000-0005-0000-0000-0000FD480000}"/>
    <cellStyle name="Normal 223 3 4 2" xfId="18942" xr:uid="{00000000-0005-0000-0000-0000FE480000}"/>
    <cellStyle name="Normal 223 3 4 2 2" xfId="18943" xr:uid="{00000000-0005-0000-0000-0000FF480000}"/>
    <cellStyle name="Normal 223 3 4 3" xfId="18944" xr:uid="{00000000-0005-0000-0000-000000490000}"/>
    <cellStyle name="Normal 223 3 5" xfId="18945" xr:uid="{00000000-0005-0000-0000-000001490000}"/>
    <cellStyle name="Normal 223 4" xfId="18946" xr:uid="{00000000-0005-0000-0000-000002490000}"/>
    <cellStyle name="Normal 223 4 2" xfId="18947" xr:uid="{00000000-0005-0000-0000-000003490000}"/>
    <cellStyle name="Normal 223 4 2 2" xfId="18948" xr:uid="{00000000-0005-0000-0000-000004490000}"/>
    <cellStyle name="Normal 223 4 2 2 2" xfId="18949" xr:uid="{00000000-0005-0000-0000-000005490000}"/>
    <cellStyle name="Normal 223 4 2 3" xfId="18950" xr:uid="{00000000-0005-0000-0000-000006490000}"/>
    <cellStyle name="Normal 223 4 2 3 2" xfId="18951" xr:uid="{00000000-0005-0000-0000-000007490000}"/>
    <cellStyle name="Normal 223 4 2 3 2 2" xfId="18952" xr:uid="{00000000-0005-0000-0000-000008490000}"/>
    <cellStyle name="Normal 223 4 2 3 3" xfId="18953" xr:uid="{00000000-0005-0000-0000-000009490000}"/>
    <cellStyle name="Normal 223 4 2 4" xfId="18954" xr:uid="{00000000-0005-0000-0000-00000A490000}"/>
    <cellStyle name="Normal 223 4 3" xfId="18955" xr:uid="{00000000-0005-0000-0000-00000B490000}"/>
    <cellStyle name="Normal 223 4 3 2" xfId="18956" xr:uid="{00000000-0005-0000-0000-00000C490000}"/>
    <cellStyle name="Normal 223 4 3 2 2" xfId="18957" xr:uid="{00000000-0005-0000-0000-00000D490000}"/>
    <cellStyle name="Normal 223 4 3 3" xfId="18958" xr:uid="{00000000-0005-0000-0000-00000E490000}"/>
    <cellStyle name="Normal 223 4 4" xfId="18959" xr:uid="{00000000-0005-0000-0000-00000F490000}"/>
    <cellStyle name="Normal 223 4 4 2" xfId="18960" xr:uid="{00000000-0005-0000-0000-000010490000}"/>
    <cellStyle name="Normal 223 4 4 2 2" xfId="18961" xr:uid="{00000000-0005-0000-0000-000011490000}"/>
    <cellStyle name="Normal 223 4 4 3" xfId="18962" xr:uid="{00000000-0005-0000-0000-000012490000}"/>
    <cellStyle name="Normal 223 4 5" xfId="18963" xr:uid="{00000000-0005-0000-0000-000013490000}"/>
    <cellStyle name="Normal 223 4 5 2" xfId="18964" xr:uid="{00000000-0005-0000-0000-000014490000}"/>
    <cellStyle name="Normal 223 4 5 2 2" xfId="18965" xr:uid="{00000000-0005-0000-0000-000015490000}"/>
    <cellStyle name="Normal 223 4 5 3" xfId="18966" xr:uid="{00000000-0005-0000-0000-000016490000}"/>
    <cellStyle name="Normal 223 4 6" xfId="18967" xr:uid="{00000000-0005-0000-0000-000017490000}"/>
    <cellStyle name="Normal 223 5" xfId="18968" xr:uid="{00000000-0005-0000-0000-000018490000}"/>
    <cellStyle name="Normal 223 5 2" xfId="18969" xr:uid="{00000000-0005-0000-0000-000019490000}"/>
    <cellStyle name="Normal 223 5 2 2" xfId="18970" xr:uid="{00000000-0005-0000-0000-00001A490000}"/>
    <cellStyle name="Normal 223 5 3" xfId="18971" xr:uid="{00000000-0005-0000-0000-00001B490000}"/>
    <cellStyle name="Normal 223 6" xfId="18972" xr:uid="{00000000-0005-0000-0000-00001C490000}"/>
    <cellStyle name="Normal 223 6 2" xfId="18973" xr:uid="{00000000-0005-0000-0000-00001D490000}"/>
    <cellStyle name="Normal 223 6 2 2" xfId="18974" xr:uid="{00000000-0005-0000-0000-00001E490000}"/>
    <cellStyle name="Normal 223 6 3" xfId="18975" xr:uid="{00000000-0005-0000-0000-00001F490000}"/>
    <cellStyle name="Normal 223 7" xfId="18976" xr:uid="{00000000-0005-0000-0000-000020490000}"/>
    <cellStyle name="Normal 223 7 2" xfId="18977" xr:uid="{00000000-0005-0000-0000-000021490000}"/>
    <cellStyle name="Normal 223 7 2 2" xfId="18978" xr:uid="{00000000-0005-0000-0000-000022490000}"/>
    <cellStyle name="Normal 223 7 3" xfId="18979" xr:uid="{00000000-0005-0000-0000-000023490000}"/>
    <cellStyle name="Normal 223 8" xfId="18980" xr:uid="{00000000-0005-0000-0000-000024490000}"/>
    <cellStyle name="Normal 224" xfId="18981" xr:uid="{00000000-0005-0000-0000-000025490000}"/>
    <cellStyle name="Normal 224 2" xfId="18982" xr:uid="{00000000-0005-0000-0000-000026490000}"/>
    <cellStyle name="Normal 224 2 2" xfId="18983" xr:uid="{00000000-0005-0000-0000-000027490000}"/>
    <cellStyle name="Normal 224 2 2 2" xfId="18984" xr:uid="{00000000-0005-0000-0000-000028490000}"/>
    <cellStyle name="Normal 224 2 2 2 2" xfId="18985" xr:uid="{00000000-0005-0000-0000-000029490000}"/>
    <cellStyle name="Normal 224 2 2 3" xfId="18986" xr:uid="{00000000-0005-0000-0000-00002A490000}"/>
    <cellStyle name="Normal 224 2 2 3 2" xfId="18987" xr:uid="{00000000-0005-0000-0000-00002B490000}"/>
    <cellStyle name="Normal 224 2 2 3 2 2" xfId="18988" xr:uid="{00000000-0005-0000-0000-00002C490000}"/>
    <cellStyle name="Normal 224 2 2 3 3" xfId="18989" xr:uid="{00000000-0005-0000-0000-00002D490000}"/>
    <cellStyle name="Normal 224 2 2 4" xfId="18990" xr:uid="{00000000-0005-0000-0000-00002E490000}"/>
    <cellStyle name="Normal 224 2 2 4 2" xfId="18991" xr:uid="{00000000-0005-0000-0000-00002F490000}"/>
    <cellStyle name="Normal 224 2 2 4 2 2" xfId="18992" xr:uid="{00000000-0005-0000-0000-000030490000}"/>
    <cellStyle name="Normal 224 2 2 4 3" xfId="18993" xr:uid="{00000000-0005-0000-0000-000031490000}"/>
    <cellStyle name="Normal 224 2 2 5" xfId="18994" xr:uid="{00000000-0005-0000-0000-000032490000}"/>
    <cellStyle name="Normal 224 2 3" xfId="18995" xr:uid="{00000000-0005-0000-0000-000033490000}"/>
    <cellStyle name="Normal 224 2 3 2" xfId="18996" xr:uid="{00000000-0005-0000-0000-000034490000}"/>
    <cellStyle name="Normal 224 2 3 2 2" xfId="18997" xr:uid="{00000000-0005-0000-0000-000035490000}"/>
    <cellStyle name="Normal 224 2 3 2 2 2" xfId="18998" xr:uid="{00000000-0005-0000-0000-000036490000}"/>
    <cellStyle name="Normal 224 2 3 2 3" xfId="18999" xr:uid="{00000000-0005-0000-0000-000037490000}"/>
    <cellStyle name="Normal 224 2 3 2 3 2" xfId="19000" xr:uid="{00000000-0005-0000-0000-000038490000}"/>
    <cellStyle name="Normal 224 2 3 2 3 2 2" xfId="19001" xr:uid="{00000000-0005-0000-0000-000039490000}"/>
    <cellStyle name="Normal 224 2 3 2 3 3" xfId="19002" xr:uid="{00000000-0005-0000-0000-00003A490000}"/>
    <cellStyle name="Normal 224 2 3 2 4" xfId="19003" xr:uid="{00000000-0005-0000-0000-00003B490000}"/>
    <cellStyle name="Normal 224 2 3 3" xfId="19004" xr:uid="{00000000-0005-0000-0000-00003C490000}"/>
    <cellStyle name="Normal 224 2 3 3 2" xfId="19005" xr:uid="{00000000-0005-0000-0000-00003D490000}"/>
    <cellStyle name="Normal 224 2 3 3 2 2" xfId="19006" xr:uid="{00000000-0005-0000-0000-00003E490000}"/>
    <cellStyle name="Normal 224 2 3 3 3" xfId="19007" xr:uid="{00000000-0005-0000-0000-00003F490000}"/>
    <cellStyle name="Normal 224 2 3 4" xfId="19008" xr:uid="{00000000-0005-0000-0000-000040490000}"/>
    <cellStyle name="Normal 224 2 3 4 2" xfId="19009" xr:uid="{00000000-0005-0000-0000-000041490000}"/>
    <cellStyle name="Normal 224 2 3 4 2 2" xfId="19010" xr:uid="{00000000-0005-0000-0000-000042490000}"/>
    <cellStyle name="Normal 224 2 3 4 3" xfId="19011" xr:uid="{00000000-0005-0000-0000-000043490000}"/>
    <cellStyle name="Normal 224 2 3 5" xfId="19012" xr:uid="{00000000-0005-0000-0000-000044490000}"/>
    <cellStyle name="Normal 224 2 3 5 2" xfId="19013" xr:uid="{00000000-0005-0000-0000-000045490000}"/>
    <cellStyle name="Normal 224 2 3 5 2 2" xfId="19014" xr:uid="{00000000-0005-0000-0000-000046490000}"/>
    <cellStyle name="Normal 224 2 3 5 3" xfId="19015" xr:uid="{00000000-0005-0000-0000-000047490000}"/>
    <cellStyle name="Normal 224 2 3 6" xfId="19016" xr:uid="{00000000-0005-0000-0000-000048490000}"/>
    <cellStyle name="Normal 224 2 4" xfId="19017" xr:uid="{00000000-0005-0000-0000-000049490000}"/>
    <cellStyle name="Normal 224 2 4 2" xfId="19018" xr:uid="{00000000-0005-0000-0000-00004A490000}"/>
    <cellStyle name="Normal 224 2 4 2 2" xfId="19019" xr:uid="{00000000-0005-0000-0000-00004B490000}"/>
    <cellStyle name="Normal 224 2 4 3" xfId="19020" xr:uid="{00000000-0005-0000-0000-00004C490000}"/>
    <cellStyle name="Normal 224 2 5" xfId="19021" xr:uid="{00000000-0005-0000-0000-00004D490000}"/>
    <cellStyle name="Normal 224 2 5 2" xfId="19022" xr:uid="{00000000-0005-0000-0000-00004E490000}"/>
    <cellStyle name="Normal 224 2 5 2 2" xfId="19023" xr:uid="{00000000-0005-0000-0000-00004F490000}"/>
    <cellStyle name="Normal 224 2 5 3" xfId="19024" xr:uid="{00000000-0005-0000-0000-000050490000}"/>
    <cellStyle name="Normal 224 2 6" xfId="19025" xr:uid="{00000000-0005-0000-0000-000051490000}"/>
    <cellStyle name="Normal 224 2 6 2" xfId="19026" xr:uid="{00000000-0005-0000-0000-000052490000}"/>
    <cellStyle name="Normal 224 2 6 2 2" xfId="19027" xr:uid="{00000000-0005-0000-0000-000053490000}"/>
    <cellStyle name="Normal 224 2 6 3" xfId="19028" xr:uid="{00000000-0005-0000-0000-000054490000}"/>
    <cellStyle name="Normal 224 2 7" xfId="19029" xr:uid="{00000000-0005-0000-0000-000055490000}"/>
    <cellStyle name="Normal 224 3" xfId="19030" xr:uid="{00000000-0005-0000-0000-000056490000}"/>
    <cellStyle name="Normal 224 3 2" xfId="19031" xr:uid="{00000000-0005-0000-0000-000057490000}"/>
    <cellStyle name="Normal 224 3 2 2" xfId="19032" xr:uid="{00000000-0005-0000-0000-000058490000}"/>
    <cellStyle name="Normal 224 3 3" xfId="19033" xr:uid="{00000000-0005-0000-0000-000059490000}"/>
    <cellStyle name="Normal 224 3 3 2" xfId="19034" xr:uid="{00000000-0005-0000-0000-00005A490000}"/>
    <cellStyle name="Normal 224 3 3 2 2" xfId="19035" xr:uid="{00000000-0005-0000-0000-00005B490000}"/>
    <cellStyle name="Normal 224 3 3 3" xfId="19036" xr:uid="{00000000-0005-0000-0000-00005C490000}"/>
    <cellStyle name="Normal 224 3 4" xfId="19037" xr:uid="{00000000-0005-0000-0000-00005D490000}"/>
    <cellStyle name="Normal 224 3 4 2" xfId="19038" xr:uid="{00000000-0005-0000-0000-00005E490000}"/>
    <cellStyle name="Normal 224 3 4 2 2" xfId="19039" xr:uid="{00000000-0005-0000-0000-00005F490000}"/>
    <cellStyle name="Normal 224 3 4 3" xfId="19040" xr:uid="{00000000-0005-0000-0000-000060490000}"/>
    <cellStyle name="Normal 224 3 5" xfId="19041" xr:uid="{00000000-0005-0000-0000-000061490000}"/>
    <cellStyle name="Normal 224 4" xfId="19042" xr:uid="{00000000-0005-0000-0000-000062490000}"/>
    <cellStyle name="Normal 224 4 2" xfId="19043" xr:uid="{00000000-0005-0000-0000-000063490000}"/>
    <cellStyle name="Normal 224 4 2 2" xfId="19044" xr:uid="{00000000-0005-0000-0000-000064490000}"/>
    <cellStyle name="Normal 224 4 2 2 2" xfId="19045" xr:uid="{00000000-0005-0000-0000-000065490000}"/>
    <cellStyle name="Normal 224 4 2 3" xfId="19046" xr:uid="{00000000-0005-0000-0000-000066490000}"/>
    <cellStyle name="Normal 224 4 2 3 2" xfId="19047" xr:uid="{00000000-0005-0000-0000-000067490000}"/>
    <cellStyle name="Normal 224 4 2 3 2 2" xfId="19048" xr:uid="{00000000-0005-0000-0000-000068490000}"/>
    <cellStyle name="Normal 224 4 2 3 3" xfId="19049" xr:uid="{00000000-0005-0000-0000-000069490000}"/>
    <cellStyle name="Normal 224 4 2 4" xfId="19050" xr:uid="{00000000-0005-0000-0000-00006A490000}"/>
    <cellStyle name="Normal 224 4 3" xfId="19051" xr:uid="{00000000-0005-0000-0000-00006B490000}"/>
    <cellStyle name="Normal 224 4 3 2" xfId="19052" xr:uid="{00000000-0005-0000-0000-00006C490000}"/>
    <cellStyle name="Normal 224 4 3 2 2" xfId="19053" xr:uid="{00000000-0005-0000-0000-00006D490000}"/>
    <cellStyle name="Normal 224 4 3 3" xfId="19054" xr:uid="{00000000-0005-0000-0000-00006E490000}"/>
    <cellStyle name="Normal 224 4 4" xfId="19055" xr:uid="{00000000-0005-0000-0000-00006F490000}"/>
    <cellStyle name="Normal 224 4 4 2" xfId="19056" xr:uid="{00000000-0005-0000-0000-000070490000}"/>
    <cellStyle name="Normal 224 4 4 2 2" xfId="19057" xr:uid="{00000000-0005-0000-0000-000071490000}"/>
    <cellStyle name="Normal 224 4 4 3" xfId="19058" xr:uid="{00000000-0005-0000-0000-000072490000}"/>
    <cellStyle name="Normal 224 4 5" xfId="19059" xr:uid="{00000000-0005-0000-0000-000073490000}"/>
    <cellStyle name="Normal 224 4 5 2" xfId="19060" xr:uid="{00000000-0005-0000-0000-000074490000}"/>
    <cellStyle name="Normal 224 4 5 2 2" xfId="19061" xr:uid="{00000000-0005-0000-0000-000075490000}"/>
    <cellStyle name="Normal 224 4 5 3" xfId="19062" xr:uid="{00000000-0005-0000-0000-000076490000}"/>
    <cellStyle name="Normal 224 4 6" xfId="19063" xr:uid="{00000000-0005-0000-0000-000077490000}"/>
    <cellStyle name="Normal 224 5" xfId="19064" xr:uid="{00000000-0005-0000-0000-000078490000}"/>
    <cellStyle name="Normal 224 5 2" xfId="19065" xr:uid="{00000000-0005-0000-0000-000079490000}"/>
    <cellStyle name="Normal 224 5 2 2" xfId="19066" xr:uid="{00000000-0005-0000-0000-00007A490000}"/>
    <cellStyle name="Normal 224 5 3" xfId="19067" xr:uid="{00000000-0005-0000-0000-00007B490000}"/>
    <cellStyle name="Normal 224 6" xfId="19068" xr:uid="{00000000-0005-0000-0000-00007C490000}"/>
    <cellStyle name="Normal 224 6 2" xfId="19069" xr:uid="{00000000-0005-0000-0000-00007D490000}"/>
    <cellStyle name="Normal 224 6 2 2" xfId="19070" xr:uid="{00000000-0005-0000-0000-00007E490000}"/>
    <cellStyle name="Normal 224 6 3" xfId="19071" xr:uid="{00000000-0005-0000-0000-00007F490000}"/>
    <cellStyle name="Normal 224 7" xfId="19072" xr:uid="{00000000-0005-0000-0000-000080490000}"/>
    <cellStyle name="Normal 224 7 2" xfId="19073" xr:uid="{00000000-0005-0000-0000-000081490000}"/>
    <cellStyle name="Normal 224 7 2 2" xfId="19074" xr:uid="{00000000-0005-0000-0000-000082490000}"/>
    <cellStyle name="Normal 224 7 3" xfId="19075" xr:uid="{00000000-0005-0000-0000-000083490000}"/>
    <cellStyle name="Normal 224 8" xfId="19076" xr:uid="{00000000-0005-0000-0000-000084490000}"/>
    <cellStyle name="Normal 225" xfId="19077" xr:uid="{00000000-0005-0000-0000-000085490000}"/>
    <cellStyle name="Normal 225 2" xfId="19078" xr:uid="{00000000-0005-0000-0000-000086490000}"/>
    <cellStyle name="Normal 225 2 2" xfId="19079" xr:uid="{00000000-0005-0000-0000-000087490000}"/>
    <cellStyle name="Normal 225 2 2 2" xfId="19080" xr:uid="{00000000-0005-0000-0000-000088490000}"/>
    <cellStyle name="Normal 225 2 2 2 2" xfId="19081" xr:uid="{00000000-0005-0000-0000-000089490000}"/>
    <cellStyle name="Normal 225 2 2 3" xfId="19082" xr:uid="{00000000-0005-0000-0000-00008A490000}"/>
    <cellStyle name="Normal 225 2 2 3 2" xfId="19083" xr:uid="{00000000-0005-0000-0000-00008B490000}"/>
    <cellStyle name="Normal 225 2 2 3 2 2" xfId="19084" xr:uid="{00000000-0005-0000-0000-00008C490000}"/>
    <cellStyle name="Normal 225 2 2 3 3" xfId="19085" xr:uid="{00000000-0005-0000-0000-00008D490000}"/>
    <cellStyle name="Normal 225 2 2 4" xfId="19086" xr:uid="{00000000-0005-0000-0000-00008E490000}"/>
    <cellStyle name="Normal 225 2 2 4 2" xfId="19087" xr:uid="{00000000-0005-0000-0000-00008F490000}"/>
    <cellStyle name="Normal 225 2 2 4 2 2" xfId="19088" xr:uid="{00000000-0005-0000-0000-000090490000}"/>
    <cellStyle name="Normal 225 2 2 4 3" xfId="19089" xr:uid="{00000000-0005-0000-0000-000091490000}"/>
    <cellStyle name="Normal 225 2 2 5" xfId="19090" xr:uid="{00000000-0005-0000-0000-000092490000}"/>
    <cellStyle name="Normal 225 2 3" xfId="19091" xr:uid="{00000000-0005-0000-0000-000093490000}"/>
    <cellStyle name="Normal 225 2 3 2" xfId="19092" xr:uid="{00000000-0005-0000-0000-000094490000}"/>
    <cellStyle name="Normal 225 2 3 2 2" xfId="19093" xr:uid="{00000000-0005-0000-0000-000095490000}"/>
    <cellStyle name="Normal 225 2 3 2 2 2" xfId="19094" xr:uid="{00000000-0005-0000-0000-000096490000}"/>
    <cellStyle name="Normal 225 2 3 2 3" xfId="19095" xr:uid="{00000000-0005-0000-0000-000097490000}"/>
    <cellStyle name="Normal 225 2 3 2 3 2" xfId="19096" xr:uid="{00000000-0005-0000-0000-000098490000}"/>
    <cellStyle name="Normal 225 2 3 2 3 2 2" xfId="19097" xr:uid="{00000000-0005-0000-0000-000099490000}"/>
    <cellStyle name="Normal 225 2 3 2 3 3" xfId="19098" xr:uid="{00000000-0005-0000-0000-00009A490000}"/>
    <cellStyle name="Normal 225 2 3 2 4" xfId="19099" xr:uid="{00000000-0005-0000-0000-00009B490000}"/>
    <cellStyle name="Normal 225 2 3 3" xfId="19100" xr:uid="{00000000-0005-0000-0000-00009C490000}"/>
    <cellStyle name="Normal 225 2 3 3 2" xfId="19101" xr:uid="{00000000-0005-0000-0000-00009D490000}"/>
    <cellStyle name="Normal 225 2 3 3 2 2" xfId="19102" xr:uid="{00000000-0005-0000-0000-00009E490000}"/>
    <cellStyle name="Normal 225 2 3 3 3" xfId="19103" xr:uid="{00000000-0005-0000-0000-00009F490000}"/>
    <cellStyle name="Normal 225 2 3 4" xfId="19104" xr:uid="{00000000-0005-0000-0000-0000A0490000}"/>
    <cellStyle name="Normal 225 2 3 4 2" xfId="19105" xr:uid="{00000000-0005-0000-0000-0000A1490000}"/>
    <cellStyle name="Normal 225 2 3 4 2 2" xfId="19106" xr:uid="{00000000-0005-0000-0000-0000A2490000}"/>
    <cellStyle name="Normal 225 2 3 4 3" xfId="19107" xr:uid="{00000000-0005-0000-0000-0000A3490000}"/>
    <cellStyle name="Normal 225 2 3 5" xfId="19108" xr:uid="{00000000-0005-0000-0000-0000A4490000}"/>
    <cellStyle name="Normal 225 2 3 5 2" xfId="19109" xr:uid="{00000000-0005-0000-0000-0000A5490000}"/>
    <cellStyle name="Normal 225 2 3 5 2 2" xfId="19110" xr:uid="{00000000-0005-0000-0000-0000A6490000}"/>
    <cellStyle name="Normal 225 2 3 5 3" xfId="19111" xr:uid="{00000000-0005-0000-0000-0000A7490000}"/>
    <cellStyle name="Normal 225 2 3 6" xfId="19112" xr:uid="{00000000-0005-0000-0000-0000A8490000}"/>
    <cellStyle name="Normal 225 2 4" xfId="19113" xr:uid="{00000000-0005-0000-0000-0000A9490000}"/>
    <cellStyle name="Normal 225 2 4 2" xfId="19114" xr:uid="{00000000-0005-0000-0000-0000AA490000}"/>
    <cellStyle name="Normal 225 2 4 2 2" xfId="19115" xr:uid="{00000000-0005-0000-0000-0000AB490000}"/>
    <cellStyle name="Normal 225 2 4 3" xfId="19116" xr:uid="{00000000-0005-0000-0000-0000AC490000}"/>
    <cellStyle name="Normal 225 2 5" xfId="19117" xr:uid="{00000000-0005-0000-0000-0000AD490000}"/>
    <cellStyle name="Normal 225 2 5 2" xfId="19118" xr:uid="{00000000-0005-0000-0000-0000AE490000}"/>
    <cellStyle name="Normal 225 2 5 2 2" xfId="19119" xr:uid="{00000000-0005-0000-0000-0000AF490000}"/>
    <cellStyle name="Normal 225 2 5 3" xfId="19120" xr:uid="{00000000-0005-0000-0000-0000B0490000}"/>
    <cellStyle name="Normal 225 2 6" xfId="19121" xr:uid="{00000000-0005-0000-0000-0000B1490000}"/>
    <cellStyle name="Normal 225 2 6 2" xfId="19122" xr:uid="{00000000-0005-0000-0000-0000B2490000}"/>
    <cellStyle name="Normal 225 2 6 2 2" xfId="19123" xr:uid="{00000000-0005-0000-0000-0000B3490000}"/>
    <cellStyle name="Normal 225 2 6 3" xfId="19124" xr:uid="{00000000-0005-0000-0000-0000B4490000}"/>
    <cellStyle name="Normal 225 2 7" xfId="19125" xr:uid="{00000000-0005-0000-0000-0000B5490000}"/>
    <cellStyle name="Normal 225 3" xfId="19126" xr:uid="{00000000-0005-0000-0000-0000B6490000}"/>
    <cellStyle name="Normal 225 3 2" xfId="19127" xr:uid="{00000000-0005-0000-0000-0000B7490000}"/>
    <cellStyle name="Normal 225 3 2 2" xfId="19128" xr:uid="{00000000-0005-0000-0000-0000B8490000}"/>
    <cellStyle name="Normal 225 3 3" xfId="19129" xr:uid="{00000000-0005-0000-0000-0000B9490000}"/>
    <cellStyle name="Normal 225 3 3 2" xfId="19130" xr:uid="{00000000-0005-0000-0000-0000BA490000}"/>
    <cellStyle name="Normal 225 3 3 2 2" xfId="19131" xr:uid="{00000000-0005-0000-0000-0000BB490000}"/>
    <cellStyle name="Normal 225 3 3 3" xfId="19132" xr:uid="{00000000-0005-0000-0000-0000BC490000}"/>
    <cellStyle name="Normal 225 3 4" xfId="19133" xr:uid="{00000000-0005-0000-0000-0000BD490000}"/>
    <cellStyle name="Normal 225 3 4 2" xfId="19134" xr:uid="{00000000-0005-0000-0000-0000BE490000}"/>
    <cellStyle name="Normal 225 3 4 2 2" xfId="19135" xr:uid="{00000000-0005-0000-0000-0000BF490000}"/>
    <cellStyle name="Normal 225 3 4 3" xfId="19136" xr:uid="{00000000-0005-0000-0000-0000C0490000}"/>
    <cellStyle name="Normal 225 3 5" xfId="19137" xr:uid="{00000000-0005-0000-0000-0000C1490000}"/>
    <cellStyle name="Normal 225 4" xfId="19138" xr:uid="{00000000-0005-0000-0000-0000C2490000}"/>
    <cellStyle name="Normal 225 4 2" xfId="19139" xr:uid="{00000000-0005-0000-0000-0000C3490000}"/>
    <cellStyle name="Normal 225 4 2 2" xfId="19140" xr:uid="{00000000-0005-0000-0000-0000C4490000}"/>
    <cellStyle name="Normal 225 4 2 2 2" xfId="19141" xr:uid="{00000000-0005-0000-0000-0000C5490000}"/>
    <cellStyle name="Normal 225 4 2 3" xfId="19142" xr:uid="{00000000-0005-0000-0000-0000C6490000}"/>
    <cellStyle name="Normal 225 4 2 3 2" xfId="19143" xr:uid="{00000000-0005-0000-0000-0000C7490000}"/>
    <cellStyle name="Normal 225 4 2 3 2 2" xfId="19144" xr:uid="{00000000-0005-0000-0000-0000C8490000}"/>
    <cellStyle name="Normal 225 4 2 3 3" xfId="19145" xr:uid="{00000000-0005-0000-0000-0000C9490000}"/>
    <cellStyle name="Normal 225 4 2 4" xfId="19146" xr:uid="{00000000-0005-0000-0000-0000CA490000}"/>
    <cellStyle name="Normal 225 4 3" xfId="19147" xr:uid="{00000000-0005-0000-0000-0000CB490000}"/>
    <cellStyle name="Normal 225 4 3 2" xfId="19148" xr:uid="{00000000-0005-0000-0000-0000CC490000}"/>
    <cellStyle name="Normal 225 4 3 2 2" xfId="19149" xr:uid="{00000000-0005-0000-0000-0000CD490000}"/>
    <cellStyle name="Normal 225 4 3 3" xfId="19150" xr:uid="{00000000-0005-0000-0000-0000CE490000}"/>
    <cellStyle name="Normal 225 4 4" xfId="19151" xr:uid="{00000000-0005-0000-0000-0000CF490000}"/>
    <cellStyle name="Normal 225 4 4 2" xfId="19152" xr:uid="{00000000-0005-0000-0000-0000D0490000}"/>
    <cellStyle name="Normal 225 4 4 2 2" xfId="19153" xr:uid="{00000000-0005-0000-0000-0000D1490000}"/>
    <cellStyle name="Normal 225 4 4 3" xfId="19154" xr:uid="{00000000-0005-0000-0000-0000D2490000}"/>
    <cellStyle name="Normal 225 4 5" xfId="19155" xr:uid="{00000000-0005-0000-0000-0000D3490000}"/>
    <cellStyle name="Normal 225 4 5 2" xfId="19156" xr:uid="{00000000-0005-0000-0000-0000D4490000}"/>
    <cellStyle name="Normal 225 4 5 2 2" xfId="19157" xr:uid="{00000000-0005-0000-0000-0000D5490000}"/>
    <cellStyle name="Normal 225 4 5 3" xfId="19158" xr:uid="{00000000-0005-0000-0000-0000D6490000}"/>
    <cellStyle name="Normal 225 4 6" xfId="19159" xr:uid="{00000000-0005-0000-0000-0000D7490000}"/>
    <cellStyle name="Normal 225 5" xfId="19160" xr:uid="{00000000-0005-0000-0000-0000D8490000}"/>
    <cellStyle name="Normal 225 5 2" xfId="19161" xr:uid="{00000000-0005-0000-0000-0000D9490000}"/>
    <cellStyle name="Normal 225 5 2 2" xfId="19162" xr:uid="{00000000-0005-0000-0000-0000DA490000}"/>
    <cellStyle name="Normal 225 5 3" xfId="19163" xr:uid="{00000000-0005-0000-0000-0000DB490000}"/>
    <cellStyle name="Normal 225 6" xfId="19164" xr:uid="{00000000-0005-0000-0000-0000DC490000}"/>
    <cellStyle name="Normal 225 6 2" xfId="19165" xr:uid="{00000000-0005-0000-0000-0000DD490000}"/>
    <cellStyle name="Normal 225 6 2 2" xfId="19166" xr:uid="{00000000-0005-0000-0000-0000DE490000}"/>
    <cellStyle name="Normal 225 6 3" xfId="19167" xr:uid="{00000000-0005-0000-0000-0000DF490000}"/>
    <cellStyle name="Normal 225 7" xfId="19168" xr:uid="{00000000-0005-0000-0000-0000E0490000}"/>
    <cellStyle name="Normal 225 7 2" xfId="19169" xr:uid="{00000000-0005-0000-0000-0000E1490000}"/>
    <cellStyle name="Normal 225 7 2 2" xfId="19170" xr:uid="{00000000-0005-0000-0000-0000E2490000}"/>
    <cellStyle name="Normal 225 7 3" xfId="19171" xr:uid="{00000000-0005-0000-0000-0000E3490000}"/>
    <cellStyle name="Normal 225 8" xfId="19172" xr:uid="{00000000-0005-0000-0000-0000E4490000}"/>
    <cellStyle name="Normal 226" xfId="19173" xr:uid="{00000000-0005-0000-0000-0000E5490000}"/>
    <cellStyle name="Normal 226 2" xfId="19174" xr:uid="{00000000-0005-0000-0000-0000E6490000}"/>
    <cellStyle name="Normal 226 2 2" xfId="19175" xr:uid="{00000000-0005-0000-0000-0000E7490000}"/>
    <cellStyle name="Normal 226 2 2 2" xfId="19176" xr:uid="{00000000-0005-0000-0000-0000E8490000}"/>
    <cellStyle name="Normal 226 2 2 2 2" xfId="19177" xr:uid="{00000000-0005-0000-0000-0000E9490000}"/>
    <cellStyle name="Normal 226 2 2 3" xfId="19178" xr:uid="{00000000-0005-0000-0000-0000EA490000}"/>
    <cellStyle name="Normal 226 2 2 3 2" xfId="19179" xr:uid="{00000000-0005-0000-0000-0000EB490000}"/>
    <cellStyle name="Normal 226 2 2 3 2 2" xfId="19180" xr:uid="{00000000-0005-0000-0000-0000EC490000}"/>
    <cellStyle name="Normal 226 2 2 3 3" xfId="19181" xr:uid="{00000000-0005-0000-0000-0000ED490000}"/>
    <cellStyle name="Normal 226 2 2 4" xfId="19182" xr:uid="{00000000-0005-0000-0000-0000EE490000}"/>
    <cellStyle name="Normal 226 2 2 4 2" xfId="19183" xr:uid="{00000000-0005-0000-0000-0000EF490000}"/>
    <cellStyle name="Normal 226 2 2 4 2 2" xfId="19184" xr:uid="{00000000-0005-0000-0000-0000F0490000}"/>
    <cellStyle name="Normal 226 2 2 4 3" xfId="19185" xr:uid="{00000000-0005-0000-0000-0000F1490000}"/>
    <cellStyle name="Normal 226 2 2 5" xfId="19186" xr:uid="{00000000-0005-0000-0000-0000F2490000}"/>
    <cellStyle name="Normal 226 2 3" xfId="19187" xr:uid="{00000000-0005-0000-0000-0000F3490000}"/>
    <cellStyle name="Normal 226 2 3 2" xfId="19188" xr:uid="{00000000-0005-0000-0000-0000F4490000}"/>
    <cellStyle name="Normal 226 2 3 2 2" xfId="19189" xr:uid="{00000000-0005-0000-0000-0000F5490000}"/>
    <cellStyle name="Normal 226 2 3 2 2 2" xfId="19190" xr:uid="{00000000-0005-0000-0000-0000F6490000}"/>
    <cellStyle name="Normal 226 2 3 2 3" xfId="19191" xr:uid="{00000000-0005-0000-0000-0000F7490000}"/>
    <cellStyle name="Normal 226 2 3 2 3 2" xfId="19192" xr:uid="{00000000-0005-0000-0000-0000F8490000}"/>
    <cellStyle name="Normal 226 2 3 2 3 2 2" xfId="19193" xr:uid="{00000000-0005-0000-0000-0000F9490000}"/>
    <cellStyle name="Normal 226 2 3 2 3 3" xfId="19194" xr:uid="{00000000-0005-0000-0000-0000FA490000}"/>
    <cellStyle name="Normal 226 2 3 2 4" xfId="19195" xr:uid="{00000000-0005-0000-0000-0000FB490000}"/>
    <cellStyle name="Normal 226 2 3 3" xfId="19196" xr:uid="{00000000-0005-0000-0000-0000FC490000}"/>
    <cellStyle name="Normal 226 2 3 3 2" xfId="19197" xr:uid="{00000000-0005-0000-0000-0000FD490000}"/>
    <cellStyle name="Normal 226 2 3 3 2 2" xfId="19198" xr:uid="{00000000-0005-0000-0000-0000FE490000}"/>
    <cellStyle name="Normal 226 2 3 3 3" xfId="19199" xr:uid="{00000000-0005-0000-0000-0000FF490000}"/>
    <cellStyle name="Normal 226 2 3 4" xfId="19200" xr:uid="{00000000-0005-0000-0000-0000004A0000}"/>
    <cellStyle name="Normal 226 2 3 4 2" xfId="19201" xr:uid="{00000000-0005-0000-0000-0000014A0000}"/>
    <cellStyle name="Normal 226 2 3 4 2 2" xfId="19202" xr:uid="{00000000-0005-0000-0000-0000024A0000}"/>
    <cellStyle name="Normal 226 2 3 4 3" xfId="19203" xr:uid="{00000000-0005-0000-0000-0000034A0000}"/>
    <cellStyle name="Normal 226 2 3 5" xfId="19204" xr:uid="{00000000-0005-0000-0000-0000044A0000}"/>
    <cellStyle name="Normal 226 2 3 5 2" xfId="19205" xr:uid="{00000000-0005-0000-0000-0000054A0000}"/>
    <cellStyle name="Normal 226 2 3 5 2 2" xfId="19206" xr:uid="{00000000-0005-0000-0000-0000064A0000}"/>
    <cellStyle name="Normal 226 2 3 5 3" xfId="19207" xr:uid="{00000000-0005-0000-0000-0000074A0000}"/>
    <cellStyle name="Normal 226 2 3 6" xfId="19208" xr:uid="{00000000-0005-0000-0000-0000084A0000}"/>
    <cellStyle name="Normal 226 2 4" xfId="19209" xr:uid="{00000000-0005-0000-0000-0000094A0000}"/>
    <cellStyle name="Normal 226 2 4 2" xfId="19210" xr:uid="{00000000-0005-0000-0000-00000A4A0000}"/>
    <cellStyle name="Normal 226 2 4 2 2" xfId="19211" xr:uid="{00000000-0005-0000-0000-00000B4A0000}"/>
    <cellStyle name="Normal 226 2 4 3" xfId="19212" xr:uid="{00000000-0005-0000-0000-00000C4A0000}"/>
    <cellStyle name="Normal 226 2 5" xfId="19213" xr:uid="{00000000-0005-0000-0000-00000D4A0000}"/>
    <cellStyle name="Normal 226 2 5 2" xfId="19214" xr:uid="{00000000-0005-0000-0000-00000E4A0000}"/>
    <cellStyle name="Normal 226 2 5 2 2" xfId="19215" xr:uid="{00000000-0005-0000-0000-00000F4A0000}"/>
    <cellStyle name="Normal 226 2 5 3" xfId="19216" xr:uid="{00000000-0005-0000-0000-0000104A0000}"/>
    <cellStyle name="Normal 226 2 6" xfId="19217" xr:uid="{00000000-0005-0000-0000-0000114A0000}"/>
    <cellStyle name="Normal 226 2 6 2" xfId="19218" xr:uid="{00000000-0005-0000-0000-0000124A0000}"/>
    <cellStyle name="Normal 226 2 6 2 2" xfId="19219" xr:uid="{00000000-0005-0000-0000-0000134A0000}"/>
    <cellStyle name="Normal 226 2 6 3" xfId="19220" xr:uid="{00000000-0005-0000-0000-0000144A0000}"/>
    <cellStyle name="Normal 226 2 7" xfId="19221" xr:uid="{00000000-0005-0000-0000-0000154A0000}"/>
    <cellStyle name="Normal 226 3" xfId="19222" xr:uid="{00000000-0005-0000-0000-0000164A0000}"/>
    <cellStyle name="Normal 226 3 2" xfId="19223" xr:uid="{00000000-0005-0000-0000-0000174A0000}"/>
    <cellStyle name="Normal 226 3 2 2" xfId="19224" xr:uid="{00000000-0005-0000-0000-0000184A0000}"/>
    <cellStyle name="Normal 226 3 3" xfId="19225" xr:uid="{00000000-0005-0000-0000-0000194A0000}"/>
    <cellStyle name="Normal 226 3 3 2" xfId="19226" xr:uid="{00000000-0005-0000-0000-00001A4A0000}"/>
    <cellStyle name="Normal 226 3 3 2 2" xfId="19227" xr:uid="{00000000-0005-0000-0000-00001B4A0000}"/>
    <cellStyle name="Normal 226 3 3 3" xfId="19228" xr:uid="{00000000-0005-0000-0000-00001C4A0000}"/>
    <cellStyle name="Normal 226 3 4" xfId="19229" xr:uid="{00000000-0005-0000-0000-00001D4A0000}"/>
    <cellStyle name="Normal 226 3 4 2" xfId="19230" xr:uid="{00000000-0005-0000-0000-00001E4A0000}"/>
    <cellStyle name="Normal 226 3 4 2 2" xfId="19231" xr:uid="{00000000-0005-0000-0000-00001F4A0000}"/>
    <cellStyle name="Normal 226 3 4 3" xfId="19232" xr:uid="{00000000-0005-0000-0000-0000204A0000}"/>
    <cellStyle name="Normal 226 3 5" xfId="19233" xr:uid="{00000000-0005-0000-0000-0000214A0000}"/>
    <cellStyle name="Normal 226 4" xfId="19234" xr:uid="{00000000-0005-0000-0000-0000224A0000}"/>
    <cellStyle name="Normal 226 4 2" xfId="19235" xr:uid="{00000000-0005-0000-0000-0000234A0000}"/>
    <cellStyle name="Normal 226 4 2 2" xfId="19236" xr:uid="{00000000-0005-0000-0000-0000244A0000}"/>
    <cellStyle name="Normal 226 4 2 2 2" xfId="19237" xr:uid="{00000000-0005-0000-0000-0000254A0000}"/>
    <cellStyle name="Normal 226 4 2 3" xfId="19238" xr:uid="{00000000-0005-0000-0000-0000264A0000}"/>
    <cellStyle name="Normal 226 4 2 3 2" xfId="19239" xr:uid="{00000000-0005-0000-0000-0000274A0000}"/>
    <cellStyle name="Normal 226 4 2 3 2 2" xfId="19240" xr:uid="{00000000-0005-0000-0000-0000284A0000}"/>
    <cellStyle name="Normal 226 4 2 3 3" xfId="19241" xr:uid="{00000000-0005-0000-0000-0000294A0000}"/>
    <cellStyle name="Normal 226 4 2 4" xfId="19242" xr:uid="{00000000-0005-0000-0000-00002A4A0000}"/>
    <cellStyle name="Normal 226 4 3" xfId="19243" xr:uid="{00000000-0005-0000-0000-00002B4A0000}"/>
    <cellStyle name="Normal 226 4 3 2" xfId="19244" xr:uid="{00000000-0005-0000-0000-00002C4A0000}"/>
    <cellStyle name="Normal 226 4 3 2 2" xfId="19245" xr:uid="{00000000-0005-0000-0000-00002D4A0000}"/>
    <cellStyle name="Normal 226 4 3 3" xfId="19246" xr:uid="{00000000-0005-0000-0000-00002E4A0000}"/>
    <cellStyle name="Normal 226 4 4" xfId="19247" xr:uid="{00000000-0005-0000-0000-00002F4A0000}"/>
    <cellStyle name="Normal 226 4 4 2" xfId="19248" xr:uid="{00000000-0005-0000-0000-0000304A0000}"/>
    <cellStyle name="Normal 226 4 4 2 2" xfId="19249" xr:uid="{00000000-0005-0000-0000-0000314A0000}"/>
    <cellStyle name="Normal 226 4 4 3" xfId="19250" xr:uid="{00000000-0005-0000-0000-0000324A0000}"/>
    <cellStyle name="Normal 226 4 5" xfId="19251" xr:uid="{00000000-0005-0000-0000-0000334A0000}"/>
    <cellStyle name="Normal 226 4 5 2" xfId="19252" xr:uid="{00000000-0005-0000-0000-0000344A0000}"/>
    <cellStyle name="Normal 226 4 5 2 2" xfId="19253" xr:uid="{00000000-0005-0000-0000-0000354A0000}"/>
    <cellStyle name="Normal 226 4 5 3" xfId="19254" xr:uid="{00000000-0005-0000-0000-0000364A0000}"/>
    <cellStyle name="Normal 226 4 6" xfId="19255" xr:uid="{00000000-0005-0000-0000-0000374A0000}"/>
    <cellStyle name="Normal 226 5" xfId="19256" xr:uid="{00000000-0005-0000-0000-0000384A0000}"/>
    <cellStyle name="Normal 226 5 2" xfId="19257" xr:uid="{00000000-0005-0000-0000-0000394A0000}"/>
    <cellStyle name="Normal 226 5 2 2" xfId="19258" xr:uid="{00000000-0005-0000-0000-00003A4A0000}"/>
    <cellStyle name="Normal 226 5 3" xfId="19259" xr:uid="{00000000-0005-0000-0000-00003B4A0000}"/>
    <cellStyle name="Normal 226 6" xfId="19260" xr:uid="{00000000-0005-0000-0000-00003C4A0000}"/>
    <cellStyle name="Normal 226 6 2" xfId="19261" xr:uid="{00000000-0005-0000-0000-00003D4A0000}"/>
    <cellStyle name="Normal 226 6 2 2" xfId="19262" xr:uid="{00000000-0005-0000-0000-00003E4A0000}"/>
    <cellStyle name="Normal 226 6 3" xfId="19263" xr:uid="{00000000-0005-0000-0000-00003F4A0000}"/>
    <cellStyle name="Normal 226 7" xfId="19264" xr:uid="{00000000-0005-0000-0000-0000404A0000}"/>
    <cellStyle name="Normal 226 7 2" xfId="19265" xr:uid="{00000000-0005-0000-0000-0000414A0000}"/>
    <cellStyle name="Normal 226 7 2 2" xfId="19266" xr:uid="{00000000-0005-0000-0000-0000424A0000}"/>
    <cellStyle name="Normal 226 7 3" xfId="19267" xr:uid="{00000000-0005-0000-0000-0000434A0000}"/>
    <cellStyle name="Normal 226 8" xfId="19268" xr:uid="{00000000-0005-0000-0000-0000444A0000}"/>
    <cellStyle name="Normal 227" xfId="19269" xr:uid="{00000000-0005-0000-0000-0000454A0000}"/>
    <cellStyle name="Normal 227 2" xfId="19270" xr:uid="{00000000-0005-0000-0000-0000464A0000}"/>
    <cellStyle name="Normal 227 2 2" xfId="19271" xr:uid="{00000000-0005-0000-0000-0000474A0000}"/>
    <cellStyle name="Normal 227 2 2 2" xfId="19272" xr:uid="{00000000-0005-0000-0000-0000484A0000}"/>
    <cellStyle name="Normal 227 2 2 2 2" xfId="19273" xr:uid="{00000000-0005-0000-0000-0000494A0000}"/>
    <cellStyle name="Normal 227 2 2 3" xfId="19274" xr:uid="{00000000-0005-0000-0000-00004A4A0000}"/>
    <cellStyle name="Normal 227 2 2 3 2" xfId="19275" xr:uid="{00000000-0005-0000-0000-00004B4A0000}"/>
    <cellStyle name="Normal 227 2 2 3 2 2" xfId="19276" xr:uid="{00000000-0005-0000-0000-00004C4A0000}"/>
    <cellStyle name="Normal 227 2 2 3 3" xfId="19277" xr:uid="{00000000-0005-0000-0000-00004D4A0000}"/>
    <cellStyle name="Normal 227 2 2 4" xfId="19278" xr:uid="{00000000-0005-0000-0000-00004E4A0000}"/>
    <cellStyle name="Normal 227 2 2 4 2" xfId="19279" xr:uid="{00000000-0005-0000-0000-00004F4A0000}"/>
    <cellStyle name="Normal 227 2 2 4 2 2" xfId="19280" xr:uid="{00000000-0005-0000-0000-0000504A0000}"/>
    <cellStyle name="Normal 227 2 2 4 3" xfId="19281" xr:uid="{00000000-0005-0000-0000-0000514A0000}"/>
    <cellStyle name="Normal 227 2 2 5" xfId="19282" xr:uid="{00000000-0005-0000-0000-0000524A0000}"/>
    <cellStyle name="Normal 227 2 3" xfId="19283" xr:uid="{00000000-0005-0000-0000-0000534A0000}"/>
    <cellStyle name="Normal 227 2 3 2" xfId="19284" xr:uid="{00000000-0005-0000-0000-0000544A0000}"/>
    <cellStyle name="Normal 227 2 3 2 2" xfId="19285" xr:uid="{00000000-0005-0000-0000-0000554A0000}"/>
    <cellStyle name="Normal 227 2 3 2 2 2" xfId="19286" xr:uid="{00000000-0005-0000-0000-0000564A0000}"/>
    <cellStyle name="Normal 227 2 3 2 3" xfId="19287" xr:uid="{00000000-0005-0000-0000-0000574A0000}"/>
    <cellStyle name="Normal 227 2 3 2 3 2" xfId="19288" xr:uid="{00000000-0005-0000-0000-0000584A0000}"/>
    <cellStyle name="Normal 227 2 3 2 3 2 2" xfId="19289" xr:uid="{00000000-0005-0000-0000-0000594A0000}"/>
    <cellStyle name="Normal 227 2 3 2 3 3" xfId="19290" xr:uid="{00000000-0005-0000-0000-00005A4A0000}"/>
    <cellStyle name="Normal 227 2 3 2 4" xfId="19291" xr:uid="{00000000-0005-0000-0000-00005B4A0000}"/>
    <cellStyle name="Normal 227 2 3 3" xfId="19292" xr:uid="{00000000-0005-0000-0000-00005C4A0000}"/>
    <cellStyle name="Normal 227 2 3 3 2" xfId="19293" xr:uid="{00000000-0005-0000-0000-00005D4A0000}"/>
    <cellStyle name="Normal 227 2 3 3 2 2" xfId="19294" xr:uid="{00000000-0005-0000-0000-00005E4A0000}"/>
    <cellStyle name="Normal 227 2 3 3 3" xfId="19295" xr:uid="{00000000-0005-0000-0000-00005F4A0000}"/>
    <cellStyle name="Normal 227 2 3 4" xfId="19296" xr:uid="{00000000-0005-0000-0000-0000604A0000}"/>
    <cellStyle name="Normal 227 2 3 4 2" xfId="19297" xr:uid="{00000000-0005-0000-0000-0000614A0000}"/>
    <cellStyle name="Normal 227 2 3 4 2 2" xfId="19298" xr:uid="{00000000-0005-0000-0000-0000624A0000}"/>
    <cellStyle name="Normal 227 2 3 4 3" xfId="19299" xr:uid="{00000000-0005-0000-0000-0000634A0000}"/>
    <cellStyle name="Normal 227 2 3 5" xfId="19300" xr:uid="{00000000-0005-0000-0000-0000644A0000}"/>
    <cellStyle name="Normal 227 2 3 5 2" xfId="19301" xr:uid="{00000000-0005-0000-0000-0000654A0000}"/>
    <cellStyle name="Normal 227 2 3 5 2 2" xfId="19302" xr:uid="{00000000-0005-0000-0000-0000664A0000}"/>
    <cellStyle name="Normal 227 2 3 5 3" xfId="19303" xr:uid="{00000000-0005-0000-0000-0000674A0000}"/>
    <cellStyle name="Normal 227 2 3 6" xfId="19304" xr:uid="{00000000-0005-0000-0000-0000684A0000}"/>
    <cellStyle name="Normal 227 2 4" xfId="19305" xr:uid="{00000000-0005-0000-0000-0000694A0000}"/>
    <cellStyle name="Normal 227 2 4 2" xfId="19306" xr:uid="{00000000-0005-0000-0000-00006A4A0000}"/>
    <cellStyle name="Normal 227 2 4 2 2" xfId="19307" xr:uid="{00000000-0005-0000-0000-00006B4A0000}"/>
    <cellStyle name="Normal 227 2 4 3" xfId="19308" xr:uid="{00000000-0005-0000-0000-00006C4A0000}"/>
    <cellStyle name="Normal 227 2 5" xfId="19309" xr:uid="{00000000-0005-0000-0000-00006D4A0000}"/>
    <cellStyle name="Normal 227 2 5 2" xfId="19310" xr:uid="{00000000-0005-0000-0000-00006E4A0000}"/>
    <cellStyle name="Normal 227 2 5 2 2" xfId="19311" xr:uid="{00000000-0005-0000-0000-00006F4A0000}"/>
    <cellStyle name="Normal 227 2 5 3" xfId="19312" xr:uid="{00000000-0005-0000-0000-0000704A0000}"/>
    <cellStyle name="Normal 227 2 6" xfId="19313" xr:uid="{00000000-0005-0000-0000-0000714A0000}"/>
    <cellStyle name="Normal 227 2 6 2" xfId="19314" xr:uid="{00000000-0005-0000-0000-0000724A0000}"/>
    <cellStyle name="Normal 227 2 6 2 2" xfId="19315" xr:uid="{00000000-0005-0000-0000-0000734A0000}"/>
    <cellStyle name="Normal 227 2 6 3" xfId="19316" xr:uid="{00000000-0005-0000-0000-0000744A0000}"/>
    <cellStyle name="Normal 227 2 7" xfId="19317" xr:uid="{00000000-0005-0000-0000-0000754A0000}"/>
    <cellStyle name="Normal 227 3" xfId="19318" xr:uid="{00000000-0005-0000-0000-0000764A0000}"/>
    <cellStyle name="Normal 227 3 2" xfId="19319" xr:uid="{00000000-0005-0000-0000-0000774A0000}"/>
    <cellStyle name="Normal 227 3 2 2" xfId="19320" xr:uid="{00000000-0005-0000-0000-0000784A0000}"/>
    <cellStyle name="Normal 227 3 3" xfId="19321" xr:uid="{00000000-0005-0000-0000-0000794A0000}"/>
    <cellStyle name="Normal 227 3 3 2" xfId="19322" xr:uid="{00000000-0005-0000-0000-00007A4A0000}"/>
    <cellStyle name="Normal 227 3 3 2 2" xfId="19323" xr:uid="{00000000-0005-0000-0000-00007B4A0000}"/>
    <cellStyle name="Normal 227 3 3 3" xfId="19324" xr:uid="{00000000-0005-0000-0000-00007C4A0000}"/>
    <cellStyle name="Normal 227 3 4" xfId="19325" xr:uid="{00000000-0005-0000-0000-00007D4A0000}"/>
    <cellStyle name="Normal 227 3 4 2" xfId="19326" xr:uid="{00000000-0005-0000-0000-00007E4A0000}"/>
    <cellStyle name="Normal 227 3 4 2 2" xfId="19327" xr:uid="{00000000-0005-0000-0000-00007F4A0000}"/>
    <cellStyle name="Normal 227 3 4 3" xfId="19328" xr:uid="{00000000-0005-0000-0000-0000804A0000}"/>
    <cellStyle name="Normal 227 3 5" xfId="19329" xr:uid="{00000000-0005-0000-0000-0000814A0000}"/>
    <cellStyle name="Normal 227 4" xfId="19330" xr:uid="{00000000-0005-0000-0000-0000824A0000}"/>
    <cellStyle name="Normal 227 4 2" xfId="19331" xr:uid="{00000000-0005-0000-0000-0000834A0000}"/>
    <cellStyle name="Normal 227 4 2 2" xfId="19332" xr:uid="{00000000-0005-0000-0000-0000844A0000}"/>
    <cellStyle name="Normal 227 4 2 2 2" xfId="19333" xr:uid="{00000000-0005-0000-0000-0000854A0000}"/>
    <cellStyle name="Normal 227 4 2 3" xfId="19334" xr:uid="{00000000-0005-0000-0000-0000864A0000}"/>
    <cellStyle name="Normal 227 4 2 3 2" xfId="19335" xr:uid="{00000000-0005-0000-0000-0000874A0000}"/>
    <cellStyle name="Normal 227 4 2 3 2 2" xfId="19336" xr:uid="{00000000-0005-0000-0000-0000884A0000}"/>
    <cellStyle name="Normal 227 4 2 3 3" xfId="19337" xr:uid="{00000000-0005-0000-0000-0000894A0000}"/>
    <cellStyle name="Normal 227 4 2 4" xfId="19338" xr:uid="{00000000-0005-0000-0000-00008A4A0000}"/>
    <cellStyle name="Normal 227 4 3" xfId="19339" xr:uid="{00000000-0005-0000-0000-00008B4A0000}"/>
    <cellStyle name="Normal 227 4 3 2" xfId="19340" xr:uid="{00000000-0005-0000-0000-00008C4A0000}"/>
    <cellStyle name="Normal 227 4 3 2 2" xfId="19341" xr:uid="{00000000-0005-0000-0000-00008D4A0000}"/>
    <cellStyle name="Normal 227 4 3 3" xfId="19342" xr:uid="{00000000-0005-0000-0000-00008E4A0000}"/>
    <cellStyle name="Normal 227 4 4" xfId="19343" xr:uid="{00000000-0005-0000-0000-00008F4A0000}"/>
    <cellStyle name="Normal 227 4 4 2" xfId="19344" xr:uid="{00000000-0005-0000-0000-0000904A0000}"/>
    <cellStyle name="Normal 227 4 4 2 2" xfId="19345" xr:uid="{00000000-0005-0000-0000-0000914A0000}"/>
    <cellStyle name="Normal 227 4 4 3" xfId="19346" xr:uid="{00000000-0005-0000-0000-0000924A0000}"/>
    <cellStyle name="Normal 227 4 5" xfId="19347" xr:uid="{00000000-0005-0000-0000-0000934A0000}"/>
    <cellStyle name="Normal 227 4 5 2" xfId="19348" xr:uid="{00000000-0005-0000-0000-0000944A0000}"/>
    <cellStyle name="Normal 227 4 5 2 2" xfId="19349" xr:uid="{00000000-0005-0000-0000-0000954A0000}"/>
    <cellStyle name="Normal 227 4 5 3" xfId="19350" xr:uid="{00000000-0005-0000-0000-0000964A0000}"/>
    <cellStyle name="Normal 227 4 6" xfId="19351" xr:uid="{00000000-0005-0000-0000-0000974A0000}"/>
    <cellStyle name="Normal 227 5" xfId="19352" xr:uid="{00000000-0005-0000-0000-0000984A0000}"/>
    <cellStyle name="Normal 227 5 2" xfId="19353" xr:uid="{00000000-0005-0000-0000-0000994A0000}"/>
    <cellStyle name="Normal 227 5 2 2" xfId="19354" xr:uid="{00000000-0005-0000-0000-00009A4A0000}"/>
    <cellStyle name="Normal 227 5 3" xfId="19355" xr:uid="{00000000-0005-0000-0000-00009B4A0000}"/>
    <cellStyle name="Normal 227 6" xfId="19356" xr:uid="{00000000-0005-0000-0000-00009C4A0000}"/>
    <cellStyle name="Normal 227 6 2" xfId="19357" xr:uid="{00000000-0005-0000-0000-00009D4A0000}"/>
    <cellStyle name="Normal 227 6 2 2" xfId="19358" xr:uid="{00000000-0005-0000-0000-00009E4A0000}"/>
    <cellStyle name="Normal 227 6 3" xfId="19359" xr:uid="{00000000-0005-0000-0000-00009F4A0000}"/>
    <cellStyle name="Normal 227 7" xfId="19360" xr:uid="{00000000-0005-0000-0000-0000A04A0000}"/>
    <cellStyle name="Normal 227 7 2" xfId="19361" xr:uid="{00000000-0005-0000-0000-0000A14A0000}"/>
    <cellStyle name="Normal 227 7 2 2" xfId="19362" xr:uid="{00000000-0005-0000-0000-0000A24A0000}"/>
    <cellStyle name="Normal 227 7 3" xfId="19363" xr:uid="{00000000-0005-0000-0000-0000A34A0000}"/>
    <cellStyle name="Normal 227 8" xfId="19364" xr:uid="{00000000-0005-0000-0000-0000A44A0000}"/>
    <cellStyle name="Normal 228" xfId="19365" xr:uid="{00000000-0005-0000-0000-0000A54A0000}"/>
    <cellStyle name="Normal 228 2" xfId="19366" xr:uid="{00000000-0005-0000-0000-0000A64A0000}"/>
    <cellStyle name="Normal 228 2 2" xfId="19367" xr:uid="{00000000-0005-0000-0000-0000A74A0000}"/>
    <cellStyle name="Normal 228 2 2 2" xfId="19368" xr:uid="{00000000-0005-0000-0000-0000A84A0000}"/>
    <cellStyle name="Normal 228 2 2 2 2" xfId="19369" xr:uid="{00000000-0005-0000-0000-0000A94A0000}"/>
    <cellStyle name="Normal 228 2 2 3" xfId="19370" xr:uid="{00000000-0005-0000-0000-0000AA4A0000}"/>
    <cellStyle name="Normal 228 2 2 3 2" xfId="19371" xr:uid="{00000000-0005-0000-0000-0000AB4A0000}"/>
    <cellStyle name="Normal 228 2 2 3 2 2" xfId="19372" xr:uid="{00000000-0005-0000-0000-0000AC4A0000}"/>
    <cellStyle name="Normal 228 2 2 3 3" xfId="19373" xr:uid="{00000000-0005-0000-0000-0000AD4A0000}"/>
    <cellStyle name="Normal 228 2 2 4" xfId="19374" xr:uid="{00000000-0005-0000-0000-0000AE4A0000}"/>
    <cellStyle name="Normal 228 2 2 4 2" xfId="19375" xr:uid="{00000000-0005-0000-0000-0000AF4A0000}"/>
    <cellStyle name="Normal 228 2 2 4 2 2" xfId="19376" xr:uid="{00000000-0005-0000-0000-0000B04A0000}"/>
    <cellStyle name="Normal 228 2 2 4 3" xfId="19377" xr:uid="{00000000-0005-0000-0000-0000B14A0000}"/>
    <cellStyle name="Normal 228 2 2 5" xfId="19378" xr:uid="{00000000-0005-0000-0000-0000B24A0000}"/>
    <cellStyle name="Normal 228 2 3" xfId="19379" xr:uid="{00000000-0005-0000-0000-0000B34A0000}"/>
    <cellStyle name="Normal 228 2 3 2" xfId="19380" xr:uid="{00000000-0005-0000-0000-0000B44A0000}"/>
    <cellStyle name="Normal 228 2 3 2 2" xfId="19381" xr:uid="{00000000-0005-0000-0000-0000B54A0000}"/>
    <cellStyle name="Normal 228 2 3 2 2 2" xfId="19382" xr:uid="{00000000-0005-0000-0000-0000B64A0000}"/>
    <cellStyle name="Normal 228 2 3 2 3" xfId="19383" xr:uid="{00000000-0005-0000-0000-0000B74A0000}"/>
    <cellStyle name="Normal 228 2 3 2 3 2" xfId="19384" xr:uid="{00000000-0005-0000-0000-0000B84A0000}"/>
    <cellStyle name="Normal 228 2 3 2 3 2 2" xfId="19385" xr:uid="{00000000-0005-0000-0000-0000B94A0000}"/>
    <cellStyle name="Normal 228 2 3 2 3 3" xfId="19386" xr:uid="{00000000-0005-0000-0000-0000BA4A0000}"/>
    <cellStyle name="Normal 228 2 3 2 4" xfId="19387" xr:uid="{00000000-0005-0000-0000-0000BB4A0000}"/>
    <cellStyle name="Normal 228 2 3 3" xfId="19388" xr:uid="{00000000-0005-0000-0000-0000BC4A0000}"/>
    <cellStyle name="Normal 228 2 3 3 2" xfId="19389" xr:uid="{00000000-0005-0000-0000-0000BD4A0000}"/>
    <cellStyle name="Normal 228 2 3 3 2 2" xfId="19390" xr:uid="{00000000-0005-0000-0000-0000BE4A0000}"/>
    <cellStyle name="Normal 228 2 3 3 3" xfId="19391" xr:uid="{00000000-0005-0000-0000-0000BF4A0000}"/>
    <cellStyle name="Normal 228 2 3 4" xfId="19392" xr:uid="{00000000-0005-0000-0000-0000C04A0000}"/>
    <cellStyle name="Normal 228 2 3 4 2" xfId="19393" xr:uid="{00000000-0005-0000-0000-0000C14A0000}"/>
    <cellStyle name="Normal 228 2 3 4 2 2" xfId="19394" xr:uid="{00000000-0005-0000-0000-0000C24A0000}"/>
    <cellStyle name="Normal 228 2 3 4 3" xfId="19395" xr:uid="{00000000-0005-0000-0000-0000C34A0000}"/>
    <cellStyle name="Normal 228 2 3 5" xfId="19396" xr:uid="{00000000-0005-0000-0000-0000C44A0000}"/>
    <cellStyle name="Normal 228 2 3 5 2" xfId="19397" xr:uid="{00000000-0005-0000-0000-0000C54A0000}"/>
    <cellStyle name="Normal 228 2 3 5 2 2" xfId="19398" xr:uid="{00000000-0005-0000-0000-0000C64A0000}"/>
    <cellStyle name="Normal 228 2 3 5 3" xfId="19399" xr:uid="{00000000-0005-0000-0000-0000C74A0000}"/>
    <cellStyle name="Normal 228 2 3 6" xfId="19400" xr:uid="{00000000-0005-0000-0000-0000C84A0000}"/>
    <cellStyle name="Normal 228 2 4" xfId="19401" xr:uid="{00000000-0005-0000-0000-0000C94A0000}"/>
    <cellStyle name="Normal 228 2 4 2" xfId="19402" xr:uid="{00000000-0005-0000-0000-0000CA4A0000}"/>
    <cellStyle name="Normal 228 2 4 2 2" xfId="19403" xr:uid="{00000000-0005-0000-0000-0000CB4A0000}"/>
    <cellStyle name="Normal 228 2 4 3" xfId="19404" xr:uid="{00000000-0005-0000-0000-0000CC4A0000}"/>
    <cellStyle name="Normal 228 2 5" xfId="19405" xr:uid="{00000000-0005-0000-0000-0000CD4A0000}"/>
    <cellStyle name="Normal 228 2 5 2" xfId="19406" xr:uid="{00000000-0005-0000-0000-0000CE4A0000}"/>
    <cellStyle name="Normal 228 2 5 2 2" xfId="19407" xr:uid="{00000000-0005-0000-0000-0000CF4A0000}"/>
    <cellStyle name="Normal 228 2 5 3" xfId="19408" xr:uid="{00000000-0005-0000-0000-0000D04A0000}"/>
    <cellStyle name="Normal 228 2 6" xfId="19409" xr:uid="{00000000-0005-0000-0000-0000D14A0000}"/>
    <cellStyle name="Normal 228 2 6 2" xfId="19410" xr:uid="{00000000-0005-0000-0000-0000D24A0000}"/>
    <cellStyle name="Normal 228 2 6 2 2" xfId="19411" xr:uid="{00000000-0005-0000-0000-0000D34A0000}"/>
    <cellStyle name="Normal 228 2 6 3" xfId="19412" xr:uid="{00000000-0005-0000-0000-0000D44A0000}"/>
    <cellStyle name="Normal 228 2 7" xfId="19413" xr:uid="{00000000-0005-0000-0000-0000D54A0000}"/>
    <cellStyle name="Normal 228 3" xfId="19414" xr:uid="{00000000-0005-0000-0000-0000D64A0000}"/>
    <cellStyle name="Normal 228 3 2" xfId="19415" xr:uid="{00000000-0005-0000-0000-0000D74A0000}"/>
    <cellStyle name="Normal 228 3 2 2" xfId="19416" xr:uid="{00000000-0005-0000-0000-0000D84A0000}"/>
    <cellStyle name="Normal 228 3 3" xfId="19417" xr:uid="{00000000-0005-0000-0000-0000D94A0000}"/>
    <cellStyle name="Normal 228 3 3 2" xfId="19418" xr:uid="{00000000-0005-0000-0000-0000DA4A0000}"/>
    <cellStyle name="Normal 228 3 3 2 2" xfId="19419" xr:uid="{00000000-0005-0000-0000-0000DB4A0000}"/>
    <cellStyle name="Normal 228 3 3 3" xfId="19420" xr:uid="{00000000-0005-0000-0000-0000DC4A0000}"/>
    <cellStyle name="Normal 228 3 4" xfId="19421" xr:uid="{00000000-0005-0000-0000-0000DD4A0000}"/>
    <cellStyle name="Normal 228 3 4 2" xfId="19422" xr:uid="{00000000-0005-0000-0000-0000DE4A0000}"/>
    <cellStyle name="Normal 228 3 4 2 2" xfId="19423" xr:uid="{00000000-0005-0000-0000-0000DF4A0000}"/>
    <cellStyle name="Normal 228 3 4 3" xfId="19424" xr:uid="{00000000-0005-0000-0000-0000E04A0000}"/>
    <cellStyle name="Normal 228 3 5" xfId="19425" xr:uid="{00000000-0005-0000-0000-0000E14A0000}"/>
    <cellStyle name="Normal 228 4" xfId="19426" xr:uid="{00000000-0005-0000-0000-0000E24A0000}"/>
    <cellStyle name="Normal 228 4 2" xfId="19427" xr:uid="{00000000-0005-0000-0000-0000E34A0000}"/>
    <cellStyle name="Normal 228 4 2 2" xfId="19428" xr:uid="{00000000-0005-0000-0000-0000E44A0000}"/>
    <cellStyle name="Normal 228 4 2 2 2" xfId="19429" xr:uid="{00000000-0005-0000-0000-0000E54A0000}"/>
    <cellStyle name="Normal 228 4 2 3" xfId="19430" xr:uid="{00000000-0005-0000-0000-0000E64A0000}"/>
    <cellStyle name="Normal 228 4 2 3 2" xfId="19431" xr:uid="{00000000-0005-0000-0000-0000E74A0000}"/>
    <cellStyle name="Normal 228 4 2 3 2 2" xfId="19432" xr:uid="{00000000-0005-0000-0000-0000E84A0000}"/>
    <cellStyle name="Normal 228 4 2 3 3" xfId="19433" xr:uid="{00000000-0005-0000-0000-0000E94A0000}"/>
    <cellStyle name="Normal 228 4 2 4" xfId="19434" xr:uid="{00000000-0005-0000-0000-0000EA4A0000}"/>
    <cellStyle name="Normal 228 4 3" xfId="19435" xr:uid="{00000000-0005-0000-0000-0000EB4A0000}"/>
    <cellStyle name="Normal 228 4 3 2" xfId="19436" xr:uid="{00000000-0005-0000-0000-0000EC4A0000}"/>
    <cellStyle name="Normal 228 4 3 2 2" xfId="19437" xr:uid="{00000000-0005-0000-0000-0000ED4A0000}"/>
    <cellStyle name="Normal 228 4 3 3" xfId="19438" xr:uid="{00000000-0005-0000-0000-0000EE4A0000}"/>
    <cellStyle name="Normal 228 4 4" xfId="19439" xr:uid="{00000000-0005-0000-0000-0000EF4A0000}"/>
    <cellStyle name="Normal 228 4 4 2" xfId="19440" xr:uid="{00000000-0005-0000-0000-0000F04A0000}"/>
    <cellStyle name="Normal 228 4 4 2 2" xfId="19441" xr:uid="{00000000-0005-0000-0000-0000F14A0000}"/>
    <cellStyle name="Normal 228 4 4 3" xfId="19442" xr:uid="{00000000-0005-0000-0000-0000F24A0000}"/>
    <cellStyle name="Normal 228 4 5" xfId="19443" xr:uid="{00000000-0005-0000-0000-0000F34A0000}"/>
    <cellStyle name="Normal 228 4 5 2" xfId="19444" xr:uid="{00000000-0005-0000-0000-0000F44A0000}"/>
    <cellStyle name="Normal 228 4 5 2 2" xfId="19445" xr:uid="{00000000-0005-0000-0000-0000F54A0000}"/>
    <cellStyle name="Normal 228 4 5 3" xfId="19446" xr:uid="{00000000-0005-0000-0000-0000F64A0000}"/>
    <cellStyle name="Normal 228 4 6" xfId="19447" xr:uid="{00000000-0005-0000-0000-0000F74A0000}"/>
    <cellStyle name="Normal 228 5" xfId="19448" xr:uid="{00000000-0005-0000-0000-0000F84A0000}"/>
    <cellStyle name="Normal 228 5 2" xfId="19449" xr:uid="{00000000-0005-0000-0000-0000F94A0000}"/>
    <cellStyle name="Normal 228 5 2 2" xfId="19450" xr:uid="{00000000-0005-0000-0000-0000FA4A0000}"/>
    <cellStyle name="Normal 228 5 3" xfId="19451" xr:uid="{00000000-0005-0000-0000-0000FB4A0000}"/>
    <cellStyle name="Normal 228 6" xfId="19452" xr:uid="{00000000-0005-0000-0000-0000FC4A0000}"/>
    <cellStyle name="Normal 228 6 2" xfId="19453" xr:uid="{00000000-0005-0000-0000-0000FD4A0000}"/>
    <cellStyle name="Normal 228 6 2 2" xfId="19454" xr:uid="{00000000-0005-0000-0000-0000FE4A0000}"/>
    <cellStyle name="Normal 228 6 3" xfId="19455" xr:uid="{00000000-0005-0000-0000-0000FF4A0000}"/>
    <cellStyle name="Normal 228 7" xfId="19456" xr:uid="{00000000-0005-0000-0000-0000004B0000}"/>
    <cellStyle name="Normal 228 7 2" xfId="19457" xr:uid="{00000000-0005-0000-0000-0000014B0000}"/>
    <cellStyle name="Normal 228 7 2 2" xfId="19458" xr:uid="{00000000-0005-0000-0000-0000024B0000}"/>
    <cellStyle name="Normal 228 7 3" xfId="19459" xr:uid="{00000000-0005-0000-0000-0000034B0000}"/>
    <cellStyle name="Normal 228 8" xfId="19460" xr:uid="{00000000-0005-0000-0000-0000044B0000}"/>
    <cellStyle name="Normal 229" xfId="19461" xr:uid="{00000000-0005-0000-0000-0000054B0000}"/>
    <cellStyle name="Normal 229 2" xfId="19462" xr:uid="{00000000-0005-0000-0000-0000064B0000}"/>
    <cellStyle name="Normal 229 2 2" xfId="19463" xr:uid="{00000000-0005-0000-0000-0000074B0000}"/>
    <cellStyle name="Normal 229 2 2 2" xfId="19464" xr:uid="{00000000-0005-0000-0000-0000084B0000}"/>
    <cellStyle name="Normal 229 2 2 2 2" xfId="19465" xr:uid="{00000000-0005-0000-0000-0000094B0000}"/>
    <cellStyle name="Normal 229 2 2 3" xfId="19466" xr:uid="{00000000-0005-0000-0000-00000A4B0000}"/>
    <cellStyle name="Normal 229 2 2 3 2" xfId="19467" xr:uid="{00000000-0005-0000-0000-00000B4B0000}"/>
    <cellStyle name="Normal 229 2 2 3 2 2" xfId="19468" xr:uid="{00000000-0005-0000-0000-00000C4B0000}"/>
    <cellStyle name="Normal 229 2 2 3 3" xfId="19469" xr:uid="{00000000-0005-0000-0000-00000D4B0000}"/>
    <cellStyle name="Normal 229 2 2 4" xfId="19470" xr:uid="{00000000-0005-0000-0000-00000E4B0000}"/>
    <cellStyle name="Normal 229 2 2 4 2" xfId="19471" xr:uid="{00000000-0005-0000-0000-00000F4B0000}"/>
    <cellStyle name="Normal 229 2 2 4 2 2" xfId="19472" xr:uid="{00000000-0005-0000-0000-0000104B0000}"/>
    <cellStyle name="Normal 229 2 2 4 3" xfId="19473" xr:uid="{00000000-0005-0000-0000-0000114B0000}"/>
    <cellStyle name="Normal 229 2 2 5" xfId="19474" xr:uid="{00000000-0005-0000-0000-0000124B0000}"/>
    <cellStyle name="Normal 229 2 3" xfId="19475" xr:uid="{00000000-0005-0000-0000-0000134B0000}"/>
    <cellStyle name="Normal 229 2 3 2" xfId="19476" xr:uid="{00000000-0005-0000-0000-0000144B0000}"/>
    <cellStyle name="Normal 229 2 3 2 2" xfId="19477" xr:uid="{00000000-0005-0000-0000-0000154B0000}"/>
    <cellStyle name="Normal 229 2 3 2 2 2" xfId="19478" xr:uid="{00000000-0005-0000-0000-0000164B0000}"/>
    <cellStyle name="Normal 229 2 3 2 3" xfId="19479" xr:uid="{00000000-0005-0000-0000-0000174B0000}"/>
    <cellStyle name="Normal 229 2 3 2 3 2" xfId="19480" xr:uid="{00000000-0005-0000-0000-0000184B0000}"/>
    <cellStyle name="Normal 229 2 3 2 3 2 2" xfId="19481" xr:uid="{00000000-0005-0000-0000-0000194B0000}"/>
    <cellStyle name="Normal 229 2 3 2 3 3" xfId="19482" xr:uid="{00000000-0005-0000-0000-00001A4B0000}"/>
    <cellStyle name="Normal 229 2 3 2 4" xfId="19483" xr:uid="{00000000-0005-0000-0000-00001B4B0000}"/>
    <cellStyle name="Normal 229 2 3 3" xfId="19484" xr:uid="{00000000-0005-0000-0000-00001C4B0000}"/>
    <cellStyle name="Normal 229 2 3 3 2" xfId="19485" xr:uid="{00000000-0005-0000-0000-00001D4B0000}"/>
    <cellStyle name="Normal 229 2 3 3 2 2" xfId="19486" xr:uid="{00000000-0005-0000-0000-00001E4B0000}"/>
    <cellStyle name="Normal 229 2 3 3 3" xfId="19487" xr:uid="{00000000-0005-0000-0000-00001F4B0000}"/>
    <cellStyle name="Normal 229 2 3 4" xfId="19488" xr:uid="{00000000-0005-0000-0000-0000204B0000}"/>
    <cellStyle name="Normal 229 2 3 4 2" xfId="19489" xr:uid="{00000000-0005-0000-0000-0000214B0000}"/>
    <cellStyle name="Normal 229 2 3 4 2 2" xfId="19490" xr:uid="{00000000-0005-0000-0000-0000224B0000}"/>
    <cellStyle name="Normal 229 2 3 4 3" xfId="19491" xr:uid="{00000000-0005-0000-0000-0000234B0000}"/>
    <cellStyle name="Normal 229 2 3 5" xfId="19492" xr:uid="{00000000-0005-0000-0000-0000244B0000}"/>
    <cellStyle name="Normal 229 2 3 5 2" xfId="19493" xr:uid="{00000000-0005-0000-0000-0000254B0000}"/>
    <cellStyle name="Normal 229 2 3 5 2 2" xfId="19494" xr:uid="{00000000-0005-0000-0000-0000264B0000}"/>
    <cellStyle name="Normal 229 2 3 5 3" xfId="19495" xr:uid="{00000000-0005-0000-0000-0000274B0000}"/>
    <cellStyle name="Normal 229 2 3 6" xfId="19496" xr:uid="{00000000-0005-0000-0000-0000284B0000}"/>
    <cellStyle name="Normal 229 2 4" xfId="19497" xr:uid="{00000000-0005-0000-0000-0000294B0000}"/>
    <cellStyle name="Normal 229 2 4 2" xfId="19498" xr:uid="{00000000-0005-0000-0000-00002A4B0000}"/>
    <cellStyle name="Normal 229 2 4 2 2" xfId="19499" xr:uid="{00000000-0005-0000-0000-00002B4B0000}"/>
    <cellStyle name="Normal 229 2 4 3" xfId="19500" xr:uid="{00000000-0005-0000-0000-00002C4B0000}"/>
    <cellStyle name="Normal 229 2 5" xfId="19501" xr:uid="{00000000-0005-0000-0000-00002D4B0000}"/>
    <cellStyle name="Normal 229 2 5 2" xfId="19502" xr:uid="{00000000-0005-0000-0000-00002E4B0000}"/>
    <cellStyle name="Normal 229 2 5 2 2" xfId="19503" xr:uid="{00000000-0005-0000-0000-00002F4B0000}"/>
    <cellStyle name="Normal 229 2 5 3" xfId="19504" xr:uid="{00000000-0005-0000-0000-0000304B0000}"/>
    <cellStyle name="Normal 229 2 6" xfId="19505" xr:uid="{00000000-0005-0000-0000-0000314B0000}"/>
    <cellStyle name="Normal 229 2 6 2" xfId="19506" xr:uid="{00000000-0005-0000-0000-0000324B0000}"/>
    <cellStyle name="Normal 229 2 6 2 2" xfId="19507" xr:uid="{00000000-0005-0000-0000-0000334B0000}"/>
    <cellStyle name="Normal 229 2 6 3" xfId="19508" xr:uid="{00000000-0005-0000-0000-0000344B0000}"/>
    <cellStyle name="Normal 229 2 7" xfId="19509" xr:uid="{00000000-0005-0000-0000-0000354B0000}"/>
    <cellStyle name="Normal 229 3" xfId="19510" xr:uid="{00000000-0005-0000-0000-0000364B0000}"/>
    <cellStyle name="Normal 229 3 2" xfId="19511" xr:uid="{00000000-0005-0000-0000-0000374B0000}"/>
    <cellStyle name="Normal 229 3 2 2" xfId="19512" xr:uid="{00000000-0005-0000-0000-0000384B0000}"/>
    <cellStyle name="Normal 229 3 3" xfId="19513" xr:uid="{00000000-0005-0000-0000-0000394B0000}"/>
    <cellStyle name="Normal 229 3 3 2" xfId="19514" xr:uid="{00000000-0005-0000-0000-00003A4B0000}"/>
    <cellStyle name="Normal 229 3 3 2 2" xfId="19515" xr:uid="{00000000-0005-0000-0000-00003B4B0000}"/>
    <cellStyle name="Normal 229 3 3 3" xfId="19516" xr:uid="{00000000-0005-0000-0000-00003C4B0000}"/>
    <cellStyle name="Normal 229 3 4" xfId="19517" xr:uid="{00000000-0005-0000-0000-00003D4B0000}"/>
    <cellStyle name="Normal 229 3 4 2" xfId="19518" xr:uid="{00000000-0005-0000-0000-00003E4B0000}"/>
    <cellStyle name="Normal 229 3 4 2 2" xfId="19519" xr:uid="{00000000-0005-0000-0000-00003F4B0000}"/>
    <cellStyle name="Normal 229 3 4 3" xfId="19520" xr:uid="{00000000-0005-0000-0000-0000404B0000}"/>
    <cellStyle name="Normal 229 3 5" xfId="19521" xr:uid="{00000000-0005-0000-0000-0000414B0000}"/>
    <cellStyle name="Normal 229 4" xfId="19522" xr:uid="{00000000-0005-0000-0000-0000424B0000}"/>
    <cellStyle name="Normal 229 4 2" xfId="19523" xr:uid="{00000000-0005-0000-0000-0000434B0000}"/>
    <cellStyle name="Normal 229 4 2 2" xfId="19524" xr:uid="{00000000-0005-0000-0000-0000444B0000}"/>
    <cellStyle name="Normal 229 4 2 2 2" xfId="19525" xr:uid="{00000000-0005-0000-0000-0000454B0000}"/>
    <cellStyle name="Normal 229 4 2 3" xfId="19526" xr:uid="{00000000-0005-0000-0000-0000464B0000}"/>
    <cellStyle name="Normal 229 4 2 3 2" xfId="19527" xr:uid="{00000000-0005-0000-0000-0000474B0000}"/>
    <cellStyle name="Normal 229 4 2 3 2 2" xfId="19528" xr:uid="{00000000-0005-0000-0000-0000484B0000}"/>
    <cellStyle name="Normal 229 4 2 3 3" xfId="19529" xr:uid="{00000000-0005-0000-0000-0000494B0000}"/>
    <cellStyle name="Normal 229 4 2 4" xfId="19530" xr:uid="{00000000-0005-0000-0000-00004A4B0000}"/>
    <cellStyle name="Normal 229 4 3" xfId="19531" xr:uid="{00000000-0005-0000-0000-00004B4B0000}"/>
    <cellStyle name="Normal 229 4 3 2" xfId="19532" xr:uid="{00000000-0005-0000-0000-00004C4B0000}"/>
    <cellStyle name="Normal 229 4 3 2 2" xfId="19533" xr:uid="{00000000-0005-0000-0000-00004D4B0000}"/>
    <cellStyle name="Normal 229 4 3 3" xfId="19534" xr:uid="{00000000-0005-0000-0000-00004E4B0000}"/>
    <cellStyle name="Normal 229 4 4" xfId="19535" xr:uid="{00000000-0005-0000-0000-00004F4B0000}"/>
    <cellStyle name="Normal 229 4 4 2" xfId="19536" xr:uid="{00000000-0005-0000-0000-0000504B0000}"/>
    <cellStyle name="Normal 229 4 4 2 2" xfId="19537" xr:uid="{00000000-0005-0000-0000-0000514B0000}"/>
    <cellStyle name="Normal 229 4 4 3" xfId="19538" xr:uid="{00000000-0005-0000-0000-0000524B0000}"/>
    <cellStyle name="Normal 229 4 5" xfId="19539" xr:uid="{00000000-0005-0000-0000-0000534B0000}"/>
    <cellStyle name="Normal 229 4 5 2" xfId="19540" xr:uid="{00000000-0005-0000-0000-0000544B0000}"/>
    <cellStyle name="Normal 229 4 5 2 2" xfId="19541" xr:uid="{00000000-0005-0000-0000-0000554B0000}"/>
    <cellStyle name="Normal 229 4 5 3" xfId="19542" xr:uid="{00000000-0005-0000-0000-0000564B0000}"/>
    <cellStyle name="Normal 229 4 6" xfId="19543" xr:uid="{00000000-0005-0000-0000-0000574B0000}"/>
    <cellStyle name="Normal 229 5" xfId="19544" xr:uid="{00000000-0005-0000-0000-0000584B0000}"/>
    <cellStyle name="Normal 229 5 2" xfId="19545" xr:uid="{00000000-0005-0000-0000-0000594B0000}"/>
    <cellStyle name="Normal 229 5 2 2" xfId="19546" xr:uid="{00000000-0005-0000-0000-00005A4B0000}"/>
    <cellStyle name="Normal 229 5 3" xfId="19547" xr:uid="{00000000-0005-0000-0000-00005B4B0000}"/>
    <cellStyle name="Normal 229 6" xfId="19548" xr:uid="{00000000-0005-0000-0000-00005C4B0000}"/>
    <cellStyle name="Normal 229 6 2" xfId="19549" xr:uid="{00000000-0005-0000-0000-00005D4B0000}"/>
    <cellStyle name="Normal 229 6 2 2" xfId="19550" xr:uid="{00000000-0005-0000-0000-00005E4B0000}"/>
    <cellStyle name="Normal 229 6 3" xfId="19551" xr:uid="{00000000-0005-0000-0000-00005F4B0000}"/>
    <cellStyle name="Normal 229 7" xfId="19552" xr:uid="{00000000-0005-0000-0000-0000604B0000}"/>
    <cellStyle name="Normal 229 7 2" xfId="19553" xr:uid="{00000000-0005-0000-0000-0000614B0000}"/>
    <cellStyle name="Normal 229 7 2 2" xfId="19554" xr:uid="{00000000-0005-0000-0000-0000624B0000}"/>
    <cellStyle name="Normal 229 7 3" xfId="19555" xr:uid="{00000000-0005-0000-0000-0000634B0000}"/>
    <cellStyle name="Normal 229 8" xfId="19556" xr:uid="{00000000-0005-0000-0000-0000644B0000}"/>
    <cellStyle name="Normal 23" xfId="19557" xr:uid="{00000000-0005-0000-0000-0000654B0000}"/>
    <cellStyle name="Normal 23 2" xfId="19558" xr:uid="{00000000-0005-0000-0000-0000664B0000}"/>
    <cellStyle name="Normal 23 2 2" xfId="19559" xr:uid="{00000000-0005-0000-0000-0000674B0000}"/>
    <cellStyle name="Normal 23 2 2 2" xfId="19560" xr:uid="{00000000-0005-0000-0000-0000684B0000}"/>
    <cellStyle name="Normal 23 2 2 2 2" xfId="19561" xr:uid="{00000000-0005-0000-0000-0000694B0000}"/>
    <cellStyle name="Normal 23 2 2 3" xfId="19562" xr:uid="{00000000-0005-0000-0000-00006A4B0000}"/>
    <cellStyle name="Normal 23 2 2 3 2" xfId="19563" xr:uid="{00000000-0005-0000-0000-00006B4B0000}"/>
    <cellStyle name="Normal 23 2 2 3 2 2" xfId="19564" xr:uid="{00000000-0005-0000-0000-00006C4B0000}"/>
    <cellStyle name="Normal 23 2 2 3 3" xfId="19565" xr:uid="{00000000-0005-0000-0000-00006D4B0000}"/>
    <cellStyle name="Normal 23 2 2 4" xfId="19566" xr:uid="{00000000-0005-0000-0000-00006E4B0000}"/>
    <cellStyle name="Normal 23 2 2 4 2" xfId="19567" xr:uid="{00000000-0005-0000-0000-00006F4B0000}"/>
    <cellStyle name="Normal 23 2 2 4 2 2" xfId="19568" xr:uid="{00000000-0005-0000-0000-0000704B0000}"/>
    <cellStyle name="Normal 23 2 2 4 3" xfId="19569" xr:uid="{00000000-0005-0000-0000-0000714B0000}"/>
    <cellStyle name="Normal 23 2 2 5" xfId="19570" xr:uid="{00000000-0005-0000-0000-0000724B0000}"/>
    <cellStyle name="Normal 23 2 3" xfId="19571" xr:uid="{00000000-0005-0000-0000-0000734B0000}"/>
    <cellStyle name="Normal 23 2 3 2" xfId="19572" xr:uid="{00000000-0005-0000-0000-0000744B0000}"/>
    <cellStyle name="Normal 23 2 3 2 2" xfId="19573" xr:uid="{00000000-0005-0000-0000-0000754B0000}"/>
    <cellStyle name="Normal 23 2 3 3" xfId="19574" xr:uid="{00000000-0005-0000-0000-0000764B0000}"/>
    <cellStyle name="Normal 23 2 4" xfId="19575" xr:uid="{00000000-0005-0000-0000-0000774B0000}"/>
    <cellStyle name="Normal 23 2 4 2" xfId="19576" xr:uid="{00000000-0005-0000-0000-0000784B0000}"/>
    <cellStyle name="Normal 23 2 4 2 2" xfId="19577" xr:uid="{00000000-0005-0000-0000-0000794B0000}"/>
    <cellStyle name="Normal 23 2 4 3" xfId="19578" xr:uid="{00000000-0005-0000-0000-00007A4B0000}"/>
    <cellStyle name="Normal 23 2 5" xfId="19579" xr:uid="{00000000-0005-0000-0000-00007B4B0000}"/>
    <cellStyle name="Normal 23 2 5 2" xfId="19580" xr:uid="{00000000-0005-0000-0000-00007C4B0000}"/>
    <cellStyle name="Normal 23 2 5 2 2" xfId="19581" xr:uid="{00000000-0005-0000-0000-00007D4B0000}"/>
    <cellStyle name="Normal 23 2 5 3" xfId="19582" xr:uid="{00000000-0005-0000-0000-00007E4B0000}"/>
    <cellStyle name="Normal 23 2 6" xfId="19583" xr:uid="{00000000-0005-0000-0000-00007F4B0000}"/>
    <cellStyle name="Normal 23 3" xfId="19584" xr:uid="{00000000-0005-0000-0000-0000804B0000}"/>
    <cellStyle name="Normal 23 3 2" xfId="19585" xr:uid="{00000000-0005-0000-0000-0000814B0000}"/>
    <cellStyle name="Normal 23 3 2 2" xfId="19586" xr:uid="{00000000-0005-0000-0000-0000824B0000}"/>
    <cellStyle name="Normal 23 3 3" xfId="19587" xr:uid="{00000000-0005-0000-0000-0000834B0000}"/>
    <cellStyle name="Normal 23 3 3 2" xfId="19588" xr:uid="{00000000-0005-0000-0000-0000844B0000}"/>
    <cellStyle name="Normal 23 3 3 2 2" xfId="19589" xr:uid="{00000000-0005-0000-0000-0000854B0000}"/>
    <cellStyle name="Normal 23 3 3 3" xfId="19590" xr:uid="{00000000-0005-0000-0000-0000864B0000}"/>
    <cellStyle name="Normal 23 3 4" xfId="19591" xr:uid="{00000000-0005-0000-0000-0000874B0000}"/>
    <cellStyle name="Normal 23 3 4 2" xfId="19592" xr:uid="{00000000-0005-0000-0000-0000884B0000}"/>
    <cellStyle name="Normal 23 3 4 2 2" xfId="19593" xr:uid="{00000000-0005-0000-0000-0000894B0000}"/>
    <cellStyle name="Normal 23 3 4 3" xfId="19594" xr:uid="{00000000-0005-0000-0000-00008A4B0000}"/>
    <cellStyle name="Normal 23 3 5" xfId="19595" xr:uid="{00000000-0005-0000-0000-00008B4B0000}"/>
    <cellStyle name="Normal 23 4" xfId="19596" xr:uid="{00000000-0005-0000-0000-00008C4B0000}"/>
    <cellStyle name="Normal 23 4 2" xfId="19597" xr:uid="{00000000-0005-0000-0000-00008D4B0000}"/>
    <cellStyle name="Normal 23 4 2 2" xfId="19598" xr:uid="{00000000-0005-0000-0000-00008E4B0000}"/>
    <cellStyle name="Normal 23 4 2 2 2" xfId="19599" xr:uid="{00000000-0005-0000-0000-00008F4B0000}"/>
    <cellStyle name="Normal 23 4 2 3" xfId="19600" xr:uid="{00000000-0005-0000-0000-0000904B0000}"/>
    <cellStyle name="Normal 23 4 2 3 2" xfId="19601" xr:uid="{00000000-0005-0000-0000-0000914B0000}"/>
    <cellStyle name="Normal 23 4 2 3 2 2" xfId="19602" xr:uid="{00000000-0005-0000-0000-0000924B0000}"/>
    <cellStyle name="Normal 23 4 2 3 3" xfId="19603" xr:uid="{00000000-0005-0000-0000-0000934B0000}"/>
    <cellStyle name="Normal 23 4 2 4" xfId="19604" xr:uid="{00000000-0005-0000-0000-0000944B0000}"/>
    <cellStyle name="Normal 23 4 3" xfId="19605" xr:uid="{00000000-0005-0000-0000-0000954B0000}"/>
    <cellStyle name="Normal 23 4 3 2" xfId="19606" xr:uid="{00000000-0005-0000-0000-0000964B0000}"/>
    <cellStyle name="Normal 23 4 3 2 2" xfId="19607" xr:uid="{00000000-0005-0000-0000-0000974B0000}"/>
    <cellStyle name="Normal 23 4 3 3" xfId="19608" xr:uid="{00000000-0005-0000-0000-0000984B0000}"/>
    <cellStyle name="Normal 23 4 4" xfId="19609" xr:uid="{00000000-0005-0000-0000-0000994B0000}"/>
    <cellStyle name="Normal 23 4 4 2" xfId="19610" xr:uid="{00000000-0005-0000-0000-00009A4B0000}"/>
    <cellStyle name="Normal 23 4 4 2 2" xfId="19611" xr:uid="{00000000-0005-0000-0000-00009B4B0000}"/>
    <cellStyle name="Normal 23 4 4 3" xfId="19612" xr:uid="{00000000-0005-0000-0000-00009C4B0000}"/>
    <cellStyle name="Normal 23 4 5" xfId="19613" xr:uid="{00000000-0005-0000-0000-00009D4B0000}"/>
    <cellStyle name="Normal 23 4 5 2" xfId="19614" xr:uid="{00000000-0005-0000-0000-00009E4B0000}"/>
    <cellStyle name="Normal 23 4 5 2 2" xfId="19615" xr:uid="{00000000-0005-0000-0000-00009F4B0000}"/>
    <cellStyle name="Normal 23 4 5 3" xfId="19616" xr:uid="{00000000-0005-0000-0000-0000A04B0000}"/>
    <cellStyle name="Normal 23 4 6" xfId="19617" xr:uid="{00000000-0005-0000-0000-0000A14B0000}"/>
    <cellStyle name="Normal 23 5" xfId="19618" xr:uid="{00000000-0005-0000-0000-0000A24B0000}"/>
    <cellStyle name="Normal 230" xfId="19619" xr:uid="{00000000-0005-0000-0000-0000A34B0000}"/>
    <cellStyle name="Normal 230 2" xfId="19620" xr:uid="{00000000-0005-0000-0000-0000A44B0000}"/>
    <cellStyle name="Normal 230 2 2" xfId="19621" xr:uid="{00000000-0005-0000-0000-0000A54B0000}"/>
    <cellStyle name="Normal 230 2 2 2" xfId="19622" xr:uid="{00000000-0005-0000-0000-0000A64B0000}"/>
    <cellStyle name="Normal 230 2 2 2 2" xfId="19623" xr:uid="{00000000-0005-0000-0000-0000A74B0000}"/>
    <cellStyle name="Normal 230 2 2 3" xfId="19624" xr:uid="{00000000-0005-0000-0000-0000A84B0000}"/>
    <cellStyle name="Normal 230 2 2 3 2" xfId="19625" xr:uid="{00000000-0005-0000-0000-0000A94B0000}"/>
    <cellStyle name="Normal 230 2 2 3 2 2" xfId="19626" xr:uid="{00000000-0005-0000-0000-0000AA4B0000}"/>
    <cellStyle name="Normal 230 2 2 3 3" xfId="19627" xr:uid="{00000000-0005-0000-0000-0000AB4B0000}"/>
    <cellStyle name="Normal 230 2 2 4" xfId="19628" xr:uid="{00000000-0005-0000-0000-0000AC4B0000}"/>
    <cellStyle name="Normal 230 2 2 4 2" xfId="19629" xr:uid="{00000000-0005-0000-0000-0000AD4B0000}"/>
    <cellStyle name="Normal 230 2 2 4 2 2" xfId="19630" xr:uid="{00000000-0005-0000-0000-0000AE4B0000}"/>
    <cellStyle name="Normal 230 2 2 4 3" xfId="19631" xr:uid="{00000000-0005-0000-0000-0000AF4B0000}"/>
    <cellStyle name="Normal 230 2 2 5" xfId="19632" xr:uid="{00000000-0005-0000-0000-0000B04B0000}"/>
    <cellStyle name="Normal 230 2 3" xfId="19633" xr:uid="{00000000-0005-0000-0000-0000B14B0000}"/>
    <cellStyle name="Normal 230 2 3 2" xfId="19634" xr:uid="{00000000-0005-0000-0000-0000B24B0000}"/>
    <cellStyle name="Normal 230 2 3 2 2" xfId="19635" xr:uid="{00000000-0005-0000-0000-0000B34B0000}"/>
    <cellStyle name="Normal 230 2 3 2 2 2" xfId="19636" xr:uid="{00000000-0005-0000-0000-0000B44B0000}"/>
    <cellStyle name="Normal 230 2 3 2 3" xfId="19637" xr:uid="{00000000-0005-0000-0000-0000B54B0000}"/>
    <cellStyle name="Normal 230 2 3 2 3 2" xfId="19638" xr:uid="{00000000-0005-0000-0000-0000B64B0000}"/>
    <cellStyle name="Normal 230 2 3 2 3 2 2" xfId="19639" xr:uid="{00000000-0005-0000-0000-0000B74B0000}"/>
    <cellStyle name="Normal 230 2 3 2 3 3" xfId="19640" xr:uid="{00000000-0005-0000-0000-0000B84B0000}"/>
    <cellStyle name="Normal 230 2 3 2 4" xfId="19641" xr:uid="{00000000-0005-0000-0000-0000B94B0000}"/>
    <cellStyle name="Normal 230 2 3 3" xfId="19642" xr:uid="{00000000-0005-0000-0000-0000BA4B0000}"/>
    <cellStyle name="Normal 230 2 3 3 2" xfId="19643" xr:uid="{00000000-0005-0000-0000-0000BB4B0000}"/>
    <cellStyle name="Normal 230 2 3 3 2 2" xfId="19644" xr:uid="{00000000-0005-0000-0000-0000BC4B0000}"/>
    <cellStyle name="Normal 230 2 3 3 3" xfId="19645" xr:uid="{00000000-0005-0000-0000-0000BD4B0000}"/>
    <cellStyle name="Normal 230 2 3 4" xfId="19646" xr:uid="{00000000-0005-0000-0000-0000BE4B0000}"/>
    <cellStyle name="Normal 230 2 3 4 2" xfId="19647" xr:uid="{00000000-0005-0000-0000-0000BF4B0000}"/>
    <cellStyle name="Normal 230 2 3 4 2 2" xfId="19648" xr:uid="{00000000-0005-0000-0000-0000C04B0000}"/>
    <cellStyle name="Normal 230 2 3 4 3" xfId="19649" xr:uid="{00000000-0005-0000-0000-0000C14B0000}"/>
    <cellStyle name="Normal 230 2 3 5" xfId="19650" xr:uid="{00000000-0005-0000-0000-0000C24B0000}"/>
    <cellStyle name="Normal 230 2 3 5 2" xfId="19651" xr:uid="{00000000-0005-0000-0000-0000C34B0000}"/>
    <cellStyle name="Normal 230 2 3 5 2 2" xfId="19652" xr:uid="{00000000-0005-0000-0000-0000C44B0000}"/>
    <cellStyle name="Normal 230 2 3 5 3" xfId="19653" xr:uid="{00000000-0005-0000-0000-0000C54B0000}"/>
    <cellStyle name="Normal 230 2 3 6" xfId="19654" xr:uid="{00000000-0005-0000-0000-0000C64B0000}"/>
    <cellStyle name="Normal 230 2 4" xfId="19655" xr:uid="{00000000-0005-0000-0000-0000C74B0000}"/>
    <cellStyle name="Normal 230 2 4 2" xfId="19656" xr:uid="{00000000-0005-0000-0000-0000C84B0000}"/>
    <cellStyle name="Normal 230 2 4 2 2" xfId="19657" xr:uid="{00000000-0005-0000-0000-0000C94B0000}"/>
    <cellStyle name="Normal 230 2 4 3" xfId="19658" xr:uid="{00000000-0005-0000-0000-0000CA4B0000}"/>
    <cellStyle name="Normal 230 2 5" xfId="19659" xr:uid="{00000000-0005-0000-0000-0000CB4B0000}"/>
    <cellStyle name="Normal 230 2 5 2" xfId="19660" xr:uid="{00000000-0005-0000-0000-0000CC4B0000}"/>
    <cellStyle name="Normal 230 2 5 2 2" xfId="19661" xr:uid="{00000000-0005-0000-0000-0000CD4B0000}"/>
    <cellStyle name="Normal 230 2 5 3" xfId="19662" xr:uid="{00000000-0005-0000-0000-0000CE4B0000}"/>
    <cellStyle name="Normal 230 2 6" xfId="19663" xr:uid="{00000000-0005-0000-0000-0000CF4B0000}"/>
    <cellStyle name="Normal 230 2 6 2" xfId="19664" xr:uid="{00000000-0005-0000-0000-0000D04B0000}"/>
    <cellStyle name="Normal 230 2 6 2 2" xfId="19665" xr:uid="{00000000-0005-0000-0000-0000D14B0000}"/>
    <cellStyle name="Normal 230 2 6 3" xfId="19666" xr:uid="{00000000-0005-0000-0000-0000D24B0000}"/>
    <cellStyle name="Normal 230 2 7" xfId="19667" xr:uid="{00000000-0005-0000-0000-0000D34B0000}"/>
    <cellStyle name="Normal 230 3" xfId="19668" xr:uid="{00000000-0005-0000-0000-0000D44B0000}"/>
    <cellStyle name="Normal 230 3 2" xfId="19669" xr:uid="{00000000-0005-0000-0000-0000D54B0000}"/>
    <cellStyle name="Normal 230 3 2 2" xfId="19670" xr:uid="{00000000-0005-0000-0000-0000D64B0000}"/>
    <cellStyle name="Normal 230 3 3" xfId="19671" xr:uid="{00000000-0005-0000-0000-0000D74B0000}"/>
    <cellStyle name="Normal 230 3 3 2" xfId="19672" xr:uid="{00000000-0005-0000-0000-0000D84B0000}"/>
    <cellStyle name="Normal 230 3 3 2 2" xfId="19673" xr:uid="{00000000-0005-0000-0000-0000D94B0000}"/>
    <cellStyle name="Normal 230 3 3 3" xfId="19674" xr:uid="{00000000-0005-0000-0000-0000DA4B0000}"/>
    <cellStyle name="Normal 230 3 4" xfId="19675" xr:uid="{00000000-0005-0000-0000-0000DB4B0000}"/>
    <cellStyle name="Normal 230 3 4 2" xfId="19676" xr:uid="{00000000-0005-0000-0000-0000DC4B0000}"/>
    <cellStyle name="Normal 230 3 4 2 2" xfId="19677" xr:uid="{00000000-0005-0000-0000-0000DD4B0000}"/>
    <cellStyle name="Normal 230 3 4 3" xfId="19678" xr:uid="{00000000-0005-0000-0000-0000DE4B0000}"/>
    <cellStyle name="Normal 230 3 5" xfId="19679" xr:uid="{00000000-0005-0000-0000-0000DF4B0000}"/>
    <cellStyle name="Normal 230 4" xfId="19680" xr:uid="{00000000-0005-0000-0000-0000E04B0000}"/>
    <cellStyle name="Normal 230 4 2" xfId="19681" xr:uid="{00000000-0005-0000-0000-0000E14B0000}"/>
    <cellStyle name="Normal 230 4 2 2" xfId="19682" xr:uid="{00000000-0005-0000-0000-0000E24B0000}"/>
    <cellStyle name="Normal 230 4 2 2 2" xfId="19683" xr:uid="{00000000-0005-0000-0000-0000E34B0000}"/>
    <cellStyle name="Normal 230 4 2 3" xfId="19684" xr:uid="{00000000-0005-0000-0000-0000E44B0000}"/>
    <cellStyle name="Normal 230 4 2 3 2" xfId="19685" xr:uid="{00000000-0005-0000-0000-0000E54B0000}"/>
    <cellStyle name="Normal 230 4 2 3 2 2" xfId="19686" xr:uid="{00000000-0005-0000-0000-0000E64B0000}"/>
    <cellStyle name="Normal 230 4 2 3 3" xfId="19687" xr:uid="{00000000-0005-0000-0000-0000E74B0000}"/>
    <cellStyle name="Normal 230 4 2 4" xfId="19688" xr:uid="{00000000-0005-0000-0000-0000E84B0000}"/>
    <cellStyle name="Normal 230 4 3" xfId="19689" xr:uid="{00000000-0005-0000-0000-0000E94B0000}"/>
    <cellStyle name="Normal 230 4 3 2" xfId="19690" xr:uid="{00000000-0005-0000-0000-0000EA4B0000}"/>
    <cellStyle name="Normal 230 4 3 2 2" xfId="19691" xr:uid="{00000000-0005-0000-0000-0000EB4B0000}"/>
    <cellStyle name="Normal 230 4 3 3" xfId="19692" xr:uid="{00000000-0005-0000-0000-0000EC4B0000}"/>
    <cellStyle name="Normal 230 4 4" xfId="19693" xr:uid="{00000000-0005-0000-0000-0000ED4B0000}"/>
    <cellStyle name="Normal 230 4 4 2" xfId="19694" xr:uid="{00000000-0005-0000-0000-0000EE4B0000}"/>
    <cellStyle name="Normal 230 4 4 2 2" xfId="19695" xr:uid="{00000000-0005-0000-0000-0000EF4B0000}"/>
    <cellStyle name="Normal 230 4 4 3" xfId="19696" xr:uid="{00000000-0005-0000-0000-0000F04B0000}"/>
    <cellStyle name="Normal 230 4 5" xfId="19697" xr:uid="{00000000-0005-0000-0000-0000F14B0000}"/>
    <cellStyle name="Normal 230 4 5 2" xfId="19698" xr:uid="{00000000-0005-0000-0000-0000F24B0000}"/>
    <cellStyle name="Normal 230 4 5 2 2" xfId="19699" xr:uid="{00000000-0005-0000-0000-0000F34B0000}"/>
    <cellStyle name="Normal 230 4 5 3" xfId="19700" xr:uid="{00000000-0005-0000-0000-0000F44B0000}"/>
    <cellStyle name="Normal 230 4 6" xfId="19701" xr:uid="{00000000-0005-0000-0000-0000F54B0000}"/>
    <cellStyle name="Normal 230 5" xfId="19702" xr:uid="{00000000-0005-0000-0000-0000F64B0000}"/>
    <cellStyle name="Normal 230 5 2" xfId="19703" xr:uid="{00000000-0005-0000-0000-0000F74B0000}"/>
    <cellStyle name="Normal 230 5 2 2" xfId="19704" xr:uid="{00000000-0005-0000-0000-0000F84B0000}"/>
    <cellStyle name="Normal 230 5 3" xfId="19705" xr:uid="{00000000-0005-0000-0000-0000F94B0000}"/>
    <cellStyle name="Normal 230 6" xfId="19706" xr:uid="{00000000-0005-0000-0000-0000FA4B0000}"/>
    <cellStyle name="Normal 230 6 2" xfId="19707" xr:uid="{00000000-0005-0000-0000-0000FB4B0000}"/>
    <cellStyle name="Normal 230 6 2 2" xfId="19708" xr:uid="{00000000-0005-0000-0000-0000FC4B0000}"/>
    <cellStyle name="Normal 230 6 3" xfId="19709" xr:uid="{00000000-0005-0000-0000-0000FD4B0000}"/>
    <cellStyle name="Normal 230 7" xfId="19710" xr:uid="{00000000-0005-0000-0000-0000FE4B0000}"/>
    <cellStyle name="Normal 230 7 2" xfId="19711" xr:uid="{00000000-0005-0000-0000-0000FF4B0000}"/>
    <cellStyle name="Normal 230 7 2 2" xfId="19712" xr:uid="{00000000-0005-0000-0000-0000004C0000}"/>
    <cellStyle name="Normal 230 7 3" xfId="19713" xr:uid="{00000000-0005-0000-0000-0000014C0000}"/>
    <cellStyle name="Normal 230 8" xfId="19714" xr:uid="{00000000-0005-0000-0000-0000024C0000}"/>
    <cellStyle name="Normal 231" xfId="19715" xr:uid="{00000000-0005-0000-0000-0000034C0000}"/>
    <cellStyle name="Normal 231 2" xfId="19716" xr:uid="{00000000-0005-0000-0000-0000044C0000}"/>
    <cellStyle name="Normal 231 2 2" xfId="19717" xr:uid="{00000000-0005-0000-0000-0000054C0000}"/>
    <cellStyle name="Normal 231 2 2 2" xfId="19718" xr:uid="{00000000-0005-0000-0000-0000064C0000}"/>
    <cellStyle name="Normal 231 2 2 2 2" xfId="19719" xr:uid="{00000000-0005-0000-0000-0000074C0000}"/>
    <cellStyle name="Normal 231 2 2 3" xfId="19720" xr:uid="{00000000-0005-0000-0000-0000084C0000}"/>
    <cellStyle name="Normal 231 2 2 3 2" xfId="19721" xr:uid="{00000000-0005-0000-0000-0000094C0000}"/>
    <cellStyle name="Normal 231 2 2 3 2 2" xfId="19722" xr:uid="{00000000-0005-0000-0000-00000A4C0000}"/>
    <cellStyle name="Normal 231 2 2 3 3" xfId="19723" xr:uid="{00000000-0005-0000-0000-00000B4C0000}"/>
    <cellStyle name="Normal 231 2 2 4" xfId="19724" xr:uid="{00000000-0005-0000-0000-00000C4C0000}"/>
    <cellStyle name="Normal 231 2 2 4 2" xfId="19725" xr:uid="{00000000-0005-0000-0000-00000D4C0000}"/>
    <cellStyle name="Normal 231 2 2 4 2 2" xfId="19726" xr:uid="{00000000-0005-0000-0000-00000E4C0000}"/>
    <cellStyle name="Normal 231 2 2 4 3" xfId="19727" xr:uid="{00000000-0005-0000-0000-00000F4C0000}"/>
    <cellStyle name="Normal 231 2 2 5" xfId="19728" xr:uid="{00000000-0005-0000-0000-0000104C0000}"/>
    <cellStyle name="Normal 231 2 3" xfId="19729" xr:uid="{00000000-0005-0000-0000-0000114C0000}"/>
    <cellStyle name="Normal 231 2 3 2" xfId="19730" xr:uid="{00000000-0005-0000-0000-0000124C0000}"/>
    <cellStyle name="Normal 231 2 3 2 2" xfId="19731" xr:uid="{00000000-0005-0000-0000-0000134C0000}"/>
    <cellStyle name="Normal 231 2 3 2 2 2" xfId="19732" xr:uid="{00000000-0005-0000-0000-0000144C0000}"/>
    <cellStyle name="Normal 231 2 3 2 3" xfId="19733" xr:uid="{00000000-0005-0000-0000-0000154C0000}"/>
    <cellStyle name="Normal 231 2 3 2 3 2" xfId="19734" xr:uid="{00000000-0005-0000-0000-0000164C0000}"/>
    <cellStyle name="Normal 231 2 3 2 3 2 2" xfId="19735" xr:uid="{00000000-0005-0000-0000-0000174C0000}"/>
    <cellStyle name="Normal 231 2 3 2 3 3" xfId="19736" xr:uid="{00000000-0005-0000-0000-0000184C0000}"/>
    <cellStyle name="Normal 231 2 3 2 4" xfId="19737" xr:uid="{00000000-0005-0000-0000-0000194C0000}"/>
    <cellStyle name="Normal 231 2 3 3" xfId="19738" xr:uid="{00000000-0005-0000-0000-00001A4C0000}"/>
    <cellStyle name="Normal 231 2 3 3 2" xfId="19739" xr:uid="{00000000-0005-0000-0000-00001B4C0000}"/>
    <cellStyle name="Normal 231 2 3 3 2 2" xfId="19740" xr:uid="{00000000-0005-0000-0000-00001C4C0000}"/>
    <cellStyle name="Normal 231 2 3 3 3" xfId="19741" xr:uid="{00000000-0005-0000-0000-00001D4C0000}"/>
    <cellStyle name="Normal 231 2 3 4" xfId="19742" xr:uid="{00000000-0005-0000-0000-00001E4C0000}"/>
    <cellStyle name="Normal 231 2 3 4 2" xfId="19743" xr:uid="{00000000-0005-0000-0000-00001F4C0000}"/>
    <cellStyle name="Normal 231 2 3 4 2 2" xfId="19744" xr:uid="{00000000-0005-0000-0000-0000204C0000}"/>
    <cellStyle name="Normal 231 2 3 4 3" xfId="19745" xr:uid="{00000000-0005-0000-0000-0000214C0000}"/>
    <cellStyle name="Normal 231 2 3 5" xfId="19746" xr:uid="{00000000-0005-0000-0000-0000224C0000}"/>
    <cellStyle name="Normal 231 2 3 5 2" xfId="19747" xr:uid="{00000000-0005-0000-0000-0000234C0000}"/>
    <cellStyle name="Normal 231 2 3 5 2 2" xfId="19748" xr:uid="{00000000-0005-0000-0000-0000244C0000}"/>
    <cellStyle name="Normal 231 2 3 5 3" xfId="19749" xr:uid="{00000000-0005-0000-0000-0000254C0000}"/>
    <cellStyle name="Normal 231 2 3 6" xfId="19750" xr:uid="{00000000-0005-0000-0000-0000264C0000}"/>
    <cellStyle name="Normal 231 2 4" xfId="19751" xr:uid="{00000000-0005-0000-0000-0000274C0000}"/>
    <cellStyle name="Normal 231 2 4 2" xfId="19752" xr:uid="{00000000-0005-0000-0000-0000284C0000}"/>
    <cellStyle name="Normal 231 2 4 2 2" xfId="19753" xr:uid="{00000000-0005-0000-0000-0000294C0000}"/>
    <cellStyle name="Normal 231 2 4 3" xfId="19754" xr:uid="{00000000-0005-0000-0000-00002A4C0000}"/>
    <cellStyle name="Normal 231 2 5" xfId="19755" xr:uid="{00000000-0005-0000-0000-00002B4C0000}"/>
    <cellStyle name="Normal 231 2 5 2" xfId="19756" xr:uid="{00000000-0005-0000-0000-00002C4C0000}"/>
    <cellStyle name="Normal 231 2 5 2 2" xfId="19757" xr:uid="{00000000-0005-0000-0000-00002D4C0000}"/>
    <cellStyle name="Normal 231 2 5 3" xfId="19758" xr:uid="{00000000-0005-0000-0000-00002E4C0000}"/>
    <cellStyle name="Normal 231 2 6" xfId="19759" xr:uid="{00000000-0005-0000-0000-00002F4C0000}"/>
    <cellStyle name="Normal 231 2 6 2" xfId="19760" xr:uid="{00000000-0005-0000-0000-0000304C0000}"/>
    <cellStyle name="Normal 231 2 6 2 2" xfId="19761" xr:uid="{00000000-0005-0000-0000-0000314C0000}"/>
    <cellStyle name="Normal 231 2 6 3" xfId="19762" xr:uid="{00000000-0005-0000-0000-0000324C0000}"/>
    <cellStyle name="Normal 231 2 7" xfId="19763" xr:uid="{00000000-0005-0000-0000-0000334C0000}"/>
    <cellStyle name="Normal 231 3" xfId="19764" xr:uid="{00000000-0005-0000-0000-0000344C0000}"/>
    <cellStyle name="Normal 231 3 2" xfId="19765" xr:uid="{00000000-0005-0000-0000-0000354C0000}"/>
    <cellStyle name="Normal 231 3 2 2" xfId="19766" xr:uid="{00000000-0005-0000-0000-0000364C0000}"/>
    <cellStyle name="Normal 231 3 3" xfId="19767" xr:uid="{00000000-0005-0000-0000-0000374C0000}"/>
    <cellStyle name="Normal 231 3 3 2" xfId="19768" xr:uid="{00000000-0005-0000-0000-0000384C0000}"/>
    <cellStyle name="Normal 231 3 3 2 2" xfId="19769" xr:uid="{00000000-0005-0000-0000-0000394C0000}"/>
    <cellStyle name="Normal 231 3 3 3" xfId="19770" xr:uid="{00000000-0005-0000-0000-00003A4C0000}"/>
    <cellStyle name="Normal 231 3 4" xfId="19771" xr:uid="{00000000-0005-0000-0000-00003B4C0000}"/>
    <cellStyle name="Normal 231 3 4 2" xfId="19772" xr:uid="{00000000-0005-0000-0000-00003C4C0000}"/>
    <cellStyle name="Normal 231 3 4 2 2" xfId="19773" xr:uid="{00000000-0005-0000-0000-00003D4C0000}"/>
    <cellStyle name="Normal 231 3 4 3" xfId="19774" xr:uid="{00000000-0005-0000-0000-00003E4C0000}"/>
    <cellStyle name="Normal 231 3 5" xfId="19775" xr:uid="{00000000-0005-0000-0000-00003F4C0000}"/>
    <cellStyle name="Normal 231 4" xfId="19776" xr:uid="{00000000-0005-0000-0000-0000404C0000}"/>
    <cellStyle name="Normal 231 4 2" xfId="19777" xr:uid="{00000000-0005-0000-0000-0000414C0000}"/>
    <cellStyle name="Normal 231 4 2 2" xfId="19778" xr:uid="{00000000-0005-0000-0000-0000424C0000}"/>
    <cellStyle name="Normal 231 4 2 2 2" xfId="19779" xr:uid="{00000000-0005-0000-0000-0000434C0000}"/>
    <cellStyle name="Normal 231 4 2 3" xfId="19780" xr:uid="{00000000-0005-0000-0000-0000444C0000}"/>
    <cellStyle name="Normal 231 4 2 3 2" xfId="19781" xr:uid="{00000000-0005-0000-0000-0000454C0000}"/>
    <cellStyle name="Normal 231 4 2 3 2 2" xfId="19782" xr:uid="{00000000-0005-0000-0000-0000464C0000}"/>
    <cellStyle name="Normal 231 4 2 3 3" xfId="19783" xr:uid="{00000000-0005-0000-0000-0000474C0000}"/>
    <cellStyle name="Normal 231 4 2 4" xfId="19784" xr:uid="{00000000-0005-0000-0000-0000484C0000}"/>
    <cellStyle name="Normal 231 4 3" xfId="19785" xr:uid="{00000000-0005-0000-0000-0000494C0000}"/>
    <cellStyle name="Normal 231 4 3 2" xfId="19786" xr:uid="{00000000-0005-0000-0000-00004A4C0000}"/>
    <cellStyle name="Normal 231 4 3 2 2" xfId="19787" xr:uid="{00000000-0005-0000-0000-00004B4C0000}"/>
    <cellStyle name="Normal 231 4 3 3" xfId="19788" xr:uid="{00000000-0005-0000-0000-00004C4C0000}"/>
    <cellStyle name="Normal 231 4 4" xfId="19789" xr:uid="{00000000-0005-0000-0000-00004D4C0000}"/>
    <cellStyle name="Normal 231 4 4 2" xfId="19790" xr:uid="{00000000-0005-0000-0000-00004E4C0000}"/>
    <cellStyle name="Normal 231 4 4 2 2" xfId="19791" xr:uid="{00000000-0005-0000-0000-00004F4C0000}"/>
    <cellStyle name="Normal 231 4 4 3" xfId="19792" xr:uid="{00000000-0005-0000-0000-0000504C0000}"/>
    <cellStyle name="Normal 231 4 5" xfId="19793" xr:uid="{00000000-0005-0000-0000-0000514C0000}"/>
    <cellStyle name="Normal 231 4 5 2" xfId="19794" xr:uid="{00000000-0005-0000-0000-0000524C0000}"/>
    <cellStyle name="Normal 231 4 5 2 2" xfId="19795" xr:uid="{00000000-0005-0000-0000-0000534C0000}"/>
    <cellStyle name="Normal 231 4 5 3" xfId="19796" xr:uid="{00000000-0005-0000-0000-0000544C0000}"/>
    <cellStyle name="Normal 231 4 6" xfId="19797" xr:uid="{00000000-0005-0000-0000-0000554C0000}"/>
    <cellStyle name="Normal 231 5" xfId="19798" xr:uid="{00000000-0005-0000-0000-0000564C0000}"/>
    <cellStyle name="Normal 231 5 2" xfId="19799" xr:uid="{00000000-0005-0000-0000-0000574C0000}"/>
    <cellStyle name="Normal 231 5 2 2" xfId="19800" xr:uid="{00000000-0005-0000-0000-0000584C0000}"/>
    <cellStyle name="Normal 231 5 3" xfId="19801" xr:uid="{00000000-0005-0000-0000-0000594C0000}"/>
    <cellStyle name="Normal 231 6" xfId="19802" xr:uid="{00000000-0005-0000-0000-00005A4C0000}"/>
    <cellStyle name="Normal 231 6 2" xfId="19803" xr:uid="{00000000-0005-0000-0000-00005B4C0000}"/>
    <cellStyle name="Normal 231 6 2 2" xfId="19804" xr:uid="{00000000-0005-0000-0000-00005C4C0000}"/>
    <cellStyle name="Normal 231 6 3" xfId="19805" xr:uid="{00000000-0005-0000-0000-00005D4C0000}"/>
    <cellStyle name="Normal 231 7" xfId="19806" xr:uid="{00000000-0005-0000-0000-00005E4C0000}"/>
    <cellStyle name="Normal 231 7 2" xfId="19807" xr:uid="{00000000-0005-0000-0000-00005F4C0000}"/>
    <cellStyle name="Normal 231 7 2 2" xfId="19808" xr:uid="{00000000-0005-0000-0000-0000604C0000}"/>
    <cellStyle name="Normal 231 7 3" xfId="19809" xr:uid="{00000000-0005-0000-0000-0000614C0000}"/>
    <cellStyle name="Normal 231 8" xfId="19810" xr:uid="{00000000-0005-0000-0000-0000624C0000}"/>
    <cellStyle name="Normal 232" xfId="19811" xr:uid="{00000000-0005-0000-0000-0000634C0000}"/>
    <cellStyle name="Normal 232 2" xfId="19812" xr:uid="{00000000-0005-0000-0000-0000644C0000}"/>
    <cellStyle name="Normal 232 2 2" xfId="19813" xr:uid="{00000000-0005-0000-0000-0000654C0000}"/>
    <cellStyle name="Normal 232 2 2 2" xfId="19814" xr:uid="{00000000-0005-0000-0000-0000664C0000}"/>
    <cellStyle name="Normal 232 2 2 2 2" xfId="19815" xr:uid="{00000000-0005-0000-0000-0000674C0000}"/>
    <cellStyle name="Normal 232 2 2 3" xfId="19816" xr:uid="{00000000-0005-0000-0000-0000684C0000}"/>
    <cellStyle name="Normal 232 2 2 3 2" xfId="19817" xr:uid="{00000000-0005-0000-0000-0000694C0000}"/>
    <cellStyle name="Normal 232 2 2 3 2 2" xfId="19818" xr:uid="{00000000-0005-0000-0000-00006A4C0000}"/>
    <cellStyle name="Normal 232 2 2 3 3" xfId="19819" xr:uid="{00000000-0005-0000-0000-00006B4C0000}"/>
    <cellStyle name="Normal 232 2 2 4" xfId="19820" xr:uid="{00000000-0005-0000-0000-00006C4C0000}"/>
    <cellStyle name="Normal 232 2 2 4 2" xfId="19821" xr:uid="{00000000-0005-0000-0000-00006D4C0000}"/>
    <cellStyle name="Normal 232 2 2 4 2 2" xfId="19822" xr:uid="{00000000-0005-0000-0000-00006E4C0000}"/>
    <cellStyle name="Normal 232 2 2 4 3" xfId="19823" xr:uid="{00000000-0005-0000-0000-00006F4C0000}"/>
    <cellStyle name="Normal 232 2 2 5" xfId="19824" xr:uid="{00000000-0005-0000-0000-0000704C0000}"/>
    <cellStyle name="Normal 232 2 3" xfId="19825" xr:uid="{00000000-0005-0000-0000-0000714C0000}"/>
    <cellStyle name="Normal 232 2 3 2" xfId="19826" xr:uid="{00000000-0005-0000-0000-0000724C0000}"/>
    <cellStyle name="Normal 232 2 3 2 2" xfId="19827" xr:uid="{00000000-0005-0000-0000-0000734C0000}"/>
    <cellStyle name="Normal 232 2 3 2 2 2" xfId="19828" xr:uid="{00000000-0005-0000-0000-0000744C0000}"/>
    <cellStyle name="Normal 232 2 3 2 3" xfId="19829" xr:uid="{00000000-0005-0000-0000-0000754C0000}"/>
    <cellStyle name="Normal 232 2 3 2 3 2" xfId="19830" xr:uid="{00000000-0005-0000-0000-0000764C0000}"/>
    <cellStyle name="Normal 232 2 3 2 3 2 2" xfId="19831" xr:uid="{00000000-0005-0000-0000-0000774C0000}"/>
    <cellStyle name="Normal 232 2 3 2 3 3" xfId="19832" xr:uid="{00000000-0005-0000-0000-0000784C0000}"/>
    <cellStyle name="Normal 232 2 3 2 4" xfId="19833" xr:uid="{00000000-0005-0000-0000-0000794C0000}"/>
    <cellStyle name="Normal 232 2 3 3" xfId="19834" xr:uid="{00000000-0005-0000-0000-00007A4C0000}"/>
    <cellStyle name="Normal 232 2 3 3 2" xfId="19835" xr:uid="{00000000-0005-0000-0000-00007B4C0000}"/>
    <cellStyle name="Normal 232 2 3 3 2 2" xfId="19836" xr:uid="{00000000-0005-0000-0000-00007C4C0000}"/>
    <cellStyle name="Normal 232 2 3 3 3" xfId="19837" xr:uid="{00000000-0005-0000-0000-00007D4C0000}"/>
    <cellStyle name="Normal 232 2 3 4" xfId="19838" xr:uid="{00000000-0005-0000-0000-00007E4C0000}"/>
    <cellStyle name="Normal 232 2 3 4 2" xfId="19839" xr:uid="{00000000-0005-0000-0000-00007F4C0000}"/>
    <cellStyle name="Normal 232 2 3 4 2 2" xfId="19840" xr:uid="{00000000-0005-0000-0000-0000804C0000}"/>
    <cellStyle name="Normal 232 2 3 4 3" xfId="19841" xr:uid="{00000000-0005-0000-0000-0000814C0000}"/>
    <cellStyle name="Normal 232 2 3 5" xfId="19842" xr:uid="{00000000-0005-0000-0000-0000824C0000}"/>
    <cellStyle name="Normal 232 2 3 5 2" xfId="19843" xr:uid="{00000000-0005-0000-0000-0000834C0000}"/>
    <cellStyle name="Normal 232 2 3 5 2 2" xfId="19844" xr:uid="{00000000-0005-0000-0000-0000844C0000}"/>
    <cellStyle name="Normal 232 2 3 5 3" xfId="19845" xr:uid="{00000000-0005-0000-0000-0000854C0000}"/>
    <cellStyle name="Normal 232 2 3 6" xfId="19846" xr:uid="{00000000-0005-0000-0000-0000864C0000}"/>
    <cellStyle name="Normal 232 2 4" xfId="19847" xr:uid="{00000000-0005-0000-0000-0000874C0000}"/>
    <cellStyle name="Normal 232 2 4 2" xfId="19848" xr:uid="{00000000-0005-0000-0000-0000884C0000}"/>
    <cellStyle name="Normal 232 2 4 2 2" xfId="19849" xr:uid="{00000000-0005-0000-0000-0000894C0000}"/>
    <cellStyle name="Normal 232 2 4 3" xfId="19850" xr:uid="{00000000-0005-0000-0000-00008A4C0000}"/>
    <cellStyle name="Normal 232 2 5" xfId="19851" xr:uid="{00000000-0005-0000-0000-00008B4C0000}"/>
    <cellStyle name="Normal 232 2 5 2" xfId="19852" xr:uid="{00000000-0005-0000-0000-00008C4C0000}"/>
    <cellStyle name="Normal 232 2 5 2 2" xfId="19853" xr:uid="{00000000-0005-0000-0000-00008D4C0000}"/>
    <cellStyle name="Normal 232 2 5 3" xfId="19854" xr:uid="{00000000-0005-0000-0000-00008E4C0000}"/>
    <cellStyle name="Normal 232 2 6" xfId="19855" xr:uid="{00000000-0005-0000-0000-00008F4C0000}"/>
    <cellStyle name="Normal 232 2 6 2" xfId="19856" xr:uid="{00000000-0005-0000-0000-0000904C0000}"/>
    <cellStyle name="Normal 232 2 6 2 2" xfId="19857" xr:uid="{00000000-0005-0000-0000-0000914C0000}"/>
    <cellStyle name="Normal 232 2 6 3" xfId="19858" xr:uid="{00000000-0005-0000-0000-0000924C0000}"/>
    <cellStyle name="Normal 232 2 7" xfId="19859" xr:uid="{00000000-0005-0000-0000-0000934C0000}"/>
    <cellStyle name="Normal 232 3" xfId="19860" xr:uid="{00000000-0005-0000-0000-0000944C0000}"/>
    <cellStyle name="Normal 232 3 2" xfId="19861" xr:uid="{00000000-0005-0000-0000-0000954C0000}"/>
    <cellStyle name="Normal 232 3 2 2" xfId="19862" xr:uid="{00000000-0005-0000-0000-0000964C0000}"/>
    <cellStyle name="Normal 232 3 3" xfId="19863" xr:uid="{00000000-0005-0000-0000-0000974C0000}"/>
    <cellStyle name="Normal 232 3 3 2" xfId="19864" xr:uid="{00000000-0005-0000-0000-0000984C0000}"/>
    <cellStyle name="Normal 232 3 3 2 2" xfId="19865" xr:uid="{00000000-0005-0000-0000-0000994C0000}"/>
    <cellStyle name="Normal 232 3 3 3" xfId="19866" xr:uid="{00000000-0005-0000-0000-00009A4C0000}"/>
    <cellStyle name="Normal 232 3 4" xfId="19867" xr:uid="{00000000-0005-0000-0000-00009B4C0000}"/>
    <cellStyle name="Normal 232 3 4 2" xfId="19868" xr:uid="{00000000-0005-0000-0000-00009C4C0000}"/>
    <cellStyle name="Normal 232 3 4 2 2" xfId="19869" xr:uid="{00000000-0005-0000-0000-00009D4C0000}"/>
    <cellStyle name="Normal 232 3 4 3" xfId="19870" xr:uid="{00000000-0005-0000-0000-00009E4C0000}"/>
    <cellStyle name="Normal 232 3 5" xfId="19871" xr:uid="{00000000-0005-0000-0000-00009F4C0000}"/>
    <cellStyle name="Normal 232 4" xfId="19872" xr:uid="{00000000-0005-0000-0000-0000A04C0000}"/>
    <cellStyle name="Normal 232 4 2" xfId="19873" xr:uid="{00000000-0005-0000-0000-0000A14C0000}"/>
    <cellStyle name="Normal 232 4 2 2" xfId="19874" xr:uid="{00000000-0005-0000-0000-0000A24C0000}"/>
    <cellStyle name="Normal 232 4 2 2 2" xfId="19875" xr:uid="{00000000-0005-0000-0000-0000A34C0000}"/>
    <cellStyle name="Normal 232 4 2 3" xfId="19876" xr:uid="{00000000-0005-0000-0000-0000A44C0000}"/>
    <cellStyle name="Normal 232 4 2 3 2" xfId="19877" xr:uid="{00000000-0005-0000-0000-0000A54C0000}"/>
    <cellStyle name="Normal 232 4 2 3 2 2" xfId="19878" xr:uid="{00000000-0005-0000-0000-0000A64C0000}"/>
    <cellStyle name="Normal 232 4 2 3 3" xfId="19879" xr:uid="{00000000-0005-0000-0000-0000A74C0000}"/>
    <cellStyle name="Normal 232 4 2 4" xfId="19880" xr:uid="{00000000-0005-0000-0000-0000A84C0000}"/>
    <cellStyle name="Normal 232 4 3" xfId="19881" xr:uid="{00000000-0005-0000-0000-0000A94C0000}"/>
    <cellStyle name="Normal 232 4 3 2" xfId="19882" xr:uid="{00000000-0005-0000-0000-0000AA4C0000}"/>
    <cellStyle name="Normal 232 4 3 2 2" xfId="19883" xr:uid="{00000000-0005-0000-0000-0000AB4C0000}"/>
    <cellStyle name="Normal 232 4 3 3" xfId="19884" xr:uid="{00000000-0005-0000-0000-0000AC4C0000}"/>
    <cellStyle name="Normal 232 4 4" xfId="19885" xr:uid="{00000000-0005-0000-0000-0000AD4C0000}"/>
    <cellStyle name="Normal 232 4 4 2" xfId="19886" xr:uid="{00000000-0005-0000-0000-0000AE4C0000}"/>
    <cellStyle name="Normal 232 4 4 2 2" xfId="19887" xr:uid="{00000000-0005-0000-0000-0000AF4C0000}"/>
    <cellStyle name="Normal 232 4 4 3" xfId="19888" xr:uid="{00000000-0005-0000-0000-0000B04C0000}"/>
    <cellStyle name="Normal 232 4 5" xfId="19889" xr:uid="{00000000-0005-0000-0000-0000B14C0000}"/>
    <cellStyle name="Normal 232 4 5 2" xfId="19890" xr:uid="{00000000-0005-0000-0000-0000B24C0000}"/>
    <cellStyle name="Normal 232 4 5 2 2" xfId="19891" xr:uid="{00000000-0005-0000-0000-0000B34C0000}"/>
    <cellStyle name="Normal 232 4 5 3" xfId="19892" xr:uid="{00000000-0005-0000-0000-0000B44C0000}"/>
    <cellStyle name="Normal 232 4 6" xfId="19893" xr:uid="{00000000-0005-0000-0000-0000B54C0000}"/>
    <cellStyle name="Normal 232 5" xfId="19894" xr:uid="{00000000-0005-0000-0000-0000B64C0000}"/>
    <cellStyle name="Normal 232 5 2" xfId="19895" xr:uid="{00000000-0005-0000-0000-0000B74C0000}"/>
    <cellStyle name="Normal 232 5 2 2" xfId="19896" xr:uid="{00000000-0005-0000-0000-0000B84C0000}"/>
    <cellStyle name="Normal 232 5 3" xfId="19897" xr:uid="{00000000-0005-0000-0000-0000B94C0000}"/>
    <cellStyle name="Normal 232 6" xfId="19898" xr:uid="{00000000-0005-0000-0000-0000BA4C0000}"/>
    <cellStyle name="Normal 232 6 2" xfId="19899" xr:uid="{00000000-0005-0000-0000-0000BB4C0000}"/>
    <cellStyle name="Normal 232 6 2 2" xfId="19900" xr:uid="{00000000-0005-0000-0000-0000BC4C0000}"/>
    <cellStyle name="Normal 232 6 3" xfId="19901" xr:uid="{00000000-0005-0000-0000-0000BD4C0000}"/>
    <cellStyle name="Normal 232 7" xfId="19902" xr:uid="{00000000-0005-0000-0000-0000BE4C0000}"/>
    <cellStyle name="Normal 232 7 2" xfId="19903" xr:uid="{00000000-0005-0000-0000-0000BF4C0000}"/>
    <cellStyle name="Normal 232 7 2 2" xfId="19904" xr:uid="{00000000-0005-0000-0000-0000C04C0000}"/>
    <cellStyle name="Normal 232 7 3" xfId="19905" xr:uid="{00000000-0005-0000-0000-0000C14C0000}"/>
    <cellStyle name="Normal 232 8" xfId="19906" xr:uid="{00000000-0005-0000-0000-0000C24C0000}"/>
    <cellStyle name="Normal 233" xfId="19907" xr:uid="{00000000-0005-0000-0000-0000C34C0000}"/>
    <cellStyle name="Normal 233 2" xfId="19908" xr:uid="{00000000-0005-0000-0000-0000C44C0000}"/>
    <cellStyle name="Normal 233 2 2" xfId="19909" xr:uid="{00000000-0005-0000-0000-0000C54C0000}"/>
    <cellStyle name="Normal 233 2 2 2" xfId="19910" xr:uid="{00000000-0005-0000-0000-0000C64C0000}"/>
    <cellStyle name="Normal 233 2 2 2 2" xfId="19911" xr:uid="{00000000-0005-0000-0000-0000C74C0000}"/>
    <cellStyle name="Normal 233 2 2 3" xfId="19912" xr:uid="{00000000-0005-0000-0000-0000C84C0000}"/>
    <cellStyle name="Normal 233 2 2 3 2" xfId="19913" xr:uid="{00000000-0005-0000-0000-0000C94C0000}"/>
    <cellStyle name="Normal 233 2 2 3 2 2" xfId="19914" xr:uid="{00000000-0005-0000-0000-0000CA4C0000}"/>
    <cellStyle name="Normal 233 2 2 3 3" xfId="19915" xr:uid="{00000000-0005-0000-0000-0000CB4C0000}"/>
    <cellStyle name="Normal 233 2 2 4" xfId="19916" xr:uid="{00000000-0005-0000-0000-0000CC4C0000}"/>
    <cellStyle name="Normal 233 2 2 4 2" xfId="19917" xr:uid="{00000000-0005-0000-0000-0000CD4C0000}"/>
    <cellStyle name="Normal 233 2 2 4 2 2" xfId="19918" xr:uid="{00000000-0005-0000-0000-0000CE4C0000}"/>
    <cellStyle name="Normal 233 2 2 4 3" xfId="19919" xr:uid="{00000000-0005-0000-0000-0000CF4C0000}"/>
    <cellStyle name="Normal 233 2 2 5" xfId="19920" xr:uid="{00000000-0005-0000-0000-0000D04C0000}"/>
    <cellStyle name="Normal 233 2 3" xfId="19921" xr:uid="{00000000-0005-0000-0000-0000D14C0000}"/>
    <cellStyle name="Normal 233 2 3 2" xfId="19922" xr:uid="{00000000-0005-0000-0000-0000D24C0000}"/>
    <cellStyle name="Normal 233 2 3 2 2" xfId="19923" xr:uid="{00000000-0005-0000-0000-0000D34C0000}"/>
    <cellStyle name="Normal 233 2 3 2 2 2" xfId="19924" xr:uid="{00000000-0005-0000-0000-0000D44C0000}"/>
    <cellStyle name="Normal 233 2 3 2 3" xfId="19925" xr:uid="{00000000-0005-0000-0000-0000D54C0000}"/>
    <cellStyle name="Normal 233 2 3 2 3 2" xfId="19926" xr:uid="{00000000-0005-0000-0000-0000D64C0000}"/>
    <cellStyle name="Normal 233 2 3 2 3 2 2" xfId="19927" xr:uid="{00000000-0005-0000-0000-0000D74C0000}"/>
    <cellStyle name="Normal 233 2 3 2 3 3" xfId="19928" xr:uid="{00000000-0005-0000-0000-0000D84C0000}"/>
    <cellStyle name="Normal 233 2 3 2 4" xfId="19929" xr:uid="{00000000-0005-0000-0000-0000D94C0000}"/>
    <cellStyle name="Normal 233 2 3 3" xfId="19930" xr:uid="{00000000-0005-0000-0000-0000DA4C0000}"/>
    <cellStyle name="Normal 233 2 3 3 2" xfId="19931" xr:uid="{00000000-0005-0000-0000-0000DB4C0000}"/>
    <cellStyle name="Normal 233 2 3 3 2 2" xfId="19932" xr:uid="{00000000-0005-0000-0000-0000DC4C0000}"/>
    <cellStyle name="Normal 233 2 3 3 3" xfId="19933" xr:uid="{00000000-0005-0000-0000-0000DD4C0000}"/>
    <cellStyle name="Normal 233 2 3 4" xfId="19934" xr:uid="{00000000-0005-0000-0000-0000DE4C0000}"/>
    <cellStyle name="Normal 233 2 3 4 2" xfId="19935" xr:uid="{00000000-0005-0000-0000-0000DF4C0000}"/>
    <cellStyle name="Normal 233 2 3 4 2 2" xfId="19936" xr:uid="{00000000-0005-0000-0000-0000E04C0000}"/>
    <cellStyle name="Normal 233 2 3 4 3" xfId="19937" xr:uid="{00000000-0005-0000-0000-0000E14C0000}"/>
    <cellStyle name="Normal 233 2 3 5" xfId="19938" xr:uid="{00000000-0005-0000-0000-0000E24C0000}"/>
    <cellStyle name="Normal 233 2 3 5 2" xfId="19939" xr:uid="{00000000-0005-0000-0000-0000E34C0000}"/>
    <cellStyle name="Normal 233 2 3 5 2 2" xfId="19940" xr:uid="{00000000-0005-0000-0000-0000E44C0000}"/>
    <cellStyle name="Normal 233 2 3 5 3" xfId="19941" xr:uid="{00000000-0005-0000-0000-0000E54C0000}"/>
    <cellStyle name="Normal 233 2 3 6" xfId="19942" xr:uid="{00000000-0005-0000-0000-0000E64C0000}"/>
    <cellStyle name="Normal 233 2 4" xfId="19943" xr:uid="{00000000-0005-0000-0000-0000E74C0000}"/>
    <cellStyle name="Normal 233 2 4 2" xfId="19944" xr:uid="{00000000-0005-0000-0000-0000E84C0000}"/>
    <cellStyle name="Normal 233 2 4 2 2" xfId="19945" xr:uid="{00000000-0005-0000-0000-0000E94C0000}"/>
    <cellStyle name="Normal 233 2 4 3" xfId="19946" xr:uid="{00000000-0005-0000-0000-0000EA4C0000}"/>
    <cellStyle name="Normal 233 2 5" xfId="19947" xr:uid="{00000000-0005-0000-0000-0000EB4C0000}"/>
    <cellStyle name="Normal 233 2 5 2" xfId="19948" xr:uid="{00000000-0005-0000-0000-0000EC4C0000}"/>
    <cellStyle name="Normal 233 2 5 2 2" xfId="19949" xr:uid="{00000000-0005-0000-0000-0000ED4C0000}"/>
    <cellStyle name="Normal 233 2 5 3" xfId="19950" xr:uid="{00000000-0005-0000-0000-0000EE4C0000}"/>
    <cellStyle name="Normal 233 2 6" xfId="19951" xr:uid="{00000000-0005-0000-0000-0000EF4C0000}"/>
    <cellStyle name="Normal 233 2 6 2" xfId="19952" xr:uid="{00000000-0005-0000-0000-0000F04C0000}"/>
    <cellStyle name="Normal 233 2 6 2 2" xfId="19953" xr:uid="{00000000-0005-0000-0000-0000F14C0000}"/>
    <cellStyle name="Normal 233 2 6 3" xfId="19954" xr:uid="{00000000-0005-0000-0000-0000F24C0000}"/>
    <cellStyle name="Normal 233 2 7" xfId="19955" xr:uid="{00000000-0005-0000-0000-0000F34C0000}"/>
    <cellStyle name="Normal 233 3" xfId="19956" xr:uid="{00000000-0005-0000-0000-0000F44C0000}"/>
    <cellStyle name="Normal 233 3 2" xfId="19957" xr:uid="{00000000-0005-0000-0000-0000F54C0000}"/>
    <cellStyle name="Normal 233 3 2 2" xfId="19958" xr:uid="{00000000-0005-0000-0000-0000F64C0000}"/>
    <cellStyle name="Normal 233 3 3" xfId="19959" xr:uid="{00000000-0005-0000-0000-0000F74C0000}"/>
    <cellStyle name="Normal 233 3 3 2" xfId="19960" xr:uid="{00000000-0005-0000-0000-0000F84C0000}"/>
    <cellStyle name="Normal 233 3 3 2 2" xfId="19961" xr:uid="{00000000-0005-0000-0000-0000F94C0000}"/>
    <cellStyle name="Normal 233 3 3 3" xfId="19962" xr:uid="{00000000-0005-0000-0000-0000FA4C0000}"/>
    <cellStyle name="Normal 233 3 4" xfId="19963" xr:uid="{00000000-0005-0000-0000-0000FB4C0000}"/>
    <cellStyle name="Normal 233 3 4 2" xfId="19964" xr:uid="{00000000-0005-0000-0000-0000FC4C0000}"/>
    <cellStyle name="Normal 233 3 4 2 2" xfId="19965" xr:uid="{00000000-0005-0000-0000-0000FD4C0000}"/>
    <cellStyle name="Normal 233 3 4 3" xfId="19966" xr:uid="{00000000-0005-0000-0000-0000FE4C0000}"/>
    <cellStyle name="Normal 233 3 5" xfId="19967" xr:uid="{00000000-0005-0000-0000-0000FF4C0000}"/>
    <cellStyle name="Normal 233 4" xfId="19968" xr:uid="{00000000-0005-0000-0000-0000004D0000}"/>
    <cellStyle name="Normal 233 4 2" xfId="19969" xr:uid="{00000000-0005-0000-0000-0000014D0000}"/>
    <cellStyle name="Normal 233 4 2 2" xfId="19970" xr:uid="{00000000-0005-0000-0000-0000024D0000}"/>
    <cellStyle name="Normal 233 4 2 2 2" xfId="19971" xr:uid="{00000000-0005-0000-0000-0000034D0000}"/>
    <cellStyle name="Normal 233 4 2 3" xfId="19972" xr:uid="{00000000-0005-0000-0000-0000044D0000}"/>
    <cellStyle name="Normal 233 4 2 3 2" xfId="19973" xr:uid="{00000000-0005-0000-0000-0000054D0000}"/>
    <cellStyle name="Normal 233 4 2 3 2 2" xfId="19974" xr:uid="{00000000-0005-0000-0000-0000064D0000}"/>
    <cellStyle name="Normal 233 4 2 3 3" xfId="19975" xr:uid="{00000000-0005-0000-0000-0000074D0000}"/>
    <cellStyle name="Normal 233 4 2 4" xfId="19976" xr:uid="{00000000-0005-0000-0000-0000084D0000}"/>
    <cellStyle name="Normal 233 4 3" xfId="19977" xr:uid="{00000000-0005-0000-0000-0000094D0000}"/>
    <cellStyle name="Normal 233 4 3 2" xfId="19978" xr:uid="{00000000-0005-0000-0000-00000A4D0000}"/>
    <cellStyle name="Normal 233 4 3 2 2" xfId="19979" xr:uid="{00000000-0005-0000-0000-00000B4D0000}"/>
    <cellStyle name="Normal 233 4 3 3" xfId="19980" xr:uid="{00000000-0005-0000-0000-00000C4D0000}"/>
    <cellStyle name="Normal 233 4 4" xfId="19981" xr:uid="{00000000-0005-0000-0000-00000D4D0000}"/>
    <cellStyle name="Normal 233 4 4 2" xfId="19982" xr:uid="{00000000-0005-0000-0000-00000E4D0000}"/>
    <cellStyle name="Normal 233 4 4 2 2" xfId="19983" xr:uid="{00000000-0005-0000-0000-00000F4D0000}"/>
    <cellStyle name="Normal 233 4 4 3" xfId="19984" xr:uid="{00000000-0005-0000-0000-0000104D0000}"/>
    <cellStyle name="Normal 233 4 5" xfId="19985" xr:uid="{00000000-0005-0000-0000-0000114D0000}"/>
    <cellStyle name="Normal 233 4 5 2" xfId="19986" xr:uid="{00000000-0005-0000-0000-0000124D0000}"/>
    <cellStyle name="Normal 233 4 5 2 2" xfId="19987" xr:uid="{00000000-0005-0000-0000-0000134D0000}"/>
    <cellStyle name="Normal 233 4 5 3" xfId="19988" xr:uid="{00000000-0005-0000-0000-0000144D0000}"/>
    <cellStyle name="Normal 233 4 6" xfId="19989" xr:uid="{00000000-0005-0000-0000-0000154D0000}"/>
    <cellStyle name="Normal 233 5" xfId="19990" xr:uid="{00000000-0005-0000-0000-0000164D0000}"/>
    <cellStyle name="Normal 233 5 2" xfId="19991" xr:uid="{00000000-0005-0000-0000-0000174D0000}"/>
    <cellStyle name="Normal 233 5 2 2" xfId="19992" xr:uid="{00000000-0005-0000-0000-0000184D0000}"/>
    <cellStyle name="Normal 233 5 3" xfId="19993" xr:uid="{00000000-0005-0000-0000-0000194D0000}"/>
    <cellStyle name="Normal 233 6" xfId="19994" xr:uid="{00000000-0005-0000-0000-00001A4D0000}"/>
    <cellStyle name="Normal 233 6 2" xfId="19995" xr:uid="{00000000-0005-0000-0000-00001B4D0000}"/>
    <cellStyle name="Normal 233 6 2 2" xfId="19996" xr:uid="{00000000-0005-0000-0000-00001C4D0000}"/>
    <cellStyle name="Normal 233 6 3" xfId="19997" xr:uid="{00000000-0005-0000-0000-00001D4D0000}"/>
    <cellStyle name="Normal 233 7" xfId="19998" xr:uid="{00000000-0005-0000-0000-00001E4D0000}"/>
    <cellStyle name="Normal 233 7 2" xfId="19999" xr:uid="{00000000-0005-0000-0000-00001F4D0000}"/>
    <cellStyle name="Normal 233 7 2 2" xfId="20000" xr:uid="{00000000-0005-0000-0000-0000204D0000}"/>
    <cellStyle name="Normal 233 7 3" xfId="20001" xr:uid="{00000000-0005-0000-0000-0000214D0000}"/>
    <cellStyle name="Normal 233 8" xfId="20002" xr:uid="{00000000-0005-0000-0000-0000224D0000}"/>
    <cellStyle name="Normal 234" xfId="20003" xr:uid="{00000000-0005-0000-0000-0000234D0000}"/>
    <cellStyle name="Normal 234 2" xfId="20004" xr:uid="{00000000-0005-0000-0000-0000244D0000}"/>
    <cellStyle name="Normal 234 2 2" xfId="20005" xr:uid="{00000000-0005-0000-0000-0000254D0000}"/>
    <cellStyle name="Normal 234 2 2 2" xfId="20006" xr:uid="{00000000-0005-0000-0000-0000264D0000}"/>
    <cellStyle name="Normal 234 2 2 2 2" xfId="20007" xr:uid="{00000000-0005-0000-0000-0000274D0000}"/>
    <cellStyle name="Normal 234 2 2 3" xfId="20008" xr:uid="{00000000-0005-0000-0000-0000284D0000}"/>
    <cellStyle name="Normal 234 2 2 3 2" xfId="20009" xr:uid="{00000000-0005-0000-0000-0000294D0000}"/>
    <cellStyle name="Normal 234 2 2 3 2 2" xfId="20010" xr:uid="{00000000-0005-0000-0000-00002A4D0000}"/>
    <cellStyle name="Normal 234 2 2 3 3" xfId="20011" xr:uid="{00000000-0005-0000-0000-00002B4D0000}"/>
    <cellStyle name="Normal 234 2 2 4" xfId="20012" xr:uid="{00000000-0005-0000-0000-00002C4D0000}"/>
    <cellStyle name="Normal 234 2 2 4 2" xfId="20013" xr:uid="{00000000-0005-0000-0000-00002D4D0000}"/>
    <cellStyle name="Normal 234 2 2 4 2 2" xfId="20014" xr:uid="{00000000-0005-0000-0000-00002E4D0000}"/>
    <cellStyle name="Normal 234 2 2 4 3" xfId="20015" xr:uid="{00000000-0005-0000-0000-00002F4D0000}"/>
    <cellStyle name="Normal 234 2 2 5" xfId="20016" xr:uid="{00000000-0005-0000-0000-0000304D0000}"/>
    <cellStyle name="Normal 234 2 3" xfId="20017" xr:uid="{00000000-0005-0000-0000-0000314D0000}"/>
    <cellStyle name="Normal 234 2 3 2" xfId="20018" xr:uid="{00000000-0005-0000-0000-0000324D0000}"/>
    <cellStyle name="Normal 234 2 3 2 2" xfId="20019" xr:uid="{00000000-0005-0000-0000-0000334D0000}"/>
    <cellStyle name="Normal 234 2 3 2 2 2" xfId="20020" xr:uid="{00000000-0005-0000-0000-0000344D0000}"/>
    <cellStyle name="Normal 234 2 3 2 3" xfId="20021" xr:uid="{00000000-0005-0000-0000-0000354D0000}"/>
    <cellStyle name="Normal 234 2 3 2 3 2" xfId="20022" xr:uid="{00000000-0005-0000-0000-0000364D0000}"/>
    <cellStyle name="Normal 234 2 3 2 3 2 2" xfId="20023" xr:uid="{00000000-0005-0000-0000-0000374D0000}"/>
    <cellStyle name="Normal 234 2 3 2 3 3" xfId="20024" xr:uid="{00000000-0005-0000-0000-0000384D0000}"/>
    <cellStyle name="Normal 234 2 3 2 4" xfId="20025" xr:uid="{00000000-0005-0000-0000-0000394D0000}"/>
    <cellStyle name="Normal 234 2 3 3" xfId="20026" xr:uid="{00000000-0005-0000-0000-00003A4D0000}"/>
    <cellStyle name="Normal 234 2 3 3 2" xfId="20027" xr:uid="{00000000-0005-0000-0000-00003B4D0000}"/>
    <cellStyle name="Normal 234 2 3 3 2 2" xfId="20028" xr:uid="{00000000-0005-0000-0000-00003C4D0000}"/>
    <cellStyle name="Normal 234 2 3 3 3" xfId="20029" xr:uid="{00000000-0005-0000-0000-00003D4D0000}"/>
    <cellStyle name="Normal 234 2 3 4" xfId="20030" xr:uid="{00000000-0005-0000-0000-00003E4D0000}"/>
    <cellStyle name="Normal 234 2 3 4 2" xfId="20031" xr:uid="{00000000-0005-0000-0000-00003F4D0000}"/>
    <cellStyle name="Normal 234 2 3 4 2 2" xfId="20032" xr:uid="{00000000-0005-0000-0000-0000404D0000}"/>
    <cellStyle name="Normal 234 2 3 4 3" xfId="20033" xr:uid="{00000000-0005-0000-0000-0000414D0000}"/>
    <cellStyle name="Normal 234 2 3 5" xfId="20034" xr:uid="{00000000-0005-0000-0000-0000424D0000}"/>
    <cellStyle name="Normal 234 2 3 5 2" xfId="20035" xr:uid="{00000000-0005-0000-0000-0000434D0000}"/>
    <cellStyle name="Normal 234 2 3 5 2 2" xfId="20036" xr:uid="{00000000-0005-0000-0000-0000444D0000}"/>
    <cellStyle name="Normal 234 2 3 5 3" xfId="20037" xr:uid="{00000000-0005-0000-0000-0000454D0000}"/>
    <cellStyle name="Normal 234 2 3 6" xfId="20038" xr:uid="{00000000-0005-0000-0000-0000464D0000}"/>
    <cellStyle name="Normal 234 2 4" xfId="20039" xr:uid="{00000000-0005-0000-0000-0000474D0000}"/>
    <cellStyle name="Normal 234 2 4 2" xfId="20040" xr:uid="{00000000-0005-0000-0000-0000484D0000}"/>
    <cellStyle name="Normal 234 2 4 2 2" xfId="20041" xr:uid="{00000000-0005-0000-0000-0000494D0000}"/>
    <cellStyle name="Normal 234 2 4 3" xfId="20042" xr:uid="{00000000-0005-0000-0000-00004A4D0000}"/>
    <cellStyle name="Normal 234 2 5" xfId="20043" xr:uid="{00000000-0005-0000-0000-00004B4D0000}"/>
    <cellStyle name="Normal 234 2 5 2" xfId="20044" xr:uid="{00000000-0005-0000-0000-00004C4D0000}"/>
    <cellStyle name="Normal 234 2 5 2 2" xfId="20045" xr:uid="{00000000-0005-0000-0000-00004D4D0000}"/>
    <cellStyle name="Normal 234 2 5 3" xfId="20046" xr:uid="{00000000-0005-0000-0000-00004E4D0000}"/>
    <cellStyle name="Normal 234 2 6" xfId="20047" xr:uid="{00000000-0005-0000-0000-00004F4D0000}"/>
    <cellStyle name="Normal 234 2 6 2" xfId="20048" xr:uid="{00000000-0005-0000-0000-0000504D0000}"/>
    <cellStyle name="Normal 234 2 6 2 2" xfId="20049" xr:uid="{00000000-0005-0000-0000-0000514D0000}"/>
    <cellStyle name="Normal 234 2 6 3" xfId="20050" xr:uid="{00000000-0005-0000-0000-0000524D0000}"/>
    <cellStyle name="Normal 234 2 7" xfId="20051" xr:uid="{00000000-0005-0000-0000-0000534D0000}"/>
    <cellStyle name="Normal 234 3" xfId="20052" xr:uid="{00000000-0005-0000-0000-0000544D0000}"/>
    <cellStyle name="Normal 234 3 2" xfId="20053" xr:uid="{00000000-0005-0000-0000-0000554D0000}"/>
    <cellStyle name="Normal 234 3 2 2" xfId="20054" xr:uid="{00000000-0005-0000-0000-0000564D0000}"/>
    <cellStyle name="Normal 234 3 3" xfId="20055" xr:uid="{00000000-0005-0000-0000-0000574D0000}"/>
    <cellStyle name="Normal 234 3 3 2" xfId="20056" xr:uid="{00000000-0005-0000-0000-0000584D0000}"/>
    <cellStyle name="Normal 234 3 3 2 2" xfId="20057" xr:uid="{00000000-0005-0000-0000-0000594D0000}"/>
    <cellStyle name="Normal 234 3 3 3" xfId="20058" xr:uid="{00000000-0005-0000-0000-00005A4D0000}"/>
    <cellStyle name="Normal 234 3 4" xfId="20059" xr:uid="{00000000-0005-0000-0000-00005B4D0000}"/>
    <cellStyle name="Normal 234 3 4 2" xfId="20060" xr:uid="{00000000-0005-0000-0000-00005C4D0000}"/>
    <cellStyle name="Normal 234 3 4 2 2" xfId="20061" xr:uid="{00000000-0005-0000-0000-00005D4D0000}"/>
    <cellStyle name="Normal 234 3 4 3" xfId="20062" xr:uid="{00000000-0005-0000-0000-00005E4D0000}"/>
    <cellStyle name="Normal 234 3 5" xfId="20063" xr:uid="{00000000-0005-0000-0000-00005F4D0000}"/>
    <cellStyle name="Normal 234 4" xfId="20064" xr:uid="{00000000-0005-0000-0000-0000604D0000}"/>
    <cellStyle name="Normal 234 4 2" xfId="20065" xr:uid="{00000000-0005-0000-0000-0000614D0000}"/>
    <cellStyle name="Normal 234 4 2 2" xfId="20066" xr:uid="{00000000-0005-0000-0000-0000624D0000}"/>
    <cellStyle name="Normal 234 4 2 2 2" xfId="20067" xr:uid="{00000000-0005-0000-0000-0000634D0000}"/>
    <cellStyle name="Normal 234 4 2 3" xfId="20068" xr:uid="{00000000-0005-0000-0000-0000644D0000}"/>
    <cellStyle name="Normal 234 4 2 3 2" xfId="20069" xr:uid="{00000000-0005-0000-0000-0000654D0000}"/>
    <cellStyle name="Normal 234 4 2 3 2 2" xfId="20070" xr:uid="{00000000-0005-0000-0000-0000664D0000}"/>
    <cellStyle name="Normal 234 4 2 3 3" xfId="20071" xr:uid="{00000000-0005-0000-0000-0000674D0000}"/>
    <cellStyle name="Normal 234 4 2 4" xfId="20072" xr:uid="{00000000-0005-0000-0000-0000684D0000}"/>
    <cellStyle name="Normal 234 4 3" xfId="20073" xr:uid="{00000000-0005-0000-0000-0000694D0000}"/>
    <cellStyle name="Normal 234 4 3 2" xfId="20074" xr:uid="{00000000-0005-0000-0000-00006A4D0000}"/>
    <cellStyle name="Normal 234 4 3 2 2" xfId="20075" xr:uid="{00000000-0005-0000-0000-00006B4D0000}"/>
    <cellStyle name="Normal 234 4 3 3" xfId="20076" xr:uid="{00000000-0005-0000-0000-00006C4D0000}"/>
    <cellStyle name="Normal 234 4 4" xfId="20077" xr:uid="{00000000-0005-0000-0000-00006D4D0000}"/>
    <cellStyle name="Normal 234 4 4 2" xfId="20078" xr:uid="{00000000-0005-0000-0000-00006E4D0000}"/>
    <cellStyle name="Normal 234 4 4 2 2" xfId="20079" xr:uid="{00000000-0005-0000-0000-00006F4D0000}"/>
    <cellStyle name="Normal 234 4 4 3" xfId="20080" xr:uid="{00000000-0005-0000-0000-0000704D0000}"/>
    <cellStyle name="Normal 234 4 5" xfId="20081" xr:uid="{00000000-0005-0000-0000-0000714D0000}"/>
    <cellStyle name="Normal 234 4 5 2" xfId="20082" xr:uid="{00000000-0005-0000-0000-0000724D0000}"/>
    <cellStyle name="Normal 234 4 5 2 2" xfId="20083" xr:uid="{00000000-0005-0000-0000-0000734D0000}"/>
    <cellStyle name="Normal 234 4 5 3" xfId="20084" xr:uid="{00000000-0005-0000-0000-0000744D0000}"/>
    <cellStyle name="Normal 234 4 6" xfId="20085" xr:uid="{00000000-0005-0000-0000-0000754D0000}"/>
    <cellStyle name="Normal 234 5" xfId="20086" xr:uid="{00000000-0005-0000-0000-0000764D0000}"/>
    <cellStyle name="Normal 234 5 2" xfId="20087" xr:uid="{00000000-0005-0000-0000-0000774D0000}"/>
    <cellStyle name="Normal 234 5 2 2" xfId="20088" xr:uid="{00000000-0005-0000-0000-0000784D0000}"/>
    <cellStyle name="Normal 234 5 3" xfId="20089" xr:uid="{00000000-0005-0000-0000-0000794D0000}"/>
    <cellStyle name="Normal 234 6" xfId="20090" xr:uid="{00000000-0005-0000-0000-00007A4D0000}"/>
    <cellStyle name="Normal 234 6 2" xfId="20091" xr:uid="{00000000-0005-0000-0000-00007B4D0000}"/>
    <cellStyle name="Normal 234 6 2 2" xfId="20092" xr:uid="{00000000-0005-0000-0000-00007C4D0000}"/>
    <cellStyle name="Normal 234 6 3" xfId="20093" xr:uid="{00000000-0005-0000-0000-00007D4D0000}"/>
    <cellStyle name="Normal 234 7" xfId="20094" xr:uid="{00000000-0005-0000-0000-00007E4D0000}"/>
    <cellStyle name="Normal 234 7 2" xfId="20095" xr:uid="{00000000-0005-0000-0000-00007F4D0000}"/>
    <cellStyle name="Normal 234 7 2 2" xfId="20096" xr:uid="{00000000-0005-0000-0000-0000804D0000}"/>
    <cellStyle name="Normal 234 7 3" xfId="20097" xr:uid="{00000000-0005-0000-0000-0000814D0000}"/>
    <cellStyle name="Normal 234 8" xfId="20098" xr:uid="{00000000-0005-0000-0000-0000824D0000}"/>
    <cellStyle name="Normal 235" xfId="20099" xr:uid="{00000000-0005-0000-0000-0000834D0000}"/>
    <cellStyle name="Normal 235 2" xfId="20100" xr:uid="{00000000-0005-0000-0000-0000844D0000}"/>
    <cellStyle name="Normal 235 2 2" xfId="20101" xr:uid="{00000000-0005-0000-0000-0000854D0000}"/>
    <cellStyle name="Normal 235 2 2 2" xfId="20102" xr:uid="{00000000-0005-0000-0000-0000864D0000}"/>
    <cellStyle name="Normal 235 2 2 2 2" xfId="20103" xr:uid="{00000000-0005-0000-0000-0000874D0000}"/>
    <cellStyle name="Normal 235 2 2 3" xfId="20104" xr:uid="{00000000-0005-0000-0000-0000884D0000}"/>
    <cellStyle name="Normal 235 2 2 3 2" xfId="20105" xr:uid="{00000000-0005-0000-0000-0000894D0000}"/>
    <cellStyle name="Normal 235 2 2 3 2 2" xfId="20106" xr:uid="{00000000-0005-0000-0000-00008A4D0000}"/>
    <cellStyle name="Normal 235 2 2 3 3" xfId="20107" xr:uid="{00000000-0005-0000-0000-00008B4D0000}"/>
    <cellStyle name="Normal 235 2 2 4" xfId="20108" xr:uid="{00000000-0005-0000-0000-00008C4D0000}"/>
    <cellStyle name="Normal 235 2 2 4 2" xfId="20109" xr:uid="{00000000-0005-0000-0000-00008D4D0000}"/>
    <cellStyle name="Normal 235 2 2 4 2 2" xfId="20110" xr:uid="{00000000-0005-0000-0000-00008E4D0000}"/>
    <cellStyle name="Normal 235 2 2 4 3" xfId="20111" xr:uid="{00000000-0005-0000-0000-00008F4D0000}"/>
    <cellStyle name="Normal 235 2 2 5" xfId="20112" xr:uid="{00000000-0005-0000-0000-0000904D0000}"/>
    <cellStyle name="Normal 235 2 3" xfId="20113" xr:uid="{00000000-0005-0000-0000-0000914D0000}"/>
    <cellStyle name="Normal 235 2 3 2" xfId="20114" xr:uid="{00000000-0005-0000-0000-0000924D0000}"/>
    <cellStyle name="Normal 235 2 3 2 2" xfId="20115" xr:uid="{00000000-0005-0000-0000-0000934D0000}"/>
    <cellStyle name="Normal 235 2 3 2 2 2" xfId="20116" xr:uid="{00000000-0005-0000-0000-0000944D0000}"/>
    <cellStyle name="Normal 235 2 3 2 3" xfId="20117" xr:uid="{00000000-0005-0000-0000-0000954D0000}"/>
    <cellStyle name="Normal 235 2 3 2 3 2" xfId="20118" xr:uid="{00000000-0005-0000-0000-0000964D0000}"/>
    <cellStyle name="Normal 235 2 3 2 3 2 2" xfId="20119" xr:uid="{00000000-0005-0000-0000-0000974D0000}"/>
    <cellStyle name="Normal 235 2 3 2 3 3" xfId="20120" xr:uid="{00000000-0005-0000-0000-0000984D0000}"/>
    <cellStyle name="Normal 235 2 3 2 4" xfId="20121" xr:uid="{00000000-0005-0000-0000-0000994D0000}"/>
    <cellStyle name="Normal 235 2 3 3" xfId="20122" xr:uid="{00000000-0005-0000-0000-00009A4D0000}"/>
    <cellStyle name="Normal 235 2 3 3 2" xfId="20123" xr:uid="{00000000-0005-0000-0000-00009B4D0000}"/>
    <cellStyle name="Normal 235 2 3 3 2 2" xfId="20124" xr:uid="{00000000-0005-0000-0000-00009C4D0000}"/>
    <cellStyle name="Normal 235 2 3 3 3" xfId="20125" xr:uid="{00000000-0005-0000-0000-00009D4D0000}"/>
    <cellStyle name="Normal 235 2 3 4" xfId="20126" xr:uid="{00000000-0005-0000-0000-00009E4D0000}"/>
    <cellStyle name="Normal 235 2 3 4 2" xfId="20127" xr:uid="{00000000-0005-0000-0000-00009F4D0000}"/>
    <cellStyle name="Normal 235 2 3 4 2 2" xfId="20128" xr:uid="{00000000-0005-0000-0000-0000A04D0000}"/>
    <cellStyle name="Normal 235 2 3 4 3" xfId="20129" xr:uid="{00000000-0005-0000-0000-0000A14D0000}"/>
    <cellStyle name="Normal 235 2 3 5" xfId="20130" xr:uid="{00000000-0005-0000-0000-0000A24D0000}"/>
    <cellStyle name="Normal 235 2 3 5 2" xfId="20131" xr:uid="{00000000-0005-0000-0000-0000A34D0000}"/>
    <cellStyle name="Normal 235 2 3 5 2 2" xfId="20132" xr:uid="{00000000-0005-0000-0000-0000A44D0000}"/>
    <cellStyle name="Normal 235 2 3 5 3" xfId="20133" xr:uid="{00000000-0005-0000-0000-0000A54D0000}"/>
    <cellStyle name="Normal 235 2 3 6" xfId="20134" xr:uid="{00000000-0005-0000-0000-0000A64D0000}"/>
    <cellStyle name="Normal 235 2 4" xfId="20135" xr:uid="{00000000-0005-0000-0000-0000A74D0000}"/>
    <cellStyle name="Normal 235 2 4 2" xfId="20136" xr:uid="{00000000-0005-0000-0000-0000A84D0000}"/>
    <cellStyle name="Normal 235 2 4 2 2" xfId="20137" xr:uid="{00000000-0005-0000-0000-0000A94D0000}"/>
    <cellStyle name="Normal 235 2 4 3" xfId="20138" xr:uid="{00000000-0005-0000-0000-0000AA4D0000}"/>
    <cellStyle name="Normal 235 2 5" xfId="20139" xr:uid="{00000000-0005-0000-0000-0000AB4D0000}"/>
    <cellStyle name="Normal 235 2 5 2" xfId="20140" xr:uid="{00000000-0005-0000-0000-0000AC4D0000}"/>
    <cellStyle name="Normal 235 2 5 2 2" xfId="20141" xr:uid="{00000000-0005-0000-0000-0000AD4D0000}"/>
    <cellStyle name="Normal 235 2 5 3" xfId="20142" xr:uid="{00000000-0005-0000-0000-0000AE4D0000}"/>
    <cellStyle name="Normal 235 2 6" xfId="20143" xr:uid="{00000000-0005-0000-0000-0000AF4D0000}"/>
    <cellStyle name="Normal 235 2 6 2" xfId="20144" xr:uid="{00000000-0005-0000-0000-0000B04D0000}"/>
    <cellStyle name="Normal 235 2 6 2 2" xfId="20145" xr:uid="{00000000-0005-0000-0000-0000B14D0000}"/>
    <cellStyle name="Normal 235 2 6 3" xfId="20146" xr:uid="{00000000-0005-0000-0000-0000B24D0000}"/>
    <cellStyle name="Normal 235 2 7" xfId="20147" xr:uid="{00000000-0005-0000-0000-0000B34D0000}"/>
    <cellStyle name="Normal 235 3" xfId="20148" xr:uid="{00000000-0005-0000-0000-0000B44D0000}"/>
    <cellStyle name="Normal 235 3 2" xfId="20149" xr:uid="{00000000-0005-0000-0000-0000B54D0000}"/>
    <cellStyle name="Normal 235 3 2 2" xfId="20150" xr:uid="{00000000-0005-0000-0000-0000B64D0000}"/>
    <cellStyle name="Normal 235 3 3" xfId="20151" xr:uid="{00000000-0005-0000-0000-0000B74D0000}"/>
    <cellStyle name="Normal 235 3 3 2" xfId="20152" xr:uid="{00000000-0005-0000-0000-0000B84D0000}"/>
    <cellStyle name="Normal 235 3 3 2 2" xfId="20153" xr:uid="{00000000-0005-0000-0000-0000B94D0000}"/>
    <cellStyle name="Normal 235 3 3 3" xfId="20154" xr:uid="{00000000-0005-0000-0000-0000BA4D0000}"/>
    <cellStyle name="Normal 235 3 4" xfId="20155" xr:uid="{00000000-0005-0000-0000-0000BB4D0000}"/>
    <cellStyle name="Normal 235 3 4 2" xfId="20156" xr:uid="{00000000-0005-0000-0000-0000BC4D0000}"/>
    <cellStyle name="Normal 235 3 4 2 2" xfId="20157" xr:uid="{00000000-0005-0000-0000-0000BD4D0000}"/>
    <cellStyle name="Normal 235 3 4 3" xfId="20158" xr:uid="{00000000-0005-0000-0000-0000BE4D0000}"/>
    <cellStyle name="Normal 235 3 5" xfId="20159" xr:uid="{00000000-0005-0000-0000-0000BF4D0000}"/>
    <cellStyle name="Normal 235 4" xfId="20160" xr:uid="{00000000-0005-0000-0000-0000C04D0000}"/>
    <cellStyle name="Normal 235 4 2" xfId="20161" xr:uid="{00000000-0005-0000-0000-0000C14D0000}"/>
    <cellStyle name="Normal 235 4 2 2" xfId="20162" xr:uid="{00000000-0005-0000-0000-0000C24D0000}"/>
    <cellStyle name="Normal 235 4 2 2 2" xfId="20163" xr:uid="{00000000-0005-0000-0000-0000C34D0000}"/>
    <cellStyle name="Normal 235 4 2 3" xfId="20164" xr:uid="{00000000-0005-0000-0000-0000C44D0000}"/>
    <cellStyle name="Normal 235 4 2 3 2" xfId="20165" xr:uid="{00000000-0005-0000-0000-0000C54D0000}"/>
    <cellStyle name="Normal 235 4 2 3 2 2" xfId="20166" xr:uid="{00000000-0005-0000-0000-0000C64D0000}"/>
    <cellStyle name="Normal 235 4 2 3 3" xfId="20167" xr:uid="{00000000-0005-0000-0000-0000C74D0000}"/>
    <cellStyle name="Normal 235 4 2 4" xfId="20168" xr:uid="{00000000-0005-0000-0000-0000C84D0000}"/>
    <cellStyle name="Normal 235 4 3" xfId="20169" xr:uid="{00000000-0005-0000-0000-0000C94D0000}"/>
    <cellStyle name="Normal 235 4 3 2" xfId="20170" xr:uid="{00000000-0005-0000-0000-0000CA4D0000}"/>
    <cellStyle name="Normal 235 4 3 2 2" xfId="20171" xr:uid="{00000000-0005-0000-0000-0000CB4D0000}"/>
    <cellStyle name="Normal 235 4 3 3" xfId="20172" xr:uid="{00000000-0005-0000-0000-0000CC4D0000}"/>
    <cellStyle name="Normal 235 4 4" xfId="20173" xr:uid="{00000000-0005-0000-0000-0000CD4D0000}"/>
    <cellStyle name="Normal 235 4 4 2" xfId="20174" xr:uid="{00000000-0005-0000-0000-0000CE4D0000}"/>
    <cellStyle name="Normal 235 4 4 2 2" xfId="20175" xr:uid="{00000000-0005-0000-0000-0000CF4D0000}"/>
    <cellStyle name="Normal 235 4 4 3" xfId="20176" xr:uid="{00000000-0005-0000-0000-0000D04D0000}"/>
    <cellStyle name="Normal 235 4 5" xfId="20177" xr:uid="{00000000-0005-0000-0000-0000D14D0000}"/>
    <cellStyle name="Normal 235 4 5 2" xfId="20178" xr:uid="{00000000-0005-0000-0000-0000D24D0000}"/>
    <cellStyle name="Normal 235 4 5 2 2" xfId="20179" xr:uid="{00000000-0005-0000-0000-0000D34D0000}"/>
    <cellStyle name="Normal 235 4 5 3" xfId="20180" xr:uid="{00000000-0005-0000-0000-0000D44D0000}"/>
    <cellStyle name="Normal 235 4 6" xfId="20181" xr:uid="{00000000-0005-0000-0000-0000D54D0000}"/>
    <cellStyle name="Normal 235 5" xfId="20182" xr:uid="{00000000-0005-0000-0000-0000D64D0000}"/>
    <cellStyle name="Normal 235 5 2" xfId="20183" xr:uid="{00000000-0005-0000-0000-0000D74D0000}"/>
    <cellStyle name="Normal 235 5 2 2" xfId="20184" xr:uid="{00000000-0005-0000-0000-0000D84D0000}"/>
    <cellStyle name="Normal 235 5 3" xfId="20185" xr:uid="{00000000-0005-0000-0000-0000D94D0000}"/>
    <cellStyle name="Normal 235 6" xfId="20186" xr:uid="{00000000-0005-0000-0000-0000DA4D0000}"/>
    <cellStyle name="Normal 235 6 2" xfId="20187" xr:uid="{00000000-0005-0000-0000-0000DB4D0000}"/>
    <cellStyle name="Normal 235 6 2 2" xfId="20188" xr:uid="{00000000-0005-0000-0000-0000DC4D0000}"/>
    <cellStyle name="Normal 235 6 3" xfId="20189" xr:uid="{00000000-0005-0000-0000-0000DD4D0000}"/>
    <cellStyle name="Normal 235 7" xfId="20190" xr:uid="{00000000-0005-0000-0000-0000DE4D0000}"/>
    <cellStyle name="Normal 235 7 2" xfId="20191" xr:uid="{00000000-0005-0000-0000-0000DF4D0000}"/>
    <cellStyle name="Normal 235 7 2 2" xfId="20192" xr:uid="{00000000-0005-0000-0000-0000E04D0000}"/>
    <cellStyle name="Normal 235 7 3" xfId="20193" xr:uid="{00000000-0005-0000-0000-0000E14D0000}"/>
    <cellStyle name="Normal 235 8" xfId="20194" xr:uid="{00000000-0005-0000-0000-0000E24D0000}"/>
    <cellStyle name="Normal 236" xfId="20195" xr:uid="{00000000-0005-0000-0000-0000E34D0000}"/>
    <cellStyle name="Normal 236 2" xfId="20196" xr:uid="{00000000-0005-0000-0000-0000E44D0000}"/>
    <cellStyle name="Normal 236 2 2" xfId="20197" xr:uid="{00000000-0005-0000-0000-0000E54D0000}"/>
    <cellStyle name="Normal 236 2 2 2" xfId="20198" xr:uid="{00000000-0005-0000-0000-0000E64D0000}"/>
    <cellStyle name="Normal 236 2 2 2 2" xfId="20199" xr:uid="{00000000-0005-0000-0000-0000E74D0000}"/>
    <cellStyle name="Normal 236 2 2 3" xfId="20200" xr:uid="{00000000-0005-0000-0000-0000E84D0000}"/>
    <cellStyle name="Normal 236 2 2 3 2" xfId="20201" xr:uid="{00000000-0005-0000-0000-0000E94D0000}"/>
    <cellStyle name="Normal 236 2 2 3 2 2" xfId="20202" xr:uid="{00000000-0005-0000-0000-0000EA4D0000}"/>
    <cellStyle name="Normal 236 2 2 3 3" xfId="20203" xr:uid="{00000000-0005-0000-0000-0000EB4D0000}"/>
    <cellStyle name="Normal 236 2 2 4" xfId="20204" xr:uid="{00000000-0005-0000-0000-0000EC4D0000}"/>
    <cellStyle name="Normal 236 2 2 4 2" xfId="20205" xr:uid="{00000000-0005-0000-0000-0000ED4D0000}"/>
    <cellStyle name="Normal 236 2 2 4 2 2" xfId="20206" xr:uid="{00000000-0005-0000-0000-0000EE4D0000}"/>
    <cellStyle name="Normal 236 2 2 4 3" xfId="20207" xr:uid="{00000000-0005-0000-0000-0000EF4D0000}"/>
    <cellStyle name="Normal 236 2 2 5" xfId="20208" xr:uid="{00000000-0005-0000-0000-0000F04D0000}"/>
    <cellStyle name="Normal 236 2 3" xfId="20209" xr:uid="{00000000-0005-0000-0000-0000F14D0000}"/>
    <cellStyle name="Normal 236 2 3 2" xfId="20210" xr:uid="{00000000-0005-0000-0000-0000F24D0000}"/>
    <cellStyle name="Normal 236 2 3 2 2" xfId="20211" xr:uid="{00000000-0005-0000-0000-0000F34D0000}"/>
    <cellStyle name="Normal 236 2 3 2 2 2" xfId="20212" xr:uid="{00000000-0005-0000-0000-0000F44D0000}"/>
    <cellStyle name="Normal 236 2 3 2 3" xfId="20213" xr:uid="{00000000-0005-0000-0000-0000F54D0000}"/>
    <cellStyle name="Normal 236 2 3 2 3 2" xfId="20214" xr:uid="{00000000-0005-0000-0000-0000F64D0000}"/>
    <cellStyle name="Normal 236 2 3 2 3 2 2" xfId="20215" xr:uid="{00000000-0005-0000-0000-0000F74D0000}"/>
    <cellStyle name="Normal 236 2 3 2 3 3" xfId="20216" xr:uid="{00000000-0005-0000-0000-0000F84D0000}"/>
    <cellStyle name="Normal 236 2 3 2 4" xfId="20217" xr:uid="{00000000-0005-0000-0000-0000F94D0000}"/>
    <cellStyle name="Normal 236 2 3 3" xfId="20218" xr:uid="{00000000-0005-0000-0000-0000FA4D0000}"/>
    <cellStyle name="Normal 236 2 3 3 2" xfId="20219" xr:uid="{00000000-0005-0000-0000-0000FB4D0000}"/>
    <cellStyle name="Normal 236 2 3 3 2 2" xfId="20220" xr:uid="{00000000-0005-0000-0000-0000FC4D0000}"/>
    <cellStyle name="Normal 236 2 3 3 3" xfId="20221" xr:uid="{00000000-0005-0000-0000-0000FD4D0000}"/>
    <cellStyle name="Normal 236 2 3 4" xfId="20222" xr:uid="{00000000-0005-0000-0000-0000FE4D0000}"/>
    <cellStyle name="Normal 236 2 3 4 2" xfId="20223" xr:uid="{00000000-0005-0000-0000-0000FF4D0000}"/>
    <cellStyle name="Normal 236 2 3 4 2 2" xfId="20224" xr:uid="{00000000-0005-0000-0000-0000004E0000}"/>
    <cellStyle name="Normal 236 2 3 4 3" xfId="20225" xr:uid="{00000000-0005-0000-0000-0000014E0000}"/>
    <cellStyle name="Normal 236 2 3 5" xfId="20226" xr:uid="{00000000-0005-0000-0000-0000024E0000}"/>
    <cellStyle name="Normal 236 2 3 5 2" xfId="20227" xr:uid="{00000000-0005-0000-0000-0000034E0000}"/>
    <cellStyle name="Normal 236 2 3 5 2 2" xfId="20228" xr:uid="{00000000-0005-0000-0000-0000044E0000}"/>
    <cellStyle name="Normal 236 2 3 5 3" xfId="20229" xr:uid="{00000000-0005-0000-0000-0000054E0000}"/>
    <cellStyle name="Normal 236 2 3 6" xfId="20230" xr:uid="{00000000-0005-0000-0000-0000064E0000}"/>
    <cellStyle name="Normal 236 2 4" xfId="20231" xr:uid="{00000000-0005-0000-0000-0000074E0000}"/>
    <cellStyle name="Normal 236 2 4 2" xfId="20232" xr:uid="{00000000-0005-0000-0000-0000084E0000}"/>
    <cellStyle name="Normal 236 2 4 2 2" xfId="20233" xr:uid="{00000000-0005-0000-0000-0000094E0000}"/>
    <cellStyle name="Normal 236 2 4 3" xfId="20234" xr:uid="{00000000-0005-0000-0000-00000A4E0000}"/>
    <cellStyle name="Normal 236 2 5" xfId="20235" xr:uid="{00000000-0005-0000-0000-00000B4E0000}"/>
    <cellStyle name="Normal 236 2 5 2" xfId="20236" xr:uid="{00000000-0005-0000-0000-00000C4E0000}"/>
    <cellStyle name="Normal 236 2 5 2 2" xfId="20237" xr:uid="{00000000-0005-0000-0000-00000D4E0000}"/>
    <cellStyle name="Normal 236 2 5 3" xfId="20238" xr:uid="{00000000-0005-0000-0000-00000E4E0000}"/>
    <cellStyle name="Normal 236 2 6" xfId="20239" xr:uid="{00000000-0005-0000-0000-00000F4E0000}"/>
    <cellStyle name="Normal 236 2 6 2" xfId="20240" xr:uid="{00000000-0005-0000-0000-0000104E0000}"/>
    <cellStyle name="Normal 236 2 6 2 2" xfId="20241" xr:uid="{00000000-0005-0000-0000-0000114E0000}"/>
    <cellStyle name="Normal 236 2 6 3" xfId="20242" xr:uid="{00000000-0005-0000-0000-0000124E0000}"/>
    <cellStyle name="Normal 236 2 7" xfId="20243" xr:uid="{00000000-0005-0000-0000-0000134E0000}"/>
    <cellStyle name="Normal 236 3" xfId="20244" xr:uid="{00000000-0005-0000-0000-0000144E0000}"/>
    <cellStyle name="Normal 236 3 2" xfId="20245" xr:uid="{00000000-0005-0000-0000-0000154E0000}"/>
    <cellStyle name="Normal 236 3 2 2" xfId="20246" xr:uid="{00000000-0005-0000-0000-0000164E0000}"/>
    <cellStyle name="Normal 236 3 3" xfId="20247" xr:uid="{00000000-0005-0000-0000-0000174E0000}"/>
    <cellStyle name="Normal 236 3 3 2" xfId="20248" xr:uid="{00000000-0005-0000-0000-0000184E0000}"/>
    <cellStyle name="Normal 236 3 3 2 2" xfId="20249" xr:uid="{00000000-0005-0000-0000-0000194E0000}"/>
    <cellStyle name="Normal 236 3 3 3" xfId="20250" xr:uid="{00000000-0005-0000-0000-00001A4E0000}"/>
    <cellStyle name="Normal 236 3 4" xfId="20251" xr:uid="{00000000-0005-0000-0000-00001B4E0000}"/>
    <cellStyle name="Normal 236 3 4 2" xfId="20252" xr:uid="{00000000-0005-0000-0000-00001C4E0000}"/>
    <cellStyle name="Normal 236 3 4 2 2" xfId="20253" xr:uid="{00000000-0005-0000-0000-00001D4E0000}"/>
    <cellStyle name="Normal 236 3 4 3" xfId="20254" xr:uid="{00000000-0005-0000-0000-00001E4E0000}"/>
    <cellStyle name="Normal 236 3 5" xfId="20255" xr:uid="{00000000-0005-0000-0000-00001F4E0000}"/>
    <cellStyle name="Normal 236 4" xfId="20256" xr:uid="{00000000-0005-0000-0000-0000204E0000}"/>
    <cellStyle name="Normal 236 4 2" xfId="20257" xr:uid="{00000000-0005-0000-0000-0000214E0000}"/>
    <cellStyle name="Normal 236 4 2 2" xfId="20258" xr:uid="{00000000-0005-0000-0000-0000224E0000}"/>
    <cellStyle name="Normal 236 4 2 2 2" xfId="20259" xr:uid="{00000000-0005-0000-0000-0000234E0000}"/>
    <cellStyle name="Normal 236 4 2 3" xfId="20260" xr:uid="{00000000-0005-0000-0000-0000244E0000}"/>
    <cellStyle name="Normal 236 4 2 3 2" xfId="20261" xr:uid="{00000000-0005-0000-0000-0000254E0000}"/>
    <cellStyle name="Normal 236 4 2 3 2 2" xfId="20262" xr:uid="{00000000-0005-0000-0000-0000264E0000}"/>
    <cellStyle name="Normal 236 4 2 3 3" xfId="20263" xr:uid="{00000000-0005-0000-0000-0000274E0000}"/>
    <cellStyle name="Normal 236 4 2 4" xfId="20264" xr:uid="{00000000-0005-0000-0000-0000284E0000}"/>
    <cellStyle name="Normal 236 4 3" xfId="20265" xr:uid="{00000000-0005-0000-0000-0000294E0000}"/>
    <cellStyle name="Normal 236 4 3 2" xfId="20266" xr:uid="{00000000-0005-0000-0000-00002A4E0000}"/>
    <cellStyle name="Normal 236 4 3 2 2" xfId="20267" xr:uid="{00000000-0005-0000-0000-00002B4E0000}"/>
    <cellStyle name="Normal 236 4 3 3" xfId="20268" xr:uid="{00000000-0005-0000-0000-00002C4E0000}"/>
    <cellStyle name="Normal 236 4 4" xfId="20269" xr:uid="{00000000-0005-0000-0000-00002D4E0000}"/>
    <cellStyle name="Normal 236 4 4 2" xfId="20270" xr:uid="{00000000-0005-0000-0000-00002E4E0000}"/>
    <cellStyle name="Normal 236 4 4 2 2" xfId="20271" xr:uid="{00000000-0005-0000-0000-00002F4E0000}"/>
    <cellStyle name="Normal 236 4 4 3" xfId="20272" xr:uid="{00000000-0005-0000-0000-0000304E0000}"/>
    <cellStyle name="Normal 236 4 5" xfId="20273" xr:uid="{00000000-0005-0000-0000-0000314E0000}"/>
    <cellStyle name="Normal 236 4 5 2" xfId="20274" xr:uid="{00000000-0005-0000-0000-0000324E0000}"/>
    <cellStyle name="Normal 236 4 5 2 2" xfId="20275" xr:uid="{00000000-0005-0000-0000-0000334E0000}"/>
    <cellStyle name="Normal 236 4 5 3" xfId="20276" xr:uid="{00000000-0005-0000-0000-0000344E0000}"/>
    <cellStyle name="Normal 236 4 6" xfId="20277" xr:uid="{00000000-0005-0000-0000-0000354E0000}"/>
    <cellStyle name="Normal 236 5" xfId="20278" xr:uid="{00000000-0005-0000-0000-0000364E0000}"/>
    <cellStyle name="Normal 236 5 2" xfId="20279" xr:uid="{00000000-0005-0000-0000-0000374E0000}"/>
    <cellStyle name="Normal 236 5 2 2" xfId="20280" xr:uid="{00000000-0005-0000-0000-0000384E0000}"/>
    <cellStyle name="Normal 236 5 3" xfId="20281" xr:uid="{00000000-0005-0000-0000-0000394E0000}"/>
    <cellStyle name="Normal 236 6" xfId="20282" xr:uid="{00000000-0005-0000-0000-00003A4E0000}"/>
    <cellStyle name="Normal 236 6 2" xfId="20283" xr:uid="{00000000-0005-0000-0000-00003B4E0000}"/>
    <cellStyle name="Normal 236 6 2 2" xfId="20284" xr:uid="{00000000-0005-0000-0000-00003C4E0000}"/>
    <cellStyle name="Normal 236 6 3" xfId="20285" xr:uid="{00000000-0005-0000-0000-00003D4E0000}"/>
    <cellStyle name="Normal 236 7" xfId="20286" xr:uid="{00000000-0005-0000-0000-00003E4E0000}"/>
    <cellStyle name="Normal 236 7 2" xfId="20287" xr:uid="{00000000-0005-0000-0000-00003F4E0000}"/>
    <cellStyle name="Normal 236 7 2 2" xfId="20288" xr:uid="{00000000-0005-0000-0000-0000404E0000}"/>
    <cellStyle name="Normal 236 7 3" xfId="20289" xr:uid="{00000000-0005-0000-0000-0000414E0000}"/>
    <cellStyle name="Normal 236 8" xfId="20290" xr:uid="{00000000-0005-0000-0000-0000424E0000}"/>
    <cellStyle name="Normal 237" xfId="20291" xr:uid="{00000000-0005-0000-0000-0000434E0000}"/>
    <cellStyle name="Normal 237 2" xfId="20292" xr:uid="{00000000-0005-0000-0000-0000444E0000}"/>
    <cellStyle name="Normal 237 2 2" xfId="20293" xr:uid="{00000000-0005-0000-0000-0000454E0000}"/>
    <cellStyle name="Normal 237 2 2 2" xfId="20294" xr:uid="{00000000-0005-0000-0000-0000464E0000}"/>
    <cellStyle name="Normal 237 2 2 2 2" xfId="20295" xr:uid="{00000000-0005-0000-0000-0000474E0000}"/>
    <cellStyle name="Normal 237 2 2 3" xfId="20296" xr:uid="{00000000-0005-0000-0000-0000484E0000}"/>
    <cellStyle name="Normal 237 2 2 3 2" xfId="20297" xr:uid="{00000000-0005-0000-0000-0000494E0000}"/>
    <cellStyle name="Normal 237 2 2 3 2 2" xfId="20298" xr:uid="{00000000-0005-0000-0000-00004A4E0000}"/>
    <cellStyle name="Normal 237 2 2 3 3" xfId="20299" xr:uid="{00000000-0005-0000-0000-00004B4E0000}"/>
    <cellStyle name="Normal 237 2 2 4" xfId="20300" xr:uid="{00000000-0005-0000-0000-00004C4E0000}"/>
    <cellStyle name="Normal 237 2 2 4 2" xfId="20301" xr:uid="{00000000-0005-0000-0000-00004D4E0000}"/>
    <cellStyle name="Normal 237 2 2 4 2 2" xfId="20302" xr:uid="{00000000-0005-0000-0000-00004E4E0000}"/>
    <cellStyle name="Normal 237 2 2 4 3" xfId="20303" xr:uid="{00000000-0005-0000-0000-00004F4E0000}"/>
    <cellStyle name="Normal 237 2 2 5" xfId="20304" xr:uid="{00000000-0005-0000-0000-0000504E0000}"/>
    <cellStyle name="Normal 237 2 3" xfId="20305" xr:uid="{00000000-0005-0000-0000-0000514E0000}"/>
    <cellStyle name="Normal 237 2 3 2" xfId="20306" xr:uid="{00000000-0005-0000-0000-0000524E0000}"/>
    <cellStyle name="Normal 237 2 3 2 2" xfId="20307" xr:uid="{00000000-0005-0000-0000-0000534E0000}"/>
    <cellStyle name="Normal 237 2 3 2 2 2" xfId="20308" xr:uid="{00000000-0005-0000-0000-0000544E0000}"/>
    <cellStyle name="Normal 237 2 3 2 3" xfId="20309" xr:uid="{00000000-0005-0000-0000-0000554E0000}"/>
    <cellStyle name="Normal 237 2 3 2 3 2" xfId="20310" xr:uid="{00000000-0005-0000-0000-0000564E0000}"/>
    <cellStyle name="Normal 237 2 3 2 3 2 2" xfId="20311" xr:uid="{00000000-0005-0000-0000-0000574E0000}"/>
    <cellStyle name="Normal 237 2 3 2 3 3" xfId="20312" xr:uid="{00000000-0005-0000-0000-0000584E0000}"/>
    <cellStyle name="Normal 237 2 3 2 4" xfId="20313" xr:uid="{00000000-0005-0000-0000-0000594E0000}"/>
    <cellStyle name="Normal 237 2 3 3" xfId="20314" xr:uid="{00000000-0005-0000-0000-00005A4E0000}"/>
    <cellStyle name="Normal 237 2 3 3 2" xfId="20315" xr:uid="{00000000-0005-0000-0000-00005B4E0000}"/>
    <cellStyle name="Normal 237 2 3 3 2 2" xfId="20316" xr:uid="{00000000-0005-0000-0000-00005C4E0000}"/>
    <cellStyle name="Normal 237 2 3 3 3" xfId="20317" xr:uid="{00000000-0005-0000-0000-00005D4E0000}"/>
    <cellStyle name="Normal 237 2 3 4" xfId="20318" xr:uid="{00000000-0005-0000-0000-00005E4E0000}"/>
    <cellStyle name="Normal 237 2 3 4 2" xfId="20319" xr:uid="{00000000-0005-0000-0000-00005F4E0000}"/>
    <cellStyle name="Normal 237 2 3 4 2 2" xfId="20320" xr:uid="{00000000-0005-0000-0000-0000604E0000}"/>
    <cellStyle name="Normal 237 2 3 4 3" xfId="20321" xr:uid="{00000000-0005-0000-0000-0000614E0000}"/>
    <cellStyle name="Normal 237 2 3 5" xfId="20322" xr:uid="{00000000-0005-0000-0000-0000624E0000}"/>
    <cellStyle name="Normal 237 2 3 5 2" xfId="20323" xr:uid="{00000000-0005-0000-0000-0000634E0000}"/>
    <cellStyle name="Normal 237 2 3 5 2 2" xfId="20324" xr:uid="{00000000-0005-0000-0000-0000644E0000}"/>
    <cellStyle name="Normal 237 2 3 5 3" xfId="20325" xr:uid="{00000000-0005-0000-0000-0000654E0000}"/>
    <cellStyle name="Normal 237 2 3 6" xfId="20326" xr:uid="{00000000-0005-0000-0000-0000664E0000}"/>
    <cellStyle name="Normal 237 2 4" xfId="20327" xr:uid="{00000000-0005-0000-0000-0000674E0000}"/>
    <cellStyle name="Normal 237 2 4 2" xfId="20328" xr:uid="{00000000-0005-0000-0000-0000684E0000}"/>
    <cellStyle name="Normal 237 2 4 2 2" xfId="20329" xr:uid="{00000000-0005-0000-0000-0000694E0000}"/>
    <cellStyle name="Normal 237 2 4 3" xfId="20330" xr:uid="{00000000-0005-0000-0000-00006A4E0000}"/>
    <cellStyle name="Normal 237 2 5" xfId="20331" xr:uid="{00000000-0005-0000-0000-00006B4E0000}"/>
    <cellStyle name="Normal 237 2 5 2" xfId="20332" xr:uid="{00000000-0005-0000-0000-00006C4E0000}"/>
    <cellStyle name="Normal 237 2 5 2 2" xfId="20333" xr:uid="{00000000-0005-0000-0000-00006D4E0000}"/>
    <cellStyle name="Normal 237 2 5 3" xfId="20334" xr:uid="{00000000-0005-0000-0000-00006E4E0000}"/>
    <cellStyle name="Normal 237 2 6" xfId="20335" xr:uid="{00000000-0005-0000-0000-00006F4E0000}"/>
    <cellStyle name="Normal 237 2 6 2" xfId="20336" xr:uid="{00000000-0005-0000-0000-0000704E0000}"/>
    <cellStyle name="Normal 237 2 6 2 2" xfId="20337" xr:uid="{00000000-0005-0000-0000-0000714E0000}"/>
    <cellStyle name="Normal 237 2 6 3" xfId="20338" xr:uid="{00000000-0005-0000-0000-0000724E0000}"/>
    <cellStyle name="Normal 237 2 7" xfId="20339" xr:uid="{00000000-0005-0000-0000-0000734E0000}"/>
    <cellStyle name="Normal 237 3" xfId="20340" xr:uid="{00000000-0005-0000-0000-0000744E0000}"/>
    <cellStyle name="Normal 237 3 2" xfId="20341" xr:uid="{00000000-0005-0000-0000-0000754E0000}"/>
    <cellStyle name="Normal 237 3 2 2" xfId="20342" xr:uid="{00000000-0005-0000-0000-0000764E0000}"/>
    <cellStyle name="Normal 237 3 3" xfId="20343" xr:uid="{00000000-0005-0000-0000-0000774E0000}"/>
    <cellStyle name="Normal 237 3 3 2" xfId="20344" xr:uid="{00000000-0005-0000-0000-0000784E0000}"/>
    <cellStyle name="Normal 237 3 3 2 2" xfId="20345" xr:uid="{00000000-0005-0000-0000-0000794E0000}"/>
    <cellStyle name="Normal 237 3 3 3" xfId="20346" xr:uid="{00000000-0005-0000-0000-00007A4E0000}"/>
    <cellStyle name="Normal 237 3 4" xfId="20347" xr:uid="{00000000-0005-0000-0000-00007B4E0000}"/>
    <cellStyle name="Normal 237 3 4 2" xfId="20348" xr:uid="{00000000-0005-0000-0000-00007C4E0000}"/>
    <cellStyle name="Normal 237 3 4 2 2" xfId="20349" xr:uid="{00000000-0005-0000-0000-00007D4E0000}"/>
    <cellStyle name="Normal 237 3 4 3" xfId="20350" xr:uid="{00000000-0005-0000-0000-00007E4E0000}"/>
    <cellStyle name="Normal 237 3 5" xfId="20351" xr:uid="{00000000-0005-0000-0000-00007F4E0000}"/>
    <cellStyle name="Normal 237 4" xfId="20352" xr:uid="{00000000-0005-0000-0000-0000804E0000}"/>
    <cellStyle name="Normal 237 4 2" xfId="20353" xr:uid="{00000000-0005-0000-0000-0000814E0000}"/>
    <cellStyle name="Normal 237 4 2 2" xfId="20354" xr:uid="{00000000-0005-0000-0000-0000824E0000}"/>
    <cellStyle name="Normal 237 4 2 2 2" xfId="20355" xr:uid="{00000000-0005-0000-0000-0000834E0000}"/>
    <cellStyle name="Normal 237 4 2 3" xfId="20356" xr:uid="{00000000-0005-0000-0000-0000844E0000}"/>
    <cellStyle name="Normal 237 4 2 3 2" xfId="20357" xr:uid="{00000000-0005-0000-0000-0000854E0000}"/>
    <cellStyle name="Normal 237 4 2 3 2 2" xfId="20358" xr:uid="{00000000-0005-0000-0000-0000864E0000}"/>
    <cellStyle name="Normal 237 4 2 3 3" xfId="20359" xr:uid="{00000000-0005-0000-0000-0000874E0000}"/>
    <cellStyle name="Normal 237 4 2 4" xfId="20360" xr:uid="{00000000-0005-0000-0000-0000884E0000}"/>
    <cellStyle name="Normal 237 4 3" xfId="20361" xr:uid="{00000000-0005-0000-0000-0000894E0000}"/>
    <cellStyle name="Normal 237 4 3 2" xfId="20362" xr:uid="{00000000-0005-0000-0000-00008A4E0000}"/>
    <cellStyle name="Normal 237 4 3 2 2" xfId="20363" xr:uid="{00000000-0005-0000-0000-00008B4E0000}"/>
    <cellStyle name="Normal 237 4 3 3" xfId="20364" xr:uid="{00000000-0005-0000-0000-00008C4E0000}"/>
    <cellStyle name="Normal 237 4 4" xfId="20365" xr:uid="{00000000-0005-0000-0000-00008D4E0000}"/>
    <cellStyle name="Normal 237 4 4 2" xfId="20366" xr:uid="{00000000-0005-0000-0000-00008E4E0000}"/>
    <cellStyle name="Normal 237 4 4 2 2" xfId="20367" xr:uid="{00000000-0005-0000-0000-00008F4E0000}"/>
    <cellStyle name="Normal 237 4 4 3" xfId="20368" xr:uid="{00000000-0005-0000-0000-0000904E0000}"/>
    <cellStyle name="Normal 237 4 5" xfId="20369" xr:uid="{00000000-0005-0000-0000-0000914E0000}"/>
    <cellStyle name="Normal 237 4 5 2" xfId="20370" xr:uid="{00000000-0005-0000-0000-0000924E0000}"/>
    <cellStyle name="Normal 237 4 5 2 2" xfId="20371" xr:uid="{00000000-0005-0000-0000-0000934E0000}"/>
    <cellStyle name="Normal 237 4 5 3" xfId="20372" xr:uid="{00000000-0005-0000-0000-0000944E0000}"/>
    <cellStyle name="Normal 237 4 6" xfId="20373" xr:uid="{00000000-0005-0000-0000-0000954E0000}"/>
    <cellStyle name="Normal 237 5" xfId="20374" xr:uid="{00000000-0005-0000-0000-0000964E0000}"/>
    <cellStyle name="Normal 237 5 2" xfId="20375" xr:uid="{00000000-0005-0000-0000-0000974E0000}"/>
    <cellStyle name="Normal 237 5 2 2" xfId="20376" xr:uid="{00000000-0005-0000-0000-0000984E0000}"/>
    <cellStyle name="Normal 237 5 3" xfId="20377" xr:uid="{00000000-0005-0000-0000-0000994E0000}"/>
    <cellStyle name="Normal 237 6" xfId="20378" xr:uid="{00000000-0005-0000-0000-00009A4E0000}"/>
    <cellStyle name="Normal 237 6 2" xfId="20379" xr:uid="{00000000-0005-0000-0000-00009B4E0000}"/>
    <cellStyle name="Normal 237 6 2 2" xfId="20380" xr:uid="{00000000-0005-0000-0000-00009C4E0000}"/>
    <cellStyle name="Normal 237 6 3" xfId="20381" xr:uid="{00000000-0005-0000-0000-00009D4E0000}"/>
    <cellStyle name="Normal 237 7" xfId="20382" xr:uid="{00000000-0005-0000-0000-00009E4E0000}"/>
    <cellStyle name="Normal 237 7 2" xfId="20383" xr:uid="{00000000-0005-0000-0000-00009F4E0000}"/>
    <cellStyle name="Normal 237 7 2 2" xfId="20384" xr:uid="{00000000-0005-0000-0000-0000A04E0000}"/>
    <cellStyle name="Normal 237 7 3" xfId="20385" xr:uid="{00000000-0005-0000-0000-0000A14E0000}"/>
    <cellStyle name="Normal 237 8" xfId="20386" xr:uid="{00000000-0005-0000-0000-0000A24E0000}"/>
    <cellStyle name="Normal 238" xfId="20387" xr:uid="{00000000-0005-0000-0000-0000A34E0000}"/>
    <cellStyle name="Normal 238 2" xfId="20388" xr:uid="{00000000-0005-0000-0000-0000A44E0000}"/>
    <cellStyle name="Normal 238 2 2" xfId="20389" xr:uid="{00000000-0005-0000-0000-0000A54E0000}"/>
    <cellStyle name="Normal 238 2 2 2" xfId="20390" xr:uid="{00000000-0005-0000-0000-0000A64E0000}"/>
    <cellStyle name="Normal 238 2 2 2 2" xfId="20391" xr:uid="{00000000-0005-0000-0000-0000A74E0000}"/>
    <cellStyle name="Normal 238 2 2 3" xfId="20392" xr:uid="{00000000-0005-0000-0000-0000A84E0000}"/>
    <cellStyle name="Normal 238 2 2 3 2" xfId="20393" xr:uid="{00000000-0005-0000-0000-0000A94E0000}"/>
    <cellStyle name="Normal 238 2 2 3 2 2" xfId="20394" xr:uid="{00000000-0005-0000-0000-0000AA4E0000}"/>
    <cellStyle name="Normal 238 2 2 3 3" xfId="20395" xr:uid="{00000000-0005-0000-0000-0000AB4E0000}"/>
    <cellStyle name="Normal 238 2 2 4" xfId="20396" xr:uid="{00000000-0005-0000-0000-0000AC4E0000}"/>
    <cellStyle name="Normal 238 2 2 4 2" xfId="20397" xr:uid="{00000000-0005-0000-0000-0000AD4E0000}"/>
    <cellStyle name="Normal 238 2 2 4 2 2" xfId="20398" xr:uid="{00000000-0005-0000-0000-0000AE4E0000}"/>
    <cellStyle name="Normal 238 2 2 4 3" xfId="20399" xr:uid="{00000000-0005-0000-0000-0000AF4E0000}"/>
    <cellStyle name="Normal 238 2 2 5" xfId="20400" xr:uid="{00000000-0005-0000-0000-0000B04E0000}"/>
    <cellStyle name="Normal 238 2 3" xfId="20401" xr:uid="{00000000-0005-0000-0000-0000B14E0000}"/>
    <cellStyle name="Normal 238 2 3 2" xfId="20402" xr:uid="{00000000-0005-0000-0000-0000B24E0000}"/>
    <cellStyle name="Normal 238 2 3 2 2" xfId="20403" xr:uid="{00000000-0005-0000-0000-0000B34E0000}"/>
    <cellStyle name="Normal 238 2 3 2 2 2" xfId="20404" xr:uid="{00000000-0005-0000-0000-0000B44E0000}"/>
    <cellStyle name="Normal 238 2 3 2 3" xfId="20405" xr:uid="{00000000-0005-0000-0000-0000B54E0000}"/>
    <cellStyle name="Normal 238 2 3 2 3 2" xfId="20406" xr:uid="{00000000-0005-0000-0000-0000B64E0000}"/>
    <cellStyle name="Normal 238 2 3 2 3 2 2" xfId="20407" xr:uid="{00000000-0005-0000-0000-0000B74E0000}"/>
    <cellStyle name="Normal 238 2 3 2 3 3" xfId="20408" xr:uid="{00000000-0005-0000-0000-0000B84E0000}"/>
    <cellStyle name="Normal 238 2 3 2 4" xfId="20409" xr:uid="{00000000-0005-0000-0000-0000B94E0000}"/>
    <cellStyle name="Normal 238 2 3 3" xfId="20410" xr:uid="{00000000-0005-0000-0000-0000BA4E0000}"/>
    <cellStyle name="Normal 238 2 3 3 2" xfId="20411" xr:uid="{00000000-0005-0000-0000-0000BB4E0000}"/>
    <cellStyle name="Normal 238 2 3 3 2 2" xfId="20412" xr:uid="{00000000-0005-0000-0000-0000BC4E0000}"/>
    <cellStyle name="Normal 238 2 3 3 3" xfId="20413" xr:uid="{00000000-0005-0000-0000-0000BD4E0000}"/>
    <cellStyle name="Normal 238 2 3 4" xfId="20414" xr:uid="{00000000-0005-0000-0000-0000BE4E0000}"/>
    <cellStyle name="Normal 238 2 3 4 2" xfId="20415" xr:uid="{00000000-0005-0000-0000-0000BF4E0000}"/>
    <cellStyle name="Normal 238 2 3 4 2 2" xfId="20416" xr:uid="{00000000-0005-0000-0000-0000C04E0000}"/>
    <cellStyle name="Normal 238 2 3 4 3" xfId="20417" xr:uid="{00000000-0005-0000-0000-0000C14E0000}"/>
    <cellStyle name="Normal 238 2 3 5" xfId="20418" xr:uid="{00000000-0005-0000-0000-0000C24E0000}"/>
    <cellStyle name="Normal 238 2 3 5 2" xfId="20419" xr:uid="{00000000-0005-0000-0000-0000C34E0000}"/>
    <cellStyle name="Normal 238 2 3 5 2 2" xfId="20420" xr:uid="{00000000-0005-0000-0000-0000C44E0000}"/>
    <cellStyle name="Normal 238 2 3 5 3" xfId="20421" xr:uid="{00000000-0005-0000-0000-0000C54E0000}"/>
    <cellStyle name="Normal 238 2 3 6" xfId="20422" xr:uid="{00000000-0005-0000-0000-0000C64E0000}"/>
    <cellStyle name="Normal 238 2 4" xfId="20423" xr:uid="{00000000-0005-0000-0000-0000C74E0000}"/>
    <cellStyle name="Normal 238 2 4 2" xfId="20424" xr:uid="{00000000-0005-0000-0000-0000C84E0000}"/>
    <cellStyle name="Normal 238 2 4 2 2" xfId="20425" xr:uid="{00000000-0005-0000-0000-0000C94E0000}"/>
    <cellStyle name="Normal 238 2 4 3" xfId="20426" xr:uid="{00000000-0005-0000-0000-0000CA4E0000}"/>
    <cellStyle name="Normal 238 2 5" xfId="20427" xr:uid="{00000000-0005-0000-0000-0000CB4E0000}"/>
    <cellStyle name="Normal 238 2 5 2" xfId="20428" xr:uid="{00000000-0005-0000-0000-0000CC4E0000}"/>
    <cellStyle name="Normal 238 2 5 2 2" xfId="20429" xr:uid="{00000000-0005-0000-0000-0000CD4E0000}"/>
    <cellStyle name="Normal 238 2 5 3" xfId="20430" xr:uid="{00000000-0005-0000-0000-0000CE4E0000}"/>
    <cellStyle name="Normal 238 2 6" xfId="20431" xr:uid="{00000000-0005-0000-0000-0000CF4E0000}"/>
    <cellStyle name="Normal 238 2 6 2" xfId="20432" xr:uid="{00000000-0005-0000-0000-0000D04E0000}"/>
    <cellStyle name="Normal 238 2 6 2 2" xfId="20433" xr:uid="{00000000-0005-0000-0000-0000D14E0000}"/>
    <cellStyle name="Normal 238 2 6 3" xfId="20434" xr:uid="{00000000-0005-0000-0000-0000D24E0000}"/>
    <cellStyle name="Normal 238 2 7" xfId="20435" xr:uid="{00000000-0005-0000-0000-0000D34E0000}"/>
    <cellStyle name="Normal 238 3" xfId="20436" xr:uid="{00000000-0005-0000-0000-0000D44E0000}"/>
    <cellStyle name="Normal 238 3 2" xfId="20437" xr:uid="{00000000-0005-0000-0000-0000D54E0000}"/>
    <cellStyle name="Normal 238 3 2 2" xfId="20438" xr:uid="{00000000-0005-0000-0000-0000D64E0000}"/>
    <cellStyle name="Normal 238 3 3" xfId="20439" xr:uid="{00000000-0005-0000-0000-0000D74E0000}"/>
    <cellStyle name="Normal 238 3 3 2" xfId="20440" xr:uid="{00000000-0005-0000-0000-0000D84E0000}"/>
    <cellStyle name="Normal 238 3 3 2 2" xfId="20441" xr:uid="{00000000-0005-0000-0000-0000D94E0000}"/>
    <cellStyle name="Normal 238 3 3 3" xfId="20442" xr:uid="{00000000-0005-0000-0000-0000DA4E0000}"/>
    <cellStyle name="Normal 238 3 4" xfId="20443" xr:uid="{00000000-0005-0000-0000-0000DB4E0000}"/>
    <cellStyle name="Normal 238 3 4 2" xfId="20444" xr:uid="{00000000-0005-0000-0000-0000DC4E0000}"/>
    <cellStyle name="Normal 238 3 4 2 2" xfId="20445" xr:uid="{00000000-0005-0000-0000-0000DD4E0000}"/>
    <cellStyle name="Normal 238 3 4 3" xfId="20446" xr:uid="{00000000-0005-0000-0000-0000DE4E0000}"/>
    <cellStyle name="Normal 238 3 5" xfId="20447" xr:uid="{00000000-0005-0000-0000-0000DF4E0000}"/>
    <cellStyle name="Normal 238 4" xfId="20448" xr:uid="{00000000-0005-0000-0000-0000E04E0000}"/>
    <cellStyle name="Normal 238 4 2" xfId="20449" xr:uid="{00000000-0005-0000-0000-0000E14E0000}"/>
    <cellStyle name="Normal 238 4 2 2" xfId="20450" xr:uid="{00000000-0005-0000-0000-0000E24E0000}"/>
    <cellStyle name="Normal 238 4 2 2 2" xfId="20451" xr:uid="{00000000-0005-0000-0000-0000E34E0000}"/>
    <cellStyle name="Normal 238 4 2 3" xfId="20452" xr:uid="{00000000-0005-0000-0000-0000E44E0000}"/>
    <cellStyle name="Normal 238 4 2 3 2" xfId="20453" xr:uid="{00000000-0005-0000-0000-0000E54E0000}"/>
    <cellStyle name="Normal 238 4 2 3 2 2" xfId="20454" xr:uid="{00000000-0005-0000-0000-0000E64E0000}"/>
    <cellStyle name="Normal 238 4 2 3 3" xfId="20455" xr:uid="{00000000-0005-0000-0000-0000E74E0000}"/>
    <cellStyle name="Normal 238 4 2 4" xfId="20456" xr:uid="{00000000-0005-0000-0000-0000E84E0000}"/>
    <cellStyle name="Normal 238 4 3" xfId="20457" xr:uid="{00000000-0005-0000-0000-0000E94E0000}"/>
    <cellStyle name="Normal 238 4 3 2" xfId="20458" xr:uid="{00000000-0005-0000-0000-0000EA4E0000}"/>
    <cellStyle name="Normal 238 4 3 2 2" xfId="20459" xr:uid="{00000000-0005-0000-0000-0000EB4E0000}"/>
    <cellStyle name="Normal 238 4 3 3" xfId="20460" xr:uid="{00000000-0005-0000-0000-0000EC4E0000}"/>
    <cellStyle name="Normal 238 4 4" xfId="20461" xr:uid="{00000000-0005-0000-0000-0000ED4E0000}"/>
    <cellStyle name="Normal 238 4 4 2" xfId="20462" xr:uid="{00000000-0005-0000-0000-0000EE4E0000}"/>
    <cellStyle name="Normal 238 4 4 2 2" xfId="20463" xr:uid="{00000000-0005-0000-0000-0000EF4E0000}"/>
    <cellStyle name="Normal 238 4 4 3" xfId="20464" xr:uid="{00000000-0005-0000-0000-0000F04E0000}"/>
    <cellStyle name="Normal 238 4 5" xfId="20465" xr:uid="{00000000-0005-0000-0000-0000F14E0000}"/>
    <cellStyle name="Normal 238 4 5 2" xfId="20466" xr:uid="{00000000-0005-0000-0000-0000F24E0000}"/>
    <cellStyle name="Normal 238 4 5 2 2" xfId="20467" xr:uid="{00000000-0005-0000-0000-0000F34E0000}"/>
    <cellStyle name="Normal 238 4 5 3" xfId="20468" xr:uid="{00000000-0005-0000-0000-0000F44E0000}"/>
    <cellStyle name="Normal 238 4 6" xfId="20469" xr:uid="{00000000-0005-0000-0000-0000F54E0000}"/>
    <cellStyle name="Normal 238 5" xfId="20470" xr:uid="{00000000-0005-0000-0000-0000F64E0000}"/>
    <cellStyle name="Normal 238 5 2" xfId="20471" xr:uid="{00000000-0005-0000-0000-0000F74E0000}"/>
    <cellStyle name="Normal 238 5 2 2" xfId="20472" xr:uid="{00000000-0005-0000-0000-0000F84E0000}"/>
    <cellStyle name="Normal 238 5 3" xfId="20473" xr:uid="{00000000-0005-0000-0000-0000F94E0000}"/>
    <cellStyle name="Normal 238 6" xfId="20474" xr:uid="{00000000-0005-0000-0000-0000FA4E0000}"/>
    <cellStyle name="Normal 238 6 2" xfId="20475" xr:uid="{00000000-0005-0000-0000-0000FB4E0000}"/>
    <cellStyle name="Normal 238 6 2 2" xfId="20476" xr:uid="{00000000-0005-0000-0000-0000FC4E0000}"/>
    <cellStyle name="Normal 238 6 3" xfId="20477" xr:uid="{00000000-0005-0000-0000-0000FD4E0000}"/>
    <cellStyle name="Normal 238 7" xfId="20478" xr:uid="{00000000-0005-0000-0000-0000FE4E0000}"/>
    <cellStyle name="Normal 238 7 2" xfId="20479" xr:uid="{00000000-0005-0000-0000-0000FF4E0000}"/>
    <cellStyle name="Normal 238 7 2 2" xfId="20480" xr:uid="{00000000-0005-0000-0000-0000004F0000}"/>
    <cellStyle name="Normal 238 7 3" xfId="20481" xr:uid="{00000000-0005-0000-0000-0000014F0000}"/>
    <cellStyle name="Normal 238 8" xfId="20482" xr:uid="{00000000-0005-0000-0000-0000024F0000}"/>
    <cellStyle name="Normal 239" xfId="20483" xr:uid="{00000000-0005-0000-0000-0000034F0000}"/>
    <cellStyle name="Normal 239 2" xfId="20484" xr:uid="{00000000-0005-0000-0000-0000044F0000}"/>
    <cellStyle name="Normal 239 2 2" xfId="20485" xr:uid="{00000000-0005-0000-0000-0000054F0000}"/>
    <cellStyle name="Normal 239 2 2 2" xfId="20486" xr:uid="{00000000-0005-0000-0000-0000064F0000}"/>
    <cellStyle name="Normal 239 2 2 2 2" xfId="20487" xr:uid="{00000000-0005-0000-0000-0000074F0000}"/>
    <cellStyle name="Normal 239 2 2 3" xfId="20488" xr:uid="{00000000-0005-0000-0000-0000084F0000}"/>
    <cellStyle name="Normal 239 2 2 3 2" xfId="20489" xr:uid="{00000000-0005-0000-0000-0000094F0000}"/>
    <cellStyle name="Normal 239 2 2 3 2 2" xfId="20490" xr:uid="{00000000-0005-0000-0000-00000A4F0000}"/>
    <cellStyle name="Normal 239 2 2 3 3" xfId="20491" xr:uid="{00000000-0005-0000-0000-00000B4F0000}"/>
    <cellStyle name="Normal 239 2 2 4" xfId="20492" xr:uid="{00000000-0005-0000-0000-00000C4F0000}"/>
    <cellStyle name="Normal 239 2 2 4 2" xfId="20493" xr:uid="{00000000-0005-0000-0000-00000D4F0000}"/>
    <cellStyle name="Normal 239 2 2 4 2 2" xfId="20494" xr:uid="{00000000-0005-0000-0000-00000E4F0000}"/>
    <cellStyle name="Normal 239 2 2 4 3" xfId="20495" xr:uid="{00000000-0005-0000-0000-00000F4F0000}"/>
    <cellStyle name="Normal 239 2 2 5" xfId="20496" xr:uid="{00000000-0005-0000-0000-0000104F0000}"/>
    <cellStyle name="Normal 239 2 3" xfId="20497" xr:uid="{00000000-0005-0000-0000-0000114F0000}"/>
    <cellStyle name="Normal 239 2 3 2" xfId="20498" xr:uid="{00000000-0005-0000-0000-0000124F0000}"/>
    <cellStyle name="Normal 239 2 3 2 2" xfId="20499" xr:uid="{00000000-0005-0000-0000-0000134F0000}"/>
    <cellStyle name="Normal 239 2 3 2 2 2" xfId="20500" xr:uid="{00000000-0005-0000-0000-0000144F0000}"/>
    <cellStyle name="Normal 239 2 3 2 3" xfId="20501" xr:uid="{00000000-0005-0000-0000-0000154F0000}"/>
    <cellStyle name="Normal 239 2 3 2 3 2" xfId="20502" xr:uid="{00000000-0005-0000-0000-0000164F0000}"/>
    <cellStyle name="Normal 239 2 3 2 3 2 2" xfId="20503" xr:uid="{00000000-0005-0000-0000-0000174F0000}"/>
    <cellStyle name="Normal 239 2 3 2 3 3" xfId="20504" xr:uid="{00000000-0005-0000-0000-0000184F0000}"/>
    <cellStyle name="Normal 239 2 3 2 4" xfId="20505" xr:uid="{00000000-0005-0000-0000-0000194F0000}"/>
    <cellStyle name="Normal 239 2 3 3" xfId="20506" xr:uid="{00000000-0005-0000-0000-00001A4F0000}"/>
    <cellStyle name="Normal 239 2 3 3 2" xfId="20507" xr:uid="{00000000-0005-0000-0000-00001B4F0000}"/>
    <cellStyle name="Normal 239 2 3 3 2 2" xfId="20508" xr:uid="{00000000-0005-0000-0000-00001C4F0000}"/>
    <cellStyle name="Normal 239 2 3 3 3" xfId="20509" xr:uid="{00000000-0005-0000-0000-00001D4F0000}"/>
    <cellStyle name="Normal 239 2 3 4" xfId="20510" xr:uid="{00000000-0005-0000-0000-00001E4F0000}"/>
    <cellStyle name="Normal 239 2 3 4 2" xfId="20511" xr:uid="{00000000-0005-0000-0000-00001F4F0000}"/>
    <cellStyle name="Normal 239 2 3 4 2 2" xfId="20512" xr:uid="{00000000-0005-0000-0000-0000204F0000}"/>
    <cellStyle name="Normal 239 2 3 4 3" xfId="20513" xr:uid="{00000000-0005-0000-0000-0000214F0000}"/>
    <cellStyle name="Normal 239 2 3 5" xfId="20514" xr:uid="{00000000-0005-0000-0000-0000224F0000}"/>
    <cellStyle name="Normal 239 2 3 5 2" xfId="20515" xr:uid="{00000000-0005-0000-0000-0000234F0000}"/>
    <cellStyle name="Normal 239 2 3 5 2 2" xfId="20516" xr:uid="{00000000-0005-0000-0000-0000244F0000}"/>
    <cellStyle name="Normal 239 2 3 5 3" xfId="20517" xr:uid="{00000000-0005-0000-0000-0000254F0000}"/>
    <cellStyle name="Normal 239 2 3 6" xfId="20518" xr:uid="{00000000-0005-0000-0000-0000264F0000}"/>
    <cellStyle name="Normal 239 2 4" xfId="20519" xr:uid="{00000000-0005-0000-0000-0000274F0000}"/>
    <cellStyle name="Normal 239 2 4 2" xfId="20520" xr:uid="{00000000-0005-0000-0000-0000284F0000}"/>
    <cellStyle name="Normal 239 2 4 2 2" xfId="20521" xr:uid="{00000000-0005-0000-0000-0000294F0000}"/>
    <cellStyle name="Normal 239 2 4 3" xfId="20522" xr:uid="{00000000-0005-0000-0000-00002A4F0000}"/>
    <cellStyle name="Normal 239 2 5" xfId="20523" xr:uid="{00000000-0005-0000-0000-00002B4F0000}"/>
    <cellStyle name="Normal 239 2 5 2" xfId="20524" xr:uid="{00000000-0005-0000-0000-00002C4F0000}"/>
    <cellStyle name="Normal 239 2 5 2 2" xfId="20525" xr:uid="{00000000-0005-0000-0000-00002D4F0000}"/>
    <cellStyle name="Normal 239 2 5 3" xfId="20526" xr:uid="{00000000-0005-0000-0000-00002E4F0000}"/>
    <cellStyle name="Normal 239 2 6" xfId="20527" xr:uid="{00000000-0005-0000-0000-00002F4F0000}"/>
    <cellStyle name="Normal 239 2 6 2" xfId="20528" xr:uid="{00000000-0005-0000-0000-0000304F0000}"/>
    <cellStyle name="Normal 239 2 6 2 2" xfId="20529" xr:uid="{00000000-0005-0000-0000-0000314F0000}"/>
    <cellStyle name="Normal 239 2 6 3" xfId="20530" xr:uid="{00000000-0005-0000-0000-0000324F0000}"/>
    <cellStyle name="Normal 239 2 7" xfId="20531" xr:uid="{00000000-0005-0000-0000-0000334F0000}"/>
    <cellStyle name="Normal 239 3" xfId="20532" xr:uid="{00000000-0005-0000-0000-0000344F0000}"/>
    <cellStyle name="Normal 239 3 2" xfId="20533" xr:uid="{00000000-0005-0000-0000-0000354F0000}"/>
    <cellStyle name="Normal 239 3 2 2" xfId="20534" xr:uid="{00000000-0005-0000-0000-0000364F0000}"/>
    <cellStyle name="Normal 239 3 3" xfId="20535" xr:uid="{00000000-0005-0000-0000-0000374F0000}"/>
    <cellStyle name="Normal 239 3 3 2" xfId="20536" xr:uid="{00000000-0005-0000-0000-0000384F0000}"/>
    <cellStyle name="Normal 239 3 3 2 2" xfId="20537" xr:uid="{00000000-0005-0000-0000-0000394F0000}"/>
    <cellStyle name="Normal 239 3 3 3" xfId="20538" xr:uid="{00000000-0005-0000-0000-00003A4F0000}"/>
    <cellStyle name="Normal 239 3 4" xfId="20539" xr:uid="{00000000-0005-0000-0000-00003B4F0000}"/>
    <cellStyle name="Normal 239 3 4 2" xfId="20540" xr:uid="{00000000-0005-0000-0000-00003C4F0000}"/>
    <cellStyle name="Normal 239 3 4 2 2" xfId="20541" xr:uid="{00000000-0005-0000-0000-00003D4F0000}"/>
    <cellStyle name="Normal 239 3 4 3" xfId="20542" xr:uid="{00000000-0005-0000-0000-00003E4F0000}"/>
    <cellStyle name="Normal 239 3 5" xfId="20543" xr:uid="{00000000-0005-0000-0000-00003F4F0000}"/>
    <cellStyle name="Normal 239 4" xfId="20544" xr:uid="{00000000-0005-0000-0000-0000404F0000}"/>
    <cellStyle name="Normal 239 4 2" xfId="20545" xr:uid="{00000000-0005-0000-0000-0000414F0000}"/>
    <cellStyle name="Normal 239 4 2 2" xfId="20546" xr:uid="{00000000-0005-0000-0000-0000424F0000}"/>
    <cellStyle name="Normal 239 4 2 2 2" xfId="20547" xr:uid="{00000000-0005-0000-0000-0000434F0000}"/>
    <cellStyle name="Normal 239 4 2 3" xfId="20548" xr:uid="{00000000-0005-0000-0000-0000444F0000}"/>
    <cellStyle name="Normal 239 4 2 3 2" xfId="20549" xr:uid="{00000000-0005-0000-0000-0000454F0000}"/>
    <cellStyle name="Normal 239 4 2 3 2 2" xfId="20550" xr:uid="{00000000-0005-0000-0000-0000464F0000}"/>
    <cellStyle name="Normal 239 4 2 3 3" xfId="20551" xr:uid="{00000000-0005-0000-0000-0000474F0000}"/>
    <cellStyle name="Normal 239 4 2 4" xfId="20552" xr:uid="{00000000-0005-0000-0000-0000484F0000}"/>
    <cellStyle name="Normal 239 4 3" xfId="20553" xr:uid="{00000000-0005-0000-0000-0000494F0000}"/>
    <cellStyle name="Normal 239 4 3 2" xfId="20554" xr:uid="{00000000-0005-0000-0000-00004A4F0000}"/>
    <cellStyle name="Normal 239 4 3 2 2" xfId="20555" xr:uid="{00000000-0005-0000-0000-00004B4F0000}"/>
    <cellStyle name="Normal 239 4 3 3" xfId="20556" xr:uid="{00000000-0005-0000-0000-00004C4F0000}"/>
    <cellStyle name="Normal 239 4 4" xfId="20557" xr:uid="{00000000-0005-0000-0000-00004D4F0000}"/>
    <cellStyle name="Normal 239 4 4 2" xfId="20558" xr:uid="{00000000-0005-0000-0000-00004E4F0000}"/>
    <cellStyle name="Normal 239 4 4 2 2" xfId="20559" xr:uid="{00000000-0005-0000-0000-00004F4F0000}"/>
    <cellStyle name="Normal 239 4 4 3" xfId="20560" xr:uid="{00000000-0005-0000-0000-0000504F0000}"/>
    <cellStyle name="Normal 239 4 5" xfId="20561" xr:uid="{00000000-0005-0000-0000-0000514F0000}"/>
    <cellStyle name="Normal 239 4 5 2" xfId="20562" xr:uid="{00000000-0005-0000-0000-0000524F0000}"/>
    <cellStyle name="Normal 239 4 5 2 2" xfId="20563" xr:uid="{00000000-0005-0000-0000-0000534F0000}"/>
    <cellStyle name="Normal 239 4 5 3" xfId="20564" xr:uid="{00000000-0005-0000-0000-0000544F0000}"/>
    <cellStyle name="Normal 239 4 6" xfId="20565" xr:uid="{00000000-0005-0000-0000-0000554F0000}"/>
    <cellStyle name="Normal 239 5" xfId="20566" xr:uid="{00000000-0005-0000-0000-0000564F0000}"/>
    <cellStyle name="Normal 239 5 2" xfId="20567" xr:uid="{00000000-0005-0000-0000-0000574F0000}"/>
    <cellStyle name="Normal 239 5 2 2" xfId="20568" xr:uid="{00000000-0005-0000-0000-0000584F0000}"/>
    <cellStyle name="Normal 239 5 3" xfId="20569" xr:uid="{00000000-0005-0000-0000-0000594F0000}"/>
    <cellStyle name="Normal 239 6" xfId="20570" xr:uid="{00000000-0005-0000-0000-00005A4F0000}"/>
    <cellStyle name="Normal 239 6 2" xfId="20571" xr:uid="{00000000-0005-0000-0000-00005B4F0000}"/>
    <cellStyle name="Normal 239 6 2 2" xfId="20572" xr:uid="{00000000-0005-0000-0000-00005C4F0000}"/>
    <cellStyle name="Normal 239 6 3" xfId="20573" xr:uid="{00000000-0005-0000-0000-00005D4F0000}"/>
    <cellStyle name="Normal 239 7" xfId="20574" xr:uid="{00000000-0005-0000-0000-00005E4F0000}"/>
    <cellStyle name="Normal 239 7 2" xfId="20575" xr:uid="{00000000-0005-0000-0000-00005F4F0000}"/>
    <cellStyle name="Normal 239 7 2 2" xfId="20576" xr:uid="{00000000-0005-0000-0000-0000604F0000}"/>
    <cellStyle name="Normal 239 7 3" xfId="20577" xr:uid="{00000000-0005-0000-0000-0000614F0000}"/>
    <cellStyle name="Normal 239 8" xfId="20578" xr:uid="{00000000-0005-0000-0000-0000624F0000}"/>
    <cellStyle name="Normal 24" xfId="20579" xr:uid="{00000000-0005-0000-0000-0000634F0000}"/>
    <cellStyle name="Normal 24 2" xfId="20580" xr:uid="{00000000-0005-0000-0000-0000644F0000}"/>
    <cellStyle name="Normal 24 2 2" xfId="20581" xr:uid="{00000000-0005-0000-0000-0000654F0000}"/>
    <cellStyle name="Normal 24 2 2 2" xfId="20582" xr:uid="{00000000-0005-0000-0000-0000664F0000}"/>
    <cellStyle name="Normal 24 2 2 2 2" xfId="20583" xr:uid="{00000000-0005-0000-0000-0000674F0000}"/>
    <cellStyle name="Normal 24 2 2 3" xfId="20584" xr:uid="{00000000-0005-0000-0000-0000684F0000}"/>
    <cellStyle name="Normal 24 2 2 3 2" xfId="20585" xr:uid="{00000000-0005-0000-0000-0000694F0000}"/>
    <cellStyle name="Normal 24 2 2 3 2 2" xfId="20586" xr:uid="{00000000-0005-0000-0000-00006A4F0000}"/>
    <cellStyle name="Normal 24 2 2 3 3" xfId="20587" xr:uid="{00000000-0005-0000-0000-00006B4F0000}"/>
    <cellStyle name="Normal 24 2 2 4" xfId="20588" xr:uid="{00000000-0005-0000-0000-00006C4F0000}"/>
    <cellStyle name="Normal 24 2 2 4 2" xfId="20589" xr:uid="{00000000-0005-0000-0000-00006D4F0000}"/>
    <cellStyle name="Normal 24 2 2 4 2 2" xfId="20590" xr:uid="{00000000-0005-0000-0000-00006E4F0000}"/>
    <cellStyle name="Normal 24 2 2 4 3" xfId="20591" xr:uid="{00000000-0005-0000-0000-00006F4F0000}"/>
    <cellStyle name="Normal 24 2 2 5" xfId="20592" xr:uid="{00000000-0005-0000-0000-0000704F0000}"/>
    <cellStyle name="Normal 24 2 3" xfId="20593" xr:uid="{00000000-0005-0000-0000-0000714F0000}"/>
    <cellStyle name="Normal 24 2 3 2" xfId="20594" xr:uid="{00000000-0005-0000-0000-0000724F0000}"/>
    <cellStyle name="Normal 24 2 3 2 2" xfId="20595" xr:uid="{00000000-0005-0000-0000-0000734F0000}"/>
    <cellStyle name="Normal 24 2 3 3" xfId="20596" xr:uid="{00000000-0005-0000-0000-0000744F0000}"/>
    <cellStyle name="Normal 24 2 4" xfId="20597" xr:uid="{00000000-0005-0000-0000-0000754F0000}"/>
    <cellStyle name="Normal 24 2 4 2" xfId="20598" xr:uid="{00000000-0005-0000-0000-0000764F0000}"/>
    <cellStyle name="Normal 24 2 4 2 2" xfId="20599" xr:uid="{00000000-0005-0000-0000-0000774F0000}"/>
    <cellStyle name="Normal 24 2 4 3" xfId="20600" xr:uid="{00000000-0005-0000-0000-0000784F0000}"/>
    <cellStyle name="Normal 24 2 5" xfId="20601" xr:uid="{00000000-0005-0000-0000-0000794F0000}"/>
    <cellStyle name="Normal 24 2 5 2" xfId="20602" xr:uid="{00000000-0005-0000-0000-00007A4F0000}"/>
    <cellStyle name="Normal 24 2 5 2 2" xfId="20603" xr:uid="{00000000-0005-0000-0000-00007B4F0000}"/>
    <cellStyle name="Normal 24 2 5 3" xfId="20604" xr:uid="{00000000-0005-0000-0000-00007C4F0000}"/>
    <cellStyle name="Normal 24 2 6" xfId="20605" xr:uid="{00000000-0005-0000-0000-00007D4F0000}"/>
    <cellStyle name="Normal 24 3" xfId="20606" xr:uid="{00000000-0005-0000-0000-00007E4F0000}"/>
    <cellStyle name="Normal 24 3 2" xfId="20607" xr:uid="{00000000-0005-0000-0000-00007F4F0000}"/>
    <cellStyle name="Normal 24 3 2 2" xfId="20608" xr:uid="{00000000-0005-0000-0000-0000804F0000}"/>
    <cellStyle name="Normal 24 3 3" xfId="20609" xr:uid="{00000000-0005-0000-0000-0000814F0000}"/>
    <cellStyle name="Normal 24 3 3 2" xfId="20610" xr:uid="{00000000-0005-0000-0000-0000824F0000}"/>
    <cellStyle name="Normal 24 3 3 2 2" xfId="20611" xr:uid="{00000000-0005-0000-0000-0000834F0000}"/>
    <cellStyle name="Normal 24 3 3 3" xfId="20612" xr:uid="{00000000-0005-0000-0000-0000844F0000}"/>
    <cellStyle name="Normal 24 3 4" xfId="20613" xr:uid="{00000000-0005-0000-0000-0000854F0000}"/>
    <cellStyle name="Normal 24 3 4 2" xfId="20614" xr:uid="{00000000-0005-0000-0000-0000864F0000}"/>
    <cellStyle name="Normal 24 3 4 2 2" xfId="20615" xr:uid="{00000000-0005-0000-0000-0000874F0000}"/>
    <cellStyle name="Normal 24 3 4 3" xfId="20616" xr:uid="{00000000-0005-0000-0000-0000884F0000}"/>
    <cellStyle name="Normal 24 3 5" xfId="20617" xr:uid="{00000000-0005-0000-0000-0000894F0000}"/>
    <cellStyle name="Normal 24 4" xfId="20618" xr:uid="{00000000-0005-0000-0000-00008A4F0000}"/>
    <cellStyle name="Normal 24 4 2" xfId="20619" xr:uid="{00000000-0005-0000-0000-00008B4F0000}"/>
    <cellStyle name="Normal 24 4 2 2" xfId="20620" xr:uid="{00000000-0005-0000-0000-00008C4F0000}"/>
    <cellStyle name="Normal 24 4 3" xfId="20621" xr:uid="{00000000-0005-0000-0000-00008D4F0000}"/>
    <cellStyle name="Normal 24 4 3 2" xfId="20622" xr:uid="{00000000-0005-0000-0000-00008E4F0000}"/>
    <cellStyle name="Normal 24 4 3 2 2" xfId="20623" xr:uid="{00000000-0005-0000-0000-00008F4F0000}"/>
    <cellStyle name="Normal 24 4 3 3" xfId="20624" xr:uid="{00000000-0005-0000-0000-0000904F0000}"/>
    <cellStyle name="Normal 24 4 4" xfId="20625" xr:uid="{00000000-0005-0000-0000-0000914F0000}"/>
    <cellStyle name="Normal 24 4 4 2" xfId="20626" xr:uid="{00000000-0005-0000-0000-0000924F0000}"/>
    <cellStyle name="Normal 24 4 4 2 2" xfId="20627" xr:uid="{00000000-0005-0000-0000-0000934F0000}"/>
    <cellStyle name="Normal 24 4 4 3" xfId="20628" xr:uid="{00000000-0005-0000-0000-0000944F0000}"/>
    <cellStyle name="Normal 24 4 5" xfId="20629" xr:uid="{00000000-0005-0000-0000-0000954F0000}"/>
    <cellStyle name="Normal 24 5" xfId="20630" xr:uid="{00000000-0005-0000-0000-0000964F0000}"/>
    <cellStyle name="Normal 24 5 2" xfId="20631" xr:uid="{00000000-0005-0000-0000-0000974F0000}"/>
    <cellStyle name="Normal 24 5 2 2" xfId="20632" xr:uid="{00000000-0005-0000-0000-0000984F0000}"/>
    <cellStyle name="Normal 24 5 3" xfId="20633" xr:uid="{00000000-0005-0000-0000-0000994F0000}"/>
    <cellStyle name="Normal 24 6" xfId="20634" xr:uid="{00000000-0005-0000-0000-00009A4F0000}"/>
    <cellStyle name="Normal 24 6 2" xfId="20635" xr:uid="{00000000-0005-0000-0000-00009B4F0000}"/>
    <cellStyle name="Normal 24 6 2 2" xfId="20636" xr:uid="{00000000-0005-0000-0000-00009C4F0000}"/>
    <cellStyle name="Normal 24 6 3" xfId="20637" xr:uid="{00000000-0005-0000-0000-00009D4F0000}"/>
    <cellStyle name="Normal 24 7" xfId="20638" xr:uid="{00000000-0005-0000-0000-00009E4F0000}"/>
    <cellStyle name="Normal 24 7 2" xfId="20639" xr:uid="{00000000-0005-0000-0000-00009F4F0000}"/>
    <cellStyle name="Normal 24 7 2 2" xfId="20640" xr:uid="{00000000-0005-0000-0000-0000A04F0000}"/>
    <cellStyle name="Normal 24 7 3" xfId="20641" xr:uid="{00000000-0005-0000-0000-0000A14F0000}"/>
    <cellStyle name="Normal 24 8" xfId="20642" xr:uid="{00000000-0005-0000-0000-0000A24F0000}"/>
    <cellStyle name="Normal 240" xfId="20643" xr:uid="{00000000-0005-0000-0000-0000A34F0000}"/>
    <cellStyle name="Normal 240 2" xfId="20644" xr:uid="{00000000-0005-0000-0000-0000A44F0000}"/>
    <cellStyle name="Normal 240 2 2" xfId="20645" xr:uid="{00000000-0005-0000-0000-0000A54F0000}"/>
    <cellStyle name="Normal 240 2 2 2" xfId="20646" xr:uid="{00000000-0005-0000-0000-0000A64F0000}"/>
    <cellStyle name="Normal 240 2 2 2 2" xfId="20647" xr:uid="{00000000-0005-0000-0000-0000A74F0000}"/>
    <cellStyle name="Normal 240 2 2 3" xfId="20648" xr:uid="{00000000-0005-0000-0000-0000A84F0000}"/>
    <cellStyle name="Normal 240 2 2 3 2" xfId="20649" xr:uid="{00000000-0005-0000-0000-0000A94F0000}"/>
    <cellStyle name="Normal 240 2 2 3 2 2" xfId="20650" xr:uid="{00000000-0005-0000-0000-0000AA4F0000}"/>
    <cellStyle name="Normal 240 2 2 3 3" xfId="20651" xr:uid="{00000000-0005-0000-0000-0000AB4F0000}"/>
    <cellStyle name="Normal 240 2 2 4" xfId="20652" xr:uid="{00000000-0005-0000-0000-0000AC4F0000}"/>
    <cellStyle name="Normal 240 2 2 4 2" xfId="20653" xr:uid="{00000000-0005-0000-0000-0000AD4F0000}"/>
    <cellStyle name="Normal 240 2 2 4 2 2" xfId="20654" xr:uid="{00000000-0005-0000-0000-0000AE4F0000}"/>
    <cellStyle name="Normal 240 2 2 4 3" xfId="20655" xr:uid="{00000000-0005-0000-0000-0000AF4F0000}"/>
    <cellStyle name="Normal 240 2 2 5" xfId="20656" xr:uid="{00000000-0005-0000-0000-0000B04F0000}"/>
    <cellStyle name="Normal 240 2 3" xfId="20657" xr:uid="{00000000-0005-0000-0000-0000B14F0000}"/>
    <cellStyle name="Normal 240 2 3 2" xfId="20658" xr:uid="{00000000-0005-0000-0000-0000B24F0000}"/>
    <cellStyle name="Normal 240 2 3 2 2" xfId="20659" xr:uid="{00000000-0005-0000-0000-0000B34F0000}"/>
    <cellStyle name="Normal 240 2 3 2 2 2" xfId="20660" xr:uid="{00000000-0005-0000-0000-0000B44F0000}"/>
    <cellStyle name="Normal 240 2 3 2 3" xfId="20661" xr:uid="{00000000-0005-0000-0000-0000B54F0000}"/>
    <cellStyle name="Normal 240 2 3 2 3 2" xfId="20662" xr:uid="{00000000-0005-0000-0000-0000B64F0000}"/>
    <cellStyle name="Normal 240 2 3 2 3 2 2" xfId="20663" xr:uid="{00000000-0005-0000-0000-0000B74F0000}"/>
    <cellStyle name="Normal 240 2 3 2 3 3" xfId="20664" xr:uid="{00000000-0005-0000-0000-0000B84F0000}"/>
    <cellStyle name="Normal 240 2 3 2 4" xfId="20665" xr:uid="{00000000-0005-0000-0000-0000B94F0000}"/>
    <cellStyle name="Normal 240 2 3 3" xfId="20666" xr:uid="{00000000-0005-0000-0000-0000BA4F0000}"/>
    <cellStyle name="Normal 240 2 3 3 2" xfId="20667" xr:uid="{00000000-0005-0000-0000-0000BB4F0000}"/>
    <cellStyle name="Normal 240 2 3 3 2 2" xfId="20668" xr:uid="{00000000-0005-0000-0000-0000BC4F0000}"/>
    <cellStyle name="Normal 240 2 3 3 3" xfId="20669" xr:uid="{00000000-0005-0000-0000-0000BD4F0000}"/>
    <cellStyle name="Normal 240 2 3 4" xfId="20670" xr:uid="{00000000-0005-0000-0000-0000BE4F0000}"/>
    <cellStyle name="Normal 240 2 3 4 2" xfId="20671" xr:uid="{00000000-0005-0000-0000-0000BF4F0000}"/>
    <cellStyle name="Normal 240 2 3 4 2 2" xfId="20672" xr:uid="{00000000-0005-0000-0000-0000C04F0000}"/>
    <cellStyle name="Normal 240 2 3 4 3" xfId="20673" xr:uid="{00000000-0005-0000-0000-0000C14F0000}"/>
    <cellStyle name="Normal 240 2 3 5" xfId="20674" xr:uid="{00000000-0005-0000-0000-0000C24F0000}"/>
    <cellStyle name="Normal 240 2 3 5 2" xfId="20675" xr:uid="{00000000-0005-0000-0000-0000C34F0000}"/>
    <cellStyle name="Normal 240 2 3 5 2 2" xfId="20676" xr:uid="{00000000-0005-0000-0000-0000C44F0000}"/>
    <cellStyle name="Normal 240 2 3 5 3" xfId="20677" xr:uid="{00000000-0005-0000-0000-0000C54F0000}"/>
    <cellStyle name="Normal 240 2 3 6" xfId="20678" xr:uid="{00000000-0005-0000-0000-0000C64F0000}"/>
    <cellStyle name="Normal 240 2 4" xfId="20679" xr:uid="{00000000-0005-0000-0000-0000C74F0000}"/>
    <cellStyle name="Normal 240 2 4 2" xfId="20680" xr:uid="{00000000-0005-0000-0000-0000C84F0000}"/>
    <cellStyle name="Normal 240 2 4 2 2" xfId="20681" xr:uid="{00000000-0005-0000-0000-0000C94F0000}"/>
    <cellStyle name="Normal 240 2 4 3" xfId="20682" xr:uid="{00000000-0005-0000-0000-0000CA4F0000}"/>
    <cellStyle name="Normal 240 2 5" xfId="20683" xr:uid="{00000000-0005-0000-0000-0000CB4F0000}"/>
    <cellStyle name="Normal 240 2 5 2" xfId="20684" xr:uid="{00000000-0005-0000-0000-0000CC4F0000}"/>
    <cellStyle name="Normal 240 2 5 2 2" xfId="20685" xr:uid="{00000000-0005-0000-0000-0000CD4F0000}"/>
    <cellStyle name="Normal 240 2 5 3" xfId="20686" xr:uid="{00000000-0005-0000-0000-0000CE4F0000}"/>
    <cellStyle name="Normal 240 2 6" xfId="20687" xr:uid="{00000000-0005-0000-0000-0000CF4F0000}"/>
    <cellStyle name="Normal 240 2 6 2" xfId="20688" xr:uid="{00000000-0005-0000-0000-0000D04F0000}"/>
    <cellStyle name="Normal 240 2 6 2 2" xfId="20689" xr:uid="{00000000-0005-0000-0000-0000D14F0000}"/>
    <cellStyle name="Normal 240 2 6 3" xfId="20690" xr:uid="{00000000-0005-0000-0000-0000D24F0000}"/>
    <cellStyle name="Normal 240 2 7" xfId="20691" xr:uid="{00000000-0005-0000-0000-0000D34F0000}"/>
    <cellStyle name="Normal 240 3" xfId="20692" xr:uid="{00000000-0005-0000-0000-0000D44F0000}"/>
    <cellStyle name="Normal 240 3 2" xfId="20693" xr:uid="{00000000-0005-0000-0000-0000D54F0000}"/>
    <cellStyle name="Normal 240 3 2 2" xfId="20694" xr:uid="{00000000-0005-0000-0000-0000D64F0000}"/>
    <cellStyle name="Normal 240 3 3" xfId="20695" xr:uid="{00000000-0005-0000-0000-0000D74F0000}"/>
    <cellStyle name="Normal 240 3 3 2" xfId="20696" xr:uid="{00000000-0005-0000-0000-0000D84F0000}"/>
    <cellStyle name="Normal 240 3 3 2 2" xfId="20697" xr:uid="{00000000-0005-0000-0000-0000D94F0000}"/>
    <cellStyle name="Normal 240 3 3 3" xfId="20698" xr:uid="{00000000-0005-0000-0000-0000DA4F0000}"/>
    <cellStyle name="Normal 240 3 4" xfId="20699" xr:uid="{00000000-0005-0000-0000-0000DB4F0000}"/>
    <cellStyle name="Normal 240 3 4 2" xfId="20700" xr:uid="{00000000-0005-0000-0000-0000DC4F0000}"/>
    <cellStyle name="Normal 240 3 4 2 2" xfId="20701" xr:uid="{00000000-0005-0000-0000-0000DD4F0000}"/>
    <cellStyle name="Normal 240 3 4 3" xfId="20702" xr:uid="{00000000-0005-0000-0000-0000DE4F0000}"/>
    <cellStyle name="Normal 240 3 5" xfId="20703" xr:uid="{00000000-0005-0000-0000-0000DF4F0000}"/>
    <cellStyle name="Normal 240 4" xfId="20704" xr:uid="{00000000-0005-0000-0000-0000E04F0000}"/>
    <cellStyle name="Normal 240 4 2" xfId="20705" xr:uid="{00000000-0005-0000-0000-0000E14F0000}"/>
    <cellStyle name="Normal 240 4 2 2" xfId="20706" xr:uid="{00000000-0005-0000-0000-0000E24F0000}"/>
    <cellStyle name="Normal 240 4 2 2 2" xfId="20707" xr:uid="{00000000-0005-0000-0000-0000E34F0000}"/>
    <cellStyle name="Normal 240 4 2 3" xfId="20708" xr:uid="{00000000-0005-0000-0000-0000E44F0000}"/>
    <cellStyle name="Normal 240 4 2 3 2" xfId="20709" xr:uid="{00000000-0005-0000-0000-0000E54F0000}"/>
    <cellStyle name="Normal 240 4 2 3 2 2" xfId="20710" xr:uid="{00000000-0005-0000-0000-0000E64F0000}"/>
    <cellStyle name="Normal 240 4 2 3 3" xfId="20711" xr:uid="{00000000-0005-0000-0000-0000E74F0000}"/>
    <cellStyle name="Normal 240 4 2 4" xfId="20712" xr:uid="{00000000-0005-0000-0000-0000E84F0000}"/>
    <cellStyle name="Normal 240 4 3" xfId="20713" xr:uid="{00000000-0005-0000-0000-0000E94F0000}"/>
    <cellStyle name="Normal 240 4 3 2" xfId="20714" xr:uid="{00000000-0005-0000-0000-0000EA4F0000}"/>
    <cellStyle name="Normal 240 4 3 2 2" xfId="20715" xr:uid="{00000000-0005-0000-0000-0000EB4F0000}"/>
    <cellStyle name="Normal 240 4 3 3" xfId="20716" xr:uid="{00000000-0005-0000-0000-0000EC4F0000}"/>
    <cellStyle name="Normal 240 4 4" xfId="20717" xr:uid="{00000000-0005-0000-0000-0000ED4F0000}"/>
    <cellStyle name="Normal 240 4 4 2" xfId="20718" xr:uid="{00000000-0005-0000-0000-0000EE4F0000}"/>
    <cellStyle name="Normal 240 4 4 2 2" xfId="20719" xr:uid="{00000000-0005-0000-0000-0000EF4F0000}"/>
    <cellStyle name="Normal 240 4 4 3" xfId="20720" xr:uid="{00000000-0005-0000-0000-0000F04F0000}"/>
    <cellStyle name="Normal 240 4 5" xfId="20721" xr:uid="{00000000-0005-0000-0000-0000F14F0000}"/>
    <cellStyle name="Normal 240 4 5 2" xfId="20722" xr:uid="{00000000-0005-0000-0000-0000F24F0000}"/>
    <cellStyle name="Normal 240 4 5 2 2" xfId="20723" xr:uid="{00000000-0005-0000-0000-0000F34F0000}"/>
    <cellStyle name="Normal 240 4 5 3" xfId="20724" xr:uid="{00000000-0005-0000-0000-0000F44F0000}"/>
    <cellStyle name="Normal 240 4 6" xfId="20725" xr:uid="{00000000-0005-0000-0000-0000F54F0000}"/>
    <cellStyle name="Normal 240 5" xfId="20726" xr:uid="{00000000-0005-0000-0000-0000F64F0000}"/>
    <cellStyle name="Normal 240 5 2" xfId="20727" xr:uid="{00000000-0005-0000-0000-0000F74F0000}"/>
    <cellStyle name="Normal 240 5 2 2" xfId="20728" xr:uid="{00000000-0005-0000-0000-0000F84F0000}"/>
    <cellStyle name="Normal 240 5 3" xfId="20729" xr:uid="{00000000-0005-0000-0000-0000F94F0000}"/>
    <cellStyle name="Normal 240 6" xfId="20730" xr:uid="{00000000-0005-0000-0000-0000FA4F0000}"/>
    <cellStyle name="Normal 240 6 2" xfId="20731" xr:uid="{00000000-0005-0000-0000-0000FB4F0000}"/>
    <cellStyle name="Normal 240 6 2 2" xfId="20732" xr:uid="{00000000-0005-0000-0000-0000FC4F0000}"/>
    <cellStyle name="Normal 240 6 3" xfId="20733" xr:uid="{00000000-0005-0000-0000-0000FD4F0000}"/>
    <cellStyle name="Normal 240 7" xfId="20734" xr:uid="{00000000-0005-0000-0000-0000FE4F0000}"/>
    <cellStyle name="Normal 240 7 2" xfId="20735" xr:uid="{00000000-0005-0000-0000-0000FF4F0000}"/>
    <cellStyle name="Normal 240 7 2 2" xfId="20736" xr:uid="{00000000-0005-0000-0000-000000500000}"/>
    <cellStyle name="Normal 240 7 3" xfId="20737" xr:uid="{00000000-0005-0000-0000-000001500000}"/>
    <cellStyle name="Normal 240 8" xfId="20738" xr:uid="{00000000-0005-0000-0000-000002500000}"/>
    <cellStyle name="Normal 241" xfId="20739" xr:uid="{00000000-0005-0000-0000-000003500000}"/>
    <cellStyle name="Normal 241 2" xfId="20740" xr:uid="{00000000-0005-0000-0000-000004500000}"/>
    <cellStyle name="Normal 241 2 2" xfId="20741" xr:uid="{00000000-0005-0000-0000-000005500000}"/>
    <cellStyle name="Normal 241 2 2 2" xfId="20742" xr:uid="{00000000-0005-0000-0000-000006500000}"/>
    <cellStyle name="Normal 241 2 2 2 2" xfId="20743" xr:uid="{00000000-0005-0000-0000-000007500000}"/>
    <cellStyle name="Normal 241 2 2 3" xfId="20744" xr:uid="{00000000-0005-0000-0000-000008500000}"/>
    <cellStyle name="Normal 241 2 2 3 2" xfId="20745" xr:uid="{00000000-0005-0000-0000-000009500000}"/>
    <cellStyle name="Normal 241 2 2 3 2 2" xfId="20746" xr:uid="{00000000-0005-0000-0000-00000A500000}"/>
    <cellStyle name="Normal 241 2 2 3 3" xfId="20747" xr:uid="{00000000-0005-0000-0000-00000B500000}"/>
    <cellStyle name="Normal 241 2 2 4" xfId="20748" xr:uid="{00000000-0005-0000-0000-00000C500000}"/>
    <cellStyle name="Normal 241 2 2 4 2" xfId="20749" xr:uid="{00000000-0005-0000-0000-00000D500000}"/>
    <cellStyle name="Normal 241 2 2 4 2 2" xfId="20750" xr:uid="{00000000-0005-0000-0000-00000E500000}"/>
    <cellStyle name="Normal 241 2 2 4 3" xfId="20751" xr:uid="{00000000-0005-0000-0000-00000F500000}"/>
    <cellStyle name="Normal 241 2 2 5" xfId="20752" xr:uid="{00000000-0005-0000-0000-000010500000}"/>
    <cellStyle name="Normal 241 2 3" xfId="20753" xr:uid="{00000000-0005-0000-0000-000011500000}"/>
    <cellStyle name="Normal 241 2 3 2" xfId="20754" xr:uid="{00000000-0005-0000-0000-000012500000}"/>
    <cellStyle name="Normal 241 2 3 2 2" xfId="20755" xr:uid="{00000000-0005-0000-0000-000013500000}"/>
    <cellStyle name="Normal 241 2 3 2 2 2" xfId="20756" xr:uid="{00000000-0005-0000-0000-000014500000}"/>
    <cellStyle name="Normal 241 2 3 2 3" xfId="20757" xr:uid="{00000000-0005-0000-0000-000015500000}"/>
    <cellStyle name="Normal 241 2 3 2 3 2" xfId="20758" xr:uid="{00000000-0005-0000-0000-000016500000}"/>
    <cellStyle name="Normal 241 2 3 2 3 2 2" xfId="20759" xr:uid="{00000000-0005-0000-0000-000017500000}"/>
    <cellStyle name="Normal 241 2 3 2 3 3" xfId="20760" xr:uid="{00000000-0005-0000-0000-000018500000}"/>
    <cellStyle name="Normal 241 2 3 2 4" xfId="20761" xr:uid="{00000000-0005-0000-0000-000019500000}"/>
    <cellStyle name="Normal 241 2 3 3" xfId="20762" xr:uid="{00000000-0005-0000-0000-00001A500000}"/>
    <cellStyle name="Normal 241 2 3 3 2" xfId="20763" xr:uid="{00000000-0005-0000-0000-00001B500000}"/>
    <cellStyle name="Normal 241 2 3 3 2 2" xfId="20764" xr:uid="{00000000-0005-0000-0000-00001C500000}"/>
    <cellStyle name="Normal 241 2 3 3 3" xfId="20765" xr:uid="{00000000-0005-0000-0000-00001D500000}"/>
    <cellStyle name="Normal 241 2 3 4" xfId="20766" xr:uid="{00000000-0005-0000-0000-00001E500000}"/>
    <cellStyle name="Normal 241 2 3 4 2" xfId="20767" xr:uid="{00000000-0005-0000-0000-00001F500000}"/>
    <cellStyle name="Normal 241 2 3 4 2 2" xfId="20768" xr:uid="{00000000-0005-0000-0000-000020500000}"/>
    <cellStyle name="Normal 241 2 3 4 3" xfId="20769" xr:uid="{00000000-0005-0000-0000-000021500000}"/>
    <cellStyle name="Normal 241 2 3 5" xfId="20770" xr:uid="{00000000-0005-0000-0000-000022500000}"/>
    <cellStyle name="Normal 241 2 3 5 2" xfId="20771" xr:uid="{00000000-0005-0000-0000-000023500000}"/>
    <cellStyle name="Normal 241 2 3 5 2 2" xfId="20772" xr:uid="{00000000-0005-0000-0000-000024500000}"/>
    <cellStyle name="Normal 241 2 3 5 3" xfId="20773" xr:uid="{00000000-0005-0000-0000-000025500000}"/>
    <cellStyle name="Normal 241 2 3 6" xfId="20774" xr:uid="{00000000-0005-0000-0000-000026500000}"/>
    <cellStyle name="Normal 241 2 4" xfId="20775" xr:uid="{00000000-0005-0000-0000-000027500000}"/>
    <cellStyle name="Normal 241 2 4 2" xfId="20776" xr:uid="{00000000-0005-0000-0000-000028500000}"/>
    <cellStyle name="Normal 241 2 4 2 2" xfId="20777" xr:uid="{00000000-0005-0000-0000-000029500000}"/>
    <cellStyle name="Normal 241 2 4 3" xfId="20778" xr:uid="{00000000-0005-0000-0000-00002A500000}"/>
    <cellStyle name="Normal 241 2 5" xfId="20779" xr:uid="{00000000-0005-0000-0000-00002B500000}"/>
    <cellStyle name="Normal 241 2 5 2" xfId="20780" xr:uid="{00000000-0005-0000-0000-00002C500000}"/>
    <cellStyle name="Normal 241 2 5 2 2" xfId="20781" xr:uid="{00000000-0005-0000-0000-00002D500000}"/>
    <cellStyle name="Normal 241 2 5 3" xfId="20782" xr:uid="{00000000-0005-0000-0000-00002E500000}"/>
    <cellStyle name="Normal 241 2 6" xfId="20783" xr:uid="{00000000-0005-0000-0000-00002F500000}"/>
    <cellStyle name="Normal 241 2 6 2" xfId="20784" xr:uid="{00000000-0005-0000-0000-000030500000}"/>
    <cellStyle name="Normal 241 2 6 2 2" xfId="20785" xr:uid="{00000000-0005-0000-0000-000031500000}"/>
    <cellStyle name="Normal 241 2 6 3" xfId="20786" xr:uid="{00000000-0005-0000-0000-000032500000}"/>
    <cellStyle name="Normal 241 2 7" xfId="20787" xr:uid="{00000000-0005-0000-0000-000033500000}"/>
    <cellStyle name="Normal 241 3" xfId="20788" xr:uid="{00000000-0005-0000-0000-000034500000}"/>
    <cellStyle name="Normal 241 3 2" xfId="20789" xr:uid="{00000000-0005-0000-0000-000035500000}"/>
    <cellStyle name="Normal 241 3 2 2" xfId="20790" xr:uid="{00000000-0005-0000-0000-000036500000}"/>
    <cellStyle name="Normal 241 3 3" xfId="20791" xr:uid="{00000000-0005-0000-0000-000037500000}"/>
    <cellStyle name="Normal 241 3 3 2" xfId="20792" xr:uid="{00000000-0005-0000-0000-000038500000}"/>
    <cellStyle name="Normal 241 3 3 2 2" xfId="20793" xr:uid="{00000000-0005-0000-0000-000039500000}"/>
    <cellStyle name="Normal 241 3 3 3" xfId="20794" xr:uid="{00000000-0005-0000-0000-00003A500000}"/>
    <cellStyle name="Normal 241 3 4" xfId="20795" xr:uid="{00000000-0005-0000-0000-00003B500000}"/>
    <cellStyle name="Normal 241 3 4 2" xfId="20796" xr:uid="{00000000-0005-0000-0000-00003C500000}"/>
    <cellStyle name="Normal 241 3 4 2 2" xfId="20797" xr:uid="{00000000-0005-0000-0000-00003D500000}"/>
    <cellStyle name="Normal 241 3 4 3" xfId="20798" xr:uid="{00000000-0005-0000-0000-00003E500000}"/>
    <cellStyle name="Normal 241 3 5" xfId="20799" xr:uid="{00000000-0005-0000-0000-00003F500000}"/>
    <cellStyle name="Normal 241 4" xfId="20800" xr:uid="{00000000-0005-0000-0000-000040500000}"/>
    <cellStyle name="Normal 241 4 2" xfId="20801" xr:uid="{00000000-0005-0000-0000-000041500000}"/>
    <cellStyle name="Normal 241 4 2 2" xfId="20802" xr:uid="{00000000-0005-0000-0000-000042500000}"/>
    <cellStyle name="Normal 241 4 2 2 2" xfId="20803" xr:uid="{00000000-0005-0000-0000-000043500000}"/>
    <cellStyle name="Normal 241 4 2 3" xfId="20804" xr:uid="{00000000-0005-0000-0000-000044500000}"/>
    <cellStyle name="Normal 241 4 2 3 2" xfId="20805" xr:uid="{00000000-0005-0000-0000-000045500000}"/>
    <cellStyle name="Normal 241 4 2 3 2 2" xfId="20806" xr:uid="{00000000-0005-0000-0000-000046500000}"/>
    <cellStyle name="Normal 241 4 2 3 3" xfId="20807" xr:uid="{00000000-0005-0000-0000-000047500000}"/>
    <cellStyle name="Normal 241 4 2 4" xfId="20808" xr:uid="{00000000-0005-0000-0000-000048500000}"/>
    <cellStyle name="Normal 241 4 3" xfId="20809" xr:uid="{00000000-0005-0000-0000-000049500000}"/>
    <cellStyle name="Normal 241 4 3 2" xfId="20810" xr:uid="{00000000-0005-0000-0000-00004A500000}"/>
    <cellStyle name="Normal 241 4 3 2 2" xfId="20811" xr:uid="{00000000-0005-0000-0000-00004B500000}"/>
    <cellStyle name="Normal 241 4 3 3" xfId="20812" xr:uid="{00000000-0005-0000-0000-00004C500000}"/>
    <cellStyle name="Normal 241 4 4" xfId="20813" xr:uid="{00000000-0005-0000-0000-00004D500000}"/>
    <cellStyle name="Normal 241 4 4 2" xfId="20814" xr:uid="{00000000-0005-0000-0000-00004E500000}"/>
    <cellStyle name="Normal 241 4 4 2 2" xfId="20815" xr:uid="{00000000-0005-0000-0000-00004F500000}"/>
    <cellStyle name="Normal 241 4 4 3" xfId="20816" xr:uid="{00000000-0005-0000-0000-000050500000}"/>
    <cellStyle name="Normal 241 4 5" xfId="20817" xr:uid="{00000000-0005-0000-0000-000051500000}"/>
    <cellStyle name="Normal 241 4 5 2" xfId="20818" xr:uid="{00000000-0005-0000-0000-000052500000}"/>
    <cellStyle name="Normal 241 4 5 2 2" xfId="20819" xr:uid="{00000000-0005-0000-0000-000053500000}"/>
    <cellStyle name="Normal 241 4 5 3" xfId="20820" xr:uid="{00000000-0005-0000-0000-000054500000}"/>
    <cellStyle name="Normal 241 4 6" xfId="20821" xr:uid="{00000000-0005-0000-0000-000055500000}"/>
    <cellStyle name="Normal 241 5" xfId="20822" xr:uid="{00000000-0005-0000-0000-000056500000}"/>
    <cellStyle name="Normal 241 5 2" xfId="20823" xr:uid="{00000000-0005-0000-0000-000057500000}"/>
    <cellStyle name="Normal 241 5 2 2" xfId="20824" xr:uid="{00000000-0005-0000-0000-000058500000}"/>
    <cellStyle name="Normal 241 5 3" xfId="20825" xr:uid="{00000000-0005-0000-0000-000059500000}"/>
    <cellStyle name="Normal 241 6" xfId="20826" xr:uid="{00000000-0005-0000-0000-00005A500000}"/>
    <cellStyle name="Normal 241 6 2" xfId="20827" xr:uid="{00000000-0005-0000-0000-00005B500000}"/>
    <cellStyle name="Normal 241 6 2 2" xfId="20828" xr:uid="{00000000-0005-0000-0000-00005C500000}"/>
    <cellStyle name="Normal 241 6 3" xfId="20829" xr:uid="{00000000-0005-0000-0000-00005D500000}"/>
    <cellStyle name="Normal 241 7" xfId="20830" xr:uid="{00000000-0005-0000-0000-00005E500000}"/>
    <cellStyle name="Normal 241 7 2" xfId="20831" xr:uid="{00000000-0005-0000-0000-00005F500000}"/>
    <cellStyle name="Normal 241 7 2 2" xfId="20832" xr:uid="{00000000-0005-0000-0000-000060500000}"/>
    <cellStyle name="Normal 241 7 3" xfId="20833" xr:uid="{00000000-0005-0000-0000-000061500000}"/>
    <cellStyle name="Normal 241 8" xfId="20834" xr:uid="{00000000-0005-0000-0000-000062500000}"/>
    <cellStyle name="Normal 242" xfId="20835" xr:uid="{00000000-0005-0000-0000-000063500000}"/>
    <cellStyle name="Normal 242 2" xfId="20836" xr:uid="{00000000-0005-0000-0000-000064500000}"/>
    <cellStyle name="Normal 242 2 2" xfId="20837" xr:uid="{00000000-0005-0000-0000-000065500000}"/>
    <cellStyle name="Normal 242 2 2 2" xfId="20838" xr:uid="{00000000-0005-0000-0000-000066500000}"/>
    <cellStyle name="Normal 242 2 2 2 2" xfId="20839" xr:uid="{00000000-0005-0000-0000-000067500000}"/>
    <cellStyle name="Normal 242 2 2 3" xfId="20840" xr:uid="{00000000-0005-0000-0000-000068500000}"/>
    <cellStyle name="Normal 242 2 2 3 2" xfId="20841" xr:uid="{00000000-0005-0000-0000-000069500000}"/>
    <cellStyle name="Normal 242 2 2 3 2 2" xfId="20842" xr:uid="{00000000-0005-0000-0000-00006A500000}"/>
    <cellStyle name="Normal 242 2 2 3 3" xfId="20843" xr:uid="{00000000-0005-0000-0000-00006B500000}"/>
    <cellStyle name="Normal 242 2 2 4" xfId="20844" xr:uid="{00000000-0005-0000-0000-00006C500000}"/>
    <cellStyle name="Normal 242 2 2 4 2" xfId="20845" xr:uid="{00000000-0005-0000-0000-00006D500000}"/>
    <cellStyle name="Normal 242 2 2 4 2 2" xfId="20846" xr:uid="{00000000-0005-0000-0000-00006E500000}"/>
    <cellStyle name="Normal 242 2 2 4 3" xfId="20847" xr:uid="{00000000-0005-0000-0000-00006F500000}"/>
    <cellStyle name="Normal 242 2 2 5" xfId="20848" xr:uid="{00000000-0005-0000-0000-000070500000}"/>
    <cellStyle name="Normal 242 2 3" xfId="20849" xr:uid="{00000000-0005-0000-0000-000071500000}"/>
    <cellStyle name="Normal 242 2 3 2" xfId="20850" xr:uid="{00000000-0005-0000-0000-000072500000}"/>
    <cellStyle name="Normal 242 2 3 2 2" xfId="20851" xr:uid="{00000000-0005-0000-0000-000073500000}"/>
    <cellStyle name="Normal 242 2 3 2 2 2" xfId="20852" xr:uid="{00000000-0005-0000-0000-000074500000}"/>
    <cellStyle name="Normal 242 2 3 2 3" xfId="20853" xr:uid="{00000000-0005-0000-0000-000075500000}"/>
    <cellStyle name="Normal 242 2 3 2 3 2" xfId="20854" xr:uid="{00000000-0005-0000-0000-000076500000}"/>
    <cellStyle name="Normal 242 2 3 2 3 2 2" xfId="20855" xr:uid="{00000000-0005-0000-0000-000077500000}"/>
    <cellStyle name="Normal 242 2 3 2 3 3" xfId="20856" xr:uid="{00000000-0005-0000-0000-000078500000}"/>
    <cellStyle name="Normal 242 2 3 2 4" xfId="20857" xr:uid="{00000000-0005-0000-0000-000079500000}"/>
    <cellStyle name="Normal 242 2 3 3" xfId="20858" xr:uid="{00000000-0005-0000-0000-00007A500000}"/>
    <cellStyle name="Normal 242 2 3 3 2" xfId="20859" xr:uid="{00000000-0005-0000-0000-00007B500000}"/>
    <cellStyle name="Normal 242 2 3 3 2 2" xfId="20860" xr:uid="{00000000-0005-0000-0000-00007C500000}"/>
    <cellStyle name="Normal 242 2 3 3 3" xfId="20861" xr:uid="{00000000-0005-0000-0000-00007D500000}"/>
    <cellStyle name="Normal 242 2 3 4" xfId="20862" xr:uid="{00000000-0005-0000-0000-00007E500000}"/>
    <cellStyle name="Normal 242 2 3 4 2" xfId="20863" xr:uid="{00000000-0005-0000-0000-00007F500000}"/>
    <cellStyle name="Normal 242 2 3 4 2 2" xfId="20864" xr:uid="{00000000-0005-0000-0000-000080500000}"/>
    <cellStyle name="Normal 242 2 3 4 3" xfId="20865" xr:uid="{00000000-0005-0000-0000-000081500000}"/>
    <cellStyle name="Normal 242 2 3 5" xfId="20866" xr:uid="{00000000-0005-0000-0000-000082500000}"/>
    <cellStyle name="Normal 242 2 3 5 2" xfId="20867" xr:uid="{00000000-0005-0000-0000-000083500000}"/>
    <cellStyle name="Normal 242 2 3 5 2 2" xfId="20868" xr:uid="{00000000-0005-0000-0000-000084500000}"/>
    <cellStyle name="Normal 242 2 3 5 3" xfId="20869" xr:uid="{00000000-0005-0000-0000-000085500000}"/>
    <cellStyle name="Normal 242 2 3 6" xfId="20870" xr:uid="{00000000-0005-0000-0000-000086500000}"/>
    <cellStyle name="Normal 242 2 4" xfId="20871" xr:uid="{00000000-0005-0000-0000-000087500000}"/>
    <cellStyle name="Normal 242 2 4 2" xfId="20872" xr:uid="{00000000-0005-0000-0000-000088500000}"/>
    <cellStyle name="Normal 242 2 4 2 2" xfId="20873" xr:uid="{00000000-0005-0000-0000-000089500000}"/>
    <cellStyle name="Normal 242 2 4 3" xfId="20874" xr:uid="{00000000-0005-0000-0000-00008A500000}"/>
    <cellStyle name="Normal 242 2 5" xfId="20875" xr:uid="{00000000-0005-0000-0000-00008B500000}"/>
    <cellStyle name="Normal 242 2 5 2" xfId="20876" xr:uid="{00000000-0005-0000-0000-00008C500000}"/>
    <cellStyle name="Normal 242 2 5 2 2" xfId="20877" xr:uid="{00000000-0005-0000-0000-00008D500000}"/>
    <cellStyle name="Normal 242 2 5 3" xfId="20878" xr:uid="{00000000-0005-0000-0000-00008E500000}"/>
    <cellStyle name="Normal 242 2 6" xfId="20879" xr:uid="{00000000-0005-0000-0000-00008F500000}"/>
    <cellStyle name="Normal 242 2 6 2" xfId="20880" xr:uid="{00000000-0005-0000-0000-000090500000}"/>
    <cellStyle name="Normal 242 2 6 2 2" xfId="20881" xr:uid="{00000000-0005-0000-0000-000091500000}"/>
    <cellStyle name="Normal 242 2 6 3" xfId="20882" xr:uid="{00000000-0005-0000-0000-000092500000}"/>
    <cellStyle name="Normal 242 2 7" xfId="20883" xr:uid="{00000000-0005-0000-0000-000093500000}"/>
    <cellStyle name="Normal 242 3" xfId="20884" xr:uid="{00000000-0005-0000-0000-000094500000}"/>
    <cellStyle name="Normal 242 3 2" xfId="20885" xr:uid="{00000000-0005-0000-0000-000095500000}"/>
    <cellStyle name="Normal 242 3 2 2" xfId="20886" xr:uid="{00000000-0005-0000-0000-000096500000}"/>
    <cellStyle name="Normal 242 3 3" xfId="20887" xr:uid="{00000000-0005-0000-0000-000097500000}"/>
    <cellStyle name="Normal 242 3 3 2" xfId="20888" xr:uid="{00000000-0005-0000-0000-000098500000}"/>
    <cellStyle name="Normal 242 3 3 2 2" xfId="20889" xr:uid="{00000000-0005-0000-0000-000099500000}"/>
    <cellStyle name="Normal 242 3 3 3" xfId="20890" xr:uid="{00000000-0005-0000-0000-00009A500000}"/>
    <cellStyle name="Normal 242 3 4" xfId="20891" xr:uid="{00000000-0005-0000-0000-00009B500000}"/>
    <cellStyle name="Normal 242 3 4 2" xfId="20892" xr:uid="{00000000-0005-0000-0000-00009C500000}"/>
    <cellStyle name="Normal 242 3 4 2 2" xfId="20893" xr:uid="{00000000-0005-0000-0000-00009D500000}"/>
    <cellStyle name="Normal 242 3 4 3" xfId="20894" xr:uid="{00000000-0005-0000-0000-00009E500000}"/>
    <cellStyle name="Normal 242 3 5" xfId="20895" xr:uid="{00000000-0005-0000-0000-00009F500000}"/>
    <cellStyle name="Normal 242 4" xfId="20896" xr:uid="{00000000-0005-0000-0000-0000A0500000}"/>
    <cellStyle name="Normal 242 4 2" xfId="20897" xr:uid="{00000000-0005-0000-0000-0000A1500000}"/>
    <cellStyle name="Normal 242 4 2 2" xfId="20898" xr:uid="{00000000-0005-0000-0000-0000A2500000}"/>
    <cellStyle name="Normal 242 4 2 2 2" xfId="20899" xr:uid="{00000000-0005-0000-0000-0000A3500000}"/>
    <cellStyle name="Normal 242 4 2 3" xfId="20900" xr:uid="{00000000-0005-0000-0000-0000A4500000}"/>
    <cellStyle name="Normal 242 4 2 3 2" xfId="20901" xr:uid="{00000000-0005-0000-0000-0000A5500000}"/>
    <cellStyle name="Normal 242 4 2 3 2 2" xfId="20902" xr:uid="{00000000-0005-0000-0000-0000A6500000}"/>
    <cellStyle name="Normal 242 4 2 3 3" xfId="20903" xr:uid="{00000000-0005-0000-0000-0000A7500000}"/>
    <cellStyle name="Normal 242 4 2 4" xfId="20904" xr:uid="{00000000-0005-0000-0000-0000A8500000}"/>
    <cellStyle name="Normal 242 4 3" xfId="20905" xr:uid="{00000000-0005-0000-0000-0000A9500000}"/>
    <cellStyle name="Normal 242 4 3 2" xfId="20906" xr:uid="{00000000-0005-0000-0000-0000AA500000}"/>
    <cellStyle name="Normal 242 4 3 2 2" xfId="20907" xr:uid="{00000000-0005-0000-0000-0000AB500000}"/>
    <cellStyle name="Normal 242 4 3 3" xfId="20908" xr:uid="{00000000-0005-0000-0000-0000AC500000}"/>
    <cellStyle name="Normal 242 4 4" xfId="20909" xr:uid="{00000000-0005-0000-0000-0000AD500000}"/>
    <cellStyle name="Normal 242 4 4 2" xfId="20910" xr:uid="{00000000-0005-0000-0000-0000AE500000}"/>
    <cellStyle name="Normal 242 4 4 2 2" xfId="20911" xr:uid="{00000000-0005-0000-0000-0000AF500000}"/>
    <cellStyle name="Normal 242 4 4 3" xfId="20912" xr:uid="{00000000-0005-0000-0000-0000B0500000}"/>
    <cellStyle name="Normal 242 4 5" xfId="20913" xr:uid="{00000000-0005-0000-0000-0000B1500000}"/>
    <cellStyle name="Normal 242 4 5 2" xfId="20914" xr:uid="{00000000-0005-0000-0000-0000B2500000}"/>
    <cellStyle name="Normal 242 4 5 2 2" xfId="20915" xr:uid="{00000000-0005-0000-0000-0000B3500000}"/>
    <cellStyle name="Normal 242 4 5 3" xfId="20916" xr:uid="{00000000-0005-0000-0000-0000B4500000}"/>
    <cellStyle name="Normal 242 4 6" xfId="20917" xr:uid="{00000000-0005-0000-0000-0000B5500000}"/>
    <cellStyle name="Normal 242 5" xfId="20918" xr:uid="{00000000-0005-0000-0000-0000B6500000}"/>
    <cellStyle name="Normal 242 5 2" xfId="20919" xr:uid="{00000000-0005-0000-0000-0000B7500000}"/>
    <cellStyle name="Normal 242 5 2 2" xfId="20920" xr:uid="{00000000-0005-0000-0000-0000B8500000}"/>
    <cellStyle name="Normal 242 5 3" xfId="20921" xr:uid="{00000000-0005-0000-0000-0000B9500000}"/>
    <cellStyle name="Normal 242 6" xfId="20922" xr:uid="{00000000-0005-0000-0000-0000BA500000}"/>
    <cellStyle name="Normal 242 6 2" xfId="20923" xr:uid="{00000000-0005-0000-0000-0000BB500000}"/>
    <cellStyle name="Normal 242 6 2 2" xfId="20924" xr:uid="{00000000-0005-0000-0000-0000BC500000}"/>
    <cellStyle name="Normal 242 6 3" xfId="20925" xr:uid="{00000000-0005-0000-0000-0000BD500000}"/>
    <cellStyle name="Normal 242 7" xfId="20926" xr:uid="{00000000-0005-0000-0000-0000BE500000}"/>
    <cellStyle name="Normal 242 7 2" xfId="20927" xr:uid="{00000000-0005-0000-0000-0000BF500000}"/>
    <cellStyle name="Normal 242 7 2 2" xfId="20928" xr:uid="{00000000-0005-0000-0000-0000C0500000}"/>
    <cellStyle name="Normal 242 7 3" xfId="20929" xr:uid="{00000000-0005-0000-0000-0000C1500000}"/>
    <cellStyle name="Normal 242 8" xfId="20930" xr:uid="{00000000-0005-0000-0000-0000C2500000}"/>
    <cellStyle name="Normal 243" xfId="20931" xr:uid="{00000000-0005-0000-0000-0000C3500000}"/>
    <cellStyle name="Normal 243 2" xfId="20932" xr:uid="{00000000-0005-0000-0000-0000C4500000}"/>
    <cellStyle name="Normal 243 2 2" xfId="20933" xr:uid="{00000000-0005-0000-0000-0000C5500000}"/>
    <cellStyle name="Normal 243 2 2 2" xfId="20934" xr:uid="{00000000-0005-0000-0000-0000C6500000}"/>
    <cellStyle name="Normal 243 2 2 2 2" xfId="20935" xr:uid="{00000000-0005-0000-0000-0000C7500000}"/>
    <cellStyle name="Normal 243 2 2 3" xfId="20936" xr:uid="{00000000-0005-0000-0000-0000C8500000}"/>
    <cellStyle name="Normal 243 2 2 3 2" xfId="20937" xr:uid="{00000000-0005-0000-0000-0000C9500000}"/>
    <cellStyle name="Normal 243 2 2 3 2 2" xfId="20938" xr:uid="{00000000-0005-0000-0000-0000CA500000}"/>
    <cellStyle name="Normal 243 2 2 3 3" xfId="20939" xr:uid="{00000000-0005-0000-0000-0000CB500000}"/>
    <cellStyle name="Normal 243 2 2 4" xfId="20940" xr:uid="{00000000-0005-0000-0000-0000CC500000}"/>
    <cellStyle name="Normal 243 2 2 4 2" xfId="20941" xr:uid="{00000000-0005-0000-0000-0000CD500000}"/>
    <cellStyle name="Normal 243 2 2 4 2 2" xfId="20942" xr:uid="{00000000-0005-0000-0000-0000CE500000}"/>
    <cellStyle name="Normal 243 2 2 4 3" xfId="20943" xr:uid="{00000000-0005-0000-0000-0000CF500000}"/>
    <cellStyle name="Normal 243 2 2 5" xfId="20944" xr:uid="{00000000-0005-0000-0000-0000D0500000}"/>
    <cellStyle name="Normal 243 2 3" xfId="20945" xr:uid="{00000000-0005-0000-0000-0000D1500000}"/>
    <cellStyle name="Normal 243 2 3 2" xfId="20946" xr:uid="{00000000-0005-0000-0000-0000D2500000}"/>
    <cellStyle name="Normal 243 2 3 2 2" xfId="20947" xr:uid="{00000000-0005-0000-0000-0000D3500000}"/>
    <cellStyle name="Normal 243 2 3 2 2 2" xfId="20948" xr:uid="{00000000-0005-0000-0000-0000D4500000}"/>
    <cellStyle name="Normal 243 2 3 2 3" xfId="20949" xr:uid="{00000000-0005-0000-0000-0000D5500000}"/>
    <cellStyle name="Normal 243 2 3 2 3 2" xfId="20950" xr:uid="{00000000-0005-0000-0000-0000D6500000}"/>
    <cellStyle name="Normal 243 2 3 2 3 2 2" xfId="20951" xr:uid="{00000000-0005-0000-0000-0000D7500000}"/>
    <cellStyle name="Normal 243 2 3 2 3 3" xfId="20952" xr:uid="{00000000-0005-0000-0000-0000D8500000}"/>
    <cellStyle name="Normal 243 2 3 2 4" xfId="20953" xr:uid="{00000000-0005-0000-0000-0000D9500000}"/>
    <cellStyle name="Normal 243 2 3 3" xfId="20954" xr:uid="{00000000-0005-0000-0000-0000DA500000}"/>
    <cellStyle name="Normal 243 2 3 3 2" xfId="20955" xr:uid="{00000000-0005-0000-0000-0000DB500000}"/>
    <cellStyle name="Normal 243 2 3 3 2 2" xfId="20956" xr:uid="{00000000-0005-0000-0000-0000DC500000}"/>
    <cellStyle name="Normal 243 2 3 3 3" xfId="20957" xr:uid="{00000000-0005-0000-0000-0000DD500000}"/>
    <cellStyle name="Normal 243 2 3 4" xfId="20958" xr:uid="{00000000-0005-0000-0000-0000DE500000}"/>
    <cellStyle name="Normal 243 2 3 4 2" xfId="20959" xr:uid="{00000000-0005-0000-0000-0000DF500000}"/>
    <cellStyle name="Normal 243 2 3 4 2 2" xfId="20960" xr:uid="{00000000-0005-0000-0000-0000E0500000}"/>
    <cellStyle name="Normal 243 2 3 4 3" xfId="20961" xr:uid="{00000000-0005-0000-0000-0000E1500000}"/>
    <cellStyle name="Normal 243 2 3 5" xfId="20962" xr:uid="{00000000-0005-0000-0000-0000E2500000}"/>
    <cellStyle name="Normal 243 2 3 5 2" xfId="20963" xr:uid="{00000000-0005-0000-0000-0000E3500000}"/>
    <cellStyle name="Normal 243 2 3 5 2 2" xfId="20964" xr:uid="{00000000-0005-0000-0000-0000E4500000}"/>
    <cellStyle name="Normal 243 2 3 5 3" xfId="20965" xr:uid="{00000000-0005-0000-0000-0000E5500000}"/>
    <cellStyle name="Normal 243 2 3 6" xfId="20966" xr:uid="{00000000-0005-0000-0000-0000E6500000}"/>
    <cellStyle name="Normal 243 2 4" xfId="20967" xr:uid="{00000000-0005-0000-0000-0000E7500000}"/>
    <cellStyle name="Normal 243 2 4 2" xfId="20968" xr:uid="{00000000-0005-0000-0000-0000E8500000}"/>
    <cellStyle name="Normal 243 2 4 2 2" xfId="20969" xr:uid="{00000000-0005-0000-0000-0000E9500000}"/>
    <cellStyle name="Normal 243 2 4 3" xfId="20970" xr:uid="{00000000-0005-0000-0000-0000EA500000}"/>
    <cellStyle name="Normal 243 2 5" xfId="20971" xr:uid="{00000000-0005-0000-0000-0000EB500000}"/>
    <cellStyle name="Normal 243 2 5 2" xfId="20972" xr:uid="{00000000-0005-0000-0000-0000EC500000}"/>
    <cellStyle name="Normal 243 2 5 2 2" xfId="20973" xr:uid="{00000000-0005-0000-0000-0000ED500000}"/>
    <cellStyle name="Normal 243 2 5 3" xfId="20974" xr:uid="{00000000-0005-0000-0000-0000EE500000}"/>
    <cellStyle name="Normal 243 2 6" xfId="20975" xr:uid="{00000000-0005-0000-0000-0000EF500000}"/>
    <cellStyle name="Normal 243 2 6 2" xfId="20976" xr:uid="{00000000-0005-0000-0000-0000F0500000}"/>
    <cellStyle name="Normal 243 2 6 2 2" xfId="20977" xr:uid="{00000000-0005-0000-0000-0000F1500000}"/>
    <cellStyle name="Normal 243 2 6 3" xfId="20978" xr:uid="{00000000-0005-0000-0000-0000F2500000}"/>
    <cellStyle name="Normal 243 2 7" xfId="20979" xr:uid="{00000000-0005-0000-0000-0000F3500000}"/>
    <cellStyle name="Normal 243 3" xfId="20980" xr:uid="{00000000-0005-0000-0000-0000F4500000}"/>
    <cellStyle name="Normal 243 3 2" xfId="20981" xr:uid="{00000000-0005-0000-0000-0000F5500000}"/>
    <cellStyle name="Normal 243 3 2 2" xfId="20982" xr:uid="{00000000-0005-0000-0000-0000F6500000}"/>
    <cellStyle name="Normal 243 3 3" xfId="20983" xr:uid="{00000000-0005-0000-0000-0000F7500000}"/>
    <cellStyle name="Normal 243 3 3 2" xfId="20984" xr:uid="{00000000-0005-0000-0000-0000F8500000}"/>
    <cellStyle name="Normal 243 3 3 2 2" xfId="20985" xr:uid="{00000000-0005-0000-0000-0000F9500000}"/>
    <cellStyle name="Normal 243 3 3 3" xfId="20986" xr:uid="{00000000-0005-0000-0000-0000FA500000}"/>
    <cellStyle name="Normal 243 3 4" xfId="20987" xr:uid="{00000000-0005-0000-0000-0000FB500000}"/>
    <cellStyle name="Normal 243 3 4 2" xfId="20988" xr:uid="{00000000-0005-0000-0000-0000FC500000}"/>
    <cellStyle name="Normal 243 3 4 2 2" xfId="20989" xr:uid="{00000000-0005-0000-0000-0000FD500000}"/>
    <cellStyle name="Normal 243 3 4 3" xfId="20990" xr:uid="{00000000-0005-0000-0000-0000FE500000}"/>
    <cellStyle name="Normal 243 3 5" xfId="20991" xr:uid="{00000000-0005-0000-0000-0000FF500000}"/>
    <cellStyle name="Normal 243 4" xfId="20992" xr:uid="{00000000-0005-0000-0000-000000510000}"/>
    <cellStyle name="Normal 243 4 2" xfId="20993" xr:uid="{00000000-0005-0000-0000-000001510000}"/>
    <cellStyle name="Normal 243 4 2 2" xfId="20994" xr:uid="{00000000-0005-0000-0000-000002510000}"/>
    <cellStyle name="Normal 243 4 2 2 2" xfId="20995" xr:uid="{00000000-0005-0000-0000-000003510000}"/>
    <cellStyle name="Normal 243 4 2 3" xfId="20996" xr:uid="{00000000-0005-0000-0000-000004510000}"/>
    <cellStyle name="Normal 243 4 2 3 2" xfId="20997" xr:uid="{00000000-0005-0000-0000-000005510000}"/>
    <cellStyle name="Normal 243 4 2 3 2 2" xfId="20998" xr:uid="{00000000-0005-0000-0000-000006510000}"/>
    <cellStyle name="Normal 243 4 2 3 3" xfId="20999" xr:uid="{00000000-0005-0000-0000-000007510000}"/>
    <cellStyle name="Normal 243 4 2 4" xfId="21000" xr:uid="{00000000-0005-0000-0000-000008510000}"/>
    <cellStyle name="Normal 243 4 3" xfId="21001" xr:uid="{00000000-0005-0000-0000-000009510000}"/>
    <cellStyle name="Normal 243 4 3 2" xfId="21002" xr:uid="{00000000-0005-0000-0000-00000A510000}"/>
    <cellStyle name="Normal 243 4 3 2 2" xfId="21003" xr:uid="{00000000-0005-0000-0000-00000B510000}"/>
    <cellStyle name="Normal 243 4 3 3" xfId="21004" xr:uid="{00000000-0005-0000-0000-00000C510000}"/>
    <cellStyle name="Normal 243 4 4" xfId="21005" xr:uid="{00000000-0005-0000-0000-00000D510000}"/>
    <cellStyle name="Normal 243 4 4 2" xfId="21006" xr:uid="{00000000-0005-0000-0000-00000E510000}"/>
    <cellStyle name="Normal 243 4 4 2 2" xfId="21007" xr:uid="{00000000-0005-0000-0000-00000F510000}"/>
    <cellStyle name="Normal 243 4 4 3" xfId="21008" xr:uid="{00000000-0005-0000-0000-000010510000}"/>
    <cellStyle name="Normal 243 4 5" xfId="21009" xr:uid="{00000000-0005-0000-0000-000011510000}"/>
    <cellStyle name="Normal 243 4 5 2" xfId="21010" xr:uid="{00000000-0005-0000-0000-000012510000}"/>
    <cellStyle name="Normal 243 4 5 2 2" xfId="21011" xr:uid="{00000000-0005-0000-0000-000013510000}"/>
    <cellStyle name="Normal 243 4 5 3" xfId="21012" xr:uid="{00000000-0005-0000-0000-000014510000}"/>
    <cellStyle name="Normal 243 4 6" xfId="21013" xr:uid="{00000000-0005-0000-0000-000015510000}"/>
    <cellStyle name="Normal 243 5" xfId="21014" xr:uid="{00000000-0005-0000-0000-000016510000}"/>
    <cellStyle name="Normal 243 5 2" xfId="21015" xr:uid="{00000000-0005-0000-0000-000017510000}"/>
    <cellStyle name="Normal 243 5 2 2" xfId="21016" xr:uid="{00000000-0005-0000-0000-000018510000}"/>
    <cellStyle name="Normal 243 5 3" xfId="21017" xr:uid="{00000000-0005-0000-0000-000019510000}"/>
    <cellStyle name="Normal 243 6" xfId="21018" xr:uid="{00000000-0005-0000-0000-00001A510000}"/>
    <cellStyle name="Normal 243 6 2" xfId="21019" xr:uid="{00000000-0005-0000-0000-00001B510000}"/>
    <cellStyle name="Normal 243 6 2 2" xfId="21020" xr:uid="{00000000-0005-0000-0000-00001C510000}"/>
    <cellStyle name="Normal 243 6 3" xfId="21021" xr:uid="{00000000-0005-0000-0000-00001D510000}"/>
    <cellStyle name="Normal 243 7" xfId="21022" xr:uid="{00000000-0005-0000-0000-00001E510000}"/>
    <cellStyle name="Normal 243 7 2" xfId="21023" xr:uid="{00000000-0005-0000-0000-00001F510000}"/>
    <cellStyle name="Normal 243 7 2 2" xfId="21024" xr:uid="{00000000-0005-0000-0000-000020510000}"/>
    <cellStyle name="Normal 243 7 3" xfId="21025" xr:uid="{00000000-0005-0000-0000-000021510000}"/>
    <cellStyle name="Normal 243 8" xfId="21026" xr:uid="{00000000-0005-0000-0000-000022510000}"/>
    <cellStyle name="Normal 244" xfId="21027" xr:uid="{00000000-0005-0000-0000-000023510000}"/>
    <cellStyle name="Normal 244 2" xfId="21028" xr:uid="{00000000-0005-0000-0000-000024510000}"/>
    <cellStyle name="Normal 244 2 2" xfId="21029" xr:uid="{00000000-0005-0000-0000-000025510000}"/>
    <cellStyle name="Normal 244 2 2 2" xfId="21030" xr:uid="{00000000-0005-0000-0000-000026510000}"/>
    <cellStyle name="Normal 244 2 2 2 2" xfId="21031" xr:uid="{00000000-0005-0000-0000-000027510000}"/>
    <cellStyle name="Normal 244 2 2 3" xfId="21032" xr:uid="{00000000-0005-0000-0000-000028510000}"/>
    <cellStyle name="Normal 244 2 2 3 2" xfId="21033" xr:uid="{00000000-0005-0000-0000-000029510000}"/>
    <cellStyle name="Normal 244 2 2 3 2 2" xfId="21034" xr:uid="{00000000-0005-0000-0000-00002A510000}"/>
    <cellStyle name="Normal 244 2 2 3 3" xfId="21035" xr:uid="{00000000-0005-0000-0000-00002B510000}"/>
    <cellStyle name="Normal 244 2 2 4" xfId="21036" xr:uid="{00000000-0005-0000-0000-00002C510000}"/>
    <cellStyle name="Normal 244 2 2 4 2" xfId="21037" xr:uid="{00000000-0005-0000-0000-00002D510000}"/>
    <cellStyle name="Normal 244 2 2 4 2 2" xfId="21038" xr:uid="{00000000-0005-0000-0000-00002E510000}"/>
    <cellStyle name="Normal 244 2 2 4 3" xfId="21039" xr:uid="{00000000-0005-0000-0000-00002F510000}"/>
    <cellStyle name="Normal 244 2 2 5" xfId="21040" xr:uid="{00000000-0005-0000-0000-000030510000}"/>
    <cellStyle name="Normal 244 2 3" xfId="21041" xr:uid="{00000000-0005-0000-0000-000031510000}"/>
    <cellStyle name="Normal 244 2 3 2" xfId="21042" xr:uid="{00000000-0005-0000-0000-000032510000}"/>
    <cellStyle name="Normal 244 2 3 2 2" xfId="21043" xr:uid="{00000000-0005-0000-0000-000033510000}"/>
    <cellStyle name="Normal 244 2 3 2 2 2" xfId="21044" xr:uid="{00000000-0005-0000-0000-000034510000}"/>
    <cellStyle name="Normal 244 2 3 2 3" xfId="21045" xr:uid="{00000000-0005-0000-0000-000035510000}"/>
    <cellStyle name="Normal 244 2 3 2 3 2" xfId="21046" xr:uid="{00000000-0005-0000-0000-000036510000}"/>
    <cellStyle name="Normal 244 2 3 2 3 2 2" xfId="21047" xr:uid="{00000000-0005-0000-0000-000037510000}"/>
    <cellStyle name="Normal 244 2 3 2 3 3" xfId="21048" xr:uid="{00000000-0005-0000-0000-000038510000}"/>
    <cellStyle name="Normal 244 2 3 2 4" xfId="21049" xr:uid="{00000000-0005-0000-0000-000039510000}"/>
    <cellStyle name="Normal 244 2 3 3" xfId="21050" xr:uid="{00000000-0005-0000-0000-00003A510000}"/>
    <cellStyle name="Normal 244 2 3 3 2" xfId="21051" xr:uid="{00000000-0005-0000-0000-00003B510000}"/>
    <cellStyle name="Normal 244 2 3 3 2 2" xfId="21052" xr:uid="{00000000-0005-0000-0000-00003C510000}"/>
    <cellStyle name="Normal 244 2 3 3 3" xfId="21053" xr:uid="{00000000-0005-0000-0000-00003D510000}"/>
    <cellStyle name="Normal 244 2 3 4" xfId="21054" xr:uid="{00000000-0005-0000-0000-00003E510000}"/>
    <cellStyle name="Normal 244 2 3 4 2" xfId="21055" xr:uid="{00000000-0005-0000-0000-00003F510000}"/>
    <cellStyle name="Normal 244 2 3 4 2 2" xfId="21056" xr:uid="{00000000-0005-0000-0000-000040510000}"/>
    <cellStyle name="Normal 244 2 3 4 3" xfId="21057" xr:uid="{00000000-0005-0000-0000-000041510000}"/>
    <cellStyle name="Normal 244 2 3 5" xfId="21058" xr:uid="{00000000-0005-0000-0000-000042510000}"/>
    <cellStyle name="Normal 244 2 3 5 2" xfId="21059" xr:uid="{00000000-0005-0000-0000-000043510000}"/>
    <cellStyle name="Normal 244 2 3 5 2 2" xfId="21060" xr:uid="{00000000-0005-0000-0000-000044510000}"/>
    <cellStyle name="Normal 244 2 3 5 3" xfId="21061" xr:uid="{00000000-0005-0000-0000-000045510000}"/>
    <cellStyle name="Normal 244 2 3 6" xfId="21062" xr:uid="{00000000-0005-0000-0000-000046510000}"/>
    <cellStyle name="Normal 244 2 4" xfId="21063" xr:uid="{00000000-0005-0000-0000-000047510000}"/>
    <cellStyle name="Normal 244 2 4 2" xfId="21064" xr:uid="{00000000-0005-0000-0000-000048510000}"/>
    <cellStyle name="Normal 244 2 4 2 2" xfId="21065" xr:uid="{00000000-0005-0000-0000-000049510000}"/>
    <cellStyle name="Normal 244 2 4 3" xfId="21066" xr:uid="{00000000-0005-0000-0000-00004A510000}"/>
    <cellStyle name="Normal 244 2 5" xfId="21067" xr:uid="{00000000-0005-0000-0000-00004B510000}"/>
    <cellStyle name="Normal 244 2 5 2" xfId="21068" xr:uid="{00000000-0005-0000-0000-00004C510000}"/>
    <cellStyle name="Normal 244 2 5 2 2" xfId="21069" xr:uid="{00000000-0005-0000-0000-00004D510000}"/>
    <cellStyle name="Normal 244 2 5 3" xfId="21070" xr:uid="{00000000-0005-0000-0000-00004E510000}"/>
    <cellStyle name="Normal 244 2 6" xfId="21071" xr:uid="{00000000-0005-0000-0000-00004F510000}"/>
    <cellStyle name="Normal 244 2 6 2" xfId="21072" xr:uid="{00000000-0005-0000-0000-000050510000}"/>
    <cellStyle name="Normal 244 2 6 2 2" xfId="21073" xr:uid="{00000000-0005-0000-0000-000051510000}"/>
    <cellStyle name="Normal 244 2 6 3" xfId="21074" xr:uid="{00000000-0005-0000-0000-000052510000}"/>
    <cellStyle name="Normal 244 2 7" xfId="21075" xr:uid="{00000000-0005-0000-0000-000053510000}"/>
    <cellStyle name="Normal 244 3" xfId="21076" xr:uid="{00000000-0005-0000-0000-000054510000}"/>
    <cellStyle name="Normal 244 3 2" xfId="21077" xr:uid="{00000000-0005-0000-0000-000055510000}"/>
    <cellStyle name="Normal 244 3 2 2" xfId="21078" xr:uid="{00000000-0005-0000-0000-000056510000}"/>
    <cellStyle name="Normal 244 3 3" xfId="21079" xr:uid="{00000000-0005-0000-0000-000057510000}"/>
    <cellStyle name="Normal 244 3 3 2" xfId="21080" xr:uid="{00000000-0005-0000-0000-000058510000}"/>
    <cellStyle name="Normal 244 3 3 2 2" xfId="21081" xr:uid="{00000000-0005-0000-0000-000059510000}"/>
    <cellStyle name="Normal 244 3 3 3" xfId="21082" xr:uid="{00000000-0005-0000-0000-00005A510000}"/>
    <cellStyle name="Normal 244 3 4" xfId="21083" xr:uid="{00000000-0005-0000-0000-00005B510000}"/>
    <cellStyle name="Normal 244 3 4 2" xfId="21084" xr:uid="{00000000-0005-0000-0000-00005C510000}"/>
    <cellStyle name="Normal 244 3 4 2 2" xfId="21085" xr:uid="{00000000-0005-0000-0000-00005D510000}"/>
    <cellStyle name="Normal 244 3 4 3" xfId="21086" xr:uid="{00000000-0005-0000-0000-00005E510000}"/>
    <cellStyle name="Normal 244 3 5" xfId="21087" xr:uid="{00000000-0005-0000-0000-00005F510000}"/>
    <cellStyle name="Normal 244 4" xfId="21088" xr:uid="{00000000-0005-0000-0000-000060510000}"/>
    <cellStyle name="Normal 244 4 2" xfId="21089" xr:uid="{00000000-0005-0000-0000-000061510000}"/>
    <cellStyle name="Normal 244 4 2 2" xfId="21090" xr:uid="{00000000-0005-0000-0000-000062510000}"/>
    <cellStyle name="Normal 244 4 2 2 2" xfId="21091" xr:uid="{00000000-0005-0000-0000-000063510000}"/>
    <cellStyle name="Normal 244 4 2 3" xfId="21092" xr:uid="{00000000-0005-0000-0000-000064510000}"/>
    <cellStyle name="Normal 244 4 2 3 2" xfId="21093" xr:uid="{00000000-0005-0000-0000-000065510000}"/>
    <cellStyle name="Normal 244 4 2 3 2 2" xfId="21094" xr:uid="{00000000-0005-0000-0000-000066510000}"/>
    <cellStyle name="Normal 244 4 2 3 3" xfId="21095" xr:uid="{00000000-0005-0000-0000-000067510000}"/>
    <cellStyle name="Normal 244 4 2 4" xfId="21096" xr:uid="{00000000-0005-0000-0000-000068510000}"/>
    <cellStyle name="Normal 244 4 3" xfId="21097" xr:uid="{00000000-0005-0000-0000-000069510000}"/>
    <cellStyle name="Normal 244 4 3 2" xfId="21098" xr:uid="{00000000-0005-0000-0000-00006A510000}"/>
    <cellStyle name="Normal 244 4 3 2 2" xfId="21099" xr:uid="{00000000-0005-0000-0000-00006B510000}"/>
    <cellStyle name="Normal 244 4 3 3" xfId="21100" xr:uid="{00000000-0005-0000-0000-00006C510000}"/>
    <cellStyle name="Normal 244 4 4" xfId="21101" xr:uid="{00000000-0005-0000-0000-00006D510000}"/>
    <cellStyle name="Normal 244 4 4 2" xfId="21102" xr:uid="{00000000-0005-0000-0000-00006E510000}"/>
    <cellStyle name="Normal 244 4 4 2 2" xfId="21103" xr:uid="{00000000-0005-0000-0000-00006F510000}"/>
    <cellStyle name="Normal 244 4 4 3" xfId="21104" xr:uid="{00000000-0005-0000-0000-000070510000}"/>
    <cellStyle name="Normal 244 4 5" xfId="21105" xr:uid="{00000000-0005-0000-0000-000071510000}"/>
    <cellStyle name="Normal 244 4 5 2" xfId="21106" xr:uid="{00000000-0005-0000-0000-000072510000}"/>
    <cellStyle name="Normal 244 4 5 2 2" xfId="21107" xr:uid="{00000000-0005-0000-0000-000073510000}"/>
    <cellStyle name="Normal 244 4 5 3" xfId="21108" xr:uid="{00000000-0005-0000-0000-000074510000}"/>
    <cellStyle name="Normal 244 4 6" xfId="21109" xr:uid="{00000000-0005-0000-0000-000075510000}"/>
    <cellStyle name="Normal 244 5" xfId="21110" xr:uid="{00000000-0005-0000-0000-000076510000}"/>
    <cellStyle name="Normal 244 5 2" xfId="21111" xr:uid="{00000000-0005-0000-0000-000077510000}"/>
    <cellStyle name="Normal 244 5 2 2" xfId="21112" xr:uid="{00000000-0005-0000-0000-000078510000}"/>
    <cellStyle name="Normal 244 5 3" xfId="21113" xr:uid="{00000000-0005-0000-0000-000079510000}"/>
    <cellStyle name="Normal 244 6" xfId="21114" xr:uid="{00000000-0005-0000-0000-00007A510000}"/>
    <cellStyle name="Normal 244 6 2" xfId="21115" xr:uid="{00000000-0005-0000-0000-00007B510000}"/>
    <cellStyle name="Normal 244 6 2 2" xfId="21116" xr:uid="{00000000-0005-0000-0000-00007C510000}"/>
    <cellStyle name="Normal 244 6 3" xfId="21117" xr:uid="{00000000-0005-0000-0000-00007D510000}"/>
    <cellStyle name="Normal 244 7" xfId="21118" xr:uid="{00000000-0005-0000-0000-00007E510000}"/>
    <cellStyle name="Normal 244 7 2" xfId="21119" xr:uid="{00000000-0005-0000-0000-00007F510000}"/>
    <cellStyle name="Normal 244 7 2 2" xfId="21120" xr:uid="{00000000-0005-0000-0000-000080510000}"/>
    <cellStyle name="Normal 244 7 3" xfId="21121" xr:uid="{00000000-0005-0000-0000-000081510000}"/>
    <cellStyle name="Normal 244 8" xfId="21122" xr:uid="{00000000-0005-0000-0000-000082510000}"/>
    <cellStyle name="Normal 245" xfId="21123" xr:uid="{00000000-0005-0000-0000-000083510000}"/>
    <cellStyle name="Normal 245 2" xfId="21124" xr:uid="{00000000-0005-0000-0000-000084510000}"/>
    <cellStyle name="Normal 245 2 2" xfId="21125" xr:uid="{00000000-0005-0000-0000-000085510000}"/>
    <cellStyle name="Normal 245 2 2 2" xfId="21126" xr:uid="{00000000-0005-0000-0000-000086510000}"/>
    <cellStyle name="Normal 245 2 2 2 2" xfId="21127" xr:uid="{00000000-0005-0000-0000-000087510000}"/>
    <cellStyle name="Normal 245 2 2 3" xfId="21128" xr:uid="{00000000-0005-0000-0000-000088510000}"/>
    <cellStyle name="Normal 245 2 2 3 2" xfId="21129" xr:uid="{00000000-0005-0000-0000-000089510000}"/>
    <cellStyle name="Normal 245 2 2 3 2 2" xfId="21130" xr:uid="{00000000-0005-0000-0000-00008A510000}"/>
    <cellStyle name="Normal 245 2 2 3 3" xfId="21131" xr:uid="{00000000-0005-0000-0000-00008B510000}"/>
    <cellStyle name="Normal 245 2 2 4" xfId="21132" xr:uid="{00000000-0005-0000-0000-00008C510000}"/>
    <cellStyle name="Normal 245 2 2 4 2" xfId="21133" xr:uid="{00000000-0005-0000-0000-00008D510000}"/>
    <cellStyle name="Normal 245 2 2 4 2 2" xfId="21134" xr:uid="{00000000-0005-0000-0000-00008E510000}"/>
    <cellStyle name="Normal 245 2 2 4 3" xfId="21135" xr:uid="{00000000-0005-0000-0000-00008F510000}"/>
    <cellStyle name="Normal 245 2 2 5" xfId="21136" xr:uid="{00000000-0005-0000-0000-000090510000}"/>
    <cellStyle name="Normal 245 2 3" xfId="21137" xr:uid="{00000000-0005-0000-0000-000091510000}"/>
    <cellStyle name="Normal 245 2 3 2" xfId="21138" xr:uid="{00000000-0005-0000-0000-000092510000}"/>
    <cellStyle name="Normal 245 2 3 2 2" xfId="21139" xr:uid="{00000000-0005-0000-0000-000093510000}"/>
    <cellStyle name="Normal 245 2 3 2 2 2" xfId="21140" xr:uid="{00000000-0005-0000-0000-000094510000}"/>
    <cellStyle name="Normal 245 2 3 2 3" xfId="21141" xr:uid="{00000000-0005-0000-0000-000095510000}"/>
    <cellStyle name="Normal 245 2 3 2 3 2" xfId="21142" xr:uid="{00000000-0005-0000-0000-000096510000}"/>
    <cellStyle name="Normal 245 2 3 2 3 2 2" xfId="21143" xr:uid="{00000000-0005-0000-0000-000097510000}"/>
    <cellStyle name="Normal 245 2 3 2 3 3" xfId="21144" xr:uid="{00000000-0005-0000-0000-000098510000}"/>
    <cellStyle name="Normal 245 2 3 2 4" xfId="21145" xr:uid="{00000000-0005-0000-0000-000099510000}"/>
    <cellStyle name="Normal 245 2 3 3" xfId="21146" xr:uid="{00000000-0005-0000-0000-00009A510000}"/>
    <cellStyle name="Normal 245 2 3 3 2" xfId="21147" xr:uid="{00000000-0005-0000-0000-00009B510000}"/>
    <cellStyle name="Normal 245 2 3 3 2 2" xfId="21148" xr:uid="{00000000-0005-0000-0000-00009C510000}"/>
    <cellStyle name="Normal 245 2 3 3 3" xfId="21149" xr:uid="{00000000-0005-0000-0000-00009D510000}"/>
    <cellStyle name="Normal 245 2 3 4" xfId="21150" xr:uid="{00000000-0005-0000-0000-00009E510000}"/>
    <cellStyle name="Normal 245 2 3 4 2" xfId="21151" xr:uid="{00000000-0005-0000-0000-00009F510000}"/>
    <cellStyle name="Normal 245 2 3 4 2 2" xfId="21152" xr:uid="{00000000-0005-0000-0000-0000A0510000}"/>
    <cellStyle name="Normal 245 2 3 4 3" xfId="21153" xr:uid="{00000000-0005-0000-0000-0000A1510000}"/>
    <cellStyle name="Normal 245 2 3 5" xfId="21154" xr:uid="{00000000-0005-0000-0000-0000A2510000}"/>
    <cellStyle name="Normal 245 2 3 5 2" xfId="21155" xr:uid="{00000000-0005-0000-0000-0000A3510000}"/>
    <cellStyle name="Normal 245 2 3 5 2 2" xfId="21156" xr:uid="{00000000-0005-0000-0000-0000A4510000}"/>
    <cellStyle name="Normal 245 2 3 5 3" xfId="21157" xr:uid="{00000000-0005-0000-0000-0000A5510000}"/>
    <cellStyle name="Normal 245 2 3 6" xfId="21158" xr:uid="{00000000-0005-0000-0000-0000A6510000}"/>
    <cellStyle name="Normal 245 2 4" xfId="21159" xr:uid="{00000000-0005-0000-0000-0000A7510000}"/>
    <cellStyle name="Normal 245 2 4 2" xfId="21160" xr:uid="{00000000-0005-0000-0000-0000A8510000}"/>
    <cellStyle name="Normal 245 2 4 2 2" xfId="21161" xr:uid="{00000000-0005-0000-0000-0000A9510000}"/>
    <cellStyle name="Normal 245 2 4 3" xfId="21162" xr:uid="{00000000-0005-0000-0000-0000AA510000}"/>
    <cellStyle name="Normal 245 2 5" xfId="21163" xr:uid="{00000000-0005-0000-0000-0000AB510000}"/>
    <cellStyle name="Normal 245 2 5 2" xfId="21164" xr:uid="{00000000-0005-0000-0000-0000AC510000}"/>
    <cellStyle name="Normal 245 2 5 2 2" xfId="21165" xr:uid="{00000000-0005-0000-0000-0000AD510000}"/>
    <cellStyle name="Normal 245 2 5 3" xfId="21166" xr:uid="{00000000-0005-0000-0000-0000AE510000}"/>
    <cellStyle name="Normal 245 2 6" xfId="21167" xr:uid="{00000000-0005-0000-0000-0000AF510000}"/>
    <cellStyle name="Normal 245 2 6 2" xfId="21168" xr:uid="{00000000-0005-0000-0000-0000B0510000}"/>
    <cellStyle name="Normal 245 2 6 2 2" xfId="21169" xr:uid="{00000000-0005-0000-0000-0000B1510000}"/>
    <cellStyle name="Normal 245 2 6 3" xfId="21170" xr:uid="{00000000-0005-0000-0000-0000B2510000}"/>
    <cellStyle name="Normal 245 2 7" xfId="21171" xr:uid="{00000000-0005-0000-0000-0000B3510000}"/>
    <cellStyle name="Normal 245 3" xfId="21172" xr:uid="{00000000-0005-0000-0000-0000B4510000}"/>
    <cellStyle name="Normal 245 3 2" xfId="21173" xr:uid="{00000000-0005-0000-0000-0000B5510000}"/>
    <cellStyle name="Normal 245 3 2 2" xfId="21174" xr:uid="{00000000-0005-0000-0000-0000B6510000}"/>
    <cellStyle name="Normal 245 3 3" xfId="21175" xr:uid="{00000000-0005-0000-0000-0000B7510000}"/>
    <cellStyle name="Normal 245 3 3 2" xfId="21176" xr:uid="{00000000-0005-0000-0000-0000B8510000}"/>
    <cellStyle name="Normal 245 3 3 2 2" xfId="21177" xr:uid="{00000000-0005-0000-0000-0000B9510000}"/>
    <cellStyle name="Normal 245 3 3 3" xfId="21178" xr:uid="{00000000-0005-0000-0000-0000BA510000}"/>
    <cellStyle name="Normal 245 3 4" xfId="21179" xr:uid="{00000000-0005-0000-0000-0000BB510000}"/>
    <cellStyle name="Normal 245 3 4 2" xfId="21180" xr:uid="{00000000-0005-0000-0000-0000BC510000}"/>
    <cellStyle name="Normal 245 3 4 2 2" xfId="21181" xr:uid="{00000000-0005-0000-0000-0000BD510000}"/>
    <cellStyle name="Normal 245 3 4 3" xfId="21182" xr:uid="{00000000-0005-0000-0000-0000BE510000}"/>
    <cellStyle name="Normal 245 3 5" xfId="21183" xr:uid="{00000000-0005-0000-0000-0000BF510000}"/>
    <cellStyle name="Normal 245 4" xfId="21184" xr:uid="{00000000-0005-0000-0000-0000C0510000}"/>
    <cellStyle name="Normal 245 4 2" xfId="21185" xr:uid="{00000000-0005-0000-0000-0000C1510000}"/>
    <cellStyle name="Normal 245 4 2 2" xfId="21186" xr:uid="{00000000-0005-0000-0000-0000C2510000}"/>
    <cellStyle name="Normal 245 4 2 2 2" xfId="21187" xr:uid="{00000000-0005-0000-0000-0000C3510000}"/>
    <cellStyle name="Normal 245 4 2 3" xfId="21188" xr:uid="{00000000-0005-0000-0000-0000C4510000}"/>
    <cellStyle name="Normal 245 4 2 3 2" xfId="21189" xr:uid="{00000000-0005-0000-0000-0000C5510000}"/>
    <cellStyle name="Normal 245 4 2 3 2 2" xfId="21190" xr:uid="{00000000-0005-0000-0000-0000C6510000}"/>
    <cellStyle name="Normal 245 4 2 3 3" xfId="21191" xr:uid="{00000000-0005-0000-0000-0000C7510000}"/>
    <cellStyle name="Normal 245 4 2 4" xfId="21192" xr:uid="{00000000-0005-0000-0000-0000C8510000}"/>
    <cellStyle name="Normal 245 4 3" xfId="21193" xr:uid="{00000000-0005-0000-0000-0000C9510000}"/>
    <cellStyle name="Normal 245 4 3 2" xfId="21194" xr:uid="{00000000-0005-0000-0000-0000CA510000}"/>
    <cellStyle name="Normal 245 4 3 2 2" xfId="21195" xr:uid="{00000000-0005-0000-0000-0000CB510000}"/>
    <cellStyle name="Normal 245 4 3 3" xfId="21196" xr:uid="{00000000-0005-0000-0000-0000CC510000}"/>
    <cellStyle name="Normal 245 4 4" xfId="21197" xr:uid="{00000000-0005-0000-0000-0000CD510000}"/>
    <cellStyle name="Normal 245 4 4 2" xfId="21198" xr:uid="{00000000-0005-0000-0000-0000CE510000}"/>
    <cellStyle name="Normal 245 4 4 2 2" xfId="21199" xr:uid="{00000000-0005-0000-0000-0000CF510000}"/>
    <cellStyle name="Normal 245 4 4 3" xfId="21200" xr:uid="{00000000-0005-0000-0000-0000D0510000}"/>
    <cellStyle name="Normal 245 4 5" xfId="21201" xr:uid="{00000000-0005-0000-0000-0000D1510000}"/>
    <cellStyle name="Normal 245 4 5 2" xfId="21202" xr:uid="{00000000-0005-0000-0000-0000D2510000}"/>
    <cellStyle name="Normal 245 4 5 2 2" xfId="21203" xr:uid="{00000000-0005-0000-0000-0000D3510000}"/>
    <cellStyle name="Normal 245 4 5 3" xfId="21204" xr:uid="{00000000-0005-0000-0000-0000D4510000}"/>
    <cellStyle name="Normal 245 4 6" xfId="21205" xr:uid="{00000000-0005-0000-0000-0000D5510000}"/>
    <cellStyle name="Normal 245 5" xfId="21206" xr:uid="{00000000-0005-0000-0000-0000D6510000}"/>
    <cellStyle name="Normal 245 5 2" xfId="21207" xr:uid="{00000000-0005-0000-0000-0000D7510000}"/>
    <cellStyle name="Normal 245 5 2 2" xfId="21208" xr:uid="{00000000-0005-0000-0000-0000D8510000}"/>
    <cellStyle name="Normal 245 5 3" xfId="21209" xr:uid="{00000000-0005-0000-0000-0000D9510000}"/>
    <cellStyle name="Normal 245 6" xfId="21210" xr:uid="{00000000-0005-0000-0000-0000DA510000}"/>
    <cellStyle name="Normal 245 6 2" xfId="21211" xr:uid="{00000000-0005-0000-0000-0000DB510000}"/>
    <cellStyle name="Normal 245 6 2 2" xfId="21212" xr:uid="{00000000-0005-0000-0000-0000DC510000}"/>
    <cellStyle name="Normal 245 6 3" xfId="21213" xr:uid="{00000000-0005-0000-0000-0000DD510000}"/>
    <cellStyle name="Normal 245 7" xfId="21214" xr:uid="{00000000-0005-0000-0000-0000DE510000}"/>
    <cellStyle name="Normal 245 7 2" xfId="21215" xr:uid="{00000000-0005-0000-0000-0000DF510000}"/>
    <cellStyle name="Normal 245 7 2 2" xfId="21216" xr:uid="{00000000-0005-0000-0000-0000E0510000}"/>
    <cellStyle name="Normal 245 7 3" xfId="21217" xr:uid="{00000000-0005-0000-0000-0000E1510000}"/>
    <cellStyle name="Normal 245 8" xfId="21218" xr:uid="{00000000-0005-0000-0000-0000E2510000}"/>
    <cellStyle name="Normal 246" xfId="21219" xr:uid="{00000000-0005-0000-0000-0000E3510000}"/>
    <cellStyle name="Normal 246 2" xfId="21220" xr:uid="{00000000-0005-0000-0000-0000E4510000}"/>
    <cellStyle name="Normal 246 2 2" xfId="21221" xr:uid="{00000000-0005-0000-0000-0000E5510000}"/>
    <cellStyle name="Normal 246 2 2 2" xfId="21222" xr:uid="{00000000-0005-0000-0000-0000E6510000}"/>
    <cellStyle name="Normal 246 2 2 2 2" xfId="21223" xr:uid="{00000000-0005-0000-0000-0000E7510000}"/>
    <cellStyle name="Normal 246 2 2 3" xfId="21224" xr:uid="{00000000-0005-0000-0000-0000E8510000}"/>
    <cellStyle name="Normal 246 2 2 3 2" xfId="21225" xr:uid="{00000000-0005-0000-0000-0000E9510000}"/>
    <cellStyle name="Normal 246 2 2 3 2 2" xfId="21226" xr:uid="{00000000-0005-0000-0000-0000EA510000}"/>
    <cellStyle name="Normal 246 2 2 3 3" xfId="21227" xr:uid="{00000000-0005-0000-0000-0000EB510000}"/>
    <cellStyle name="Normal 246 2 2 4" xfId="21228" xr:uid="{00000000-0005-0000-0000-0000EC510000}"/>
    <cellStyle name="Normal 246 2 2 4 2" xfId="21229" xr:uid="{00000000-0005-0000-0000-0000ED510000}"/>
    <cellStyle name="Normal 246 2 2 4 2 2" xfId="21230" xr:uid="{00000000-0005-0000-0000-0000EE510000}"/>
    <cellStyle name="Normal 246 2 2 4 3" xfId="21231" xr:uid="{00000000-0005-0000-0000-0000EF510000}"/>
    <cellStyle name="Normal 246 2 2 5" xfId="21232" xr:uid="{00000000-0005-0000-0000-0000F0510000}"/>
    <cellStyle name="Normal 246 2 3" xfId="21233" xr:uid="{00000000-0005-0000-0000-0000F1510000}"/>
    <cellStyle name="Normal 246 2 3 2" xfId="21234" xr:uid="{00000000-0005-0000-0000-0000F2510000}"/>
    <cellStyle name="Normal 246 2 3 2 2" xfId="21235" xr:uid="{00000000-0005-0000-0000-0000F3510000}"/>
    <cellStyle name="Normal 246 2 3 2 2 2" xfId="21236" xr:uid="{00000000-0005-0000-0000-0000F4510000}"/>
    <cellStyle name="Normal 246 2 3 2 3" xfId="21237" xr:uid="{00000000-0005-0000-0000-0000F5510000}"/>
    <cellStyle name="Normal 246 2 3 2 3 2" xfId="21238" xr:uid="{00000000-0005-0000-0000-0000F6510000}"/>
    <cellStyle name="Normal 246 2 3 2 3 2 2" xfId="21239" xr:uid="{00000000-0005-0000-0000-0000F7510000}"/>
    <cellStyle name="Normal 246 2 3 2 3 3" xfId="21240" xr:uid="{00000000-0005-0000-0000-0000F8510000}"/>
    <cellStyle name="Normal 246 2 3 2 4" xfId="21241" xr:uid="{00000000-0005-0000-0000-0000F9510000}"/>
    <cellStyle name="Normal 246 2 3 3" xfId="21242" xr:uid="{00000000-0005-0000-0000-0000FA510000}"/>
    <cellStyle name="Normal 246 2 3 3 2" xfId="21243" xr:uid="{00000000-0005-0000-0000-0000FB510000}"/>
    <cellStyle name="Normal 246 2 3 3 2 2" xfId="21244" xr:uid="{00000000-0005-0000-0000-0000FC510000}"/>
    <cellStyle name="Normal 246 2 3 3 3" xfId="21245" xr:uid="{00000000-0005-0000-0000-0000FD510000}"/>
    <cellStyle name="Normal 246 2 3 4" xfId="21246" xr:uid="{00000000-0005-0000-0000-0000FE510000}"/>
    <cellStyle name="Normal 246 2 3 4 2" xfId="21247" xr:uid="{00000000-0005-0000-0000-0000FF510000}"/>
    <cellStyle name="Normal 246 2 3 4 2 2" xfId="21248" xr:uid="{00000000-0005-0000-0000-000000520000}"/>
    <cellStyle name="Normal 246 2 3 4 3" xfId="21249" xr:uid="{00000000-0005-0000-0000-000001520000}"/>
    <cellStyle name="Normal 246 2 3 5" xfId="21250" xr:uid="{00000000-0005-0000-0000-000002520000}"/>
    <cellStyle name="Normal 246 2 3 5 2" xfId="21251" xr:uid="{00000000-0005-0000-0000-000003520000}"/>
    <cellStyle name="Normal 246 2 3 5 2 2" xfId="21252" xr:uid="{00000000-0005-0000-0000-000004520000}"/>
    <cellStyle name="Normal 246 2 3 5 3" xfId="21253" xr:uid="{00000000-0005-0000-0000-000005520000}"/>
    <cellStyle name="Normal 246 2 3 6" xfId="21254" xr:uid="{00000000-0005-0000-0000-000006520000}"/>
    <cellStyle name="Normal 246 2 4" xfId="21255" xr:uid="{00000000-0005-0000-0000-000007520000}"/>
    <cellStyle name="Normal 246 2 4 2" xfId="21256" xr:uid="{00000000-0005-0000-0000-000008520000}"/>
    <cellStyle name="Normal 246 2 4 2 2" xfId="21257" xr:uid="{00000000-0005-0000-0000-000009520000}"/>
    <cellStyle name="Normal 246 2 4 3" xfId="21258" xr:uid="{00000000-0005-0000-0000-00000A520000}"/>
    <cellStyle name="Normal 246 2 5" xfId="21259" xr:uid="{00000000-0005-0000-0000-00000B520000}"/>
    <cellStyle name="Normal 246 2 5 2" xfId="21260" xr:uid="{00000000-0005-0000-0000-00000C520000}"/>
    <cellStyle name="Normal 246 2 5 2 2" xfId="21261" xr:uid="{00000000-0005-0000-0000-00000D520000}"/>
    <cellStyle name="Normal 246 2 5 3" xfId="21262" xr:uid="{00000000-0005-0000-0000-00000E520000}"/>
    <cellStyle name="Normal 246 2 6" xfId="21263" xr:uid="{00000000-0005-0000-0000-00000F520000}"/>
    <cellStyle name="Normal 246 2 6 2" xfId="21264" xr:uid="{00000000-0005-0000-0000-000010520000}"/>
    <cellStyle name="Normal 246 2 6 2 2" xfId="21265" xr:uid="{00000000-0005-0000-0000-000011520000}"/>
    <cellStyle name="Normal 246 2 6 3" xfId="21266" xr:uid="{00000000-0005-0000-0000-000012520000}"/>
    <cellStyle name="Normal 246 2 7" xfId="21267" xr:uid="{00000000-0005-0000-0000-000013520000}"/>
    <cellStyle name="Normal 246 3" xfId="21268" xr:uid="{00000000-0005-0000-0000-000014520000}"/>
    <cellStyle name="Normal 246 3 2" xfId="21269" xr:uid="{00000000-0005-0000-0000-000015520000}"/>
    <cellStyle name="Normal 246 3 2 2" xfId="21270" xr:uid="{00000000-0005-0000-0000-000016520000}"/>
    <cellStyle name="Normal 246 3 3" xfId="21271" xr:uid="{00000000-0005-0000-0000-000017520000}"/>
    <cellStyle name="Normal 246 3 3 2" xfId="21272" xr:uid="{00000000-0005-0000-0000-000018520000}"/>
    <cellStyle name="Normal 246 3 3 2 2" xfId="21273" xr:uid="{00000000-0005-0000-0000-000019520000}"/>
    <cellStyle name="Normal 246 3 3 3" xfId="21274" xr:uid="{00000000-0005-0000-0000-00001A520000}"/>
    <cellStyle name="Normal 246 3 4" xfId="21275" xr:uid="{00000000-0005-0000-0000-00001B520000}"/>
    <cellStyle name="Normal 246 3 4 2" xfId="21276" xr:uid="{00000000-0005-0000-0000-00001C520000}"/>
    <cellStyle name="Normal 246 3 4 2 2" xfId="21277" xr:uid="{00000000-0005-0000-0000-00001D520000}"/>
    <cellStyle name="Normal 246 3 4 3" xfId="21278" xr:uid="{00000000-0005-0000-0000-00001E520000}"/>
    <cellStyle name="Normal 246 3 5" xfId="21279" xr:uid="{00000000-0005-0000-0000-00001F520000}"/>
    <cellStyle name="Normal 246 4" xfId="21280" xr:uid="{00000000-0005-0000-0000-000020520000}"/>
    <cellStyle name="Normal 246 4 2" xfId="21281" xr:uid="{00000000-0005-0000-0000-000021520000}"/>
    <cellStyle name="Normal 246 4 2 2" xfId="21282" xr:uid="{00000000-0005-0000-0000-000022520000}"/>
    <cellStyle name="Normal 246 4 2 2 2" xfId="21283" xr:uid="{00000000-0005-0000-0000-000023520000}"/>
    <cellStyle name="Normal 246 4 2 3" xfId="21284" xr:uid="{00000000-0005-0000-0000-000024520000}"/>
    <cellStyle name="Normal 246 4 2 3 2" xfId="21285" xr:uid="{00000000-0005-0000-0000-000025520000}"/>
    <cellStyle name="Normal 246 4 2 3 2 2" xfId="21286" xr:uid="{00000000-0005-0000-0000-000026520000}"/>
    <cellStyle name="Normal 246 4 2 3 3" xfId="21287" xr:uid="{00000000-0005-0000-0000-000027520000}"/>
    <cellStyle name="Normal 246 4 2 4" xfId="21288" xr:uid="{00000000-0005-0000-0000-000028520000}"/>
    <cellStyle name="Normal 246 4 3" xfId="21289" xr:uid="{00000000-0005-0000-0000-000029520000}"/>
    <cellStyle name="Normal 246 4 3 2" xfId="21290" xr:uid="{00000000-0005-0000-0000-00002A520000}"/>
    <cellStyle name="Normal 246 4 3 2 2" xfId="21291" xr:uid="{00000000-0005-0000-0000-00002B520000}"/>
    <cellStyle name="Normal 246 4 3 3" xfId="21292" xr:uid="{00000000-0005-0000-0000-00002C520000}"/>
    <cellStyle name="Normal 246 4 4" xfId="21293" xr:uid="{00000000-0005-0000-0000-00002D520000}"/>
    <cellStyle name="Normal 246 4 4 2" xfId="21294" xr:uid="{00000000-0005-0000-0000-00002E520000}"/>
    <cellStyle name="Normal 246 4 4 2 2" xfId="21295" xr:uid="{00000000-0005-0000-0000-00002F520000}"/>
    <cellStyle name="Normal 246 4 4 3" xfId="21296" xr:uid="{00000000-0005-0000-0000-000030520000}"/>
    <cellStyle name="Normal 246 4 5" xfId="21297" xr:uid="{00000000-0005-0000-0000-000031520000}"/>
    <cellStyle name="Normal 246 4 5 2" xfId="21298" xr:uid="{00000000-0005-0000-0000-000032520000}"/>
    <cellStyle name="Normal 246 4 5 2 2" xfId="21299" xr:uid="{00000000-0005-0000-0000-000033520000}"/>
    <cellStyle name="Normal 246 4 5 3" xfId="21300" xr:uid="{00000000-0005-0000-0000-000034520000}"/>
    <cellStyle name="Normal 246 4 6" xfId="21301" xr:uid="{00000000-0005-0000-0000-000035520000}"/>
    <cellStyle name="Normal 246 5" xfId="21302" xr:uid="{00000000-0005-0000-0000-000036520000}"/>
    <cellStyle name="Normal 246 5 2" xfId="21303" xr:uid="{00000000-0005-0000-0000-000037520000}"/>
    <cellStyle name="Normal 246 5 2 2" xfId="21304" xr:uid="{00000000-0005-0000-0000-000038520000}"/>
    <cellStyle name="Normal 246 5 3" xfId="21305" xr:uid="{00000000-0005-0000-0000-000039520000}"/>
    <cellStyle name="Normal 246 6" xfId="21306" xr:uid="{00000000-0005-0000-0000-00003A520000}"/>
    <cellStyle name="Normal 246 6 2" xfId="21307" xr:uid="{00000000-0005-0000-0000-00003B520000}"/>
    <cellStyle name="Normal 246 6 2 2" xfId="21308" xr:uid="{00000000-0005-0000-0000-00003C520000}"/>
    <cellStyle name="Normal 246 6 3" xfId="21309" xr:uid="{00000000-0005-0000-0000-00003D520000}"/>
    <cellStyle name="Normal 246 7" xfId="21310" xr:uid="{00000000-0005-0000-0000-00003E520000}"/>
    <cellStyle name="Normal 246 7 2" xfId="21311" xr:uid="{00000000-0005-0000-0000-00003F520000}"/>
    <cellStyle name="Normal 246 7 2 2" xfId="21312" xr:uid="{00000000-0005-0000-0000-000040520000}"/>
    <cellStyle name="Normal 246 7 3" xfId="21313" xr:uid="{00000000-0005-0000-0000-000041520000}"/>
    <cellStyle name="Normal 246 8" xfId="21314" xr:uid="{00000000-0005-0000-0000-000042520000}"/>
    <cellStyle name="Normal 247" xfId="21315" xr:uid="{00000000-0005-0000-0000-000043520000}"/>
    <cellStyle name="Normal 247 2" xfId="21316" xr:uid="{00000000-0005-0000-0000-000044520000}"/>
    <cellStyle name="Normal 247 2 2" xfId="21317" xr:uid="{00000000-0005-0000-0000-000045520000}"/>
    <cellStyle name="Normal 247 2 2 2" xfId="21318" xr:uid="{00000000-0005-0000-0000-000046520000}"/>
    <cellStyle name="Normal 247 2 2 2 2" xfId="21319" xr:uid="{00000000-0005-0000-0000-000047520000}"/>
    <cellStyle name="Normal 247 2 2 3" xfId="21320" xr:uid="{00000000-0005-0000-0000-000048520000}"/>
    <cellStyle name="Normal 247 2 2 3 2" xfId="21321" xr:uid="{00000000-0005-0000-0000-000049520000}"/>
    <cellStyle name="Normal 247 2 2 3 2 2" xfId="21322" xr:uid="{00000000-0005-0000-0000-00004A520000}"/>
    <cellStyle name="Normal 247 2 2 3 3" xfId="21323" xr:uid="{00000000-0005-0000-0000-00004B520000}"/>
    <cellStyle name="Normal 247 2 2 4" xfId="21324" xr:uid="{00000000-0005-0000-0000-00004C520000}"/>
    <cellStyle name="Normal 247 2 2 4 2" xfId="21325" xr:uid="{00000000-0005-0000-0000-00004D520000}"/>
    <cellStyle name="Normal 247 2 2 4 2 2" xfId="21326" xr:uid="{00000000-0005-0000-0000-00004E520000}"/>
    <cellStyle name="Normal 247 2 2 4 3" xfId="21327" xr:uid="{00000000-0005-0000-0000-00004F520000}"/>
    <cellStyle name="Normal 247 2 2 5" xfId="21328" xr:uid="{00000000-0005-0000-0000-000050520000}"/>
    <cellStyle name="Normal 247 2 3" xfId="21329" xr:uid="{00000000-0005-0000-0000-000051520000}"/>
    <cellStyle name="Normal 247 2 3 2" xfId="21330" xr:uid="{00000000-0005-0000-0000-000052520000}"/>
    <cellStyle name="Normal 247 2 3 2 2" xfId="21331" xr:uid="{00000000-0005-0000-0000-000053520000}"/>
    <cellStyle name="Normal 247 2 3 2 2 2" xfId="21332" xr:uid="{00000000-0005-0000-0000-000054520000}"/>
    <cellStyle name="Normal 247 2 3 2 3" xfId="21333" xr:uid="{00000000-0005-0000-0000-000055520000}"/>
    <cellStyle name="Normal 247 2 3 2 3 2" xfId="21334" xr:uid="{00000000-0005-0000-0000-000056520000}"/>
    <cellStyle name="Normal 247 2 3 2 3 2 2" xfId="21335" xr:uid="{00000000-0005-0000-0000-000057520000}"/>
    <cellStyle name="Normal 247 2 3 2 3 3" xfId="21336" xr:uid="{00000000-0005-0000-0000-000058520000}"/>
    <cellStyle name="Normal 247 2 3 2 4" xfId="21337" xr:uid="{00000000-0005-0000-0000-000059520000}"/>
    <cellStyle name="Normal 247 2 3 3" xfId="21338" xr:uid="{00000000-0005-0000-0000-00005A520000}"/>
    <cellStyle name="Normal 247 2 3 3 2" xfId="21339" xr:uid="{00000000-0005-0000-0000-00005B520000}"/>
    <cellStyle name="Normal 247 2 3 3 2 2" xfId="21340" xr:uid="{00000000-0005-0000-0000-00005C520000}"/>
    <cellStyle name="Normal 247 2 3 3 3" xfId="21341" xr:uid="{00000000-0005-0000-0000-00005D520000}"/>
    <cellStyle name="Normal 247 2 3 4" xfId="21342" xr:uid="{00000000-0005-0000-0000-00005E520000}"/>
    <cellStyle name="Normal 247 2 3 4 2" xfId="21343" xr:uid="{00000000-0005-0000-0000-00005F520000}"/>
    <cellStyle name="Normal 247 2 3 4 2 2" xfId="21344" xr:uid="{00000000-0005-0000-0000-000060520000}"/>
    <cellStyle name="Normal 247 2 3 4 3" xfId="21345" xr:uid="{00000000-0005-0000-0000-000061520000}"/>
    <cellStyle name="Normal 247 2 3 5" xfId="21346" xr:uid="{00000000-0005-0000-0000-000062520000}"/>
    <cellStyle name="Normal 247 2 3 5 2" xfId="21347" xr:uid="{00000000-0005-0000-0000-000063520000}"/>
    <cellStyle name="Normal 247 2 3 5 2 2" xfId="21348" xr:uid="{00000000-0005-0000-0000-000064520000}"/>
    <cellStyle name="Normal 247 2 3 5 3" xfId="21349" xr:uid="{00000000-0005-0000-0000-000065520000}"/>
    <cellStyle name="Normal 247 2 3 6" xfId="21350" xr:uid="{00000000-0005-0000-0000-000066520000}"/>
    <cellStyle name="Normal 247 2 4" xfId="21351" xr:uid="{00000000-0005-0000-0000-000067520000}"/>
    <cellStyle name="Normal 247 2 4 2" xfId="21352" xr:uid="{00000000-0005-0000-0000-000068520000}"/>
    <cellStyle name="Normal 247 2 4 2 2" xfId="21353" xr:uid="{00000000-0005-0000-0000-000069520000}"/>
    <cellStyle name="Normal 247 2 4 3" xfId="21354" xr:uid="{00000000-0005-0000-0000-00006A520000}"/>
    <cellStyle name="Normal 247 2 5" xfId="21355" xr:uid="{00000000-0005-0000-0000-00006B520000}"/>
    <cellStyle name="Normal 247 2 5 2" xfId="21356" xr:uid="{00000000-0005-0000-0000-00006C520000}"/>
    <cellStyle name="Normal 247 2 5 2 2" xfId="21357" xr:uid="{00000000-0005-0000-0000-00006D520000}"/>
    <cellStyle name="Normal 247 2 5 3" xfId="21358" xr:uid="{00000000-0005-0000-0000-00006E520000}"/>
    <cellStyle name="Normal 247 2 6" xfId="21359" xr:uid="{00000000-0005-0000-0000-00006F520000}"/>
    <cellStyle name="Normal 247 2 6 2" xfId="21360" xr:uid="{00000000-0005-0000-0000-000070520000}"/>
    <cellStyle name="Normal 247 2 6 2 2" xfId="21361" xr:uid="{00000000-0005-0000-0000-000071520000}"/>
    <cellStyle name="Normal 247 2 6 3" xfId="21362" xr:uid="{00000000-0005-0000-0000-000072520000}"/>
    <cellStyle name="Normal 247 2 7" xfId="21363" xr:uid="{00000000-0005-0000-0000-000073520000}"/>
    <cellStyle name="Normal 247 3" xfId="21364" xr:uid="{00000000-0005-0000-0000-000074520000}"/>
    <cellStyle name="Normal 247 3 2" xfId="21365" xr:uid="{00000000-0005-0000-0000-000075520000}"/>
    <cellStyle name="Normal 247 3 2 2" xfId="21366" xr:uid="{00000000-0005-0000-0000-000076520000}"/>
    <cellStyle name="Normal 247 3 3" xfId="21367" xr:uid="{00000000-0005-0000-0000-000077520000}"/>
    <cellStyle name="Normal 247 3 3 2" xfId="21368" xr:uid="{00000000-0005-0000-0000-000078520000}"/>
    <cellStyle name="Normal 247 3 3 2 2" xfId="21369" xr:uid="{00000000-0005-0000-0000-000079520000}"/>
    <cellStyle name="Normal 247 3 3 3" xfId="21370" xr:uid="{00000000-0005-0000-0000-00007A520000}"/>
    <cellStyle name="Normal 247 3 4" xfId="21371" xr:uid="{00000000-0005-0000-0000-00007B520000}"/>
    <cellStyle name="Normal 247 3 4 2" xfId="21372" xr:uid="{00000000-0005-0000-0000-00007C520000}"/>
    <cellStyle name="Normal 247 3 4 2 2" xfId="21373" xr:uid="{00000000-0005-0000-0000-00007D520000}"/>
    <cellStyle name="Normal 247 3 4 3" xfId="21374" xr:uid="{00000000-0005-0000-0000-00007E520000}"/>
    <cellStyle name="Normal 247 3 5" xfId="21375" xr:uid="{00000000-0005-0000-0000-00007F520000}"/>
    <cellStyle name="Normal 247 4" xfId="21376" xr:uid="{00000000-0005-0000-0000-000080520000}"/>
    <cellStyle name="Normal 247 4 2" xfId="21377" xr:uid="{00000000-0005-0000-0000-000081520000}"/>
    <cellStyle name="Normal 247 4 2 2" xfId="21378" xr:uid="{00000000-0005-0000-0000-000082520000}"/>
    <cellStyle name="Normal 247 4 2 2 2" xfId="21379" xr:uid="{00000000-0005-0000-0000-000083520000}"/>
    <cellStyle name="Normal 247 4 2 3" xfId="21380" xr:uid="{00000000-0005-0000-0000-000084520000}"/>
    <cellStyle name="Normal 247 4 2 3 2" xfId="21381" xr:uid="{00000000-0005-0000-0000-000085520000}"/>
    <cellStyle name="Normal 247 4 2 3 2 2" xfId="21382" xr:uid="{00000000-0005-0000-0000-000086520000}"/>
    <cellStyle name="Normal 247 4 2 3 3" xfId="21383" xr:uid="{00000000-0005-0000-0000-000087520000}"/>
    <cellStyle name="Normal 247 4 2 4" xfId="21384" xr:uid="{00000000-0005-0000-0000-000088520000}"/>
    <cellStyle name="Normal 247 4 3" xfId="21385" xr:uid="{00000000-0005-0000-0000-000089520000}"/>
    <cellStyle name="Normal 247 4 3 2" xfId="21386" xr:uid="{00000000-0005-0000-0000-00008A520000}"/>
    <cellStyle name="Normal 247 4 3 2 2" xfId="21387" xr:uid="{00000000-0005-0000-0000-00008B520000}"/>
    <cellStyle name="Normal 247 4 3 3" xfId="21388" xr:uid="{00000000-0005-0000-0000-00008C520000}"/>
    <cellStyle name="Normal 247 4 4" xfId="21389" xr:uid="{00000000-0005-0000-0000-00008D520000}"/>
    <cellStyle name="Normal 247 4 4 2" xfId="21390" xr:uid="{00000000-0005-0000-0000-00008E520000}"/>
    <cellStyle name="Normal 247 4 4 2 2" xfId="21391" xr:uid="{00000000-0005-0000-0000-00008F520000}"/>
    <cellStyle name="Normal 247 4 4 3" xfId="21392" xr:uid="{00000000-0005-0000-0000-000090520000}"/>
    <cellStyle name="Normal 247 4 5" xfId="21393" xr:uid="{00000000-0005-0000-0000-000091520000}"/>
    <cellStyle name="Normal 247 4 5 2" xfId="21394" xr:uid="{00000000-0005-0000-0000-000092520000}"/>
    <cellStyle name="Normal 247 4 5 2 2" xfId="21395" xr:uid="{00000000-0005-0000-0000-000093520000}"/>
    <cellStyle name="Normal 247 4 5 3" xfId="21396" xr:uid="{00000000-0005-0000-0000-000094520000}"/>
    <cellStyle name="Normal 247 4 6" xfId="21397" xr:uid="{00000000-0005-0000-0000-000095520000}"/>
    <cellStyle name="Normal 247 5" xfId="21398" xr:uid="{00000000-0005-0000-0000-000096520000}"/>
    <cellStyle name="Normal 247 5 2" xfId="21399" xr:uid="{00000000-0005-0000-0000-000097520000}"/>
    <cellStyle name="Normal 247 5 2 2" xfId="21400" xr:uid="{00000000-0005-0000-0000-000098520000}"/>
    <cellStyle name="Normal 247 5 3" xfId="21401" xr:uid="{00000000-0005-0000-0000-000099520000}"/>
    <cellStyle name="Normal 247 6" xfId="21402" xr:uid="{00000000-0005-0000-0000-00009A520000}"/>
    <cellStyle name="Normal 247 6 2" xfId="21403" xr:uid="{00000000-0005-0000-0000-00009B520000}"/>
    <cellStyle name="Normal 247 6 2 2" xfId="21404" xr:uid="{00000000-0005-0000-0000-00009C520000}"/>
    <cellStyle name="Normal 247 6 3" xfId="21405" xr:uid="{00000000-0005-0000-0000-00009D520000}"/>
    <cellStyle name="Normal 247 7" xfId="21406" xr:uid="{00000000-0005-0000-0000-00009E520000}"/>
    <cellStyle name="Normal 247 7 2" xfId="21407" xr:uid="{00000000-0005-0000-0000-00009F520000}"/>
    <cellStyle name="Normal 247 7 2 2" xfId="21408" xr:uid="{00000000-0005-0000-0000-0000A0520000}"/>
    <cellStyle name="Normal 247 7 3" xfId="21409" xr:uid="{00000000-0005-0000-0000-0000A1520000}"/>
    <cellStyle name="Normal 247 8" xfId="21410" xr:uid="{00000000-0005-0000-0000-0000A2520000}"/>
    <cellStyle name="Normal 248" xfId="21411" xr:uid="{00000000-0005-0000-0000-0000A3520000}"/>
    <cellStyle name="Normal 248 2" xfId="21412" xr:uid="{00000000-0005-0000-0000-0000A4520000}"/>
    <cellStyle name="Normal 248 2 2" xfId="21413" xr:uid="{00000000-0005-0000-0000-0000A5520000}"/>
    <cellStyle name="Normal 248 2 2 2" xfId="21414" xr:uid="{00000000-0005-0000-0000-0000A6520000}"/>
    <cellStyle name="Normal 248 2 2 2 2" xfId="21415" xr:uid="{00000000-0005-0000-0000-0000A7520000}"/>
    <cellStyle name="Normal 248 2 2 3" xfId="21416" xr:uid="{00000000-0005-0000-0000-0000A8520000}"/>
    <cellStyle name="Normal 248 2 2 3 2" xfId="21417" xr:uid="{00000000-0005-0000-0000-0000A9520000}"/>
    <cellStyle name="Normal 248 2 2 3 2 2" xfId="21418" xr:uid="{00000000-0005-0000-0000-0000AA520000}"/>
    <cellStyle name="Normal 248 2 2 3 3" xfId="21419" xr:uid="{00000000-0005-0000-0000-0000AB520000}"/>
    <cellStyle name="Normal 248 2 2 4" xfId="21420" xr:uid="{00000000-0005-0000-0000-0000AC520000}"/>
    <cellStyle name="Normal 248 2 2 4 2" xfId="21421" xr:uid="{00000000-0005-0000-0000-0000AD520000}"/>
    <cellStyle name="Normal 248 2 2 4 2 2" xfId="21422" xr:uid="{00000000-0005-0000-0000-0000AE520000}"/>
    <cellStyle name="Normal 248 2 2 4 3" xfId="21423" xr:uid="{00000000-0005-0000-0000-0000AF520000}"/>
    <cellStyle name="Normal 248 2 2 5" xfId="21424" xr:uid="{00000000-0005-0000-0000-0000B0520000}"/>
    <cellStyle name="Normal 248 2 3" xfId="21425" xr:uid="{00000000-0005-0000-0000-0000B1520000}"/>
    <cellStyle name="Normal 248 2 3 2" xfId="21426" xr:uid="{00000000-0005-0000-0000-0000B2520000}"/>
    <cellStyle name="Normal 248 2 3 2 2" xfId="21427" xr:uid="{00000000-0005-0000-0000-0000B3520000}"/>
    <cellStyle name="Normal 248 2 3 2 2 2" xfId="21428" xr:uid="{00000000-0005-0000-0000-0000B4520000}"/>
    <cellStyle name="Normal 248 2 3 2 3" xfId="21429" xr:uid="{00000000-0005-0000-0000-0000B5520000}"/>
    <cellStyle name="Normal 248 2 3 2 3 2" xfId="21430" xr:uid="{00000000-0005-0000-0000-0000B6520000}"/>
    <cellStyle name="Normal 248 2 3 2 3 2 2" xfId="21431" xr:uid="{00000000-0005-0000-0000-0000B7520000}"/>
    <cellStyle name="Normal 248 2 3 2 3 3" xfId="21432" xr:uid="{00000000-0005-0000-0000-0000B8520000}"/>
    <cellStyle name="Normal 248 2 3 2 4" xfId="21433" xr:uid="{00000000-0005-0000-0000-0000B9520000}"/>
    <cellStyle name="Normal 248 2 3 3" xfId="21434" xr:uid="{00000000-0005-0000-0000-0000BA520000}"/>
    <cellStyle name="Normal 248 2 3 3 2" xfId="21435" xr:uid="{00000000-0005-0000-0000-0000BB520000}"/>
    <cellStyle name="Normal 248 2 3 3 2 2" xfId="21436" xr:uid="{00000000-0005-0000-0000-0000BC520000}"/>
    <cellStyle name="Normal 248 2 3 3 3" xfId="21437" xr:uid="{00000000-0005-0000-0000-0000BD520000}"/>
    <cellStyle name="Normal 248 2 3 4" xfId="21438" xr:uid="{00000000-0005-0000-0000-0000BE520000}"/>
    <cellStyle name="Normal 248 2 3 4 2" xfId="21439" xr:uid="{00000000-0005-0000-0000-0000BF520000}"/>
    <cellStyle name="Normal 248 2 3 4 2 2" xfId="21440" xr:uid="{00000000-0005-0000-0000-0000C0520000}"/>
    <cellStyle name="Normal 248 2 3 4 3" xfId="21441" xr:uid="{00000000-0005-0000-0000-0000C1520000}"/>
    <cellStyle name="Normal 248 2 3 5" xfId="21442" xr:uid="{00000000-0005-0000-0000-0000C2520000}"/>
    <cellStyle name="Normal 248 2 3 5 2" xfId="21443" xr:uid="{00000000-0005-0000-0000-0000C3520000}"/>
    <cellStyle name="Normal 248 2 3 5 2 2" xfId="21444" xr:uid="{00000000-0005-0000-0000-0000C4520000}"/>
    <cellStyle name="Normal 248 2 3 5 3" xfId="21445" xr:uid="{00000000-0005-0000-0000-0000C5520000}"/>
    <cellStyle name="Normal 248 2 3 6" xfId="21446" xr:uid="{00000000-0005-0000-0000-0000C6520000}"/>
    <cellStyle name="Normal 248 2 4" xfId="21447" xr:uid="{00000000-0005-0000-0000-0000C7520000}"/>
    <cellStyle name="Normal 248 2 4 2" xfId="21448" xr:uid="{00000000-0005-0000-0000-0000C8520000}"/>
    <cellStyle name="Normal 248 2 4 2 2" xfId="21449" xr:uid="{00000000-0005-0000-0000-0000C9520000}"/>
    <cellStyle name="Normal 248 2 4 3" xfId="21450" xr:uid="{00000000-0005-0000-0000-0000CA520000}"/>
    <cellStyle name="Normal 248 2 5" xfId="21451" xr:uid="{00000000-0005-0000-0000-0000CB520000}"/>
    <cellStyle name="Normal 248 2 5 2" xfId="21452" xr:uid="{00000000-0005-0000-0000-0000CC520000}"/>
    <cellStyle name="Normal 248 2 5 2 2" xfId="21453" xr:uid="{00000000-0005-0000-0000-0000CD520000}"/>
    <cellStyle name="Normal 248 2 5 3" xfId="21454" xr:uid="{00000000-0005-0000-0000-0000CE520000}"/>
    <cellStyle name="Normal 248 2 6" xfId="21455" xr:uid="{00000000-0005-0000-0000-0000CF520000}"/>
    <cellStyle name="Normal 248 2 6 2" xfId="21456" xr:uid="{00000000-0005-0000-0000-0000D0520000}"/>
    <cellStyle name="Normal 248 2 6 2 2" xfId="21457" xr:uid="{00000000-0005-0000-0000-0000D1520000}"/>
    <cellStyle name="Normal 248 2 6 3" xfId="21458" xr:uid="{00000000-0005-0000-0000-0000D2520000}"/>
    <cellStyle name="Normal 248 2 7" xfId="21459" xr:uid="{00000000-0005-0000-0000-0000D3520000}"/>
    <cellStyle name="Normal 248 3" xfId="21460" xr:uid="{00000000-0005-0000-0000-0000D4520000}"/>
    <cellStyle name="Normal 248 3 2" xfId="21461" xr:uid="{00000000-0005-0000-0000-0000D5520000}"/>
    <cellStyle name="Normal 248 3 2 2" xfId="21462" xr:uid="{00000000-0005-0000-0000-0000D6520000}"/>
    <cellStyle name="Normal 248 3 3" xfId="21463" xr:uid="{00000000-0005-0000-0000-0000D7520000}"/>
    <cellStyle name="Normal 248 3 3 2" xfId="21464" xr:uid="{00000000-0005-0000-0000-0000D8520000}"/>
    <cellStyle name="Normal 248 3 3 2 2" xfId="21465" xr:uid="{00000000-0005-0000-0000-0000D9520000}"/>
    <cellStyle name="Normal 248 3 3 3" xfId="21466" xr:uid="{00000000-0005-0000-0000-0000DA520000}"/>
    <cellStyle name="Normal 248 3 4" xfId="21467" xr:uid="{00000000-0005-0000-0000-0000DB520000}"/>
    <cellStyle name="Normal 248 3 4 2" xfId="21468" xr:uid="{00000000-0005-0000-0000-0000DC520000}"/>
    <cellStyle name="Normal 248 3 4 2 2" xfId="21469" xr:uid="{00000000-0005-0000-0000-0000DD520000}"/>
    <cellStyle name="Normal 248 3 4 3" xfId="21470" xr:uid="{00000000-0005-0000-0000-0000DE520000}"/>
    <cellStyle name="Normal 248 3 5" xfId="21471" xr:uid="{00000000-0005-0000-0000-0000DF520000}"/>
    <cellStyle name="Normal 248 4" xfId="21472" xr:uid="{00000000-0005-0000-0000-0000E0520000}"/>
    <cellStyle name="Normal 248 4 2" xfId="21473" xr:uid="{00000000-0005-0000-0000-0000E1520000}"/>
    <cellStyle name="Normal 248 4 2 2" xfId="21474" xr:uid="{00000000-0005-0000-0000-0000E2520000}"/>
    <cellStyle name="Normal 248 4 2 2 2" xfId="21475" xr:uid="{00000000-0005-0000-0000-0000E3520000}"/>
    <cellStyle name="Normal 248 4 2 3" xfId="21476" xr:uid="{00000000-0005-0000-0000-0000E4520000}"/>
    <cellStyle name="Normal 248 4 2 3 2" xfId="21477" xr:uid="{00000000-0005-0000-0000-0000E5520000}"/>
    <cellStyle name="Normal 248 4 2 3 2 2" xfId="21478" xr:uid="{00000000-0005-0000-0000-0000E6520000}"/>
    <cellStyle name="Normal 248 4 2 3 3" xfId="21479" xr:uid="{00000000-0005-0000-0000-0000E7520000}"/>
    <cellStyle name="Normal 248 4 2 4" xfId="21480" xr:uid="{00000000-0005-0000-0000-0000E8520000}"/>
    <cellStyle name="Normal 248 4 3" xfId="21481" xr:uid="{00000000-0005-0000-0000-0000E9520000}"/>
    <cellStyle name="Normal 248 4 3 2" xfId="21482" xr:uid="{00000000-0005-0000-0000-0000EA520000}"/>
    <cellStyle name="Normal 248 4 3 2 2" xfId="21483" xr:uid="{00000000-0005-0000-0000-0000EB520000}"/>
    <cellStyle name="Normal 248 4 3 3" xfId="21484" xr:uid="{00000000-0005-0000-0000-0000EC520000}"/>
    <cellStyle name="Normal 248 4 4" xfId="21485" xr:uid="{00000000-0005-0000-0000-0000ED520000}"/>
    <cellStyle name="Normal 248 4 4 2" xfId="21486" xr:uid="{00000000-0005-0000-0000-0000EE520000}"/>
    <cellStyle name="Normal 248 4 4 2 2" xfId="21487" xr:uid="{00000000-0005-0000-0000-0000EF520000}"/>
    <cellStyle name="Normal 248 4 4 3" xfId="21488" xr:uid="{00000000-0005-0000-0000-0000F0520000}"/>
    <cellStyle name="Normal 248 4 5" xfId="21489" xr:uid="{00000000-0005-0000-0000-0000F1520000}"/>
    <cellStyle name="Normal 248 4 5 2" xfId="21490" xr:uid="{00000000-0005-0000-0000-0000F2520000}"/>
    <cellStyle name="Normal 248 4 5 2 2" xfId="21491" xr:uid="{00000000-0005-0000-0000-0000F3520000}"/>
    <cellStyle name="Normal 248 4 5 3" xfId="21492" xr:uid="{00000000-0005-0000-0000-0000F4520000}"/>
    <cellStyle name="Normal 248 4 6" xfId="21493" xr:uid="{00000000-0005-0000-0000-0000F5520000}"/>
    <cellStyle name="Normal 248 5" xfId="21494" xr:uid="{00000000-0005-0000-0000-0000F6520000}"/>
    <cellStyle name="Normal 248 5 2" xfId="21495" xr:uid="{00000000-0005-0000-0000-0000F7520000}"/>
    <cellStyle name="Normal 248 5 2 2" xfId="21496" xr:uid="{00000000-0005-0000-0000-0000F8520000}"/>
    <cellStyle name="Normal 248 5 3" xfId="21497" xr:uid="{00000000-0005-0000-0000-0000F9520000}"/>
    <cellStyle name="Normal 248 6" xfId="21498" xr:uid="{00000000-0005-0000-0000-0000FA520000}"/>
    <cellStyle name="Normal 248 6 2" xfId="21499" xr:uid="{00000000-0005-0000-0000-0000FB520000}"/>
    <cellStyle name="Normal 248 6 2 2" xfId="21500" xr:uid="{00000000-0005-0000-0000-0000FC520000}"/>
    <cellStyle name="Normal 248 6 3" xfId="21501" xr:uid="{00000000-0005-0000-0000-0000FD520000}"/>
    <cellStyle name="Normal 248 7" xfId="21502" xr:uid="{00000000-0005-0000-0000-0000FE520000}"/>
    <cellStyle name="Normal 248 7 2" xfId="21503" xr:uid="{00000000-0005-0000-0000-0000FF520000}"/>
    <cellStyle name="Normal 248 7 2 2" xfId="21504" xr:uid="{00000000-0005-0000-0000-000000530000}"/>
    <cellStyle name="Normal 248 7 3" xfId="21505" xr:uid="{00000000-0005-0000-0000-000001530000}"/>
    <cellStyle name="Normal 248 8" xfId="21506" xr:uid="{00000000-0005-0000-0000-000002530000}"/>
    <cellStyle name="Normal 249" xfId="21507" xr:uid="{00000000-0005-0000-0000-000003530000}"/>
    <cellStyle name="Normal 249 2" xfId="21508" xr:uid="{00000000-0005-0000-0000-000004530000}"/>
    <cellStyle name="Normal 249 2 2" xfId="21509" xr:uid="{00000000-0005-0000-0000-000005530000}"/>
    <cellStyle name="Normal 249 2 2 2" xfId="21510" xr:uid="{00000000-0005-0000-0000-000006530000}"/>
    <cellStyle name="Normal 249 2 2 2 2" xfId="21511" xr:uid="{00000000-0005-0000-0000-000007530000}"/>
    <cellStyle name="Normal 249 2 2 3" xfId="21512" xr:uid="{00000000-0005-0000-0000-000008530000}"/>
    <cellStyle name="Normal 249 2 2 3 2" xfId="21513" xr:uid="{00000000-0005-0000-0000-000009530000}"/>
    <cellStyle name="Normal 249 2 2 3 2 2" xfId="21514" xr:uid="{00000000-0005-0000-0000-00000A530000}"/>
    <cellStyle name="Normal 249 2 2 3 3" xfId="21515" xr:uid="{00000000-0005-0000-0000-00000B530000}"/>
    <cellStyle name="Normal 249 2 2 4" xfId="21516" xr:uid="{00000000-0005-0000-0000-00000C530000}"/>
    <cellStyle name="Normal 249 2 2 4 2" xfId="21517" xr:uid="{00000000-0005-0000-0000-00000D530000}"/>
    <cellStyle name="Normal 249 2 2 4 2 2" xfId="21518" xr:uid="{00000000-0005-0000-0000-00000E530000}"/>
    <cellStyle name="Normal 249 2 2 4 3" xfId="21519" xr:uid="{00000000-0005-0000-0000-00000F530000}"/>
    <cellStyle name="Normal 249 2 2 5" xfId="21520" xr:uid="{00000000-0005-0000-0000-000010530000}"/>
    <cellStyle name="Normal 249 2 3" xfId="21521" xr:uid="{00000000-0005-0000-0000-000011530000}"/>
    <cellStyle name="Normal 249 2 3 2" xfId="21522" xr:uid="{00000000-0005-0000-0000-000012530000}"/>
    <cellStyle name="Normal 249 2 3 2 2" xfId="21523" xr:uid="{00000000-0005-0000-0000-000013530000}"/>
    <cellStyle name="Normal 249 2 3 2 2 2" xfId="21524" xr:uid="{00000000-0005-0000-0000-000014530000}"/>
    <cellStyle name="Normal 249 2 3 2 3" xfId="21525" xr:uid="{00000000-0005-0000-0000-000015530000}"/>
    <cellStyle name="Normal 249 2 3 2 3 2" xfId="21526" xr:uid="{00000000-0005-0000-0000-000016530000}"/>
    <cellStyle name="Normal 249 2 3 2 3 2 2" xfId="21527" xr:uid="{00000000-0005-0000-0000-000017530000}"/>
    <cellStyle name="Normal 249 2 3 2 3 3" xfId="21528" xr:uid="{00000000-0005-0000-0000-000018530000}"/>
    <cellStyle name="Normal 249 2 3 2 4" xfId="21529" xr:uid="{00000000-0005-0000-0000-000019530000}"/>
    <cellStyle name="Normal 249 2 3 3" xfId="21530" xr:uid="{00000000-0005-0000-0000-00001A530000}"/>
    <cellStyle name="Normal 249 2 3 3 2" xfId="21531" xr:uid="{00000000-0005-0000-0000-00001B530000}"/>
    <cellStyle name="Normal 249 2 3 3 2 2" xfId="21532" xr:uid="{00000000-0005-0000-0000-00001C530000}"/>
    <cellStyle name="Normal 249 2 3 3 3" xfId="21533" xr:uid="{00000000-0005-0000-0000-00001D530000}"/>
    <cellStyle name="Normal 249 2 3 4" xfId="21534" xr:uid="{00000000-0005-0000-0000-00001E530000}"/>
    <cellStyle name="Normal 249 2 3 4 2" xfId="21535" xr:uid="{00000000-0005-0000-0000-00001F530000}"/>
    <cellStyle name="Normal 249 2 3 4 2 2" xfId="21536" xr:uid="{00000000-0005-0000-0000-000020530000}"/>
    <cellStyle name="Normal 249 2 3 4 3" xfId="21537" xr:uid="{00000000-0005-0000-0000-000021530000}"/>
    <cellStyle name="Normal 249 2 3 5" xfId="21538" xr:uid="{00000000-0005-0000-0000-000022530000}"/>
    <cellStyle name="Normal 249 2 3 5 2" xfId="21539" xr:uid="{00000000-0005-0000-0000-000023530000}"/>
    <cellStyle name="Normal 249 2 3 5 2 2" xfId="21540" xr:uid="{00000000-0005-0000-0000-000024530000}"/>
    <cellStyle name="Normal 249 2 3 5 3" xfId="21541" xr:uid="{00000000-0005-0000-0000-000025530000}"/>
    <cellStyle name="Normal 249 2 3 6" xfId="21542" xr:uid="{00000000-0005-0000-0000-000026530000}"/>
    <cellStyle name="Normal 249 2 4" xfId="21543" xr:uid="{00000000-0005-0000-0000-000027530000}"/>
    <cellStyle name="Normal 249 2 4 2" xfId="21544" xr:uid="{00000000-0005-0000-0000-000028530000}"/>
    <cellStyle name="Normal 249 2 4 2 2" xfId="21545" xr:uid="{00000000-0005-0000-0000-000029530000}"/>
    <cellStyle name="Normal 249 2 4 3" xfId="21546" xr:uid="{00000000-0005-0000-0000-00002A530000}"/>
    <cellStyle name="Normal 249 2 5" xfId="21547" xr:uid="{00000000-0005-0000-0000-00002B530000}"/>
    <cellStyle name="Normal 249 2 5 2" xfId="21548" xr:uid="{00000000-0005-0000-0000-00002C530000}"/>
    <cellStyle name="Normal 249 2 5 2 2" xfId="21549" xr:uid="{00000000-0005-0000-0000-00002D530000}"/>
    <cellStyle name="Normal 249 2 5 3" xfId="21550" xr:uid="{00000000-0005-0000-0000-00002E530000}"/>
    <cellStyle name="Normal 249 2 6" xfId="21551" xr:uid="{00000000-0005-0000-0000-00002F530000}"/>
    <cellStyle name="Normal 249 2 6 2" xfId="21552" xr:uid="{00000000-0005-0000-0000-000030530000}"/>
    <cellStyle name="Normal 249 2 6 2 2" xfId="21553" xr:uid="{00000000-0005-0000-0000-000031530000}"/>
    <cellStyle name="Normal 249 2 6 3" xfId="21554" xr:uid="{00000000-0005-0000-0000-000032530000}"/>
    <cellStyle name="Normal 249 2 7" xfId="21555" xr:uid="{00000000-0005-0000-0000-000033530000}"/>
    <cellStyle name="Normal 249 3" xfId="21556" xr:uid="{00000000-0005-0000-0000-000034530000}"/>
    <cellStyle name="Normal 249 3 2" xfId="21557" xr:uid="{00000000-0005-0000-0000-000035530000}"/>
    <cellStyle name="Normal 249 3 2 2" xfId="21558" xr:uid="{00000000-0005-0000-0000-000036530000}"/>
    <cellStyle name="Normal 249 3 3" xfId="21559" xr:uid="{00000000-0005-0000-0000-000037530000}"/>
    <cellStyle name="Normal 249 3 3 2" xfId="21560" xr:uid="{00000000-0005-0000-0000-000038530000}"/>
    <cellStyle name="Normal 249 3 3 2 2" xfId="21561" xr:uid="{00000000-0005-0000-0000-000039530000}"/>
    <cellStyle name="Normal 249 3 3 3" xfId="21562" xr:uid="{00000000-0005-0000-0000-00003A530000}"/>
    <cellStyle name="Normal 249 3 4" xfId="21563" xr:uid="{00000000-0005-0000-0000-00003B530000}"/>
    <cellStyle name="Normal 249 3 4 2" xfId="21564" xr:uid="{00000000-0005-0000-0000-00003C530000}"/>
    <cellStyle name="Normal 249 3 4 2 2" xfId="21565" xr:uid="{00000000-0005-0000-0000-00003D530000}"/>
    <cellStyle name="Normal 249 3 4 3" xfId="21566" xr:uid="{00000000-0005-0000-0000-00003E530000}"/>
    <cellStyle name="Normal 249 3 5" xfId="21567" xr:uid="{00000000-0005-0000-0000-00003F530000}"/>
    <cellStyle name="Normal 249 4" xfId="21568" xr:uid="{00000000-0005-0000-0000-000040530000}"/>
    <cellStyle name="Normal 249 4 2" xfId="21569" xr:uid="{00000000-0005-0000-0000-000041530000}"/>
    <cellStyle name="Normal 249 4 2 2" xfId="21570" xr:uid="{00000000-0005-0000-0000-000042530000}"/>
    <cellStyle name="Normal 249 4 2 2 2" xfId="21571" xr:uid="{00000000-0005-0000-0000-000043530000}"/>
    <cellStyle name="Normal 249 4 2 3" xfId="21572" xr:uid="{00000000-0005-0000-0000-000044530000}"/>
    <cellStyle name="Normal 249 4 2 3 2" xfId="21573" xr:uid="{00000000-0005-0000-0000-000045530000}"/>
    <cellStyle name="Normal 249 4 2 3 2 2" xfId="21574" xr:uid="{00000000-0005-0000-0000-000046530000}"/>
    <cellStyle name="Normal 249 4 2 3 3" xfId="21575" xr:uid="{00000000-0005-0000-0000-000047530000}"/>
    <cellStyle name="Normal 249 4 2 4" xfId="21576" xr:uid="{00000000-0005-0000-0000-000048530000}"/>
    <cellStyle name="Normal 249 4 3" xfId="21577" xr:uid="{00000000-0005-0000-0000-000049530000}"/>
    <cellStyle name="Normal 249 4 3 2" xfId="21578" xr:uid="{00000000-0005-0000-0000-00004A530000}"/>
    <cellStyle name="Normal 249 4 3 2 2" xfId="21579" xr:uid="{00000000-0005-0000-0000-00004B530000}"/>
    <cellStyle name="Normal 249 4 3 3" xfId="21580" xr:uid="{00000000-0005-0000-0000-00004C530000}"/>
    <cellStyle name="Normal 249 4 4" xfId="21581" xr:uid="{00000000-0005-0000-0000-00004D530000}"/>
    <cellStyle name="Normal 249 4 4 2" xfId="21582" xr:uid="{00000000-0005-0000-0000-00004E530000}"/>
    <cellStyle name="Normal 249 4 4 2 2" xfId="21583" xr:uid="{00000000-0005-0000-0000-00004F530000}"/>
    <cellStyle name="Normal 249 4 4 3" xfId="21584" xr:uid="{00000000-0005-0000-0000-000050530000}"/>
    <cellStyle name="Normal 249 4 5" xfId="21585" xr:uid="{00000000-0005-0000-0000-000051530000}"/>
    <cellStyle name="Normal 249 4 5 2" xfId="21586" xr:uid="{00000000-0005-0000-0000-000052530000}"/>
    <cellStyle name="Normal 249 4 5 2 2" xfId="21587" xr:uid="{00000000-0005-0000-0000-000053530000}"/>
    <cellStyle name="Normal 249 4 5 3" xfId="21588" xr:uid="{00000000-0005-0000-0000-000054530000}"/>
    <cellStyle name="Normal 249 4 6" xfId="21589" xr:uid="{00000000-0005-0000-0000-000055530000}"/>
    <cellStyle name="Normal 249 5" xfId="21590" xr:uid="{00000000-0005-0000-0000-000056530000}"/>
    <cellStyle name="Normal 249 5 2" xfId="21591" xr:uid="{00000000-0005-0000-0000-000057530000}"/>
    <cellStyle name="Normal 249 5 2 2" xfId="21592" xr:uid="{00000000-0005-0000-0000-000058530000}"/>
    <cellStyle name="Normal 249 5 3" xfId="21593" xr:uid="{00000000-0005-0000-0000-000059530000}"/>
    <cellStyle name="Normal 249 6" xfId="21594" xr:uid="{00000000-0005-0000-0000-00005A530000}"/>
    <cellStyle name="Normal 249 6 2" xfId="21595" xr:uid="{00000000-0005-0000-0000-00005B530000}"/>
    <cellStyle name="Normal 249 6 2 2" xfId="21596" xr:uid="{00000000-0005-0000-0000-00005C530000}"/>
    <cellStyle name="Normal 249 6 3" xfId="21597" xr:uid="{00000000-0005-0000-0000-00005D530000}"/>
    <cellStyle name="Normal 249 7" xfId="21598" xr:uid="{00000000-0005-0000-0000-00005E530000}"/>
    <cellStyle name="Normal 249 7 2" xfId="21599" xr:uid="{00000000-0005-0000-0000-00005F530000}"/>
    <cellStyle name="Normal 249 7 2 2" xfId="21600" xr:uid="{00000000-0005-0000-0000-000060530000}"/>
    <cellStyle name="Normal 249 7 3" xfId="21601" xr:uid="{00000000-0005-0000-0000-000061530000}"/>
    <cellStyle name="Normal 249 8" xfId="21602" xr:uid="{00000000-0005-0000-0000-000062530000}"/>
    <cellStyle name="Normal 25" xfId="21603" xr:uid="{00000000-0005-0000-0000-000063530000}"/>
    <cellStyle name="Normal 25 2" xfId="21604" xr:uid="{00000000-0005-0000-0000-000064530000}"/>
    <cellStyle name="Normal 25 2 2" xfId="21605" xr:uid="{00000000-0005-0000-0000-000065530000}"/>
    <cellStyle name="Normal 25 2 2 2" xfId="21606" xr:uid="{00000000-0005-0000-0000-000066530000}"/>
    <cellStyle name="Normal 25 2 2 2 2" xfId="21607" xr:uid="{00000000-0005-0000-0000-000067530000}"/>
    <cellStyle name="Normal 25 2 2 3" xfId="21608" xr:uid="{00000000-0005-0000-0000-000068530000}"/>
    <cellStyle name="Normal 25 2 2 3 2" xfId="21609" xr:uid="{00000000-0005-0000-0000-000069530000}"/>
    <cellStyle name="Normal 25 2 2 3 2 2" xfId="21610" xr:uid="{00000000-0005-0000-0000-00006A530000}"/>
    <cellStyle name="Normal 25 2 2 3 3" xfId="21611" xr:uid="{00000000-0005-0000-0000-00006B530000}"/>
    <cellStyle name="Normal 25 2 2 4" xfId="21612" xr:uid="{00000000-0005-0000-0000-00006C530000}"/>
    <cellStyle name="Normal 25 2 2 4 2" xfId="21613" xr:uid="{00000000-0005-0000-0000-00006D530000}"/>
    <cellStyle name="Normal 25 2 2 4 2 2" xfId="21614" xr:uid="{00000000-0005-0000-0000-00006E530000}"/>
    <cellStyle name="Normal 25 2 2 4 3" xfId="21615" xr:uid="{00000000-0005-0000-0000-00006F530000}"/>
    <cellStyle name="Normal 25 2 2 5" xfId="21616" xr:uid="{00000000-0005-0000-0000-000070530000}"/>
    <cellStyle name="Normal 25 2 3" xfId="21617" xr:uid="{00000000-0005-0000-0000-000071530000}"/>
    <cellStyle name="Normal 25 2 3 2" xfId="21618" xr:uid="{00000000-0005-0000-0000-000072530000}"/>
    <cellStyle name="Normal 25 2 3 2 2" xfId="21619" xr:uid="{00000000-0005-0000-0000-000073530000}"/>
    <cellStyle name="Normal 25 2 3 3" xfId="21620" xr:uid="{00000000-0005-0000-0000-000074530000}"/>
    <cellStyle name="Normal 25 2 4" xfId="21621" xr:uid="{00000000-0005-0000-0000-000075530000}"/>
    <cellStyle name="Normal 25 2 4 2" xfId="21622" xr:uid="{00000000-0005-0000-0000-000076530000}"/>
    <cellStyle name="Normal 25 2 4 2 2" xfId="21623" xr:uid="{00000000-0005-0000-0000-000077530000}"/>
    <cellStyle name="Normal 25 2 4 3" xfId="21624" xr:uid="{00000000-0005-0000-0000-000078530000}"/>
    <cellStyle name="Normal 25 2 5" xfId="21625" xr:uid="{00000000-0005-0000-0000-000079530000}"/>
    <cellStyle name="Normal 25 2 5 2" xfId="21626" xr:uid="{00000000-0005-0000-0000-00007A530000}"/>
    <cellStyle name="Normal 25 2 5 2 2" xfId="21627" xr:uid="{00000000-0005-0000-0000-00007B530000}"/>
    <cellStyle name="Normal 25 2 5 3" xfId="21628" xr:uid="{00000000-0005-0000-0000-00007C530000}"/>
    <cellStyle name="Normal 25 2 6" xfId="21629" xr:uid="{00000000-0005-0000-0000-00007D530000}"/>
    <cellStyle name="Normal 25 3" xfId="21630" xr:uid="{00000000-0005-0000-0000-00007E530000}"/>
    <cellStyle name="Normal 25 3 2" xfId="21631" xr:uid="{00000000-0005-0000-0000-00007F530000}"/>
    <cellStyle name="Normal 25 3 2 2" xfId="21632" xr:uid="{00000000-0005-0000-0000-000080530000}"/>
    <cellStyle name="Normal 25 3 3" xfId="21633" xr:uid="{00000000-0005-0000-0000-000081530000}"/>
    <cellStyle name="Normal 25 3 3 2" xfId="21634" xr:uid="{00000000-0005-0000-0000-000082530000}"/>
    <cellStyle name="Normal 25 3 3 2 2" xfId="21635" xr:uid="{00000000-0005-0000-0000-000083530000}"/>
    <cellStyle name="Normal 25 3 3 3" xfId="21636" xr:uid="{00000000-0005-0000-0000-000084530000}"/>
    <cellStyle name="Normal 25 3 4" xfId="21637" xr:uid="{00000000-0005-0000-0000-000085530000}"/>
    <cellStyle name="Normal 25 3 4 2" xfId="21638" xr:uid="{00000000-0005-0000-0000-000086530000}"/>
    <cellStyle name="Normal 25 3 4 2 2" xfId="21639" xr:uid="{00000000-0005-0000-0000-000087530000}"/>
    <cellStyle name="Normal 25 3 4 3" xfId="21640" xr:uid="{00000000-0005-0000-0000-000088530000}"/>
    <cellStyle name="Normal 25 3 5" xfId="21641" xr:uid="{00000000-0005-0000-0000-000089530000}"/>
    <cellStyle name="Normal 25 4" xfId="21642" xr:uid="{00000000-0005-0000-0000-00008A530000}"/>
    <cellStyle name="Normal 25 4 2" xfId="21643" xr:uid="{00000000-0005-0000-0000-00008B530000}"/>
    <cellStyle name="Normal 25 4 2 2" xfId="21644" xr:uid="{00000000-0005-0000-0000-00008C530000}"/>
    <cellStyle name="Normal 25 4 3" xfId="21645" xr:uid="{00000000-0005-0000-0000-00008D530000}"/>
    <cellStyle name="Normal 25 4 3 2" xfId="21646" xr:uid="{00000000-0005-0000-0000-00008E530000}"/>
    <cellStyle name="Normal 25 4 3 2 2" xfId="21647" xr:uid="{00000000-0005-0000-0000-00008F530000}"/>
    <cellStyle name="Normal 25 4 3 3" xfId="21648" xr:uid="{00000000-0005-0000-0000-000090530000}"/>
    <cellStyle name="Normal 25 4 4" xfId="21649" xr:uid="{00000000-0005-0000-0000-000091530000}"/>
    <cellStyle name="Normal 25 4 4 2" xfId="21650" xr:uid="{00000000-0005-0000-0000-000092530000}"/>
    <cellStyle name="Normal 25 4 4 2 2" xfId="21651" xr:uid="{00000000-0005-0000-0000-000093530000}"/>
    <cellStyle name="Normal 25 4 4 3" xfId="21652" xr:uid="{00000000-0005-0000-0000-000094530000}"/>
    <cellStyle name="Normal 25 4 5" xfId="21653" xr:uid="{00000000-0005-0000-0000-000095530000}"/>
    <cellStyle name="Normal 25 5" xfId="21654" xr:uid="{00000000-0005-0000-0000-000096530000}"/>
    <cellStyle name="Normal 25 5 2" xfId="21655" xr:uid="{00000000-0005-0000-0000-000097530000}"/>
    <cellStyle name="Normal 25 5 2 2" xfId="21656" xr:uid="{00000000-0005-0000-0000-000098530000}"/>
    <cellStyle name="Normal 25 5 3" xfId="21657" xr:uid="{00000000-0005-0000-0000-000099530000}"/>
    <cellStyle name="Normal 25 6" xfId="21658" xr:uid="{00000000-0005-0000-0000-00009A530000}"/>
    <cellStyle name="Normal 25 6 2" xfId="21659" xr:uid="{00000000-0005-0000-0000-00009B530000}"/>
    <cellStyle name="Normal 25 6 2 2" xfId="21660" xr:uid="{00000000-0005-0000-0000-00009C530000}"/>
    <cellStyle name="Normal 25 6 3" xfId="21661" xr:uid="{00000000-0005-0000-0000-00009D530000}"/>
    <cellStyle name="Normal 25 7" xfId="21662" xr:uid="{00000000-0005-0000-0000-00009E530000}"/>
    <cellStyle name="Normal 25 7 2" xfId="21663" xr:uid="{00000000-0005-0000-0000-00009F530000}"/>
    <cellStyle name="Normal 25 7 2 2" xfId="21664" xr:uid="{00000000-0005-0000-0000-0000A0530000}"/>
    <cellStyle name="Normal 25 7 3" xfId="21665" xr:uid="{00000000-0005-0000-0000-0000A1530000}"/>
    <cellStyle name="Normal 25 8" xfId="21666" xr:uid="{00000000-0005-0000-0000-0000A2530000}"/>
    <cellStyle name="Normal 250" xfId="21667" xr:uid="{00000000-0005-0000-0000-0000A3530000}"/>
    <cellStyle name="Normal 250 2" xfId="21668" xr:uid="{00000000-0005-0000-0000-0000A4530000}"/>
    <cellStyle name="Normal 250 2 2" xfId="21669" xr:uid="{00000000-0005-0000-0000-0000A5530000}"/>
    <cellStyle name="Normal 250 2 2 2" xfId="21670" xr:uid="{00000000-0005-0000-0000-0000A6530000}"/>
    <cellStyle name="Normal 250 2 2 2 2" xfId="21671" xr:uid="{00000000-0005-0000-0000-0000A7530000}"/>
    <cellStyle name="Normal 250 2 2 3" xfId="21672" xr:uid="{00000000-0005-0000-0000-0000A8530000}"/>
    <cellStyle name="Normal 250 2 2 3 2" xfId="21673" xr:uid="{00000000-0005-0000-0000-0000A9530000}"/>
    <cellStyle name="Normal 250 2 2 3 2 2" xfId="21674" xr:uid="{00000000-0005-0000-0000-0000AA530000}"/>
    <cellStyle name="Normal 250 2 2 3 3" xfId="21675" xr:uid="{00000000-0005-0000-0000-0000AB530000}"/>
    <cellStyle name="Normal 250 2 2 4" xfId="21676" xr:uid="{00000000-0005-0000-0000-0000AC530000}"/>
    <cellStyle name="Normal 250 2 2 4 2" xfId="21677" xr:uid="{00000000-0005-0000-0000-0000AD530000}"/>
    <cellStyle name="Normal 250 2 2 4 2 2" xfId="21678" xr:uid="{00000000-0005-0000-0000-0000AE530000}"/>
    <cellStyle name="Normal 250 2 2 4 3" xfId="21679" xr:uid="{00000000-0005-0000-0000-0000AF530000}"/>
    <cellStyle name="Normal 250 2 2 5" xfId="21680" xr:uid="{00000000-0005-0000-0000-0000B0530000}"/>
    <cellStyle name="Normal 250 2 3" xfId="21681" xr:uid="{00000000-0005-0000-0000-0000B1530000}"/>
    <cellStyle name="Normal 250 2 3 2" xfId="21682" xr:uid="{00000000-0005-0000-0000-0000B2530000}"/>
    <cellStyle name="Normal 250 2 3 2 2" xfId="21683" xr:uid="{00000000-0005-0000-0000-0000B3530000}"/>
    <cellStyle name="Normal 250 2 3 2 2 2" xfId="21684" xr:uid="{00000000-0005-0000-0000-0000B4530000}"/>
    <cellStyle name="Normal 250 2 3 2 3" xfId="21685" xr:uid="{00000000-0005-0000-0000-0000B5530000}"/>
    <cellStyle name="Normal 250 2 3 2 3 2" xfId="21686" xr:uid="{00000000-0005-0000-0000-0000B6530000}"/>
    <cellStyle name="Normal 250 2 3 2 3 2 2" xfId="21687" xr:uid="{00000000-0005-0000-0000-0000B7530000}"/>
    <cellStyle name="Normal 250 2 3 2 3 3" xfId="21688" xr:uid="{00000000-0005-0000-0000-0000B8530000}"/>
    <cellStyle name="Normal 250 2 3 2 4" xfId="21689" xr:uid="{00000000-0005-0000-0000-0000B9530000}"/>
    <cellStyle name="Normal 250 2 3 3" xfId="21690" xr:uid="{00000000-0005-0000-0000-0000BA530000}"/>
    <cellStyle name="Normal 250 2 3 3 2" xfId="21691" xr:uid="{00000000-0005-0000-0000-0000BB530000}"/>
    <cellStyle name="Normal 250 2 3 3 2 2" xfId="21692" xr:uid="{00000000-0005-0000-0000-0000BC530000}"/>
    <cellStyle name="Normal 250 2 3 3 3" xfId="21693" xr:uid="{00000000-0005-0000-0000-0000BD530000}"/>
    <cellStyle name="Normal 250 2 3 4" xfId="21694" xr:uid="{00000000-0005-0000-0000-0000BE530000}"/>
    <cellStyle name="Normal 250 2 3 4 2" xfId="21695" xr:uid="{00000000-0005-0000-0000-0000BF530000}"/>
    <cellStyle name="Normal 250 2 3 4 2 2" xfId="21696" xr:uid="{00000000-0005-0000-0000-0000C0530000}"/>
    <cellStyle name="Normal 250 2 3 4 3" xfId="21697" xr:uid="{00000000-0005-0000-0000-0000C1530000}"/>
    <cellStyle name="Normal 250 2 3 5" xfId="21698" xr:uid="{00000000-0005-0000-0000-0000C2530000}"/>
    <cellStyle name="Normal 250 2 3 5 2" xfId="21699" xr:uid="{00000000-0005-0000-0000-0000C3530000}"/>
    <cellStyle name="Normal 250 2 3 5 2 2" xfId="21700" xr:uid="{00000000-0005-0000-0000-0000C4530000}"/>
    <cellStyle name="Normal 250 2 3 5 3" xfId="21701" xr:uid="{00000000-0005-0000-0000-0000C5530000}"/>
    <cellStyle name="Normal 250 2 3 6" xfId="21702" xr:uid="{00000000-0005-0000-0000-0000C6530000}"/>
    <cellStyle name="Normal 250 2 4" xfId="21703" xr:uid="{00000000-0005-0000-0000-0000C7530000}"/>
    <cellStyle name="Normal 250 2 4 2" xfId="21704" xr:uid="{00000000-0005-0000-0000-0000C8530000}"/>
    <cellStyle name="Normal 250 2 4 2 2" xfId="21705" xr:uid="{00000000-0005-0000-0000-0000C9530000}"/>
    <cellStyle name="Normal 250 2 4 3" xfId="21706" xr:uid="{00000000-0005-0000-0000-0000CA530000}"/>
    <cellStyle name="Normal 250 2 5" xfId="21707" xr:uid="{00000000-0005-0000-0000-0000CB530000}"/>
    <cellStyle name="Normal 250 2 5 2" xfId="21708" xr:uid="{00000000-0005-0000-0000-0000CC530000}"/>
    <cellStyle name="Normal 250 2 5 2 2" xfId="21709" xr:uid="{00000000-0005-0000-0000-0000CD530000}"/>
    <cellStyle name="Normal 250 2 5 3" xfId="21710" xr:uid="{00000000-0005-0000-0000-0000CE530000}"/>
    <cellStyle name="Normal 250 2 6" xfId="21711" xr:uid="{00000000-0005-0000-0000-0000CF530000}"/>
    <cellStyle name="Normal 250 2 6 2" xfId="21712" xr:uid="{00000000-0005-0000-0000-0000D0530000}"/>
    <cellStyle name="Normal 250 2 6 2 2" xfId="21713" xr:uid="{00000000-0005-0000-0000-0000D1530000}"/>
    <cellStyle name="Normal 250 2 6 3" xfId="21714" xr:uid="{00000000-0005-0000-0000-0000D2530000}"/>
    <cellStyle name="Normal 250 2 7" xfId="21715" xr:uid="{00000000-0005-0000-0000-0000D3530000}"/>
    <cellStyle name="Normal 250 3" xfId="21716" xr:uid="{00000000-0005-0000-0000-0000D4530000}"/>
    <cellStyle name="Normal 250 3 2" xfId="21717" xr:uid="{00000000-0005-0000-0000-0000D5530000}"/>
    <cellStyle name="Normal 250 3 2 2" xfId="21718" xr:uid="{00000000-0005-0000-0000-0000D6530000}"/>
    <cellStyle name="Normal 250 3 3" xfId="21719" xr:uid="{00000000-0005-0000-0000-0000D7530000}"/>
    <cellStyle name="Normal 250 3 3 2" xfId="21720" xr:uid="{00000000-0005-0000-0000-0000D8530000}"/>
    <cellStyle name="Normal 250 3 3 2 2" xfId="21721" xr:uid="{00000000-0005-0000-0000-0000D9530000}"/>
    <cellStyle name="Normal 250 3 3 3" xfId="21722" xr:uid="{00000000-0005-0000-0000-0000DA530000}"/>
    <cellStyle name="Normal 250 3 4" xfId="21723" xr:uid="{00000000-0005-0000-0000-0000DB530000}"/>
    <cellStyle name="Normal 250 3 4 2" xfId="21724" xr:uid="{00000000-0005-0000-0000-0000DC530000}"/>
    <cellStyle name="Normal 250 3 4 2 2" xfId="21725" xr:uid="{00000000-0005-0000-0000-0000DD530000}"/>
    <cellStyle name="Normal 250 3 4 3" xfId="21726" xr:uid="{00000000-0005-0000-0000-0000DE530000}"/>
    <cellStyle name="Normal 250 3 5" xfId="21727" xr:uid="{00000000-0005-0000-0000-0000DF530000}"/>
    <cellStyle name="Normal 250 4" xfId="21728" xr:uid="{00000000-0005-0000-0000-0000E0530000}"/>
    <cellStyle name="Normal 250 4 2" xfId="21729" xr:uid="{00000000-0005-0000-0000-0000E1530000}"/>
    <cellStyle name="Normal 250 4 2 2" xfId="21730" xr:uid="{00000000-0005-0000-0000-0000E2530000}"/>
    <cellStyle name="Normal 250 4 2 2 2" xfId="21731" xr:uid="{00000000-0005-0000-0000-0000E3530000}"/>
    <cellStyle name="Normal 250 4 2 3" xfId="21732" xr:uid="{00000000-0005-0000-0000-0000E4530000}"/>
    <cellStyle name="Normal 250 4 2 3 2" xfId="21733" xr:uid="{00000000-0005-0000-0000-0000E5530000}"/>
    <cellStyle name="Normal 250 4 2 3 2 2" xfId="21734" xr:uid="{00000000-0005-0000-0000-0000E6530000}"/>
    <cellStyle name="Normal 250 4 2 3 3" xfId="21735" xr:uid="{00000000-0005-0000-0000-0000E7530000}"/>
    <cellStyle name="Normal 250 4 2 4" xfId="21736" xr:uid="{00000000-0005-0000-0000-0000E8530000}"/>
    <cellStyle name="Normal 250 4 3" xfId="21737" xr:uid="{00000000-0005-0000-0000-0000E9530000}"/>
    <cellStyle name="Normal 250 4 3 2" xfId="21738" xr:uid="{00000000-0005-0000-0000-0000EA530000}"/>
    <cellStyle name="Normal 250 4 3 2 2" xfId="21739" xr:uid="{00000000-0005-0000-0000-0000EB530000}"/>
    <cellStyle name="Normal 250 4 3 3" xfId="21740" xr:uid="{00000000-0005-0000-0000-0000EC530000}"/>
    <cellStyle name="Normal 250 4 4" xfId="21741" xr:uid="{00000000-0005-0000-0000-0000ED530000}"/>
    <cellStyle name="Normal 250 4 4 2" xfId="21742" xr:uid="{00000000-0005-0000-0000-0000EE530000}"/>
    <cellStyle name="Normal 250 4 4 2 2" xfId="21743" xr:uid="{00000000-0005-0000-0000-0000EF530000}"/>
    <cellStyle name="Normal 250 4 4 3" xfId="21744" xr:uid="{00000000-0005-0000-0000-0000F0530000}"/>
    <cellStyle name="Normal 250 4 5" xfId="21745" xr:uid="{00000000-0005-0000-0000-0000F1530000}"/>
    <cellStyle name="Normal 250 4 5 2" xfId="21746" xr:uid="{00000000-0005-0000-0000-0000F2530000}"/>
    <cellStyle name="Normal 250 4 5 2 2" xfId="21747" xr:uid="{00000000-0005-0000-0000-0000F3530000}"/>
    <cellStyle name="Normal 250 4 5 3" xfId="21748" xr:uid="{00000000-0005-0000-0000-0000F4530000}"/>
    <cellStyle name="Normal 250 4 6" xfId="21749" xr:uid="{00000000-0005-0000-0000-0000F5530000}"/>
    <cellStyle name="Normal 250 5" xfId="21750" xr:uid="{00000000-0005-0000-0000-0000F6530000}"/>
    <cellStyle name="Normal 250 5 2" xfId="21751" xr:uid="{00000000-0005-0000-0000-0000F7530000}"/>
    <cellStyle name="Normal 250 5 2 2" xfId="21752" xr:uid="{00000000-0005-0000-0000-0000F8530000}"/>
    <cellStyle name="Normal 250 5 3" xfId="21753" xr:uid="{00000000-0005-0000-0000-0000F9530000}"/>
    <cellStyle name="Normal 250 6" xfId="21754" xr:uid="{00000000-0005-0000-0000-0000FA530000}"/>
    <cellStyle name="Normal 250 6 2" xfId="21755" xr:uid="{00000000-0005-0000-0000-0000FB530000}"/>
    <cellStyle name="Normal 250 6 2 2" xfId="21756" xr:uid="{00000000-0005-0000-0000-0000FC530000}"/>
    <cellStyle name="Normal 250 6 3" xfId="21757" xr:uid="{00000000-0005-0000-0000-0000FD530000}"/>
    <cellStyle name="Normal 250 7" xfId="21758" xr:uid="{00000000-0005-0000-0000-0000FE530000}"/>
    <cellStyle name="Normal 250 7 2" xfId="21759" xr:uid="{00000000-0005-0000-0000-0000FF530000}"/>
    <cellStyle name="Normal 250 7 2 2" xfId="21760" xr:uid="{00000000-0005-0000-0000-000000540000}"/>
    <cellStyle name="Normal 250 7 3" xfId="21761" xr:uid="{00000000-0005-0000-0000-000001540000}"/>
    <cellStyle name="Normal 250 8" xfId="21762" xr:uid="{00000000-0005-0000-0000-000002540000}"/>
    <cellStyle name="Normal 251" xfId="21763" xr:uid="{00000000-0005-0000-0000-000003540000}"/>
    <cellStyle name="Normal 251 2" xfId="21764" xr:uid="{00000000-0005-0000-0000-000004540000}"/>
    <cellStyle name="Normal 251 2 2" xfId="21765" xr:uid="{00000000-0005-0000-0000-000005540000}"/>
    <cellStyle name="Normal 251 2 2 2" xfId="21766" xr:uid="{00000000-0005-0000-0000-000006540000}"/>
    <cellStyle name="Normal 251 2 2 2 2" xfId="21767" xr:uid="{00000000-0005-0000-0000-000007540000}"/>
    <cellStyle name="Normal 251 2 2 3" xfId="21768" xr:uid="{00000000-0005-0000-0000-000008540000}"/>
    <cellStyle name="Normal 251 2 2 3 2" xfId="21769" xr:uid="{00000000-0005-0000-0000-000009540000}"/>
    <cellStyle name="Normal 251 2 2 3 2 2" xfId="21770" xr:uid="{00000000-0005-0000-0000-00000A540000}"/>
    <cellStyle name="Normal 251 2 2 3 3" xfId="21771" xr:uid="{00000000-0005-0000-0000-00000B540000}"/>
    <cellStyle name="Normal 251 2 2 4" xfId="21772" xr:uid="{00000000-0005-0000-0000-00000C540000}"/>
    <cellStyle name="Normal 251 2 2 4 2" xfId="21773" xr:uid="{00000000-0005-0000-0000-00000D540000}"/>
    <cellStyle name="Normal 251 2 2 4 2 2" xfId="21774" xr:uid="{00000000-0005-0000-0000-00000E540000}"/>
    <cellStyle name="Normal 251 2 2 4 3" xfId="21775" xr:uid="{00000000-0005-0000-0000-00000F540000}"/>
    <cellStyle name="Normal 251 2 2 5" xfId="21776" xr:uid="{00000000-0005-0000-0000-000010540000}"/>
    <cellStyle name="Normal 251 2 3" xfId="21777" xr:uid="{00000000-0005-0000-0000-000011540000}"/>
    <cellStyle name="Normal 251 2 3 2" xfId="21778" xr:uid="{00000000-0005-0000-0000-000012540000}"/>
    <cellStyle name="Normal 251 2 3 2 2" xfId="21779" xr:uid="{00000000-0005-0000-0000-000013540000}"/>
    <cellStyle name="Normal 251 2 3 2 2 2" xfId="21780" xr:uid="{00000000-0005-0000-0000-000014540000}"/>
    <cellStyle name="Normal 251 2 3 2 3" xfId="21781" xr:uid="{00000000-0005-0000-0000-000015540000}"/>
    <cellStyle name="Normal 251 2 3 2 3 2" xfId="21782" xr:uid="{00000000-0005-0000-0000-000016540000}"/>
    <cellStyle name="Normal 251 2 3 2 3 2 2" xfId="21783" xr:uid="{00000000-0005-0000-0000-000017540000}"/>
    <cellStyle name="Normal 251 2 3 2 3 3" xfId="21784" xr:uid="{00000000-0005-0000-0000-000018540000}"/>
    <cellStyle name="Normal 251 2 3 2 4" xfId="21785" xr:uid="{00000000-0005-0000-0000-000019540000}"/>
    <cellStyle name="Normal 251 2 3 3" xfId="21786" xr:uid="{00000000-0005-0000-0000-00001A540000}"/>
    <cellStyle name="Normal 251 2 3 3 2" xfId="21787" xr:uid="{00000000-0005-0000-0000-00001B540000}"/>
    <cellStyle name="Normal 251 2 3 3 2 2" xfId="21788" xr:uid="{00000000-0005-0000-0000-00001C540000}"/>
    <cellStyle name="Normal 251 2 3 3 3" xfId="21789" xr:uid="{00000000-0005-0000-0000-00001D540000}"/>
    <cellStyle name="Normal 251 2 3 4" xfId="21790" xr:uid="{00000000-0005-0000-0000-00001E540000}"/>
    <cellStyle name="Normal 251 2 3 4 2" xfId="21791" xr:uid="{00000000-0005-0000-0000-00001F540000}"/>
    <cellStyle name="Normal 251 2 3 4 2 2" xfId="21792" xr:uid="{00000000-0005-0000-0000-000020540000}"/>
    <cellStyle name="Normal 251 2 3 4 3" xfId="21793" xr:uid="{00000000-0005-0000-0000-000021540000}"/>
    <cellStyle name="Normal 251 2 3 5" xfId="21794" xr:uid="{00000000-0005-0000-0000-000022540000}"/>
    <cellStyle name="Normal 251 2 3 5 2" xfId="21795" xr:uid="{00000000-0005-0000-0000-000023540000}"/>
    <cellStyle name="Normal 251 2 3 5 2 2" xfId="21796" xr:uid="{00000000-0005-0000-0000-000024540000}"/>
    <cellStyle name="Normal 251 2 3 5 3" xfId="21797" xr:uid="{00000000-0005-0000-0000-000025540000}"/>
    <cellStyle name="Normal 251 2 3 6" xfId="21798" xr:uid="{00000000-0005-0000-0000-000026540000}"/>
    <cellStyle name="Normal 251 2 4" xfId="21799" xr:uid="{00000000-0005-0000-0000-000027540000}"/>
    <cellStyle name="Normal 251 2 4 2" xfId="21800" xr:uid="{00000000-0005-0000-0000-000028540000}"/>
    <cellStyle name="Normal 251 2 4 2 2" xfId="21801" xr:uid="{00000000-0005-0000-0000-000029540000}"/>
    <cellStyle name="Normal 251 2 4 3" xfId="21802" xr:uid="{00000000-0005-0000-0000-00002A540000}"/>
    <cellStyle name="Normal 251 2 5" xfId="21803" xr:uid="{00000000-0005-0000-0000-00002B540000}"/>
    <cellStyle name="Normal 251 2 5 2" xfId="21804" xr:uid="{00000000-0005-0000-0000-00002C540000}"/>
    <cellStyle name="Normal 251 2 5 2 2" xfId="21805" xr:uid="{00000000-0005-0000-0000-00002D540000}"/>
    <cellStyle name="Normal 251 2 5 3" xfId="21806" xr:uid="{00000000-0005-0000-0000-00002E540000}"/>
    <cellStyle name="Normal 251 2 6" xfId="21807" xr:uid="{00000000-0005-0000-0000-00002F540000}"/>
    <cellStyle name="Normal 251 2 6 2" xfId="21808" xr:uid="{00000000-0005-0000-0000-000030540000}"/>
    <cellStyle name="Normal 251 2 6 2 2" xfId="21809" xr:uid="{00000000-0005-0000-0000-000031540000}"/>
    <cellStyle name="Normal 251 2 6 3" xfId="21810" xr:uid="{00000000-0005-0000-0000-000032540000}"/>
    <cellStyle name="Normal 251 2 7" xfId="21811" xr:uid="{00000000-0005-0000-0000-000033540000}"/>
    <cellStyle name="Normal 251 3" xfId="21812" xr:uid="{00000000-0005-0000-0000-000034540000}"/>
    <cellStyle name="Normal 251 3 2" xfId="21813" xr:uid="{00000000-0005-0000-0000-000035540000}"/>
    <cellStyle name="Normal 251 3 2 2" xfId="21814" xr:uid="{00000000-0005-0000-0000-000036540000}"/>
    <cellStyle name="Normal 251 3 3" xfId="21815" xr:uid="{00000000-0005-0000-0000-000037540000}"/>
    <cellStyle name="Normal 251 3 3 2" xfId="21816" xr:uid="{00000000-0005-0000-0000-000038540000}"/>
    <cellStyle name="Normal 251 3 3 2 2" xfId="21817" xr:uid="{00000000-0005-0000-0000-000039540000}"/>
    <cellStyle name="Normal 251 3 3 3" xfId="21818" xr:uid="{00000000-0005-0000-0000-00003A540000}"/>
    <cellStyle name="Normal 251 3 4" xfId="21819" xr:uid="{00000000-0005-0000-0000-00003B540000}"/>
    <cellStyle name="Normal 251 3 4 2" xfId="21820" xr:uid="{00000000-0005-0000-0000-00003C540000}"/>
    <cellStyle name="Normal 251 3 4 2 2" xfId="21821" xr:uid="{00000000-0005-0000-0000-00003D540000}"/>
    <cellStyle name="Normal 251 3 4 3" xfId="21822" xr:uid="{00000000-0005-0000-0000-00003E540000}"/>
    <cellStyle name="Normal 251 3 5" xfId="21823" xr:uid="{00000000-0005-0000-0000-00003F540000}"/>
    <cellStyle name="Normal 251 4" xfId="21824" xr:uid="{00000000-0005-0000-0000-000040540000}"/>
    <cellStyle name="Normal 251 4 2" xfId="21825" xr:uid="{00000000-0005-0000-0000-000041540000}"/>
    <cellStyle name="Normal 251 4 2 2" xfId="21826" xr:uid="{00000000-0005-0000-0000-000042540000}"/>
    <cellStyle name="Normal 251 4 2 2 2" xfId="21827" xr:uid="{00000000-0005-0000-0000-000043540000}"/>
    <cellStyle name="Normal 251 4 2 3" xfId="21828" xr:uid="{00000000-0005-0000-0000-000044540000}"/>
    <cellStyle name="Normal 251 4 2 3 2" xfId="21829" xr:uid="{00000000-0005-0000-0000-000045540000}"/>
    <cellStyle name="Normal 251 4 2 3 2 2" xfId="21830" xr:uid="{00000000-0005-0000-0000-000046540000}"/>
    <cellStyle name="Normal 251 4 2 3 3" xfId="21831" xr:uid="{00000000-0005-0000-0000-000047540000}"/>
    <cellStyle name="Normal 251 4 2 4" xfId="21832" xr:uid="{00000000-0005-0000-0000-000048540000}"/>
    <cellStyle name="Normal 251 4 3" xfId="21833" xr:uid="{00000000-0005-0000-0000-000049540000}"/>
    <cellStyle name="Normal 251 4 3 2" xfId="21834" xr:uid="{00000000-0005-0000-0000-00004A540000}"/>
    <cellStyle name="Normal 251 4 3 2 2" xfId="21835" xr:uid="{00000000-0005-0000-0000-00004B540000}"/>
    <cellStyle name="Normal 251 4 3 3" xfId="21836" xr:uid="{00000000-0005-0000-0000-00004C540000}"/>
    <cellStyle name="Normal 251 4 4" xfId="21837" xr:uid="{00000000-0005-0000-0000-00004D540000}"/>
    <cellStyle name="Normal 251 4 4 2" xfId="21838" xr:uid="{00000000-0005-0000-0000-00004E540000}"/>
    <cellStyle name="Normal 251 4 4 2 2" xfId="21839" xr:uid="{00000000-0005-0000-0000-00004F540000}"/>
    <cellStyle name="Normal 251 4 4 3" xfId="21840" xr:uid="{00000000-0005-0000-0000-000050540000}"/>
    <cellStyle name="Normal 251 4 5" xfId="21841" xr:uid="{00000000-0005-0000-0000-000051540000}"/>
    <cellStyle name="Normal 251 4 5 2" xfId="21842" xr:uid="{00000000-0005-0000-0000-000052540000}"/>
    <cellStyle name="Normal 251 4 5 2 2" xfId="21843" xr:uid="{00000000-0005-0000-0000-000053540000}"/>
    <cellStyle name="Normal 251 4 5 3" xfId="21844" xr:uid="{00000000-0005-0000-0000-000054540000}"/>
    <cellStyle name="Normal 251 4 6" xfId="21845" xr:uid="{00000000-0005-0000-0000-000055540000}"/>
    <cellStyle name="Normal 251 5" xfId="21846" xr:uid="{00000000-0005-0000-0000-000056540000}"/>
    <cellStyle name="Normal 251 5 2" xfId="21847" xr:uid="{00000000-0005-0000-0000-000057540000}"/>
    <cellStyle name="Normal 251 5 2 2" xfId="21848" xr:uid="{00000000-0005-0000-0000-000058540000}"/>
    <cellStyle name="Normal 251 5 3" xfId="21849" xr:uid="{00000000-0005-0000-0000-000059540000}"/>
    <cellStyle name="Normal 251 6" xfId="21850" xr:uid="{00000000-0005-0000-0000-00005A540000}"/>
    <cellStyle name="Normal 251 6 2" xfId="21851" xr:uid="{00000000-0005-0000-0000-00005B540000}"/>
    <cellStyle name="Normal 251 6 2 2" xfId="21852" xr:uid="{00000000-0005-0000-0000-00005C540000}"/>
    <cellStyle name="Normal 251 6 3" xfId="21853" xr:uid="{00000000-0005-0000-0000-00005D540000}"/>
    <cellStyle name="Normal 251 7" xfId="21854" xr:uid="{00000000-0005-0000-0000-00005E540000}"/>
    <cellStyle name="Normal 251 7 2" xfId="21855" xr:uid="{00000000-0005-0000-0000-00005F540000}"/>
    <cellStyle name="Normal 251 7 2 2" xfId="21856" xr:uid="{00000000-0005-0000-0000-000060540000}"/>
    <cellStyle name="Normal 251 7 3" xfId="21857" xr:uid="{00000000-0005-0000-0000-000061540000}"/>
    <cellStyle name="Normal 251 8" xfId="21858" xr:uid="{00000000-0005-0000-0000-000062540000}"/>
    <cellStyle name="Normal 252" xfId="21859" xr:uid="{00000000-0005-0000-0000-000063540000}"/>
    <cellStyle name="Normal 252 2" xfId="21860" xr:uid="{00000000-0005-0000-0000-000064540000}"/>
    <cellStyle name="Normal 252 2 2" xfId="21861" xr:uid="{00000000-0005-0000-0000-000065540000}"/>
    <cellStyle name="Normal 252 2 2 2" xfId="21862" xr:uid="{00000000-0005-0000-0000-000066540000}"/>
    <cellStyle name="Normal 252 2 2 2 2" xfId="21863" xr:uid="{00000000-0005-0000-0000-000067540000}"/>
    <cellStyle name="Normal 252 2 2 3" xfId="21864" xr:uid="{00000000-0005-0000-0000-000068540000}"/>
    <cellStyle name="Normal 252 2 2 3 2" xfId="21865" xr:uid="{00000000-0005-0000-0000-000069540000}"/>
    <cellStyle name="Normal 252 2 2 3 2 2" xfId="21866" xr:uid="{00000000-0005-0000-0000-00006A540000}"/>
    <cellStyle name="Normal 252 2 2 3 3" xfId="21867" xr:uid="{00000000-0005-0000-0000-00006B540000}"/>
    <cellStyle name="Normal 252 2 2 4" xfId="21868" xr:uid="{00000000-0005-0000-0000-00006C540000}"/>
    <cellStyle name="Normal 252 2 2 4 2" xfId="21869" xr:uid="{00000000-0005-0000-0000-00006D540000}"/>
    <cellStyle name="Normal 252 2 2 4 2 2" xfId="21870" xr:uid="{00000000-0005-0000-0000-00006E540000}"/>
    <cellStyle name="Normal 252 2 2 4 3" xfId="21871" xr:uid="{00000000-0005-0000-0000-00006F540000}"/>
    <cellStyle name="Normal 252 2 2 5" xfId="21872" xr:uid="{00000000-0005-0000-0000-000070540000}"/>
    <cellStyle name="Normal 252 2 3" xfId="21873" xr:uid="{00000000-0005-0000-0000-000071540000}"/>
    <cellStyle name="Normal 252 2 3 2" xfId="21874" xr:uid="{00000000-0005-0000-0000-000072540000}"/>
    <cellStyle name="Normal 252 2 3 2 2" xfId="21875" xr:uid="{00000000-0005-0000-0000-000073540000}"/>
    <cellStyle name="Normal 252 2 3 2 2 2" xfId="21876" xr:uid="{00000000-0005-0000-0000-000074540000}"/>
    <cellStyle name="Normal 252 2 3 2 3" xfId="21877" xr:uid="{00000000-0005-0000-0000-000075540000}"/>
    <cellStyle name="Normal 252 2 3 2 3 2" xfId="21878" xr:uid="{00000000-0005-0000-0000-000076540000}"/>
    <cellStyle name="Normal 252 2 3 2 3 2 2" xfId="21879" xr:uid="{00000000-0005-0000-0000-000077540000}"/>
    <cellStyle name="Normal 252 2 3 2 3 3" xfId="21880" xr:uid="{00000000-0005-0000-0000-000078540000}"/>
    <cellStyle name="Normal 252 2 3 2 4" xfId="21881" xr:uid="{00000000-0005-0000-0000-000079540000}"/>
    <cellStyle name="Normal 252 2 3 3" xfId="21882" xr:uid="{00000000-0005-0000-0000-00007A540000}"/>
    <cellStyle name="Normal 252 2 3 3 2" xfId="21883" xr:uid="{00000000-0005-0000-0000-00007B540000}"/>
    <cellStyle name="Normal 252 2 3 3 2 2" xfId="21884" xr:uid="{00000000-0005-0000-0000-00007C540000}"/>
    <cellStyle name="Normal 252 2 3 3 3" xfId="21885" xr:uid="{00000000-0005-0000-0000-00007D540000}"/>
    <cellStyle name="Normal 252 2 3 4" xfId="21886" xr:uid="{00000000-0005-0000-0000-00007E540000}"/>
    <cellStyle name="Normal 252 2 3 4 2" xfId="21887" xr:uid="{00000000-0005-0000-0000-00007F540000}"/>
    <cellStyle name="Normal 252 2 3 4 2 2" xfId="21888" xr:uid="{00000000-0005-0000-0000-000080540000}"/>
    <cellStyle name="Normal 252 2 3 4 3" xfId="21889" xr:uid="{00000000-0005-0000-0000-000081540000}"/>
    <cellStyle name="Normal 252 2 3 5" xfId="21890" xr:uid="{00000000-0005-0000-0000-000082540000}"/>
    <cellStyle name="Normal 252 2 3 5 2" xfId="21891" xr:uid="{00000000-0005-0000-0000-000083540000}"/>
    <cellStyle name="Normal 252 2 3 5 2 2" xfId="21892" xr:uid="{00000000-0005-0000-0000-000084540000}"/>
    <cellStyle name="Normal 252 2 3 5 3" xfId="21893" xr:uid="{00000000-0005-0000-0000-000085540000}"/>
    <cellStyle name="Normal 252 2 3 6" xfId="21894" xr:uid="{00000000-0005-0000-0000-000086540000}"/>
    <cellStyle name="Normal 252 2 4" xfId="21895" xr:uid="{00000000-0005-0000-0000-000087540000}"/>
    <cellStyle name="Normal 252 2 4 2" xfId="21896" xr:uid="{00000000-0005-0000-0000-000088540000}"/>
    <cellStyle name="Normal 252 2 4 2 2" xfId="21897" xr:uid="{00000000-0005-0000-0000-000089540000}"/>
    <cellStyle name="Normal 252 2 4 3" xfId="21898" xr:uid="{00000000-0005-0000-0000-00008A540000}"/>
    <cellStyle name="Normal 252 2 5" xfId="21899" xr:uid="{00000000-0005-0000-0000-00008B540000}"/>
    <cellStyle name="Normal 252 2 5 2" xfId="21900" xr:uid="{00000000-0005-0000-0000-00008C540000}"/>
    <cellStyle name="Normal 252 2 5 2 2" xfId="21901" xr:uid="{00000000-0005-0000-0000-00008D540000}"/>
    <cellStyle name="Normal 252 2 5 3" xfId="21902" xr:uid="{00000000-0005-0000-0000-00008E540000}"/>
    <cellStyle name="Normal 252 2 6" xfId="21903" xr:uid="{00000000-0005-0000-0000-00008F540000}"/>
    <cellStyle name="Normal 252 2 6 2" xfId="21904" xr:uid="{00000000-0005-0000-0000-000090540000}"/>
    <cellStyle name="Normal 252 2 6 2 2" xfId="21905" xr:uid="{00000000-0005-0000-0000-000091540000}"/>
    <cellStyle name="Normal 252 2 6 3" xfId="21906" xr:uid="{00000000-0005-0000-0000-000092540000}"/>
    <cellStyle name="Normal 252 2 7" xfId="21907" xr:uid="{00000000-0005-0000-0000-000093540000}"/>
    <cellStyle name="Normal 252 3" xfId="21908" xr:uid="{00000000-0005-0000-0000-000094540000}"/>
    <cellStyle name="Normal 252 3 2" xfId="21909" xr:uid="{00000000-0005-0000-0000-000095540000}"/>
    <cellStyle name="Normal 252 3 2 2" xfId="21910" xr:uid="{00000000-0005-0000-0000-000096540000}"/>
    <cellStyle name="Normal 252 3 3" xfId="21911" xr:uid="{00000000-0005-0000-0000-000097540000}"/>
    <cellStyle name="Normal 252 3 3 2" xfId="21912" xr:uid="{00000000-0005-0000-0000-000098540000}"/>
    <cellStyle name="Normal 252 3 3 2 2" xfId="21913" xr:uid="{00000000-0005-0000-0000-000099540000}"/>
    <cellStyle name="Normal 252 3 3 3" xfId="21914" xr:uid="{00000000-0005-0000-0000-00009A540000}"/>
    <cellStyle name="Normal 252 3 4" xfId="21915" xr:uid="{00000000-0005-0000-0000-00009B540000}"/>
    <cellStyle name="Normal 252 3 4 2" xfId="21916" xr:uid="{00000000-0005-0000-0000-00009C540000}"/>
    <cellStyle name="Normal 252 3 4 2 2" xfId="21917" xr:uid="{00000000-0005-0000-0000-00009D540000}"/>
    <cellStyle name="Normal 252 3 4 3" xfId="21918" xr:uid="{00000000-0005-0000-0000-00009E540000}"/>
    <cellStyle name="Normal 252 3 5" xfId="21919" xr:uid="{00000000-0005-0000-0000-00009F540000}"/>
    <cellStyle name="Normal 252 4" xfId="21920" xr:uid="{00000000-0005-0000-0000-0000A0540000}"/>
    <cellStyle name="Normal 252 4 2" xfId="21921" xr:uid="{00000000-0005-0000-0000-0000A1540000}"/>
    <cellStyle name="Normal 252 4 2 2" xfId="21922" xr:uid="{00000000-0005-0000-0000-0000A2540000}"/>
    <cellStyle name="Normal 252 4 2 2 2" xfId="21923" xr:uid="{00000000-0005-0000-0000-0000A3540000}"/>
    <cellStyle name="Normal 252 4 2 3" xfId="21924" xr:uid="{00000000-0005-0000-0000-0000A4540000}"/>
    <cellStyle name="Normal 252 4 2 3 2" xfId="21925" xr:uid="{00000000-0005-0000-0000-0000A5540000}"/>
    <cellStyle name="Normal 252 4 2 3 2 2" xfId="21926" xr:uid="{00000000-0005-0000-0000-0000A6540000}"/>
    <cellStyle name="Normal 252 4 2 3 3" xfId="21927" xr:uid="{00000000-0005-0000-0000-0000A7540000}"/>
    <cellStyle name="Normal 252 4 2 4" xfId="21928" xr:uid="{00000000-0005-0000-0000-0000A8540000}"/>
    <cellStyle name="Normal 252 4 3" xfId="21929" xr:uid="{00000000-0005-0000-0000-0000A9540000}"/>
    <cellStyle name="Normal 252 4 3 2" xfId="21930" xr:uid="{00000000-0005-0000-0000-0000AA540000}"/>
    <cellStyle name="Normal 252 4 3 2 2" xfId="21931" xr:uid="{00000000-0005-0000-0000-0000AB540000}"/>
    <cellStyle name="Normal 252 4 3 3" xfId="21932" xr:uid="{00000000-0005-0000-0000-0000AC540000}"/>
    <cellStyle name="Normal 252 4 4" xfId="21933" xr:uid="{00000000-0005-0000-0000-0000AD540000}"/>
    <cellStyle name="Normal 252 4 4 2" xfId="21934" xr:uid="{00000000-0005-0000-0000-0000AE540000}"/>
    <cellStyle name="Normal 252 4 4 2 2" xfId="21935" xr:uid="{00000000-0005-0000-0000-0000AF540000}"/>
    <cellStyle name="Normal 252 4 4 3" xfId="21936" xr:uid="{00000000-0005-0000-0000-0000B0540000}"/>
    <cellStyle name="Normal 252 4 5" xfId="21937" xr:uid="{00000000-0005-0000-0000-0000B1540000}"/>
    <cellStyle name="Normal 252 4 5 2" xfId="21938" xr:uid="{00000000-0005-0000-0000-0000B2540000}"/>
    <cellStyle name="Normal 252 4 5 2 2" xfId="21939" xr:uid="{00000000-0005-0000-0000-0000B3540000}"/>
    <cellStyle name="Normal 252 4 5 3" xfId="21940" xr:uid="{00000000-0005-0000-0000-0000B4540000}"/>
    <cellStyle name="Normal 252 4 6" xfId="21941" xr:uid="{00000000-0005-0000-0000-0000B5540000}"/>
    <cellStyle name="Normal 252 5" xfId="21942" xr:uid="{00000000-0005-0000-0000-0000B6540000}"/>
    <cellStyle name="Normal 252 5 2" xfId="21943" xr:uid="{00000000-0005-0000-0000-0000B7540000}"/>
    <cellStyle name="Normal 252 5 2 2" xfId="21944" xr:uid="{00000000-0005-0000-0000-0000B8540000}"/>
    <cellStyle name="Normal 252 5 3" xfId="21945" xr:uid="{00000000-0005-0000-0000-0000B9540000}"/>
    <cellStyle name="Normal 252 6" xfId="21946" xr:uid="{00000000-0005-0000-0000-0000BA540000}"/>
    <cellStyle name="Normal 252 6 2" xfId="21947" xr:uid="{00000000-0005-0000-0000-0000BB540000}"/>
    <cellStyle name="Normal 252 6 2 2" xfId="21948" xr:uid="{00000000-0005-0000-0000-0000BC540000}"/>
    <cellStyle name="Normal 252 6 3" xfId="21949" xr:uid="{00000000-0005-0000-0000-0000BD540000}"/>
    <cellStyle name="Normal 252 7" xfId="21950" xr:uid="{00000000-0005-0000-0000-0000BE540000}"/>
    <cellStyle name="Normal 252 7 2" xfId="21951" xr:uid="{00000000-0005-0000-0000-0000BF540000}"/>
    <cellStyle name="Normal 252 7 2 2" xfId="21952" xr:uid="{00000000-0005-0000-0000-0000C0540000}"/>
    <cellStyle name="Normal 252 7 3" xfId="21953" xr:uid="{00000000-0005-0000-0000-0000C1540000}"/>
    <cellStyle name="Normal 252 8" xfId="21954" xr:uid="{00000000-0005-0000-0000-0000C2540000}"/>
    <cellStyle name="Normal 253" xfId="21955" xr:uid="{00000000-0005-0000-0000-0000C3540000}"/>
    <cellStyle name="Normal 253 2" xfId="21956" xr:uid="{00000000-0005-0000-0000-0000C4540000}"/>
    <cellStyle name="Normal 253 2 2" xfId="21957" xr:uid="{00000000-0005-0000-0000-0000C5540000}"/>
    <cellStyle name="Normal 253 2 2 2" xfId="21958" xr:uid="{00000000-0005-0000-0000-0000C6540000}"/>
    <cellStyle name="Normal 253 2 2 2 2" xfId="21959" xr:uid="{00000000-0005-0000-0000-0000C7540000}"/>
    <cellStyle name="Normal 253 2 2 3" xfId="21960" xr:uid="{00000000-0005-0000-0000-0000C8540000}"/>
    <cellStyle name="Normal 253 2 2 3 2" xfId="21961" xr:uid="{00000000-0005-0000-0000-0000C9540000}"/>
    <cellStyle name="Normal 253 2 2 3 2 2" xfId="21962" xr:uid="{00000000-0005-0000-0000-0000CA540000}"/>
    <cellStyle name="Normal 253 2 2 3 3" xfId="21963" xr:uid="{00000000-0005-0000-0000-0000CB540000}"/>
    <cellStyle name="Normal 253 2 2 4" xfId="21964" xr:uid="{00000000-0005-0000-0000-0000CC540000}"/>
    <cellStyle name="Normal 253 2 2 4 2" xfId="21965" xr:uid="{00000000-0005-0000-0000-0000CD540000}"/>
    <cellStyle name="Normal 253 2 2 4 2 2" xfId="21966" xr:uid="{00000000-0005-0000-0000-0000CE540000}"/>
    <cellStyle name="Normal 253 2 2 4 3" xfId="21967" xr:uid="{00000000-0005-0000-0000-0000CF540000}"/>
    <cellStyle name="Normal 253 2 2 5" xfId="21968" xr:uid="{00000000-0005-0000-0000-0000D0540000}"/>
    <cellStyle name="Normal 253 2 3" xfId="21969" xr:uid="{00000000-0005-0000-0000-0000D1540000}"/>
    <cellStyle name="Normal 253 2 3 2" xfId="21970" xr:uid="{00000000-0005-0000-0000-0000D2540000}"/>
    <cellStyle name="Normal 253 2 3 2 2" xfId="21971" xr:uid="{00000000-0005-0000-0000-0000D3540000}"/>
    <cellStyle name="Normal 253 2 3 2 2 2" xfId="21972" xr:uid="{00000000-0005-0000-0000-0000D4540000}"/>
    <cellStyle name="Normal 253 2 3 2 3" xfId="21973" xr:uid="{00000000-0005-0000-0000-0000D5540000}"/>
    <cellStyle name="Normal 253 2 3 2 3 2" xfId="21974" xr:uid="{00000000-0005-0000-0000-0000D6540000}"/>
    <cellStyle name="Normal 253 2 3 2 3 2 2" xfId="21975" xr:uid="{00000000-0005-0000-0000-0000D7540000}"/>
    <cellStyle name="Normal 253 2 3 2 3 3" xfId="21976" xr:uid="{00000000-0005-0000-0000-0000D8540000}"/>
    <cellStyle name="Normal 253 2 3 2 4" xfId="21977" xr:uid="{00000000-0005-0000-0000-0000D9540000}"/>
    <cellStyle name="Normal 253 2 3 3" xfId="21978" xr:uid="{00000000-0005-0000-0000-0000DA540000}"/>
    <cellStyle name="Normal 253 2 3 3 2" xfId="21979" xr:uid="{00000000-0005-0000-0000-0000DB540000}"/>
    <cellStyle name="Normal 253 2 3 3 2 2" xfId="21980" xr:uid="{00000000-0005-0000-0000-0000DC540000}"/>
    <cellStyle name="Normal 253 2 3 3 3" xfId="21981" xr:uid="{00000000-0005-0000-0000-0000DD540000}"/>
    <cellStyle name="Normal 253 2 3 4" xfId="21982" xr:uid="{00000000-0005-0000-0000-0000DE540000}"/>
    <cellStyle name="Normal 253 2 3 4 2" xfId="21983" xr:uid="{00000000-0005-0000-0000-0000DF540000}"/>
    <cellStyle name="Normal 253 2 3 4 2 2" xfId="21984" xr:uid="{00000000-0005-0000-0000-0000E0540000}"/>
    <cellStyle name="Normal 253 2 3 4 3" xfId="21985" xr:uid="{00000000-0005-0000-0000-0000E1540000}"/>
    <cellStyle name="Normal 253 2 3 5" xfId="21986" xr:uid="{00000000-0005-0000-0000-0000E2540000}"/>
    <cellStyle name="Normal 253 2 3 5 2" xfId="21987" xr:uid="{00000000-0005-0000-0000-0000E3540000}"/>
    <cellStyle name="Normal 253 2 3 5 2 2" xfId="21988" xr:uid="{00000000-0005-0000-0000-0000E4540000}"/>
    <cellStyle name="Normal 253 2 3 5 3" xfId="21989" xr:uid="{00000000-0005-0000-0000-0000E5540000}"/>
    <cellStyle name="Normal 253 2 3 6" xfId="21990" xr:uid="{00000000-0005-0000-0000-0000E6540000}"/>
    <cellStyle name="Normal 253 2 4" xfId="21991" xr:uid="{00000000-0005-0000-0000-0000E7540000}"/>
    <cellStyle name="Normal 253 2 4 2" xfId="21992" xr:uid="{00000000-0005-0000-0000-0000E8540000}"/>
    <cellStyle name="Normal 253 2 4 2 2" xfId="21993" xr:uid="{00000000-0005-0000-0000-0000E9540000}"/>
    <cellStyle name="Normal 253 2 4 3" xfId="21994" xr:uid="{00000000-0005-0000-0000-0000EA540000}"/>
    <cellStyle name="Normal 253 2 5" xfId="21995" xr:uid="{00000000-0005-0000-0000-0000EB540000}"/>
    <cellStyle name="Normal 253 2 5 2" xfId="21996" xr:uid="{00000000-0005-0000-0000-0000EC540000}"/>
    <cellStyle name="Normal 253 2 5 2 2" xfId="21997" xr:uid="{00000000-0005-0000-0000-0000ED540000}"/>
    <cellStyle name="Normal 253 2 5 3" xfId="21998" xr:uid="{00000000-0005-0000-0000-0000EE540000}"/>
    <cellStyle name="Normal 253 2 6" xfId="21999" xr:uid="{00000000-0005-0000-0000-0000EF540000}"/>
    <cellStyle name="Normal 253 2 6 2" xfId="22000" xr:uid="{00000000-0005-0000-0000-0000F0540000}"/>
    <cellStyle name="Normal 253 2 6 2 2" xfId="22001" xr:uid="{00000000-0005-0000-0000-0000F1540000}"/>
    <cellStyle name="Normal 253 2 6 3" xfId="22002" xr:uid="{00000000-0005-0000-0000-0000F2540000}"/>
    <cellStyle name="Normal 253 2 7" xfId="22003" xr:uid="{00000000-0005-0000-0000-0000F3540000}"/>
    <cellStyle name="Normal 253 3" xfId="22004" xr:uid="{00000000-0005-0000-0000-0000F4540000}"/>
    <cellStyle name="Normal 253 3 2" xfId="22005" xr:uid="{00000000-0005-0000-0000-0000F5540000}"/>
    <cellStyle name="Normal 253 3 2 2" xfId="22006" xr:uid="{00000000-0005-0000-0000-0000F6540000}"/>
    <cellStyle name="Normal 253 3 3" xfId="22007" xr:uid="{00000000-0005-0000-0000-0000F7540000}"/>
    <cellStyle name="Normal 253 3 3 2" xfId="22008" xr:uid="{00000000-0005-0000-0000-0000F8540000}"/>
    <cellStyle name="Normal 253 3 3 2 2" xfId="22009" xr:uid="{00000000-0005-0000-0000-0000F9540000}"/>
    <cellStyle name="Normal 253 3 3 3" xfId="22010" xr:uid="{00000000-0005-0000-0000-0000FA540000}"/>
    <cellStyle name="Normal 253 3 4" xfId="22011" xr:uid="{00000000-0005-0000-0000-0000FB540000}"/>
    <cellStyle name="Normal 253 3 4 2" xfId="22012" xr:uid="{00000000-0005-0000-0000-0000FC540000}"/>
    <cellStyle name="Normal 253 3 4 2 2" xfId="22013" xr:uid="{00000000-0005-0000-0000-0000FD540000}"/>
    <cellStyle name="Normal 253 3 4 3" xfId="22014" xr:uid="{00000000-0005-0000-0000-0000FE540000}"/>
    <cellStyle name="Normal 253 3 5" xfId="22015" xr:uid="{00000000-0005-0000-0000-0000FF540000}"/>
    <cellStyle name="Normal 253 4" xfId="22016" xr:uid="{00000000-0005-0000-0000-000000550000}"/>
    <cellStyle name="Normal 253 4 2" xfId="22017" xr:uid="{00000000-0005-0000-0000-000001550000}"/>
    <cellStyle name="Normal 253 4 2 2" xfId="22018" xr:uid="{00000000-0005-0000-0000-000002550000}"/>
    <cellStyle name="Normal 253 4 2 2 2" xfId="22019" xr:uid="{00000000-0005-0000-0000-000003550000}"/>
    <cellStyle name="Normal 253 4 2 3" xfId="22020" xr:uid="{00000000-0005-0000-0000-000004550000}"/>
    <cellStyle name="Normal 253 4 2 3 2" xfId="22021" xr:uid="{00000000-0005-0000-0000-000005550000}"/>
    <cellStyle name="Normal 253 4 2 3 2 2" xfId="22022" xr:uid="{00000000-0005-0000-0000-000006550000}"/>
    <cellStyle name="Normal 253 4 2 3 3" xfId="22023" xr:uid="{00000000-0005-0000-0000-000007550000}"/>
    <cellStyle name="Normal 253 4 2 4" xfId="22024" xr:uid="{00000000-0005-0000-0000-000008550000}"/>
    <cellStyle name="Normal 253 4 3" xfId="22025" xr:uid="{00000000-0005-0000-0000-000009550000}"/>
    <cellStyle name="Normal 253 4 3 2" xfId="22026" xr:uid="{00000000-0005-0000-0000-00000A550000}"/>
    <cellStyle name="Normal 253 4 3 2 2" xfId="22027" xr:uid="{00000000-0005-0000-0000-00000B550000}"/>
    <cellStyle name="Normal 253 4 3 3" xfId="22028" xr:uid="{00000000-0005-0000-0000-00000C550000}"/>
    <cellStyle name="Normal 253 4 4" xfId="22029" xr:uid="{00000000-0005-0000-0000-00000D550000}"/>
    <cellStyle name="Normal 253 4 4 2" xfId="22030" xr:uid="{00000000-0005-0000-0000-00000E550000}"/>
    <cellStyle name="Normal 253 4 4 2 2" xfId="22031" xr:uid="{00000000-0005-0000-0000-00000F550000}"/>
    <cellStyle name="Normal 253 4 4 3" xfId="22032" xr:uid="{00000000-0005-0000-0000-000010550000}"/>
    <cellStyle name="Normal 253 4 5" xfId="22033" xr:uid="{00000000-0005-0000-0000-000011550000}"/>
    <cellStyle name="Normal 253 4 5 2" xfId="22034" xr:uid="{00000000-0005-0000-0000-000012550000}"/>
    <cellStyle name="Normal 253 4 5 2 2" xfId="22035" xr:uid="{00000000-0005-0000-0000-000013550000}"/>
    <cellStyle name="Normal 253 4 5 3" xfId="22036" xr:uid="{00000000-0005-0000-0000-000014550000}"/>
    <cellStyle name="Normal 253 4 6" xfId="22037" xr:uid="{00000000-0005-0000-0000-000015550000}"/>
    <cellStyle name="Normal 253 5" xfId="22038" xr:uid="{00000000-0005-0000-0000-000016550000}"/>
    <cellStyle name="Normal 253 5 2" xfId="22039" xr:uid="{00000000-0005-0000-0000-000017550000}"/>
    <cellStyle name="Normal 253 5 2 2" xfId="22040" xr:uid="{00000000-0005-0000-0000-000018550000}"/>
    <cellStyle name="Normal 253 5 3" xfId="22041" xr:uid="{00000000-0005-0000-0000-000019550000}"/>
    <cellStyle name="Normal 253 6" xfId="22042" xr:uid="{00000000-0005-0000-0000-00001A550000}"/>
    <cellStyle name="Normal 253 6 2" xfId="22043" xr:uid="{00000000-0005-0000-0000-00001B550000}"/>
    <cellStyle name="Normal 253 6 2 2" xfId="22044" xr:uid="{00000000-0005-0000-0000-00001C550000}"/>
    <cellStyle name="Normal 253 6 3" xfId="22045" xr:uid="{00000000-0005-0000-0000-00001D550000}"/>
    <cellStyle name="Normal 253 7" xfId="22046" xr:uid="{00000000-0005-0000-0000-00001E550000}"/>
    <cellStyle name="Normal 253 7 2" xfId="22047" xr:uid="{00000000-0005-0000-0000-00001F550000}"/>
    <cellStyle name="Normal 253 7 2 2" xfId="22048" xr:uid="{00000000-0005-0000-0000-000020550000}"/>
    <cellStyle name="Normal 253 7 3" xfId="22049" xr:uid="{00000000-0005-0000-0000-000021550000}"/>
    <cellStyle name="Normal 253 8" xfId="22050" xr:uid="{00000000-0005-0000-0000-000022550000}"/>
    <cellStyle name="Normal 254" xfId="22051" xr:uid="{00000000-0005-0000-0000-000023550000}"/>
    <cellStyle name="Normal 254 2" xfId="22052" xr:uid="{00000000-0005-0000-0000-000024550000}"/>
    <cellStyle name="Normal 254 2 2" xfId="22053" xr:uid="{00000000-0005-0000-0000-000025550000}"/>
    <cellStyle name="Normal 254 2 2 2" xfId="22054" xr:uid="{00000000-0005-0000-0000-000026550000}"/>
    <cellStyle name="Normal 254 2 2 2 2" xfId="22055" xr:uid="{00000000-0005-0000-0000-000027550000}"/>
    <cellStyle name="Normal 254 2 2 3" xfId="22056" xr:uid="{00000000-0005-0000-0000-000028550000}"/>
    <cellStyle name="Normal 254 2 2 3 2" xfId="22057" xr:uid="{00000000-0005-0000-0000-000029550000}"/>
    <cellStyle name="Normal 254 2 2 3 2 2" xfId="22058" xr:uid="{00000000-0005-0000-0000-00002A550000}"/>
    <cellStyle name="Normal 254 2 2 3 3" xfId="22059" xr:uid="{00000000-0005-0000-0000-00002B550000}"/>
    <cellStyle name="Normal 254 2 2 4" xfId="22060" xr:uid="{00000000-0005-0000-0000-00002C550000}"/>
    <cellStyle name="Normal 254 2 2 4 2" xfId="22061" xr:uid="{00000000-0005-0000-0000-00002D550000}"/>
    <cellStyle name="Normal 254 2 2 4 2 2" xfId="22062" xr:uid="{00000000-0005-0000-0000-00002E550000}"/>
    <cellStyle name="Normal 254 2 2 4 3" xfId="22063" xr:uid="{00000000-0005-0000-0000-00002F550000}"/>
    <cellStyle name="Normal 254 2 2 5" xfId="22064" xr:uid="{00000000-0005-0000-0000-000030550000}"/>
    <cellStyle name="Normal 254 2 3" xfId="22065" xr:uid="{00000000-0005-0000-0000-000031550000}"/>
    <cellStyle name="Normal 254 2 3 2" xfId="22066" xr:uid="{00000000-0005-0000-0000-000032550000}"/>
    <cellStyle name="Normal 254 2 3 2 2" xfId="22067" xr:uid="{00000000-0005-0000-0000-000033550000}"/>
    <cellStyle name="Normal 254 2 3 2 2 2" xfId="22068" xr:uid="{00000000-0005-0000-0000-000034550000}"/>
    <cellStyle name="Normal 254 2 3 2 3" xfId="22069" xr:uid="{00000000-0005-0000-0000-000035550000}"/>
    <cellStyle name="Normal 254 2 3 2 3 2" xfId="22070" xr:uid="{00000000-0005-0000-0000-000036550000}"/>
    <cellStyle name="Normal 254 2 3 2 3 2 2" xfId="22071" xr:uid="{00000000-0005-0000-0000-000037550000}"/>
    <cellStyle name="Normal 254 2 3 2 3 3" xfId="22072" xr:uid="{00000000-0005-0000-0000-000038550000}"/>
    <cellStyle name="Normal 254 2 3 2 4" xfId="22073" xr:uid="{00000000-0005-0000-0000-000039550000}"/>
    <cellStyle name="Normal 254 2 3 3" xfId="22074" xr:uid="{00000000-0005-0000-0000-00003A550000}"/>
    <cellStyle name="Normal 254 2 3 3 2" xfId="22075" xr:uid="{00000000-0005-0000-0000-00003B550000}"/>
    <cellStyle name="Normal 254 2 3 3 2 2" xfId="22076" xr:uid="{00000000-0005-0000-0000-00003C550000}"/>
    <cellStyle name="Normal 254 2 3 3 3" xfId="22077" xr:uid="{00000000-0005-0000-0000-00003D550000}"/>
    <cellStyle name="Normal 254 2 3 4" xfId="22078" xr:uid="{00000000-0005-0000-0000-00003E550000}"/>
    <cellStyle name="Normal 254 2 3 4 2" xfId="22079" xr:uid="{00000000-0005-0000-0000-00003F550000}"/>
    <cellStyle name="Normal 254 2 3 4 2 2" xfId="22080" xr:uid="{00000000-0005-0000-0000-000040550000}"/>
    <cellStyle name="Normal 254 2 3 4 3" xfId="22081" xr:uid="{00000000-0005-0000-0000-000041550000}"/>
    <cellStyle name="Normal 254 2 3 5" xfId="22082" xr:uid="{00000000-0005-0000-0000-000042550000}"/>
    <cellStyle name="Normal 254 2 3 5 2" xfId="22083" xr:uid="{00000000-0005-0000-0000-000043550000}"/>
    <cellStyle name="Normal 254 2 3 5 2 2" xfId="22084" xr:uid="{00000000-0005-0000-0000-000044550000}"/>
    <cellStyle name="Normal 254 2 3 5 3" xfId="22085" xr:uid="{00000000-0005-0000-0000-000045550000}"/>
    <cellStyle name="Normal 254 2 3 6" xfId="22086" xr:uid="{00000000-0005-0000-0000-000046550000}"/>
    <cellStyle name="Normal 254 2 4" xfId="22087" xr:uid="{00000000-0005-0000-0000-000047550000}"/>
    <cellStyle name="Normal 254 2 4 2" xfId="22088" xr:uid="{00000000-0005-0000-0000-000048550000}"/>
    <cellStyle name="Normal 254 2 4 2 2" xfId="22089" xr:uid="{00000000-0005-0000-0000-000049550000}"/>
    <cellStyle name="Normal 254 2 4 3" xfId="22090" xr:uid="{00000000-0005-0000-0000-00004A550000}"/>
    <cellStyle name="Normal 254 2 5" xfId="22091" xr:uid="{00000000-0005-0000-0000-00004B550000}"/>
    <cellStyle name="Normal 254 2 5 2" xfId="22092" xr:uid="{00000000-0005-0000-0000-00004C550000}"/>
    <cellStyle name="Normal 254 2 5 2 2" xfId="22093" xr:uid="{00000000-0005-0000-0000-00004D550000}"/>
    <cellStyle name="Normal 254 2 5 3" xfId="22094" xr:uid="{00000000-0005-0000-0000-00004E550000}"/>
    <cellStyle name="Normal 254 2 6" xfId="22095" xr:uid="{00000000-0005-0000-0000-00004F550000}"/>
    <cellStyle name="Normal 254 2 6 2" xfId="22096" xr:uid="{00000000-0005-0000-0000-000050550000}"/>
    <cellStyle name="Normal 254 2 6 2 2" xfId="22097" xr:uid="{00000000-0005-0000-0000-000051550000}"/>
    <cellStyle name="Normal 254 2 6 3" xfId="22098" xr:uid="{00000000-0005-0000-0000-000052550000}"/>
    <cellStyle name="Normal 254 2 7" xfId="22099" xr:uid="{00000000-0005-0000-0000-000053550000}"/>
    <cellStyle name="Normal 254 3" xfId="22100" xr:uid="{00000000-0005-0000-0000-000054550000}"/>
    <cellStyle name="Normal 254 3 2" xfId="22101" xr:uid="{00000000-0005-0000-0000-000055550000}"/>
    <cellStyle name="Normal 254 3 2 2" xfId="22102" xr:uid="{00000000-0005-0000-0000-000056550000}"/>
    <cellStyle name="Normal 254 3 3" xfId="22103" xr:uid="{00000000-0005-0000-0000-000057550000}"/>
    <cellStyle name="Normal 254 3 3 2" xfId="22104" xr:uid="{00000000-0005-0000-0000-000058550000}"/>
    <cellStyle name="Normal 254 3 3 2 2" xfId="22105" xr:uid="{00000000-0005-0000-0000-000059550000}"/>
    <cellStyle name="Normal 254 3 3 3" xfId="22106" xr:uid="{00000000-0005-0000-0000-00005A550000}"/>
    <cellStyle name="Normal 254 3 4" xfId="22107" xr:uid="{00000000-0005-0000-0000-00005B550000}"/>
    <cellStyle name="Normal 254 3 4 2" xfId="22108" xr:uid="{00000000-0005-0000-0000-00005C550000}"/>
    <cellStyle name="Normal 254 3 4 2 2" xfId="22109" xr:uid="{00000000-0005-0000-0000-00005D550000}"/>
    <cellStyle name="Normal 254 3 4 3" xfId="22110" xr:uid="{00000000-0005-0000-0000-00005E550000}"/>
    <cellStyle name="Normal 254 3 5" xfId="22111" xr:uid="{00000000-0005-0000-0000-00005F550000}"/>
    <cellStyle name="Normal 254 4" xfId="22112" xr:uid="{00000000-0005-0000-0000-000060550000}"/>
    <cellStyle name="Normal 254 4 2" xfId="22113" xr:uid="{00000000-0005-0000-0000-000061550000}"/>
    <cellStyle name="Normal 254 4 2 2" xfId="22114" xr:uid="{00000000-0005-0000-0000-000062550000}"/>
    <cellStyle name="Normal 254 4 2 2 2" xfId="22115" xr:uid="{00000000-0005-0000-0000-000063550000}"/>
    <cellStyle name="Normal 254 4 2 3" xfId="22116" xr:uid="{00000000-0005-0000-0000-000064550000}"/>
    <cellStyle name="Normal 254 4 2 3 2" xfId="22117" xr:uid="{00000000-0005-0000-0000-000065550000}"/>
    <cellStyle name="Normal 254 4 2 3 2 2" xfId="22118" xr:uid="{00000000-0005-0000-0000-000066550000}"/>
    <cellStyle name="Normal 254 4 2 3 3" xfId="22119" xr:uid="{00000000-0005-0000-0000-000067550000}"/>
    <cellStyle name="Normal 254 4 2 4" xfId="22120" xr:uid="{00000000-0005-0000-0000-000068550000}"/>
    <cellStyle name="Normal 254 4 3" xfId="22121" xr:uid="{00000000-0005-0000-0000-000069550000}"/>
    <cellStyle name="Normal 254 4 3 2" xfId="22122" xr:uid="{00000000-0005-0000-0000-00006A550000}"/>
    <cellStyle name="Normal 254 4 3 2 2" xfId="22123" xr:uid="{00000000-0005-0000-0000-00006B550000}"/>
    <cellStyle name="Normal 254 4 3 3" xfId="22124" xr:uid="{00000000-0005-0000-0000-00006C550000}"/>
    <cellStyle name="Normal 254 4 4" xfId="22125" xr:uid="{00000000-0005-0000-0000-00006D550000}"/>
    <cellStyle name="Normal 254 4 4 2" xfId="22126" xr:uid="{00000000-0005-0000-0000-00006E550000}"/>
    <cellStyle name="Normal 254 4 4 2 2" xfId="22127" xr:uid="{00000000-0005-0000-0000-00006F550000}"/>
    <cellStyle name="Normal 254 4 4 3" xfId="22128" xr:uid="{00000000-0005-0000-0000-000070550000}"/>
    <cellStyle name="Normal 254 4 5" xfId="22129" xr:uid="{00000000-0005-0000-0000-000071550000}"/>
    <cellStyle name="Normal 254 4 5 2" xfId="22130" xr:uid="{00000000-0005-0000-0000-000072550000}"/>
    <cellStyle name="Normal 254 4 5 2 2" xfId="22131" xr:uid="{00000000-0005-0000-0000-000073550000}"/>
    <cellStyle name="Normal 254 4 5 3" xfId="22132" xr:uid="{00000000-0005-0000-0000-000074550000}"/>
    <cellStyle name="Normal 254 4 6" xfId="22133" xr:uid="{00000000-0005-0000-0000-000075550000}"/>
    <cellStyle name="Normal 254 5" xfId="22134" xr:uid="{00000000-0005-0000-0000-000076550000}"/>
    <cellStyle name="Normal 254 5 2" xfId="22135" xr:uid="{00000000-0005-0000-0000-000077550000}"/>
    <cellStyle name="Normal 254 5 2 2" xfId="22136" xr:uid="{00000000-0005-0000-0000-000078550000}"/>
    <cellStyle name="Normal 254 5 3" xfId="22137" xr:uid="{00000000-0005-0000-0000-000079550000}"/>
    <cellStyle name="Normal 254 6" xfId="22138" xr:uid="{00000000-0005-0000-0000-00007A550000}"/>
    <cellStyle name="Normal 254 6 2" xfId="22139" xr:uid="{00000000-0005-0000-0000-00007B550000}"/>
    <cellStyle name="Normal 254 6 2 2" xfId="22140" xr:uid="{00000000-0005-0000-0000-00007C550000}"/>
    <cellStyle name="Normal 254 6 3" xfId="22141" xr:uid="{00000000-0005-0000-0000-00007D550000}"/>
    <cellStyle name="Normal 254 7" xfId="22142" xr:uid="{00000000-0005-0000-0000-00007E550000}"/>
    <cellStyle name="Normal 254 7 2" xfId="22143" xr:uid="{00000000-0005-0000-0000-00007F550000}"/>
    <cellStyle name="Normal 254 7 2 2" xfId="22144" xr:uid="{00000000-0005-0000-0000-000080550000}"/>
    <cellStyle name="Normal 254 7 3" xfId="22145" xr:uid="{00000000-0005-0000-0000-000081550000}"/>
    <cellStyle name="Normal 254 8" xfId="22146" xr:uid="{00000000-0005-0000-0000-000082550000}"/>
    <cellStyle name="Normal 255" xfId="22147" xr:uid="{00000000-0005-0000-0000-000083550000}"/>
    <cellStyle name="Normal 255 2" xfId="22148" xr:uid="{00000000-0005-0000-0000-000084550000}"/>
    <cellStyle name="Normal 255 2 2" xfId="22149" xr:uid="{00000000-0005-0000-0000-000085550000}"/>
    <cellStyle name="Normal 255 2 2 2" xfId="22150" xr:uid="{00000000-0005-0000-0000-000086550000}"/>
    <cellStyle name="Normal 255 2 2 2 2" xfId="22151" xr:uid="{00000000-0005-0000-0000-000087550000}"/>
    <cellStyle name="Normal 255 2 2 3" xfId="22152" xr:uid="{00000000-0005-0000-0000-000088550000}"/>
    <cellStyle name="Normal 255 2 2 3 2" xfId="22153" xr:uid="{00000000-0005-0000-0000-000089550000}"/>
    <cellStyle name="Normal 255 2 2 3 2 2" xfId="22154" xr:uid="{00000000-0005-0000-0000-00008A550000}"/>
    <cellStyle name="Normal 255 2 2 3 3" xfId="22155" xr:uid="{00000000-0005-0000-0000-00008B550000}"/>
    <cellStyle name="Normal 255 2 2 4" xfId="22156" xr:uid="{00000000-0005-0000-0000-00008C550000}"/>
    <cellStyle name="Normal 255 2 2 4 2" xfId="22157" xr:uid="{00000000-0005-0000-0000-00008D550000}"/>
    <cellStyle name="Normal 255 2 2 4 2 2" xfId="22158" xr:uid="{00000000-0005-0000-0000-00008E550000}"/>
    <cellStyle name="Normal 255 2 2 4 3" xfId="22159" xr:uid="{00000000-0005-0000-0000-00008F550000}"/>
    <cellStyle name="Normal 255 2 2 5" xfId="22160" xr:uid="{00000000-0005-0000-0000-000090550000}"/>
    <cellStyle name="Normal 255 2 3" xfId="22161" xr:uid="{00000000-0005-0000-0000-000091550000}"/>
    <cellStyle name="Normal 255 2 3 2" xfId="22162" xr:uid="{00000000-0005-0000-0000-000092550000}"/>
    <cellStyle name="Normal 255 2 3 2 2" xfId="22163" xr:uid="{00000000-0005-0000-0000-000093550000}"/>
    <cellStyle name="Normal 255 2 3 2 2 2" xfId="22164" xr:uid="{00000000-0005-0000-0000-000094550000}"/>
    <cellStyle name="Normal 255 2 3 2 3" xfId="22165" xr:uid="{00000000-0005-0000-0000-000095550000}"/>
    <cellStyle name="Normal 255 2 3 2 3 2" xfId="22166" xr:uid="{00000000-0005-0000-0000-000096550000}"/>
    <cellStyle name="Normal 255 2 3 2 3 2 2" xfId="22167" xr:uid="{00000000-0005-0000-0000-000097550000}"/>
    <cellStyle name="Normal 255 2 3 2 3 3" xfId="22168" xr:uid="{00000000-0005-0000-0000-000098550000}"/>
    <cellStyle name="Normal 255 2 3 2 4" xfId="22169" xr:uid="{00000000-0005-0000-0000-000099550000}"/>
    <cellStyle name="Normal 255 2 3 3" xfId="22170" xr:uid="{00000000-0005-0000-0000-00009A550000}"/>
    <cellStyle name="Normal 255 2 3 3 2" xfId="22171" xr:uid="{00000000-0005-0000-0000-00009B550000}"/>
    <cellStyle name="Normal 255 2 3 3 2 2" xfId="22172" xr:uid="{00000000-0005-0000-0000-00009C550000}"/>
    <cellStyle name="Normal 255 2 3 3 3" xfId="22173" xr:uid="{00000000-0005-0000-0000-00009D550000}"/>
    <cellStyle name="Normal 255 2 3 4" xfId="22174" xr:uid="{00000000-0005-0000-0000-00009E550000}"/>
    <cellStyle name="Normal 255 2 3 4 2" xfId="22175" xr:uid="{00000000-0005-0000-0000-00009F550000}"/>
    <cellStyle name="Normal 255 2 3 4 2 2" xfId="22176" xr:uid="{00000000-0005-0000-0000-0000A0550000}"/>
    <cellStyle name="Normal 255 2 3 4 3" xfId="22177" xr:uid="{00000000-0005-0000-0000-0000A1550000}"/>
    <cellStyle name="Normal 255 2 3 5" xfId="22178" xr:uid="{00000000-0005-0000-0000-0000A2550000}"/>
    <cellStyle name="Normal 255 2 3 5 2" xfId="22179" xr:uid="{00000000-0005-0000-0000-0000A3550000}"/>
    <cellStyle name="Normal 255 2 3 5 2 2" xfId="22180" xr:uid="{00000000-0005-0000-0000-0000A4550000}"/>
    <cellStyle name="Normal 255 2 3 5 3" xfId="22181" xr:uid="{00000000-0005-0000-0000-0000A5550000}"/>
    <cellStyle name="Normal 255 2 3 6" xfId="22182" xr:uid="{00000000-0005-0000-0000-0000A6550000}"/>
    <cellStyle name="Normal 255 2 4" xfId="22183" xr:uid="{00000000-0005-0000-0000-0000A7550000}"/>
    <cellStyle name="Normal 255 2 4 2" xfId="22184" xr:uid="{00000000-0005-0000-0000-0000A8550000}"/>
    <cellStyle name="Normal 255 2 4 2 2" xfId="22185" xr:uid="{00000000-0005-0000-0000-0000A9550000}"/>
    <cellStyle name="Normal 255 2 4 3" xfId="22186" xr:uid="{00000000-0005-0000-0000-0000AA550000}"/>
    <cellStyle name="Normal 255 2 5" xfId="22187" xr:uid="{00000000-0005-0000-0000-0000AB550000}"/>
    <cellStyle name="Normal 255 2 5 2" xfId="22188" xr:uid="{00000000-0005-0000-0000-0000AC550000}"/>
    <cellStyle name="Normal 255 2 5 2 2" xfId="22189" xr:uid="{00000000-0005-0000-0000-0000AD550000}"/>
    <cellStyle name="Normal 255 2 5 3" xfId="22190" xr:uid="{00000000-0005-0000-0000-0000AE550000}"/>
    <cellStyle name="Normal 255 2 6" xfId="22191" xr:uid="{00000000-0005-0000-0000-0000AF550000}"/>
    <cellStyle name="Normal 255 2 6 2" xfId="22192" xr:uid="{00000000-0005-0000-0000-0000B0550000}"/>
    <cellStyle name="Normal 255 2 6 2 2" xfId="22193" xr:uid="{00000000-0005-0000-0000-0000B1550000}"/>
    <cellStyle name="Normal 255 2 6 3" xfId="22194" xr:uid="{00000000-0005-0000-0000-0000B2550000}"/>
    <cellStyle name="Normal 255 2 7" xfId="22195" xr:uid="{00000000-0005-0000-0000-0000B3550000}"/>
    <cellStyle name="Normal 255 3" xfId="22196" xr:uid="{00000000-0005-0000-0000-0000B4550000}"/>
    <cellStyle name="Normal 255 3 2" xfId="22197" xr:uid="{00000000-0005-0000-0000-0000B5550000}"/>
    <cellStyle name="Normal 255 3 2 2" xfId="22198" xr:uid="{00000000-0005-0000-0000-0000B6550000}"/>
    <cellStyle name="Normal 255 3 3" xfId="22199" xr:uid="{00000000-0005-0000-0000-0000B7550000}"/>
    <cellStyle name="Normal 255 3 3 2" xfId="22200" xr:uid="{00000000-0005-0000-0000-0000B8550000}"/>
    <cellStyle name="Normal 255 3 3 2 2" xfId="22201" xr:uid="{00000000-0005-0000-0000-0000B9550000}"/>
    <cellStyle name="Normal 255 3 3 3" xfId="22202" xr:uid="{00000000-0005-0000-0000-0000BA550000}"/>
    <cellStyle name="Normal 255 3 4" xfId="22203" xr:uid="{00000000-0005-0000-0000-0000BB550000}"/>
    <cellStyle name="Normal 255 3 4 2" xfId="22204" xr:uid="{00000000-0005-0000-0000-0000BC550000}"/>
    <cellStyle name="Normal 255 3 4 2 2" xfId="22205" xr:uid="{00000000-0005-0000-0000-0000BD550000}"/>
    <cellStyle name="Normal 255 3 4 3" xfId="22206" xr:uid="{00000000-0005-0000-0000-0000BE550000}"/>
    <cellStyle name="Normal 255 3 5" xfId="22207" xr:uid="{00000000-0005-0000-0000-0000BF550000}"/>
    <cellStyle name="Normal 255 4" xfId="22208" xr:uid="{00000000-0005-0000-0000-0000C0550000}"/>
    <cellStyle name="Normal 255 4 2" xfId="22209" xr:uid="{00000000-0005-0000-0000-0000C1550000}"/>
    <cellStyle name="Normal 255 4 2 2" xfId="22210" xr:uid="{00000000-0005-0000-0000-0000C2550000}"/>
    <cellStyle name="Normal 255 4 2 2 2" xfId="22211" xr:uid="{00000000-0005-0000-0000-0000C3550000}"/>
    <cellStyle name="Normal 255 4 2 3" xfId="22212" xr:uid="{00000000-0005-0000-0000-0000C4550000}"/>
    <cellStyle name="Normal 255 4 2 3 2" xfId="22213" xr:uid="{00000000-0005-0000-0000-0000C5550000}"/>
    <cellStyle name="Normal 255 4 2 3 2 2" xfId="22214" xr:uid="{00000000-0005-0000-0000-0000C6550000}"/>
    <cellStyle name="Normal 255 4 2 3 3" xfId="22215" xr:uid="{00000000-0005-0000-0000-0000C7550000}"/>
    <cellStyle name="Normal 255 4 2 4" xfId="22216" xr:uid="{00000000-0005-0000-0000-0000C8550000}"/>
    <cellStyle name="Normal 255 4 3" xfId="22217" xr:uid="{00000000-0005-0000-0000-0000C9550000}"/>
    <cellStyle name="Normal 255 4 3 2" xfId="22218" xr:uid="{00000000-0005-0000-0000-0000CA550000}"/>
    <cellStyle name="Normal 255 4 3 2 2" xfId="22219" xr:uid="{00000000-0005-0000-0000-0000CB550000}"/>
    <cellStyle name="Normal 255 4 3 3" xfId="22220" xr:uid="{00000000-0005-0000-0000-0000CC550000}"/>
    <cellStyle name="Normal 255 4 4" xfId="22221" xr:uid="{00000000-0005-0000-0000-0000CD550000}"/>
    <cellStyle name="Normal 255 4 4 2" xfId="22222" xr:uid="{00000000-0005-0000-0000-0000CE550000}"/>
    <cellStyle name="Normal 255 4 4 2 2" xfId="22223" xr:uid="{00000000-0005-0000-0000-0000CF550000}"/>
    <cellStyle name="Normal 255 4 4 3" xfId="22224" xr:uid="{00000000-0005-0000-0000-0000D0550000}"/>
    <cellStyle name="Normal 255 4 5" xfId="22225" xr:uid="{00000000-0005-0000-0000-0000D1550000}"/>
    <cellStyle name="Normal 255 4 5 2" xfId="22226" xr:uid="{00000000-0005-0000-0000-0000D2550000}"/>
    <cellStyle name="Normal 255 4 5 2 2" xfId="22227" xr:uid="{00000000-0005-0000-0000-0000D3550000}"/>
    <cellStyle name="Normal 255 4 5 3" xfId="22228" xr:uid="{00000000-0005-0000-0000-0000D4550000}"/>
    <cellStyle name="Normal 255 4 6" xfId="22229" xr:uid="{00000000-0005-0000-0000-0000D5550000}"/>
    <cellStyle name="Normal 255 5" xfId="22230" xr:uid="{00000000-0005-0000-0000-0000D6550000}"/>
    <cellStyle name="Normal 255 5 2" xfId="22231" xr:uid="{00000000-0005-0000-0000-0000D7550000}"/>
    <cellStyle name="Normal 255 5 2 2" xfId="22232" xr:uid="{00000000-0005-0000-0000-0000D8550000}"/>
    <cellStyle name="Normal 255 5 3" xfId="22233" xr:uid="{00000000-0005-0000-0000-0000D9550000}"/>
    <cellStyle name="Normal 255 6" xfId="22234" xr:uid="{00000000-0005-0000-0000-0000DA550000}"/>
    <cellStyle name="Normal 255 6 2" xfId="22235" xr:uid="{00000000-0005-0000-0000-0000DB550000}"/>
    <cellStyle name="Normal 255 6 2 2" xfId="22236" xr:uid="{00000000-0005-0000-0000-0000DC550000}"/>
    <cellStyle name="Normal 255 6 3" xfId="22237" xr:uid="{00000000-0005-0000-0000-0000DD550000}"/>
    <cellStyle name="Normal 255 7" xfId="22238" xr:uid="{00000000-0005-0000-0000-0000DE550000}"/>
    <cellStyle name="Normal 255 7 2" xfId="22239" xr:uid="{00000000-0005-0000-0000-0000DF550000}"/>
    <cellStyle name="Normal 255 7 2 2" xfId="22240" xr:uid="{00000000-0005-0000-0000-0000E0550000}"/>
    <cellStyle name="Normal 255 7 3" xfId="22241" xr:uid="{00000000-0005-0000-0000-0000E1550000}"/>
    <cellStyle name="Normal 255 8" xfId="22242" xr:uid="{00000000-0005-0000-0000-0000E2550000}"/>
    <cellStyle name="Normal 256" xfId="22243" xr:uid="{00000000-0005-0000-0000-0000E3550000}"/>
    <cellStyle name="Normal 256 2" xfId="22244" xr:uid="{00000000-0005-0000-0000-0000E4550000}"/>
    <cellStyle name="Normal 256 2 2" xfId="22245" xr:uid="{00000000-0005-0000-0000-0000E5550000}"/>
    <cellStyle name="Normal 256 2 2 2" xfId="22246" xr:uid="{00000000-0005-0000-0000-0000E6550000}"/>
    <cellStyle name="Normal 256 2 2 2 2" xfId="22247" xr:uid="{00000000-0005-0000-0000-0000E7550000}"/>
    <cellStyle name="Normal 256 2 2 3" xfId="22248" xr:uid="{00000000-0005-0000-0000-0000E8550000}"/>
    <cellStyle name="Normal 256 2 2 3 2" xfId="22249" xr:uid="{00000000-0005-0000-0000-0000E9550000}"/>
    <cellStyle name="Normal 256 2 2 3 2 2" xfId="22250" xr:uid="{00000000-0005-0000-0000-0000EA550000}"/>
    <cellStyle name="Normal 256 2 2 3 3" xfId="22251" xr:uid="{00000000-0005-0000-0000-0000EB550000}"/>
    <cellStyle name="Normal 256 2 2 4" xfId="22252" xr:uid="{00000000-0005-0000-0000-0000EC550000}"/>
    <cellStyle name="Normal 256 2 2 4 2" xfId="22253" xr:uid="{00000000-0005-0000-0000-0000ED550000}"/>
    <cellStyle name="Normal 256 2 2 4 2 2" xfId="22254" xr:uid="{00000000-0005-0000-0000-0000EE550000}"/>
    <cellStyle name="Normal 256 2 2 4 3" xfId="22255" xr:uid="{00000000-0005-0000-0000-0000EF550000}"/>
    <cellStyle name="Normal 256 2 2 5" xfId="22256" xr:uid="{00000000-0005-0000-0000-0000F0550000}"/>
    <cellStyle name="Normal 256 2 3" xfId="22257" xr:uid="{00000000-0005-0000-0000-0000F1550000}"/>
    <cellStyle name="Normal 256 2 3 2" xfId="22258" xr:uid="{00000000-0005-0000-0000-0000F2550000}"/>
    <cellStyle name="Normal 256 2 3 2 2" xfId="22259" xr:uid="{00000000-0005-0000-0000-0000F3550000}"/>
    <cellStyle name="Normal 256 2 3 2 2 2" xfId="22260" xr:uid="{00000000-0005-0000-0000-0000F4550000}"/>
    <cellStyle name="Normal 256 2 3 2 3" xfId="22261" xr:uid="{00000000-0005-0000-0000-0000F5550000}"/>
    <cellStyle name="Normal 256 2 3 2 3 2" xfId="22262" xr:uid="{00000000-0005-0000-0000-0000F6550000}"/>
    <cellStyle name="Normal 256 2 3 2 3 2 2" xfId="22263" xr:uid="{00000000-0005-0000-0000-0000F7550000}"/>
    <cellStyle name="Normal 256 2 3 2 3 3" xfId="22264" xr:uid="{00000000-0005-0000-0000-0000F8550000}"/>
    <cellStyle name="Normal 256 2 3 2 4" xfId="22265" xr:uid="{00000000-0005-0000-0000-0000F9550000}"/>
    <cellStyle name="Normal 256 2 3 3" xfId="22266" xr:uid="{00000000-0005-0000-0000-0000FA550000}"/>
    <cellStyle name="Normal 256 2 3 3 2" xfId="22267" xr:uid="{00000000-0005-0000-0000-0000FB550000}"/>
    <cellStyle name="Normal 256 2 3 3 2 2" xfId="22268" xr:uid="{00000000-0005-0000-0000-0000FC550000}"/>
    <cellStyle name="Normal 256 2 3 3 3" xfId="22269" xr:uid="{00000000-0005-0000-0000-0000FD550000}"/>
    <cellStyle name="Normal 256 2 3 4" xfId="22270" xr:uid="{00000000-0005-0000-0000-0000FE550000}"/>
    <cellStyle name="Normal 256 2 3 4 2" xfId="22271" xr:uid="{00000000-0005-0000-0000-0000FF550000}"/>
    <cellStyle name="Normal 256 2 3 4 2 2" xfId="22272" xr:uid="{00000000-0005-0000-0000-000000560000}"/>
    <cellStyle name="Normal 256 2 3 4 3" xfId="22273" xr:uid="{00000000-0005-0000-0000-000001560000}"/>
    <cellStyle name="Normal 256 2 3 5" xfId="22274" xr:uid="{00000000-0005-0000-0000-000002560000}"/>
    <cellStyle name="Normal 256 2 3 5 2" xfId="22275" xr:uid="{00000000-0005-0000-0000-000003560000}"/>
    <cellStyle name="Normal 256 2 3 5 2 2" xfId="22276" xr:uid="{00000000-0005-0000-0000-000004560000}"/>
    <cellStyle name="Normal 256 2 3 5 3" xfId="22277" xr:uid="{00000000-0005-0000-0000-000005560000}"/>
    <cellStyle name="Normal 256 2 3 6" xfId="22278" xr:uid="{00000000-0005-0000-0000-000006560000}"/>
    <cellStyle name="Normal 256 2 4" xfId="22279" xr:uid="{00000000-0005-0000-0000-000007560000}"/>
    <cellStyle name="Normal 256 2 4 2" xfId="22280" xr:uid="{00000000-0005-0000-0000-000008560000}"/>
    <cellStyle name="Normal 256 2 4 2 2" xfId="22281" xr:uid="{00000000-0005-0000-0000-000009560000}"/>
    <cellStyle name="Normal 256 2 4 3" xfId="22282" xr:uid="{00000000-0005-0000-0000-00000A560000}"/>
    <cellStyle name="Normal 256 2 5" xfId="22283" xr:uid="{00000000-0005-0000-0000-00000B560000}"/>
    <cellStyle name="Normal 256 2 5 2" xfId="22284" xr:uid="{00000000-0005-0000-0000-00000C560000}"/>
    <cellStyle name="Normal 256 2 5 2 2" xfId="22285" xr:uid="{00000000-0005-0000-0000-00000D560000}"/>
    <cellStyle name="Normal 256 2 5 3" xfId="22286" xr:uid="{00000000-0005-0000-0000-00000E560000}"/>
    <cellStyle name="Normal 256 2 6" xfId="22287" xr:uid="{00000000-0005-0000-0000-00000F560000}"/>
    <cellStyle name="Normal 256 2 6 2" xfId="22288" xr:uid="{00000000-0005-0000-0000-000010560000}"/>
    <cellStyle name="Normal 256 2 6 2 2" xfId="22289" xr:uid="{00000000-0005-0000-0000-000011560000}"/>
    <cellStyle name="Normal 256 2 6 3" xfId="22290" xr:uid="{00000000-0005-0000-0000-000012560000}"/>
    <cellStyle name="Normal 256 2 7" xfId="22291" xr:uid="{00000000-0005-0000-0000-000013560000}"/>
    <cellStyle name="Normal 256 3" xfId="22292" xr:uid="{00000000-0005-0000-0000-000014560000}"/>
    <cellStyle name="Normal 256 3 2" xfId="22293" xr:uid="{00000000-0005-0000-0000-000015560000}"/>
    <cellStyle name="Normal 256 3 2 2" xfId="22294" xr:uid="{00000000-0005-0000-0000-000016560000}"/>
    <cellStyle name="Normal 256 3 3" xfId="22295" xr:uid="{00000000-0005-0000-0000-000017560000}"/>
    <cellStyle name="Normal 256 3 3 2" xfId="22296" xr:uid="{00000000-0005-0000-0000-000018560000}"/>
    <cellStyle name="Normal 256 3 3 2 2" xfId="22297" xr:uid="{00000000-0005-0000-0000-000019560000}"/>
    <cellStyle name="Normal 256 3 3 3" xfId="22298" xr:uid="{00000000-0005-0000-0000-00001A560000}"/>
    <cellStyle name="Normal 256 3 4" xfId="22299" xr:uid="{00000000-0005-0000-0000-00001B560000}"/>
    <cellStyle name="Normal 256 3 4 2" xfId="22300" xr:uid="{00000000-0005-0000-0000-00001C560000}"/>
    <cellStyle name="Normal 256 3 4 2 2" xfId="22301" xr:uid="{00000000-0005-0000-0000-00001D560000}"/>
    <cellStyle name="Normal 256 3 4 3" xfId="22302" xr:uid="{00000000-0005-0000-0000-00001E560000}"/>
    <cellStyle name="Normal 256 3 5" xfId="22303" xr:uid="{00000000-0005-0000-0000-00001F560000}"/>
    <cellStyle name="Normal 256 4" xfId="22304" xr:uid="{00000000-0005-0000-0000-000020560000}"/>
    <cellStyle name="Normal 256 4 2" xfId="22305" xr:uid="{00000000-0005-0000-0000-000021560000}"/>
    <cellStyle name="Normal 256 4 2 2" xfId="22306" xr:uid="{00000000-0005-0000-0000-000022560000}"/>
    <cellStyle name="Normal 256 4 2 2 2" xfId="22307" xr:uid="{00000000-0005-0000-0000-000023560000}"/>
    <cellStyle name="Normal 256 4 2 3" xfId="22308" xr:uid="{00000000-0005-0000-0000-000024560000}"/>
    <cellStyle name="Normal 256 4 2 3 2" xfId="22309" xr:uid="{00000000-0005-0000-0000-000025560000}"/>
    <cellStyle name="Normal 256 4 2 3 2 2" xfId="22310" xr:uid="{00000000-0005-0000-0000-000026560000}"/>
    <cellStyle name="Normal 256 4 2 3 3" xfId="22311" xr:uid="{00000000-0005-0000-0000-000027560000}"/>
    <cellStyle name="Normal 256 4 2 4" xfId="22312" xr:uid="{00000000-0005-0000-0000-000028560000}"/>
    <cellStyle name="Normal 256 4 3" xfId="22313" xr:uid="{00000000-0005-0000-0000-000029560000}"/>
    <cellStyle name="Normal 256 4 3 2" xfId="22314" xr:uid="{00000000-0005-0000-0000-00002A560000}"/>
    <cellStyle name="Normal 256 4 3 2 2" xfId="22315" xr:uid="{00000000-0005-0000-0000-00002B560000}"/>
    <cellStyle name="Normal 256 4 3 3" xfId="22316" xr:uid="{00000000-0005-0000-0000-00002C560000}"/>
    <cellStyle name="Normal 256 4 4" xfId="22317" xr:uid="{00000000-0005-0000-0000-00002D560000}"/>
    <cellStyle name="Normal 256 4 4 2" xfId="22318" xr:uid="{00000000-0005-0000-0000-00002E560000}"/>
    <cellStyle name="Normal 256 4 4 2 2" xfId="22319" xr:uid="{00000000-0005-0000-0000-00002F560000}"/>
    <cellStyle name="Normal 256 4 4 3" xfId="22320" xr:uid="{00000000-0005-0000-0000-000030560000}"/>
    <cellStyle name="Normal 256 4 5" xfId="22321" xr:uid="{00000000-0005-0000-0000-000031560000}"/>
    <cellStyle name="Normal 256 4 5 2" xfId="22322" xr:uid="{00000000-0005-0000-0000-000032560000}"/>
    <cellStyle name="Normal 256 4 5 2 2" xfId="22323" xr:uid="{00000000-0005-0000-0000-000033560000}"/>
    <cellStyle name="Normal 256 4 5 3" xfId="22324" xr:uid="{00000000-0005-0000-0000-000034560000}"/>
    <cellStyle name="Normal 256 4 6" xfId="22325" xr:uid="{00000000-0005-0000-0000-000035560000}"/>
    <cellStyle name="Normal 256 5" xfId="22326" xr:uid="{00000000-0005-0000-0000-000036560000}"/>
    <cellStyle name="Normal 256 5 2" xfId="22327" xr:uid="{00000000-0005-0000-0000-000037560000}"/>
    <cellStyle name="Normal 256 5 2 2" xfId="22328" xr:uid="{00000000-0005-0000-0000-000038560000}"/>
    <cellStyle name="Normal 256 5 3" xfId="22329" xr:uid="{00000000-0005-0000-0000-000039560000}"/>
    <cellStyle name="Normal 256 6" xfId="22330" xr:uid="{00000000-0005-0000-0000-00003A560000}"/>
    <cellStyle name="Normal 256 6 2" xfId="22331" xr:uid="{00000000-0005-0000-0000-00003B560000}"/>
    <cellStyle name="Normal 256 6 2 2" xfId="22332" xr:uid="{00000000-0005-0000-0000-00003C560000}"/>
    <cellStyle name="Normal 256 6 3" xfId="22333" xr:uid="{00000000-0005-0000-0000-00003D560000}"/>
    <cellStyle name="Normal 256 7" xfId="22334" xr:uid="{00000000-0005-0000-0000-00003E560000}"/>
    <cellStyle name="Normal 256 7 2" xfId="22335" xr:uid="{00000000-0005-0000-0000-00003F560000}"/>
    <cellStyle name="Normal 256 7 2 2" xfId="22336" xr:uid="{00000000-0005-0000-0000-000040560000}"/>
    <cellStyle name="Normal 256 7 3" xfId="22337" xr:uid="{00000000-0005-0000-0000-000041560000}"/>
    <cellStyle name="Normal 256 8" xfId="22338" xr:uid="{00000000-0005-0000-0000-000042560000}"/>
    <cellStyle name="Normal 257" xfId="22339" xr:uid="{00000000-0005-0000-0000-000043560000}"/>
    <cellStyle name="Normal 257 2" xfId="22340" xr:uid="{00000000-0005-0000-0000-000044560000}"/>
    <cellStyle name="Normal 257 2 2" xfId="22341" xr:uid="{00000000-0005-0000-0000-000045560000}"/>
    <cellStyle name="Normal 257 2 2 2" xfId="22342" xr:uid="{00000000-0005-0000-0000-000046560000}"/>
    <cellStyle name="Normal 257 2 3" xfId="22343" xr:uid="{00000000-0005-0000-0000-000047560000}"/>
    <cellStyle name="Normal 257 2 3 2" xfId="22344" xr:uid="{00000000-0005-0000-0000-000048560000}"/>
    <cellStyle name="Normal 257 2 3 2 2" xfId="22345" xr:uid="{00000000-0005-0000-0000-000049560000}"/>
    <cellStyle name="Normal 257 2 3 3" xfId="22346" xr:uid="{00000000-0005-0000-0000-00004A560000}"/>
    <cellStyle name="Normal 257 2 4" xfId="22347" xr:uid="{00000000-0005-0000-0000-00004B560000}"/>
    <cellStyle name="Normal 257 2 4 2" xfId="22348" xr:uid="{00000000-0005-0000-0000-00004C560000}"/>
    <cellStyle name="Normal 257 2 4 2 2" xfId="22349" xr:uid="{00000000-0005-0000-0000-00004D560000}"/>
    <cellStyle name="Normal 257 2 4 3" xfId="22350" xr:uid="{00000000-0005-0000-0000-00004E560000}"/>
    <cellStyle name="Normal 257 2 5" xfId="22351" xr:uid="{00000000-0005-0000-0000-00004F560000}"/>
    <cellStyle name="Normal 257 3" xfId="22352" xr:uid="{00000000-0005-0000-0000-000050560000}"/>
    <cellStyle name="Normal 257 3 2" xfId="22353" xr:uid="{00000000-0005-0000-0000-000051560000}"/>
    <cellStyle name="Normal 257 3 2 2" xfId="22354" xr:uid="{00000000-0005-0000-0000-000052560000}"/>
    <cellStyle name="Normal 257 3 2 2 2" xfId="22355" xr:uid="{00000000-0005-0000-0000-000053560000}"/>
    <cellStyle name="Normal 257 3 2 3" xfId="22356" xr:uid="{00000000-0005-0000-0000-000054560000}"/>
    <cellStyle name="Normal 257 3 2 3 2" xfId="22357" xr:uid="{00000000-0005-0000-0000-000055560000}"/>
    <cellStyle name="Normal 257 3 2 3 2 2" xfId="22358" xr:uid="{00000000-0005-0000-0000-000056560000}"/>
    <cellStyle name="Normal 257 3 2 3 3" xfId="22359" xr:uid="{00000000-0005-0000-0000-000057560000}"/>
    <cellStyle name="Normal 257 3 2 4" xfId="22360" xr:uid="{00000000-0005-0000-0000-000058560000}"/>
    <cellStyle name="Normal 257 3 3" xfId="22361" xr:uid="{00000000-0005-0000-0000-000059560000}"/>
    <cellStyle name="Normal 257 3 3 2" xfId="22362" xr:uid="{00000000-0005-0000-0000-00005A560000}"/>
    <cellStyle name="Normal 257 3 3 2 2" xfId="22363" xr:uid="{00000000-0005-0000-0000-00005B560000}"/>
    <cellStyle name="Normal 257 3 3 3" xfId="22364" xr:uid="{00000000-0005-0000-0000-00005C560000}"/>
    <cellStyle name="Normal 257 3 4" xfId="22365" xr:uid="{00000000-0005-0000-0000-00005D560000}"/>
    <cellStyle name="Normal 257 3 4 2" xfId="22366" xr:uid="{00000000-0005-0000-0000-00005E560000}"/>
    <cellStyle name="Normal 257 3 4 2 2" xfId="22367" xr:uid="{00000000-0005-0000-0000-00005F560000}"/>
    <cellStyle name="Normal 257 3 4 3" xfId="22368" xr:uid="{00000000-0005-0000-0000-000060560000}"/>
    <cellStyle name="Normal 257 3 5" xfId="22369" xr:uid="{00000000-0005-0000-0000-000061560000}"/>
    <cellStyle name="Normal 257 3 5 2" xfId="22370" xr:uid="{00000000-0005-0000-0000-000062560000}"/>
    <cellStyle name="Normal 257 3 5 2 2" xfId="22371" xr:uid="{00000000-0005-0000-0000-000063560000}"/>
    <cellStyle name="Normal 257 3 5 3" xfId="22372" xr:uid="{00000000-0005-0000-0000-000064560000}"/>
    <cellStyle name="Normal 257 3 6" xfId="22373" xr:uid="{00000000-0005-0000-0000-000065560000}"/>
    <cellStyle name="Normal 257 4" xfId="22374" xr:uid="{00000000-0005-0000-0000-000066560000}"/>
    <cellStyle name="Normal 257 4 2" xfId="22375" xr:uid="{00000000-0005-0000-0000-000067560000}"/>
    <cellStyle name="Normal 257 4 2 2" xfId="22376" xr:uid="{00000000-0005-0000-0000-000068560000}"/>
    <cellStyle name="Normal 257 4 3" xfId="22377" xr:uid="{00000000-0005-0000-0000-000069560000}"/>
    <cellStyle name="Normal 257 5" xfId="22378" xr:uid="{00000000-0005-0000-0000-00006A560000}"/>
    <cellStyle name="Normal 257 5 2" xfId="22379" xr:uid="{00000000-0005-0000-0000-00006B560000}"/>
    <cellStyle name="Normal 257 5 2 2" xfId="22380" xr:uid="{00000000-0005-0000-0000-00006C560000}"/>
    <cellStyle name="Normal 257 5 3" xfId="22381" xr:uid="{00000000-0005-0000-0000-00006D560000}"/>
    <cellStyle name="Normal 257 6" xfId="22382" xr:uid="{00000000-0005-0000-0000-00006E560000}"/>
    <cellStyle name="Normal 257 6 2" xfId="22383" xr:uid="{00000000-0005-0000-0000-00006F560000}"/>
    <cellStyle name="Normal 257 6 2 2" xfId="22384" xr:uid="{00000000-0005-0000-0000-000070560000}"/>
    <cellStyle name="Normal 257 6 3" xfId="22385" xr:uid="{00000000-0005-0000-0000-000071560000}"/>
    <cellStyle name="Normal 257 7" xfId="22386" xr:uid="{00000000-0005-0000-0000-000072560000}"/>
    <cellStyle name="Normal 258" xfId="22387" xr:uid="{00000000-0005-0000-0000-000073560000}"/>
    <cellStyle name="Normal 258 2" xfId="22388" xr:uid="{00000000-0005-0000-0000-000074560000}"/>
    <cellStyle name="Normal 258 2 2" xfId="22389" xr:uid="{00000000-0005-0000-0000-000075560000}"/>
    <cellStyle name="Normal 258 2 2 2" xfId="22390" xr:uid="{00000000-0005-0000-0000-000076560000}"/>
    <cellStyle name="Normal 258 2 3" xfId="22391" xr:uid="{00000000-0005-0000-0000-000077560000}"/>
    <cellStyle name="Normal 258 2 3 2" xfId="22392" xr:uid="{00000000-0005-0000-0000-000078560000}"/>
    <cellStyle name="Normal 258 2 3 2 2" xfId="22393" xr:uid="{00000000-0005-0000-0000-000079560000}"/>
    <cellStyle name="Normal 258 2 3 3" xfId="22394" xr:uid="{00000000-0005-0000-0000-00007A560000}"/>
    <cellStyle name="Normal 258 2 4" xfId="22395" xr:uid="{00000000-0005-0000-0000-00007B560000}"/>
    <cellStyle name="Normal 258 2 4 2" xfId="22396" xr:uid="{00000000-0005-0000-0000-00007C560000}"/>
    <cellStyle name="Normal 258 2 4 2 2" xfId="22397" xr:uid="{00000000-0005-0000-0000-00007D560000}"/>
    <cellStyle name="Normal 258 2 4 3" xfId="22398" xr:uid="{00000000-0005-0000-0000-00007E560000}"/>
    <cellStyle name="Normal 258 2 5" xfId="22399" xr:uid="{00000000-0005-0000-0000-00007F560000}"/>
    <cellStyle name="Normal 258 3" xfId="22400" xr:uid="{00000000-0005-0000-0000-000080560000}"/>
    <cellStyle name="Normal 258 3 2" xfId="22401" xr:uid="{00000000-0005-0000-0000-000081560000}"/>
    <cellStyle name="Normal 258 3 2 2" xfId="22402" xr:uid="{00000000-0005-0000-0000-000082560000}"/>
    <cellStyle name="Normal 258 3 2 2 2" xfId="22403" xr:uid="{00000000-0005-0000-0000-000083560000}"/>
    <cellStyle name="Normal 258 3 2 3" xfId="22404" xr:uid="{00000000-0005-0000-0000-000084560000}"/>
    <cellStyle name="Normal 258 3 2 3 2" xfId="22405" xr:uid="{00000000-0005-0000-0000-000085560000}"/>
    <cellStyle name="Normal 258 3 2 3 2 2" xfId="22406" xr:uid="{00000000-0005-0000-0000-000086560000}"/>
    <cellStyle name="Normal 258 3 2 3 3" xfId="22407" xr:uid="{00000000-0005-0000-0000-000087560000}"/>
    <cellStyle name="Normal 258 3 2 4" xfId="22408" xr:uid="{00000000-0005-0000-0000-000088560000}"/>
    <cellStyle name="Normal 258 3 3" xfId="22409" xr:uid="{00000000-0005-0000-0000-000089560000}"/>
    <cellStyle name="Normal 258 3 3 2" xfId="22410" xr:uid="{00000000-0005-0000-0000-00008A560000}"/>
    <cellStyle name="Normal 258 3 3 2 2" xfId="22411" xr:uid="{00000000-0005-0000-0000-00008B560000}"/>
    <cellStyle name="Normal 258 3 3 3" xfId="22412" xr:uid="{00000000-0005-0000-0000-00008C560000}"/>
    <cellStyle name="Normal 258 3 4" xfId="22413" xr:uid="{00000000-0005-0000-0000-00008D560000}"/>
    <cellStyle name="Normal 258 3 4 2" xfId="22414" xr:uid="{00000000-0005-0000-0000-00008E560000}"/>
    <cellStyle name="Normal 258 3 4 2 2" xfId="22415" xr:uid="{00000000-0005-0000-0000-00008F560000}"/>
    <cellStyle name="Normal 258 3 4 3" xfId="22416" xr:uid="{00000000-0005-0000-0000-000090560000}"/>
    <cellStyle name="Normal 258 3 5" xfId="22417" xr:uid="{00000000-0005-0000-0000-000091560000}"/>
    <cellStyle name="Normal 258 3 5 2" xfId="22418" xr:uid="{00000000-0005-0000-0000-000092560000}"/>
    <cellStyle name="Normal 258 3 5 2 2" xfId="22419" xr:uid="{00000000-0005-0000-0000-000093560000}"/>
    <cellStyle name="Normal 258 3 5 3" xfId="22420" xr:uid="{00000000-0005-0000-0000-000094560000}"/>
    <cellStyle name="Normal 258 3 6" xfId="22421" xr:uid="{00000000-0005-0000-0000-000095560000}"/>
    <cellStyle name="Normal 258 4" xfId="22422" xr:uid="{00000000-0005-0000-0000-000096560000}"/>
    <cellStyle name="Normal 258 4 2" xfId="22423" xr:uid="{00000000-0005-0000-0000-000097560000}"/>
    <cellStyle name="Normal 258 4 2 2" xfId="22424" xr:uid="{00000000-0005-0000-0000-000098560000}"/>
    <cellStyle name="Normal 258 4 3" xfId="22425" xr:uid="{00000000-0005-0000-0000-000099560000}"/>
    <cellStyle name="Normal 258 5" xfId="22426" xr:uid="{00000000-0005-0000-0000-00009A560000}"/>
    <cellStyle name="Normal 258 5 2" xfId="22427" xr:uid="{00000000-0005-0000-0000-00009B560000}"/>
    <cellStyle name="Normal 258 5 2 2" xfId="22428" xr:uid="{00000000-0005-0000-0000-00009C560000}"/>
    <cellStyle name="Normal 258 5 3" xfId="22429" xr:uid="{00000000-0005-0000-0000-00009D560000}"/>
    <cellStyle name="Normal 258 6" xfId="22430" xr:uid="{00000000-0005-0000-0000-00009E560000}"/>
    <cellStyle name="Normal 258 6 2" xfId="22431" xr:uid="{00000000-0005-0000-0000-00009F560000}"/>
    <cellStyle name="Normal 258 6 2 2" xfId="22432" xr:uid="{00000000-0005-0000-0000-0000A0560000}"/>
    <cellStyle name="Normal 258 6 3" xfId="22433" xr:uid="{00000000-0005-0000-0000-0000A1560000}"/>
    <cellStyle name="Normal 258 7" xfId="22434" xr:uid="{00000000-0005-0000-0000-0000A2560000}"/>
    <cellStyle name="Normal 259" xfId="22435" xr:uid="{00000000-0005-0000-0000-0000A3560000}"/>
    <cellStyle name="Normal 259 2" xfId="22436" xr:uid="{00000000-0005-0000-0000-0000A4560000}"/>
    <cellStyle name="Normal 259 2 2" xfId="22437" xr:uid="{00000000-0005-0000-0000-0000A5560000}"/>
    <cellStyle name="Normal 259 2 2 2" xfId="22438" xr:uid="{00000000-0005-0000-0000-0000A6560000}"/>
    <cellStyle name="Normal 259 2 3" xfId="22439" xr:uid="{00000000-0005-0000-0000-0000A7560000}"/>
    <cellStyle name="Normal 259 2 3 2" xfId="22440" xr:uid="{00000000-0005-0000-0000-0000A8560000}"/>
    <cellStyle name="Normal 259 2 3 2 2" xfId="22441" xr:uid="{00000000-0005-0000-0000-0000A9560000}"/>
    <cellStyle name="Normal 259 2 3 3" xfId="22442" xr:uid="{00000000-0005-0000-0000-0000AA560000}"/>
    <cellStyle name="Normal 259 2 4" xfId="22443" xr:uid="{00000000-0005-0000-0000-0000AB560000}"/>
    <cellStyle name="Normal 259 2 4 2" xfId="22444" xr:uid="{00000000-0005-0000-0000-0000AC560000}"/>
    <cellStyle name="Normal 259 2 4 2 2" xfId="22445" xr:uid="{00000000-0005-0000-0000-0000AD560000}"/>
    <cellStyle name="Normal 259 2 4 3" xfId="22446" xr:uid="{00000000-0005-0000-0000-0000AE560000}"/>
    <cellStyle name="Normal 259 2 5" xfId="22447" xr:uid="{00000000-0005-0000-0000-0000AF560000}"/>
    <cellStyle name="Normal 259 3" xfId="22448" xr:uid="{00000000-0005-0000-0000-0000B0560000}"/>
    <cellStyle name="Normal 259 3 2" xfId="22449" xr:uid="{00000000-0005-0000-0000-0000B1560000}"/>
    <cellStyle name="Normal 259 3 2 2" xfId="22450" xr:uid="{00000000-0005-0000-0000-0000B2560000}"/>
    <cellStyle name="Normal 259 3 2 2 2" xfId="22451" xr:uid="{00000000-0005-0000-0000-0000B3560000}"/>
    <cellStyle name="Normal 259 3 2 3" xfId="22452" xr:uid="{00000000-0005-0000-0000-0000B4560000}"/>
    <cellStyle name="Normal 259 3 2 3 2" xfId="22453" xr:uid="{00000000-0005-0000-0000-0000B5560000}"/>
    <cellStyle name="Normal 259 3 2 3 2 2" xfId="22454" xr:uid="{00000000-0005-0000-0000-0000B6560000}"/>
    <cellStyle name="Normal 259 3 2 3 3" xfId="22455" xr:uid="{00000000-0005-0000-0000-0000B7560000}"/>
    <cellStyle name="Normal 259 3 2 4" xfId="22456" xr:uid="{00000000-0005-0000-0000-0000B8560000}"/>
    <cellStyle name="Normal 259 3 3" xfId="22457" xr:uid="{00000000-0005-0000-0000-0000B9560000}"/>
    <cellStyle name="Normal 259 3 3 2" xfId="22458" xr:uid="{00000000-0005-0000-0000-0000BA560000}"/>
    <cellStyle name="Normal 259 3 3 2 2" xfId="22459" xr:uid="{00000000-0005-0000-0000-0000BB560000}"/>
    <cellStyle name="Normal 259 3 3 3" xfId="22460" xr:uid="{00000000-0005-0000-0000-0000BC560000}"/>
    <cellStyle name="Normal 259 3 4" xfId="22461" xr:uid="{00000000-0005-0000-0000-0000BD560000}"/>
    <cellStyle name="Normal 259 3 4 2" xfId="22462" xr:uid="{00000000-0005-0000-0000-0000BE560000}"/>
    <cellStyle name="Normal 259 3 4 2 2" xfId="22463" xr:uid="{00000000-0005-0000-0000-0000BF560000}"/>
    <cellStyle name="Normal 259 3 4 3" xfId="22464" xr:uid="{00000000-0005-0000-0000-0000C0560000}"/>
    <cellStyle name="Normal 259 3 5" xfId="22465" xr:uid="{00000000-0005-0000-0000-0000C1560000}"/>
    <cellStyle name="Normal 259 3 5 2" xfId="22466" xr:uid="{00000000-0005-0000-0000-0000C2560000}"/>
    <cellStyle name="Normal 259 3 5 2 2" xfId="22467" xr:uid="{00000000-0005-0000-0000-0000C3560000}"/>
    <cellStyle name="Normal 259 3 5 3" xfId="22468" xr:uid="{00000000-0005-0000-0000-0000C4560000}"/>
    <cellStyle name="Normal 259 3 6" xfId="22469" xr:uid="{00000000-0005-0000-0000-0000C5560000}"/>
    <cellStyle name="Normal 259 4" xfId="22470" xr:uid="{00000000-0005-0000-0000-0000C6560000}"/>
    <cellStyle name="Normal 259 4 2" xfId="22471" xr:uid="{00000000-0005-0000-0000-0000C7560000}"/>
    <cellStyle name="Normal 259 4 2 2" xfId="22472" xr:uid="{00000000-0005-0000-0000-0000C8560000}"/>
    <cellStyle name="Normal 259 4 3" xfId="22473" xr:uid="{00000000-0005-0000-0000-0000C9560000}"/>
    <cellStyle name="Normal 259 5" xfId="22474" xr:uid="{00000000-0005-0000-0000-0000CA560000}"/>
    <cellStyle name="Normal 259 5 2" xfId="22475" xr:uid="{00000000-0005-0000-0000-0000CB560000}"/>
    <cellStyle name="Normal 259 5 2 2" xfId="22476" xr:uid="{00000000-0005-0000-0000-0000CC560000}"/>
    <cellStyle name="Normal 259 5 3" xfId="22477" xr:uid="{00000000-0005-0000-0000-0000CD560000}"/>
    <cellStyle name="Normal 259 6" xfId="22478" xr:uid="{00000000-0005-0000-0000-0000CE560000}"/>
    <cellStyle name="Normal 259 6 2" xfId="22479" xr:uid="{00000000-0005-0000-0000-0000CF560000}"/>
    <cellStyle name="Normal 259 6 2 2" xfId="22480" xr:uid="{00000000-0005-0000-0000-0000D0560000}"/>
    <cellStyle name="Normal 259 6 3" xfId="22481" xr:uid="{00000000-0005-0000-0000-0000D1560000}"/>
    <cellStyle name="Normal 259 7" xfId="22482" xr:uid="{00000000-0005-0000-0000-0000D2560000}"/>
    <cellStyle name="Normal 26" xfId="22483" xr:uid="{00000000-0005-0000-0000-0000D3560000}"/>
    <cellStyle name="Normal 26 2" xfId="22484" xr:uid="{00000000-0005-0000-0000-0000D4560000}"/>
    <cellStyle name="Normal 26 2 2" xfId="22485" xr:uid="{00000000-0005-0000-0000-0000D5560000}"/>
    <cellStyle name="Normal 26 2 2 2" xfId="22486" xr:uid="{00000000-0005-0000-0000-0000D6560000}"/>
    <cellStyle name="Normal 26 2 2 2 2" xfId="22487" xr:uid="{00000000-0005-0000-0000-0000D7560000}"/>
    <cellStyle name="Normal 26 2 2 3" xfId="22488" xr:uid="{00000000-0005-0000-0000-0000D8560000}"/>
    <cellStyle name="Normal 26 2 2 3 2" xfId="22489" xr:uid="{00000000-0005-0000-0000-0000D9560000}"/>
    <cellStyle name="Normal 26 2 2 3 2 2" xfId="22490" xr:uid="{00000000-0005-0000-0000-0000DA560000}"/>
    <cellStyle name="Normal 26 2 2 3 3" xfId="22491" xr:uid="{00000000-0005-0000-0000-0000DB560000}"/>
    <cellStyle name="Normal 26 2 2 4" xfId="22492" xr:uid="{00000000-0005-0000-0000-0000DC560000}"/>
    <cellStyle name="Normal 26 2 2 4 2" xfId="22493" xr:uid="{00000000-0005-0000-0000-0000DD560000}"/>
    <cellStyle name="Normal 26 2 2 4 2 2" xfId="22494" xr:uid="{00000000-0005-0000-0000-0000DE560000}"/>
    <cellStyle name="Normal 26 2 2 4 3" xfId="22495" xr:uid="{00000000-0005-0000-0000-0000DF560000}"/>
    <cellStyle name="Normal 26 2 2 5" xfId="22496" xr:uid="{00000000-0005-0000-0000-0000E0560000}"/>
    <cellStyle name="Normal 26 2 3" xfId="22497" xr:uid="{00000000-0005-0000-0000-0000E1560000}"/>
    <cellStyle name="Normal 26 2 3 2" xfId="22498" xr:uid="{00000000-0005-0000-0000-0000E2560000}"/>
    <cellStyle name="Normal 26 2 3 2 2" xfId="22499" xr:uid="{00000000-0005-0000-0000-0000E3560000}"/>
    <cellStyle name="Normal 26 2 3 3" xfId="22500" xr:uid="{00000000-0005-0000-0000-0000E4560000}"/>
    <cellStyle name="Normal 26 2 4" xfId="22501" xr:uid="{00000000-0005-0000-0000-0000E5560000}"/>
    <cellStyle name="Normal 26 2 4 2" xfId="22502" xr:uid="{00000000-0005-0000-0000-0000E6560000}"/>
    <cellStyle name="Normal 26 2 4 2 2" xfId="22503" xr:uid="{00000000-0005-0000-0000-0000E7560000}"/>
    <cellStyle name="Normal 26 2 4 3" xfId="22504" xr:uid="{00000000-0005-0000-0000-0000E8560000}"/>
    <cellStyle name="Normal 26 2 5" xfId="22505" xr:uid="{00000000-0005-0000-0000-0000E9560000}"/>
    <cellStyle name="Normal 26 2 5 2" xfId="22506" xr:uid="{00000000-0005-0000-0000-0000EA560000}"/>
    <cellStyle name="Normal 26 2 5 2 2" xfId="22507" xr:uid="{00000000-0005-0000-0000-0000EB560000}"/>
    <cellStyle name="Normal 26 2 5 3" xfId="22508" xr:uid="{00000000-0005-0000-0000-0000EC560000}"/>
    <cellStyle name="Normal 26 2 6" xfId="22509" xr:uid="{00000000-0005-0000-0000-0000ED560000}"/>
    <cellStyle name="Normal 26 3" xfId="22510" xr:uid="{00000000-0005-0000-0000-0000EE560000}"/>
    <cellStyle name="Normal 26 3 2" xfId="22511" xr:uid="{00000000-0005-0000-0000-0000EF560000}"/>
    <cellStyle name="Normal 26 3 2 2" xfId="22512" xr:uid="{00000000-0005-0000-0000-0000F0560000}"/>
    <cellStyle name="Normal 26 3 3" xfId="22513" xr:uid="{00000000-0005-0000-0000-0000F1560000}"/>
    <cellStyle name="Normal 26 3 3 2" xfId="22514" xr:uid="{00000000-0005-0000-0000-0000F2560000}"/>
    <cellStyle name="Normal 26 3 3 2 2" xfId="22515" xr:uid="{00000000-0005-0000-0000-0000F3560000}"/>
    <cellStyle name="Normal 26 3 3 3" xfId="22516" xr:uid="{00000000-0005-0000-0000-0000F4560000}"/>
    <cellStyle name="Normal 26 3 4" xfId="22517" xr:uid="{00000000-0005-0000-0000-0000F5560000}"/>
    <cellStyle name="Normal 26 3 4 2" xfId="22518" xr:uid="{00000000-0005-0000-0000-0000F6560000}"/>
    <cellStyle name="Normal 26 3 4 2 2" xfId="22519" xr:uid="{00000000-0005-0000-0000-0000F7560000}"/>
    <cellStyle name="Normal 26 3 4 3" xfId="22520" xr:uid="{00000000-0005-0000-0000-0000F8560000}"/>
    <cellStyle name="Normal 26 3 5" xfId="22521" xr:uid="{00000000-0005-0000-0000-0000F9560000}"/>
    <cellStyle name="Normal 26 4" xfId="22522" xr:uid="{00000000-0005-0000-0000-0000FA560000}"/>
    <cellStyle name="Normal 26 4 2" xfId="22523" xr:uid="{00000000-0005-0000-0000-0000FB560000}"/>
    <cellStyle name="Normal 26 4 2 2" xfId="22524" xr:uid="{00000000-0005-0000-0000-0000FC560000}"/>
    <cellStyle name="Normal 26 4 3" xfId="22525" xr:uid="{00000000-0005-0000-0000-0000FD560000}"/>
    <cellStyle name="Normal 26 4 3 2" xfId="22526" xr:uid="{00000000-0005-0000-0000-0000FE560000}"/>
    <cellStyle name="Normal 26 4 3 2 2" xfId="22527" xr:uid="{00000000-0005-0000-0000-0000FF560000}"/>
    <cellStyle name="Normal 26 4 3 3" xfId="22528" xr:uid="{00000000-0005-0000-0000-000000570000}"/>
    <cellStyle name="Normal 26 4 4" xfId="22529" xr:uid="{00000000-0005-0000-0000-000001570000}"/>
    <cellStyle name="Normal 26 4 4 2" xfId="22530" xr:uid="{00000000-0005-0000-0000-000002570000}"/>
    <cellStyle name="Normal 26 4 4 2 2" xfId="22531" xr:uid="{00000000-0005-0000-0000-000003570000}"/>
    <cellStyle name="Normal 26 4 4 3" xfId="22532" xr:uid="{00000000-0005-0000-0000-000004570000}"/>
    <cellStyle name="Normal 26 4 5" xfId="22533" xr:uid="{00000000-0005-0000-0000-000005570000}"/>
    <cellStyle name="Normal 26 5" xfId="22534" xr:uid="{00000000-0005-0000-0000-000006570000}"/>
    <cellStyle name="Normal 26 5 2" xfId="22535" xr:uid="{00000000-0005-0000-0000-000007570000}"/>
    <cellStyle name="Normal 26 5 2 2" xfId="22536" xr:uid="{00000000-0005-0000-0000-000008570000}"/>
    <cellStyle name="Normal 26 5 3" xfId="22537" xr:uid="{00000000-0005-0000-0000-000009570000}"/>
    <cellStyle name="Normal 26 6" xfId="22538" xr:uid="{00000000-0005-0000-0000-00000A570000}"/>
    <cellStyle name="Normal 26 6 2" xfId="22539" xr:uid="{00000000-0005-0000-0000-00000B570000}"/>
    <cellStyle name="Normal 26 6 2 2" xfId="22540" xr:uid="{00000000-0005-0000-0000-00000C570000}"/>
    <cellStyle name="Normal 26 6 3" xfId="22541" xr:uid="{00000000-0005-0000-0000-00000D570000}"/>
    <cellStyle name="Normal 26 7" xfId="22542" xr:uid="{00000000-0005-0000-0000-00000E570000}"/>
    <cellStyle name="Normal 26 7 2" xfId="22543" xr:uid="{00000000-0005-0000-0000-00000F570000}"/>
    <cellStyle name="Normal 26 7 2 2" xfId="22544" xr:uid="{00000000-0005-0000-0000-000010570000}"/>
    <cellStyle name="Normal 26 7 3" xfId="22545" xr:uid="{00000000-0005-0000-0000-000011570000}"/>
    <cellStyle name="Normal 26 8" xfId="22546" xr:uid="{00000000-0005-0000-0000-000012570000}"/>
    <cellStyle name="Normal 260" xfId="22547" xr:uid="{00000000-0005-0000-0000-000013570000}"/>
    <cellStyle name="Normal 260 2" xfId="22548" xr:uid="{00000000-0005-0000-0000-000014570000}"/>
    <cellStyle name="Normal 260 2 2" xfId="22549" xr:uid="{00000000-0005-0000-0000-000015570000}"/>
    <cellStyle name="Normal 260 2 2 2" xfId="22550" xr:uid="{00000000-0005-0000-0000-000016570000}"/>
    <cellStyle name="Normal 260 2 2 2 2" xfId="22551" xr:uid="{00000000-0005-0000-0000-000017570000}"/>
    <cellStyle name="Normal 260 2 2 3" xfId="22552" xr:uid="{00000000-0005-0000-0000-000018570000}"/>
    <cellStyle name="Normal 260 2 2 3 2" xfId="22553" xr:uid="{00000000-0005-0000-0000-000019570000}"/>
    <cellStyle name="Normal 260 2 2 3 2 2" xfId="22554" xr:uid="{00000000-0005-0000-0000-00001A570000}"/>
    <cellStyle name="Normal 260 2 2 3 3" xfId="22555" xr:uid="{00000000-0005-0000-0000-00001B570000}"/>
    <cellStyle name="Normal 260 2 2 4" xfId="22556" xr:uid="{00000000-0005-0000-0000-00001C570000}"/>
    <cellStyle name="Normal 260 2 2 4 2" xfId="22557" xr:uid="{00000000-0005-0000-0000-00001D570000}"/>
    <cellStyle name="Normal 260 2 2 4 2 2" xfId="22558" xr:uid="{00000000-0005-0000-0000-00001E570000}"/>
    <cellStyle name="Normal 260 2 2 4 3" xfId="22559" xr:uid="{00000000-0005-0000-0000-00001F570000}"/>
    <cellStyle name="Normal 260 2 2 5" xfId="22560" xr:uid="{00000000-0005-0000-0000-000020570000}"/>
    <cellStyle name="Normal 260 2 3" xfId="22561" xr:uid="{00000000-0005-0000-0000-000021570000}"/>
    <cellStyle name="Normal 260 2 3 2" xfId="22562" xr:uid="{00000000-0005-0000-0000-000022570000}"/>
    <cellStyle name="Normal 260 2 3 2 2" xfId="22563" xr:uid="{00000000-0005-0000-0000-000023570000}"/>
    <cellStyle name="Normal 260 2 3 2 2 2" xfId="22564" xr:uid="{00000000-0005-0000-0000-000024570000}"/>
    <cellStyle name="Normal 260 2 3 2 3" xfId="22565" xr:uid="{00000000-0005-0000-0000-000025570000}"/>
    <cellStyle name="Normal 260 2 3 2 3 2" xfId="22566" xr:uid="{00000000-0005-0000-0000-000026570000}"/>
    <cellStyle name="Normal 260 2 3 2 3 2 2" xfId="22567" xr:uid="{00000000-0005-0000-0000-000027570000}"/>
    <cellStyle name="Normal 260 2 3 2 3 3" xfId="22568" xr:uid="{00000000-0005-0000-0000-000028570000}"/>
    <cellStyle name="Normal 260 2 3 2 4" xfId="22569" xr:uid="{00000000-0005-0000-0000-000029570000}"/>
    <cellStyle name="Normal 260 2 3 3" xfId="22570" xr:uid="{00000000-0005-0000-0000-00002A570000}"/>
    <cellStyle name="Normal 260 2 3 3 2" xfId="22571" xr:uid="{00000000-0005-0000-0000-00002B570000}"/>
    <cellStyle name="Normal 260 2 3 3 2 2" xfId="22572" xr:uid="{00000000-0005-0000-0000-00002C570000}"/>
    <cellStyle name="Normal 260 2 3 3 3" xfId="22573" xr:uid="{00000000-0005-0000-0000-00002D570000}"/>
    <cellStyle name="Normal 260 2 3 4" xfId="22574" xr:uid="{00000000-0005-0000-0000-00002E570000}"/>
    <cellStyle name="Normal 260 2 3 4 2" xfId="22575" xr:uid="{00000000-0005-0000-0000-00002F570000}"/>
    <cellStyle name="Normal 260 2 3 4 2 2" xfId="22576" xr:uid="{00000000-0005-0000-0000-000030570000}"/>
    <cellStyle name="Normal 260 2 3 4 3" xfId="22577" xr:uid="{00000000-0005-0000-0000-000031570000}"/>
    <cellStyle name="Normal 260 2 3 5" xfId="22578" xr:uid="{00000000-0005-0000-0000-000032570000}"/>
    <cellStyle name="Normal 260 2 3 5 2" xfId="22579" xr:uid="{00000000-0005-0000-0000-000033570000}"/>
    <cellStyle name="Normal 260 2 3 5 2 2" xfId="22580" xr:uid="{00000000-0005-0000-0000-000034570000}"/>
    <cellStyle name="Normal 260 2 3 5 3" xfId="22581" xr:uid="{00000000-0005-0000-0000-000035570000}"/>
    <cellStyle name="Normal 260 2 3 6" xfId="22582" xr:uid="{00000000-0005-0000-0000-000036570000}"/>
    <cellStyle name="Normal 260 2 4" xfId="22583" xr:uid="{00000000-0005-0000-0000-000037570000}"/>
    <cellStyle name="Normal 260 2 4 2" xfId="22584" xr:uid="{00000000-0005-0000-0000-000038570000}"/>
    <cellStyle name="Normal 260 2 4 2 2" xfId="22585" xr:uid="{00000000-0005-0000-0000-000039570000}"/>
    <cellStyle name="Normal 260 2 4 3" xfId="22586" xr:uid="{00000000-0005-0000-0000-00003A570000}"/>
    <cellStyle name="Normal 260 2 5" xfId="22587" xr:uid="{00000000-0005-0000-0000-00003B570000}"/>
    <cellStyle name="Normal 260 2 5 2" xfId="22588" xr:uid="{00000000-0005-0000-0000-00003C570000}"/>
    <cellStyle name="Normal 260 2 5 2 2" xfId="22589" xr:uid="{00000000-0005-0000-0000-00003D570000}"/>
    <cellStyle name="Normal 260 2 5 3" xfId="22590" xr:uid="{00000000-0005-0000-0000-00003E570000}"/>
    <cellStyle name="Normal 260 2 6" xfId="22591" xr:uid="{00000000-0005-0000-0000-00003F570000}"/>
    <cellStyle name="Normal 260 2 6 2" xfId="22592" xr:uid="{00000000-0005-0000-0000-000040570000}"/>
    <cellStyle name="Normal 260 2 6 2 2" xfId="22593" xr:uid="{00000000-0005-0000-0000-000041570000}"/>
    <cellStyle name="Normal 260 2 6 3" xfId="22594" xr:uid="{00000000-0005-0000-0000-000042570000}"/>
    <cellStyle name="Normal 260 2 7" xfId="22595" xr:uid="{00000000-0005-0000-0000-000043570000}"/>
    <cellStyle name="Normal 260 3" xfId="22596" xr:uid="{00000000-0005-0000-0000-000044570000}"/>
    <cellStyle name="Normal 260 3 2" xfId="22597" xr:uid="{00000000-0005-0000-0000-000045570000}"/>
    <cellStyle name="Normal 260 3 2 2" xfId="22598" xr:uid="{00000000-0005-0000-0000-000046570000}"/>
    <cellStyle name="Normal 260 3 3" xfId="22599" xr:uid="{00000000-0005-0000-0000-000047570000}"/>
    <cellStyle name="Normal 260 3 3 2" xfId="22600" xr:uid="{00000000-0005-0000-0000-000048570000}"/>
    <cellStyle name="Normal 260 3 3 2 2" xfId="22601" xr:uid="{00000000-0005-0000-0000-000049570000}"/>
    <cellStyle name="Normal 260 3 3 3" xfId="22602" xr:uid="{00000000-0005-0000-0000-00004A570000}"/>
    <cellStyle name="Normal 260 3 4" xfId="22603" xr:uid="{00000000-0005-0000-0000-00004B570000}"/>
    <cellStyle name="Normal 260 3 4 2" xfId="22604" xr:uid="{00000000-0005-0000-0000-00004C570000}"/>
    <cellStyle name="Normal 260 3 4 2 2" xfId="22605" xr:uid="{00000000-0005-0000-0000-00004D570000}"/>
    <cellStyle name="Normal 260 3 4 3" xfId="22606" xr:uid="{00000000-0005-0000-0000-00004E570000}"/>
    <cellStyle name="Normal 260 3 5" xfId="22607" xr:uid="{00000000-0005-0000-0000-00004F570000}"/>
    <cellStyle name="Normal 260 4" xfId="22608" xr:uid="{00000000-0005-0000-0000-000050570000}"/>
    <cellStyle name="Normal 260 4 2" xfId="22609" xr:uid="{00000000-0005-0000-0000-000051570000}"/>
    <cellStyle name="Normal 260 4 2 2" xfId="22610" xr:uid="{00000000-0005-0000-0000-000052570000}"/>
    <cellStyle name="Normal 260 4 2 2 2" xfId="22611" xr:uid="{00000000-0005-0000-0000-000053570000}"/>
    <cellStyle name="Normal 260 4 2 3" xfId="22612" xr:uid="{00000000-0005-0000-0000-000054570000}"/>
    <cellStyle name="Normal 260 4 2 3 2" xfId="22613" xr:uid="{00000000-0005-0000-0000-000055570000}"/>
    <cellStyle name="Normal 260 4 2 3 2 2" xfId="22614" xr:uid="{00000000-0005-0000-0000-000056570000}"/>
    <cellStyle name="Normal 260 4 2 3 3" xfId="22615" xr:uid="{00000000-0005-0000-0000-000057570000}"/>
    <cellStyle name="Normal 260 4 2 4" xfId="22616" xr:uid="{00000000-0005-0000-0000-000058570000}"/>
    <cellStyle name="Normal 260 4 3" xfId="22617" xr:uid="{00000000-0005-0000-0000-000059570000}"/>
    <cellStyle name="Normal 260 4 3 2" xfId="22618" xr:uid="{00000000-0005-0000-0000-00005A570000}"/>
    <cellStyle name="Normal 260 4 3 2 2" xfId="22619" xr:uid="{00000000-0005-0000-0000-00005B570000}"/>
    <cellStyle name="Normal 260 4 3 3" xfId="22620" xr:uid="{00000000-0005-0000-0000-00005C570000}"/>
    <cellStyle name="Normal 260 4 4" xfId="22621" xr:uid="{00000000-0005-0000-0000-00005D570000}"/>
    <cellStyle name="Normal 260 4 4 2" xfId="22622" xr:uid="{00000000-0005-0000-0000-00005E570000}"/>
    <cellStyle name="Normal 260 4 4 2 2" xfId="22623" xr:uid="{00000000-0005-0000-0000-00005F570000}"/>
    <cellStyle name="Normal 260 4 4 3" xfId="22624" xr:uid="{00000000-0005-0000-0000-000060570000}"/>
    <cellStyle name="Normal 260 4 5" xfId="22625" xr:uid="{00000000-0005-0000-0000-000061570000}"/>
    <cellStyle name="Normal 260 4 5 2" xfId="22626" xr:uid="{00000000-0005-0000-0000-000062570000}"/>
    <cellStyle name="Normal 260 4 5 2 2" xfId="22627" xr:uid="{00000000-0005-0000-0000-000063570000}"/>
    <cellStyle name="Normal 260 4 5 3" xfId="22628" xr:uid="{00000000-0005-0000-0000-000064570000}"/>
    <cellStyle name="Normal 260 4 6" xfId="22629" xr:uid="{00000000-0005-0000-0000-000065570000}"/>
    <cellStyle name="Normal 260 5" xfId="22630" xr:uid="{00000000-0005-0000-0000-000066570000}"/>
    <cellStyle name="Normal 260 5 2" xfId="22631" xr:uid="{00000000-0005-0000-0000-000067570000}"/>
    <cellStyle name="Normal 260 5 2 2" xfId="22632" xr:uid="{00000000-0005-0000-0000-000068570000}"/>
    <cellStyle name="Normal 260 5 3" xfId="22633" xr:uid="{00000000-0005-0000-0000-000069570000}"/>
    <cellStyle name="Normal 260 6" xfId="22634" xr:uid="{00000000-0005-0000-0000-00006A570000}"/>
    <cellStyle name="Normal 260 6 2" xfId="22635" xr:uid="{00000000-0005-0000-0000-00006B570000}"/>
    <cellStyle name="Normal 260 6 2 2" xfId="22636" xr:uid="{00000000-0005-0000-0000-00006C570000}"/>
    <cellStyle name="Normal 260 6 3" xfId="22637" xr:uid="{00000000-0005-0000-0000-00006D570000}"/>
    <cellStyle name="Normal 260 7" xfId="22638" xr:uid="{00000000-0005-0000-0000-00006E570000}"/>
    <cellStyle name="Normal 260 7 2" xfId="22639" xr:uid="{00000000-0005-0000-0000-00006F570000}"/>
    <cellStyle name="Normal 260 7 2 2" xfId="22640" xr:uid="{00000000-0005-0000-0000-000070570000}"/>
    <cellStyle name="Normal 260 7 3" xfId="22641" xr:uid="{00000000-0005-0000-0000-000071570000}"/>
    <cellStyle name="Normal 260 8" xfId="22642" xr:uid="{00000000-0005-0000-0000-000072570000}"/>
    <cellStyle name="Normal 261" xfId="22643" xr:uid="{00000000-0005-0000-0000-000073570000}"/>
    <cellStyle name="Normal 261 2" xfId="22644" xr:uid="{00000000-0005-0000-0000-000074570000}"/>
    <cellStyle name="Normal 261 2 2" xfId="22645" xr:uid="{00000000-0005-0000-0000-000075570000}"/>
    <cellStyle name="Normal 261 2 2 2" xfId="22646" xr:uid="{00000000-0005-0000-0000-000076570000}"/>
    <cellStyle name="Normal 261 2 2 2 2" xfId="22647" xr:uid="{00000000-0005-0000-0000-000077570000}"/>
    <cellStyle name="Normal 261 2 2 3" xfId="22648" xr:uid="{00000000-0005-0000-0000-000078570000}"/>
    <cellStyle name="Normal 261 2 2 3 2" xfId="22649" xr:uid="{00000000-0005-0000-0000-000079570000}"/>
    <cellStyle name="Normal 261 2 2 3 2 2" xfId="22650" xr:uid="{00000000-0005-0000-0000-00007A570000}"/>
    <cellStyle name="Normal 261 2 2 3 3" xfId="22651" xr:uid="{00000000-0005-0000-0000-00007B570000}"/>
    <cellStyle name="Normal 261 2 2 4" xfId="22652" xr:uid="{00000000-0005-0000-0000-00007C570000}"/>
    <cellStyle name="Normal 261 2 2 4 2" xfId="22653" xr:uid="{00000000-0005-0000-0000-00007D570000}"/>
    <cellStyle name="Normal 261 2 2 4 2 2" xfId="22654" xr:uid="{00000000-0005-0000-0000-00007E570000}"/>
    <cellStyle name="Normal 261 2 2 4 3" xfId="22655" xr:uid="{00000000-0005-0000-0000-00007F570000}"/>
    <cellStyle name="Normal 261 2 2 5" xfId="22656" xr:uid="{00000000-0005-0000-0000-000080570000}"/>
    <cellStyle name="Normal 261 2 3" xfId="22657" xr:uid="{00000000-0005-0000-0000-000081570000}"/>
    <cellStyle name="Normal 261 2 3 2" xfId="22658" xr:uid="{00000000-0005-0000-0000-000082570000}"/>
    <cellStyle name="Normal 261 2 3 2 2" xfId="22659" xr:uid="{00000000-0005-0000-0000-000083570000}"/>
    <cellStyle name="Normal 261 2 3 2 2 2" xfId="22660" xr:uid="{00000000-0005-0000-0000-000084570000}"/>
    <cellStyle name="Normal 261 2 3 2 3" xfId="22661" xr:uid="{00000000-0005-0000-0000-000085570000}"/>
    <cellStyle name="Normal 261 2 3 2 3 2" xfId="22662" xr:uid="{00000000-0005-0000-0000-000086570000}"/>
    <cellStyle name="Normal 261 2 3 2 3 2 2" xfId="22663" xr:uid="{00000000-0005-0000-0000-000087570000}"/>
    <cellStyle name="Normal 261 2 3 2 3 3" xfId="22664" xr:uid="{00000000-0005-0000-0000-000088570000}"/>
    <cellStyle name="Normal 261 2 3 2 4" xfId="22665" xr:uid="{00000000-0005-0000-0000-000089570000}"/>
    <cellStyle name="Normal 261 2 3 3" xfId="22666" xr:uid="{00000000-0005-0000-0000-00008A570000}"/>
    <cellStyle name="Normal 261 2 3 3 2" xfId="22667" xr:uid="{00000000-0005-0000-0000-00008B570000}"/>
    <cellStyle name="Normal 261 2 3 3 2 2" xfId="22668" xr:uid="{00000000-0005-0000-0000-00008C570000}"/>
    <cellStyle name="Normal 261 2 3 3 3" xfId="22669" xr:uid="{00000000-0005-0000-0000-00008D570000}"/>
    <cellStyle name="Normal 261 2 3 4" xfId="22670" xr:uid="{00000000-0005-0000-0000-00008E570000}"/>
    <cellStyle name="Normal 261 2 3 4 2" xfId="22671" xr:uid="{00000000-0005-0000-0000-00008F570000}"/>
    <cellStyle name="Normal 261 2 3 4 2 2" xfId="22672" xr:uid="{00000000-0005-0000-0000-000090570000}"/>
    <cellStyle name="Normal 261 2 3 4 3" xfId="22673" xr:uid="{00000000-0005-0000-0000-000091570000}"/>
    <cellStyle name="Normal 261 2 3 5" xfId="22674" xr:uid="{00000000-0005-0000-0000-000092570000}"/>
    <cellStyle name="Normal 261 2 3 5 2" xfId="22675" xr:uid="{00000000-0005-0000-0000-000093570000}"/>
    <cellStyle name="Normal 261 2 3 5 2 2" xfId="22676" xr:uid="{00000000-0005-0000-0000-000094570000}"/>
    <cellStyle name="Normal 261 2 3 5 3" xfId="22677" xr:uid="{00000000-0005-0000-0000-000095570000}"/>
    <cellStyle name="Normal 261 2 3 6" xfId="22678" xr:uid="{00000000-0005-0000-0000-000096570000}"/>
    <cellStyle name="Normal 261 2 4" xfId="22679" xr:uid="{00000000-0005-0000-0000-000097570000}"/>
    <cellStyle name="Normal 261 2 4 2" xfId="22680" xr:uid="{00000000-0005-0000-0000-000098570000}"/>
    <cellStyle name="Normal 261 2 4 2 2" xfId="22681" xr:uid="{00000000-0005-0000-0000-000099570000}"/>
    <cellStyle name="Normal 261 2 4 3" xfId="22682" xr:uid="{00000000-0005-0000-0000-00009A570000}"/>
    <cellStyle name="Normal 261 2 5" xfId="22683" xr:uid="{00000000-0005-0000-0000-00009B570000}"/>
    <cellStyle name="Normal 261 2 5 2" xfId="22684" xr:uid="{00000000-0005-0000-0000-00009C570000}"/>
    <cellStyle name="Normal 261 2 5 2 2" xfId="22685" xr:uid="{00000000-0005-0000-0000-00009D570000}"/>
    <cellStyle name="Normal 261 2 5 3" xfId="22686" xr:uid="{00000000-0005-0000-0000-00009E570000}"/>
    <cellStyle name="Normal 261 2 6" xfId="22687" xr:uid="{00000000-0005-0000-0000-00009F570000}"/>
    <cellStyle name="Normal 261 2 6 2" xfId="22688" xr:uid="{00000000-0005-0000-0000-0000A0570000}"/>
    <cellStyle name="Normal 261 2 6 2 2" xfId="22689" xr:uid="{00000000-0005-0000-0000-0000A1570000}"/>
    <cellStyle name="Normal 261 2 6 3" xfId="22690" xr:uid="{00000000-0005-0000-0000-0000A2570000}"/>
    <cellStyle name="Normal 261 2 7" xfId="22691" xr:uid="{00000000-0005-0000-0000-0000A3570000}"/>
    <cellStyle name="Normal 261 3" xfId="22692" xr:uid="{00000000-0005-0000-0000-0000A4570000}"/>
    <cellStyle name="Normal 261 3 2" xfId="22693" xr:uid="{00000000-0005-0000-0000-0000A5570000}"/>
    <cellStyle name="Normal 261 3 2 2" xfId="22694" xr:uid="{00000000-0005-0000-0000-0000A6570000}"/>
    <cellStyle name="Normal 261 3 3" xfId="22695" xr:uid="{00000000-0005-0000-0000-0000A7570000}"/>
    <cellStyle name="Normal 261 3 3 2" xfId="22696" xr:uid="{00000000-0005-0000-0000-0000A8570000}"/>
    <cellStyle name="Normal 261 3 3 2 2" xfId="22697" xr:uid="{00000000-0005-0000-0000-0000A9570000}"/>
    <cellStyle name="Normal 261 3 3 3" xfId="22698" xr:uid="{00000000-0005-0000-0000-0000AA570000}"/>
    <cellStyle name="Normal 261 3 4" xfId="22699" xr:uid="{00000000-0005-0000-0000-0000AB570000}"/>
    <cellStyle name="Normal 261 3 4 2" xfId="22700" xr:uid="{00000000-0005-0000-0000-0000AC570000}"/>
    <cellStyle name="Normal 261 3 4 2 2" xfId="22701" xr:uid="{00000000-0005-0000-0000-0000AD570000}"/>
    <cellStyle name="Normal 261 3 4 3" xfId="22702" xr:uid="{00000000-0005-0000-0000-0000AE570000}"/>
    <cellStyle name="Normal 261 3 5" xfId="22703" xr:uid="{00000000-0005-0000-0000-0000AF570000}"/>
    <cellStyle name="Normal 261 4" xfId="22704" xr:uid="{00000000-0005-0000-0000-0000B0570000}"/>
    <cellStyle name="Normal 261 4 2" xfId="22705" xr:uid="{00000000-0005-0000-0000-0000B1570000}"/>
    <cellStyle name="Normal 261 4 2 2" xfId="22706" xr:uid="{00000000-0005-0000-0000-0000B2570000}"/>
    <cellStyle name="Normal 261 4 2 2 2" xfId="22707" xr:uid="{00000000-0005-0000-0000-0000B3570000}"/>
    <cellStyle name="Normal 261 4 2 3" xfId="22708" xr:uid="{00000000-0005-0000-0000-0000B4570000}"/>
    <cellStyle name="Normal 261 4 2 3 2" xfId="22709" xr:uid="{00000000-0005-0000-0000-0000B5570000}"/>
    <cellStyle name="Normal 261 4 2 3 2 2" xfId="22710" xr:uid="{00000000-0005-0000-0000-0000B6570000}"/>
    <cellStyle name="Normal 261 4 2 3 3" xfId="22711" xr:uid="{00000000-0005-0000-0000-0000B7570000}"/>
    <cellStyle name="Normal 261 4 2 4" xfId="22712" xr:uid="{00000000-0005-0000-0000-0000B8570000}"/>
    <cellStyle name="Normal 261 4 3" xfId="22713" xr:uid="{00000000-0005-0000-0000-0000B9570000}"/>
    <cellStyle name="Normal 261 4 3 2" xfId="22714" xr:uid="{00000000-0005-0000-0000-0000BA570000}"/>
    <cellStyle name="Normal 261 4 3 2 2" xfId="22715" xr:uid="{00000000-0005-0000-0000-0000BB570000}"/>
    <cellStyle name="Normal 261 4 3 3" xfId="22716" xr:uid="{00000000-0005-0000-0000-0000BC570000}"/>
    <cellStyle name="Normal 261 4 4" xfId="22717" xr:uid="{00000000-0005-0000-0000-0000BD570000}"/>
    <cellStyle name="Normal 261 4 4 2" xfId="22718" xr:uid="{00000000-0005-0000-0000-0000BE570000}"/>
    <cellStyle name="Normal 261 4 4 2 2" xfId="22719" xr:uid="{00000000-0005-0000-0000-0000BF570000}"/>
    <cellStyle name="Normal 261 4 4 3" xfId="22720" xr:uid="{00000000-0005-0000-0000-0000C0570000}"/>
    <cellStyle name="Normal 261 4 5" xfId="22721" xr:uid="{00000000-0005-0000-0000-0000C1570000}"/>
    <cellStyle name="Normal 261 4 5 2" xfId="22722" xr:uid="{00000000-0005-0000-0000-0000C2570000}"/>
    <cellStyle name="Normal 261 4 5 2 2" xfId="22723" xr:uid="{00000000-0005-0000-0000-0000C3570000}"/>
    <cellStyle name="Normal 261 4 5 3" xfId="22724" xr:uid="{00000000-0005-0000-0000-0000C4570000}"/>
    <cellStyle name="Normal 261 4 6" xfId="22725" xr:uid="{00000000-0005-0000-0000-0000C5570000}"/>
    <cellStyle name="Normal 261 5" xfId="22726" xr:uid="{00000000-0005-0000-0000-0000C6570000}"/>
    <cellStyle name="Normal 261 5 2" xfId="22727" xr:uid="{00000000-0005-0000-0000-0000C7570000}"/>
    <cellStyle name="Normal 261 5 2 2" xfId="22728" xr:uid="{00000000-0005-0000-0000-0000C8570000}"/>
    <cellStyle name="Normal 261 5 3" xfId="22729" xr:uid="{00000000-0005-0000-0000-0000C9570000}"/>
    <cellStyle name="Normal 261 6" xfId="22730" xr:uid="{00000000-0005-0000-0000-0000CA570000}"/>
    <cellStyle name="Normal 261 6 2" xfId="22731" xr:uid="{00000000-0005-0000-0000-0000CB570000}"/>
    <cellStyle name="Normal 261 6 2 2" xfId="22732" xr:uid="{00000000-0005-0000-0000-0000CC570000}"/>
    <cellStyle name="Normal 261 6 3" xfId="22733" xr:uid="{00000000-0005-0000-0000-0000CD570000}"/>
    <cellStyle name="Normal 261 7" xfId="22734" xr:uid="{00000000-0005-0000-0000-0000CE570000}"/>
    <cellStyle name="Normal 261 7 2" xfId="22735" xr:uid="{00000000-0005-0000-0000-0000CF570000}"/>
    <cellStyle name="Normal 261 7 2 2" xfId="22736" xr:uid="{00000000-0005-0000-0000-0000D0570000}"/>
    <cellStyle name="Normal 261 7 3" xfId="22737" xr:uid="{00000000-0005-0000-0000-0000D1570000}"/>
    <cellStyle name="Normal 261 8" xfId="22738" xr:uid="{00000000-0005-0000-0000-0000D2570000}"/>
    <cellStyle name="Normal 262" xfId="22739" xr:uid="{00000000-0005-0000-0000-0000D3570000}"/>
    <cellStyle name="Normal 262 2" xfId="22740" xr:uid="{00000000-0005-0000-0000-0000D4570000}"/>
    <cellStyle name="Normal 262 2 2" xfId="22741" xr:uid="{00000000-0005-0000-0000-0000D5570000}"/>
    <cellStyle name="Normal 262 2 2 2" xfId="22742" xr:uid="{00000000-0005-0000-0000-0000D6570000}"/>
    <cellStyle name="Normal 262 2 2 2 2" xfId="22743" xr:uid="{00000000-0005-0000-0000-0000D7570000}"/>
    <cellStyle name="Normal 262 2 2 3" xfId="22744" xr:uid="{00000000-0005-0000-0000-0000D8570000}"/>
    <cellStyle name="Normal 262 2 2 3 2" xfId="22745" xr:uid="{00000000-0005-0000-0000-0000D9570000}"/>
    <cellStyle name="Normal 262 2 2 3 2 2" xfId="22746" xr:uid="{00000000-0005-0000-0000-0000DA570000}"/>
    <cellStyle name="Normal 262 2 2 3 3" xfId="22747" xr:uid="{00000000-0005-0000-0000-0000DB570000}"/>
    <cellStyle name="Normal 262 2 2 4" xfId="22748" xr:uid="{00000000-0005-0000-0000-0000DC570000}"/>
    <cellStyle name="Normal 262 2 2 4 2" xfId="22749" xr:uid="{00000000-0005-0000-0000-0000DD570000}"/>
    <cellStyle name="Normal 262 2 2 4 2 2" xfId="22750" xr:uid="{00000000-0005-0000-0000-0000DE570000}"/>
    <cellStyle name="Normal 262 2 2 4 3" xfId="22751" xr:uid="{00000000-0005-0000-0000-0000DF570000}"/>
    <cellStyle name="Normal 262 2 2 5" xfId="22752" xr:uid="{00000000-0005-0000-0000-0000E0570000}"/>
    <cellStyle name="Normal 262 2 3" xfId="22753" xr:uid="{00000000-0005-0000-0000-0000E1570000}"/>
    <cellStyle name="Normal 262 2 3 2" xfId="22754" xr:uid="{00000000-0005-0000-0000-0000E2570000}"/>
    <cellStyle name="Normal 262 2 3 2 2" xfId="22755" xr:uid="{00000000-0005-0000-0000-0000E3570000}"/>
    <cellStyle name="Normal 262 2 3 2 2 2" xfId="22756" xr:uid="{00000000-0005-0000-0000-0000E4570000}"/>
    <cellStyle name="Normal 262 2 3 2 3" xfId="22757" xr:uid="{00000000-0005-0000-0000-0000E5570000}"/>
    <cellStyle name="Normal 262 2 3 2 3 2" xfId="22758" xr:uid="{00000000-0005-0000-0000-0000E6570000}"/>
    <cellStyle name="Normal 262 2 3 2 3 2 2" xfId="22759" xr:uid="{00000000-0005-0000-0000-0000E7570000}"/>
    <cellStyle name="Normal 262 2 3 2 3 3" xfId="22760" xr:uid="{00000000-0005-0000-0000-0000E8570000}"/>
    <cellStyle name="Normal 262 2 3 2 4" xfId="22761" xr:uid="{00000000-0005-0000-0000-0000E9570000}"/>
    <cellStyle name="Normal 262 2 3 3" xfId="22762" xr:uid="{00000000-0005-0000-0000-0000EA570000}"/>
    <cellStyle name="Normal 262 2 3 3 2" xfId="22763" xr:uid="{00000000-0005-0000-0000-0000EB570000}"/>
    <cellStyle name="Normal 262 2 3 3 2 2" xfId="22764" xr:uid="{00000000-0005-0000-0000-0000EC570000}"/>
    <cellStyle name="Normal 262 2 3 3 3" xfId="22765" xr:uid="{00000000-0005-0000-0000-0000ED570000}"/>
    <cellStyle name="Normal 262 2 3 4" xfId="22766" xr:uid="{00000000-0005-0000-0000-0000EE570000}"/>
    <cellStyle name="Normal 262 2 3 4 2" xfId="22767" xr:uid="{00000000-0005-0000-0000-0000EF570000}"/>
    <cellStyle name="Normal 262 2 3 4 2 2" xfId="22768" xr:uid="{00000000-0005-0000-0000-0000F0570000}"/>
    <cellStyle name="Normal 262 2 3 4 3" xfId="22769" xr:uid="{00000000-0005-0000-0000-0000F1570000}"/>
    <cellStyle name="Normal 262 2 3 5" xfId="22770" xr:uid="{00000000-0005-0000-0000-0000F2570000}"/>
    <cellStyle name="Normal 262 2 3 5 2" xfId="22771" xr:uid="{00000000-0005-0000-0000-0000F3570000}"/>
    <cellStyle name="Normal 262 2 3 5 2 2" xfId="22772" xr:uid="{00000000-0005-0000-0000-0000F4570000}"/>
    <cellStyle name="Normal 262 2 3 5 3" xfId="22773" xr:uid="{00000000-0005-0000-0000-0000F5570000}"/>
    <cellStyle name="Normal 262 2 3 6" xfId="22774" xr:uid="{00000000-0005-0000-0000-0000F6570000}"/>
    <cellStyle name="Normal 262 2 4" xfId="22775" xr:uid="{00000000-0005-0000-0000-0000F7570000}"/>
    <cellStyle name="Normal 262 2 4 2" xfId="22776" xr:uid="{00000000-0005-0000-0000-0000F8570000}"/>
    <cellStyle name="Normal 262 2 4 2 2" xfId="22777" xr:uid="{00000000-0005-0000-0000-0000F9570000}"/>
    <cellStyle name="Normal 262 2 4 3" xfId="22778" xr:uid="{00000000-0005-0000-0000-0000FA570000}"/>
    <cellStyle name="Normal 262 2 5" xfId="22779" xr:uid="{00000000-0005-0000-0000-0000FB570000}"/>
    <cellStyle name="Normal 262 2 5 2" xfId="22780" xr:uid="{00000000-0005-0000-0000-0000FC570000}"/>
    <cellStyle name="Normal 262 2 5 2 2" xfId="22781" xr:uid="{00000000-0005-0000-0000-0000FD570000}"/>
    <cellStyle name="Normal 262 2 5 3" xfId="22782" xr:uid="{00000000-0005-0000-0000-0000FE570000}"/>
    <cellStyle name="Normal 262 2 6" xfId="22783" xr:uid="{00000000-0005-0000-0000-0000FF570000}"/>
    <cellStyle name="Normal 262 2 6 2" xfId="22784" xr:uid="{00000000-0005-0000-0000-000000580000}"/>
    <cellStyle name="Normal 262 2 6 2 2" xfId="22785" xr:uid="{00000000-0005-0000-0000-000001580000}"/>
    <cellStyle name="Normal 262 2 6 3" xfId="22786" xr:uid="{00000000-0005-0000-0000-000002580000}"/>
    <cellStyle name="Normal 262 2 7" xfId="22787" xr:uid="{00000000-0005-0000-0000-000003580000}"/>
    <cellStyle name="Normal 262 3" xfId="22788" xr:uid="{00000000-0005-0000-0000-000004580000}"/>
    <cellStyle name="Normal 262 3 2" xfId="22789" xr:uid="{00000000-0005-0000-0000-000005580000}"/>
    <cellStyle name="Normal 262 3 2 2" xfId="22790" xr:uid="{00000000-0005-0000-0000-000006580000}"/>
    <cellStyle name="Normal 262 3 3" xfId="22791" xr:uid="{00000000-0005-0000-0000-000007580000}"/>
    <cellStyle name="Normal 262 3 3 2" xfId="22792" xr:uid="{00000000-0005-0000-0000-000008580000}"/>
    <cellStyle name="Normal 262 3 3 2 2" xfId="22793" xr:uid="{00000000-0005-0000-0000-000009580000}"/>
    <cellStyle name="Normal 262 3 3 3" xfId="22794" xr:uid="{00000000-0005-0000-0000-00000A580000}"/>
    <cellStyle name="Normal 262 3 4" xfId="22795" xr:uid="{00000000-0005-0000-0000-00000B580000}"/>
    <cellStyle name="Normal 262 3 4 2" xfId="22796" xr:uid="{00000000-0005-0000-0000-00000C580000}"/>
    <cellStyle name="Normal 262 3 4 2 2" xfId="22797" xr:uid="{00000000-0005-0000-0000-00000D580000}"/>
    <cellStyle name="Normal 262 3 4 3" xfId="22798" xr:uid="{00000000-0005-0000-0000-00000E580000}"/>
    <cellStyle name="Normal 262 3 5" xfId="22799" xr:uid="{00000000-0005-0000-0000-00000F580000}"/>
    <cellStyle name="Normal 262 4" xfId="22800" xr:uid="{00000000-0005-0000-0000-000010580000}"/>
    <cellStyle name="Normal 262 4 2" xfId="22801" xr:uid="{00000000-0005-0000-0000-000011580000}"/>
    <cellStyle name="Normal 262 4 2 2" xfId="22802" xr:uid="{00000000-0005-0000-0000-000012580000}"/>
    <cellStyle name="Normal 262 4 2 2 2" xfId="22803" xr:uid="{00000000-0005-0000-0000-000013580000}"/>
    <cellStyle name="Normal 262 4 2 3" xfId="22804" xr:uid="{00000000-0005-0000-0000-000014580000}"/>
    <cellStyle name="Normal 262 4 2 3 2" xfId="22805" xr:uid="{00000000-0005-0000-0000-000015580000}"/>
    <cellStyle name="Normal 262 4 2 3 2 2" xfId="22806" xr:uid="{00000000-0005-0000-0000-000016580000}"/>
    <cellStyle name="Normal 262 4 2 3 3" xfId="22807" xr:uid="{00000000-0005-0000-0000-000017580000}"/>
    <cellStyle name="Normal 262 4 2 4" xfId="22808" xr:uid="{00000000-0005-0000-0000-000018580000}"/>
    <cellStyle name="Normal 262 4 3" xfId="22809" xr:uid="{00000000-0005-0000-0000-000019580000}"/>
    <cellStyle name="Normal 262 4 3 2" xfId="22810" xr:uid="{00000000-0005-0000-0000-00001A580000}"/>
    <cellStyle name="Normal 262 4 3 2 2" xfId="22811" xr:uid="{00000000-0005-0000-0000-00001B580000}"/>
    <cellStyle name="Normal 262 4 3 3" xfId="22812" xr:uid="{00000000-0005-0000-0000-00001C580000}"/>
    <cellStyle name="Normal 262 4 4" xfId="22813" xr:uid="{00000000-0005-0000-0000-00001D580000}"/>
    <cellStyle name="Normal 262 4 4 2" xfId="22814" xr:uid="{00000000-0005-0000-0000-00001E580000}"/>
    <cellStyle name="Normal 262 4 4 2 2" xfId="22815" xr:uid="{00000000-0005-0000-0000-00001F580000}"/>
    <cellStyle name="Normal 262 4 4 3" xfId="22816" xr:uid="{00000000-0005-0000-0000-000020580000}"/>
    <cellStyle name="Normal 262 4 5" xfId="22817" xr:uid="{00000000-0005-0000-0000-000021580000}"/>
    <cellStyle name="Normal 262 4 5 2" xfId="22818" xr:uid="{00000000-0005-0000-0000-000022580000}"/>
    <cellStyle name="Normal 262 4 5 2 2" xfId="22819" xr:uid="{00000000-0005-0000-0000-000023580000}"/>
    <cellStyle name="Normal 262 4 5 3" xfId="22820" xr:uid="{00000000-0005-0000-0000-000024580000}"/>
    <cellStyle name="Normal 262 4 6" xfId="22821" xr:uid="{00000000-0005-0000-0000-000025580000}"/>
    <cellStyle name="Normal 262 5" xfId="22822" xr:uid="{00000000-0005-0000-0000-000026580000}"/>
    <cellStyle name="Normal 262 5 2" xfId="22823" xr:uid="{00000000-0005-0000-0000-000027580000}"/>
    <cellStyle name="Normal 262 5 2 2" xfId="22824" xr:uid="{00000000-0005-0000-0000-000028580000}"/>
    <cellStyle name="Normal 262 5 3" xfId="22825" xr:uid="{00000000-0005-0000-0000-000029580000}"/>
    <cellStyle name="Normal 262 6" xfId="22826" xr:uid="{00000000-0005-0000-0000-00002A580000}"/>
    <cellStyle name="Normal 262 6 2" xfId="22827" xr:uid="{00000000-0005-0000-0000-00002B580000}"/>
    <cellStyle name="Normal 262 6 2 2" xfId="22828" xr:uid="{00000000-0005-0000-0000-00002C580000}"/>
    <cellStyle name="Normal 262 6 3" xfId="22829" xr:uid="{00000000-0005-0000-0000-00002D580000}"/>
    <cellStyle name="Normal 262 7" xfId="22830" xr:uid="{00000000-0005-0000-0000-00002E580000}"/>
    <cellStyle name="Normal 262 7 2" xfId="22831" xr:uid="{00000000-0005-0000-0000-00002F580000}"/>
    <cellStyle name="Normal 262 7 2 2" xfId="22832" xr:uid="{00000000-0005-0000-0000-000030580000}"/>
    <cellStyle name="Normal 262 7 3" xfId="22833" xr:uid="{00000000-0005-0000-0000-000031580000}"/>
    <cellStyle name="Normal 262 8" xfId="22834" xr:uid="{00000000-0005-0000-0000-000032580000}"/>
    <cellStyle name="Normal 263" xfId="22835" xr:uid="{00000000-0005-0000-0000-000033580000}"/>
    <cellStyle name="Normal 263 2" xfId="22836" xr:uid="{00000000-0005-0000-0000-000034580000}"/>
    <cellStyle name="Normal 263 2 2" xfId="22837" xr:uid="{00000000-0005-0000-0000-000035580000}"/>
    <cellStyle name="Normal 263 2 2 2" xfId="22838" xr:uid="{00000000-0005-0000-0000-000036580000}"/>
    <cellStyle name="Normal 263 2 2 2 2" xfId="22839" xr:uid="{00000000-0005-0000-0000-000037580000}"/>
    <cellStyle name="Normal 263 2 2 3" xfId="22840" xr:uid="{00000000-0005-0000-0000-000038580000}"/>
    <cellStyle name="Normal 263 2 2 3 2" xfId="22841" xr:uid="{00000000-0005-0000-0000-000039580000}"/>
    <cellStyle name="Normal 263 2 2 3 2 2" xfId="22842" xr:uid="{00000000-0005-0000-0000-00003A580000}"/>
    <cellStyle name="Normal 263 2 2 3 3" xfId="22843" xr:uid="{00000000-0005-0000-0000-00003B580000}"/>
    <cellStyle name="Normal 263 2 2 4" xfId="22844" xr:uid="{00000000-0005-0000-0000-00003C580000}"/>
    <cellStyle name="Normal 263 2 2 4 2" xfId="22845" xr:uid="{00000000-0005-0000-0000-00003D580000}"/>
    <cellStyle name="Normal 263 2 2 4 2 2" xfId="22846" xr:uid="{00000000-0005-0000-0000-00003E580000}"/>
    <cellStyle name="Normal 263 2 2 4 3" xfId="22847" xr:uid="{00000000-0005-0000-0000-00003F580000}"/>
    <cellStyle name="Normal 263 2 2 5" xfId="22848" xr:uid="{00000000-0005-0000-0000-000040580000}"/>
    <cellStyle name="Normal 263 2 3" xfId="22849" xr:uid="{00000000-0005-0000-0000-000041580000}"/>
    <cellStyle name="Normal 263 2 3 2" xfId="22850" xr:uid="{00000000-0005-0000-0000-000042580000}"/>
    <cellStyle name="Normal 263 2 3 2 2" xfId="22851" xr:uid="{00000000-0005-0000-0000-000043580000}"/>
    <cellStyle name="Normal 263 2 3 2 2 2" xfId="22852" xr:uid="{00000000-0005-0000-0000-000044580000}"/>
    <cellStyle name="Normal 263 2 3 2 3" xfId="22853" xr:uid="{00000000-0005-0000-0000-000045580000}"/>
    <cellStyle name="Normal 263 2 3 2 3 2" xfId="22854" xr:uid="{00000000-0005-0000-0000-000046580000}"/>
    <cellStyle name="Normal 263 2 3 2 3 2 2" xfId="22855" xr:uid="{00000000-0005-0000-0000-000047580000}"/>
    <cellStyle name="Normal 263 2 3 2 3 3" xfId="22856" xr:uid="{00000000-0005-0000-0000-000048580000}"/>
    <cellStyle name="Normal 263 2 3 2 4" xfId="22857" xr:uid="{00000000-0005-0000-0000-000049580000}"/>
    <cellStyle name="Normal 263 2 3 3" xfId="22858" xr:uid="{00000000-0005-0000-0000-00004A580000}"/>
    <cellStyle name="Normal 263 2 3 3 2" xfId="22859" xr:uid="{00000000-0005-0000-0000-00004B580000}"/>
    <cellStyle name="Normal 263 2 3 3 2 2" xfId="22860" xr:uid="{00000000-0005-0000-0000-00004C580000}"/>
    <cellStyle name="Normal 263 2 3 3 3" xfId="22861" xr:uid="{00000000-0005-0000-0000-00004D580000}"/>
    <cellStyle name="Normal 263 2 3 4" xfId="22862" xr:uid="{00000000-0005-0000-0000-00004E580000}"/>
    <cellStyle name="Normal 263 2 3 4 2" xfId="22863" xr:uid="{00000000-0005-0000-0000-00004F580000}"/>
    <cellStyle name="Normal 263 2 3 4 2 2" xfId="22864" xr:uid="{00000000-0005-0000-0000-000050580000}"/>
    <cellStyle name="Normal 263 2 3 4 3" xfId="22865" xr:uid="{00000000-0005-0000-0000-000051580000}"/>
    <cellStyle name="Normal 263 2 3 5" xfId="22866" xr:uid="{00000000-0005-0000-0000-000052580000}"/>
    <cellStyle name="Normal 263 2 3 5 2" xfId="22867" xr:uid="{00000000-0005-0000-0000-000053580000}"/>
    <cellStyle name="Normal 263 2 3 5 2 2" xfId="22868" xr:uid="{00000000-0005-0000-0000-000054580000}"/>
    <cellStyle name="Normal 263 2 3 5 3" xfId="22869" xr:uid="{00000000-0005-0000-0000-000055580000}"/>
    <cellStyle name="Normal 263 2 3 6" xfId="22870" xr:uid="{00000000-0005-0000-0000-000056580000}"/>
    <cellStyle name="Normal 263 2 4" xfId="22871" xr:uid="{00000000-0005-0000-0000-000057580000}"/>
    <cellStyle name="Normal 263 2 4 2" xfId="22872" xr:uid="{00000000-0005-0000-0000-000058580000}"/>
    <cellStyle name="Normal 263 2 4 2 2" xfId="22873" xr:uid="{00000000-0005-0000-0000-000059580000}"/>
    <cellStyle name="Normal 263 2 4 3" xfId="22874" xr:uid="{00000000-0005-0000-0000-00005A580000}"/>
    <cellStyle name="Normal 263 2 5" xfId="22875" xr:uid="{00000000-0005-0000-0000-00005B580000}"/>
    <cellStyle name="Normal 263 2 5 2" xfId="22876" xr:uid="{00000000-0005-0000-0000-00005C580000}"/>
    <cellStyle name="Normal 263 2 5 2 2" xfId="22877" xr:uid="{00000000-0005-0000-0000-00005D580000}"/>
    <cellStyle name="Normal 263 2 5 3" xfId="22878" xr:uid="{00000000-0005-0000-0000-00005E580000}"/>
    <cellStyle name="Normal 263 2 6" xfId="22879" xr:uid="{00000000-0005-0000-0000-00005F580000}"/>
    <cellStyle name="Normal 263 2 6 2" xfId="22880" xr:uid="{00000000-0005-0000-0000-000060580000}"/>
    <cellStyle name="Normal 263 2 6 2 2" xfId="22881" xr:uid="{00000000-0005-0000-0000-000061580000}"/>
    <cellStyle name="Normal 263 2 6 3" xfId="22882" xr:uid="{00000000-0005-0000-0000-000062580000}"/>
    <cellStyle name="Normal 263 2 7" xfId="22883" xr:uid="{00000000-0005-0000-0000-000063580000}"/>
    <cellStyle name="Normal 263 3" xfId="22884" xr:uid="{00000000-0005-0000-0000-000064580000}"/>
    <cellStyle name="Normal 263 3 2" xfId="22885" xr:uid="{00000000-0005-0000-0000-000065580000}"/>
    <cellStyle name="Normal 263 3 2 2" xfId="22886" xr:uid="{00000000-0005-0000-0000-000066580000}"/>
    <cellStyle name="Normal 263 3 3" xfId="22887" xr:uid="{00000000-0005-0000-0000-000067580000}"/>
    <cellStyle name="Normal 263 3 3 2" xfId="22888" xr:uid="{00000000-0005-0000-0000-000068580000}"/>
    <cellStyle name="Normal 263 3 3 2 2" xfId="22889" xr:uid="{00000000-0005-0000-0000-000069580000}"/>
    <cellStyle name="Normal 263 3 3 3" xfId="22890" xr:uid="{00000000-0005-0000-0000-00006A580000}"/>
    <cellStyle name="Normal 263 3 4" xfId="22891" xr:uid="{00000000-0005-0000-0000-00006B580000}"/>
    <cellStyle name="Normal 263 3 4 2" xfId="22892" xr:uid="{00000000-0005-0000-0000-00006C580000}"/>
    <cellStyle name="Normal 263 3 4 2 2" xfId="22893" xr:uid="{00000000-0005-0000-0000-00006D580000}"/>
    <cellStyle name="Normal 263 3 4 3" xfId="22894" xr:uid="{00000000-0005-0000-0000-00006E580000}"/>
    <cellStyle name="Normal 263 3 5" xfId="22895" xr:uid="{00000000-0005-0000-0000-00006F580000}"/>
    <cellStyle name="Normal 263 4" xfId="22896" xr:uid="{00000000-0005-0000-0000-000070580000}"/>
    <cellStyle name="Normal 263 4 2" xfId="22897" xr:uid="{00000000-0005-0000-0000-000071580000}"/>
    <cellStyle name="Normal 263 4 2 2" xfId="22898" xr:uid="{00000000-0005-0000-0000-000072580000}"/>
    <cellStyle name="Normal 263 4 2 2 2" xfId="22899" xr:uid="{00000000-0005-0000-0000-000073580000}"/>
    <cellStyle name="Normal 263 4 2 3" xfId="22900" xr:uid="{00000000-0005-0000-0000-000074580000}"/>
    <cellStyle name="Normal 263 4 2 3 2" xfId="22901" xr:uid="{00000000-0005-0000-0000-000075580000}"/>
    <cellStyle name="Normal 263 4 2 3 2 2" xfId="22902" xr:uid="{00000000-0005-0000-0000-000076580000}"/>
    <cellStyle name="Normal 263 4 2 3 3" xfId="22903" xr:uid="{00000000-0005-0000-0000-000077580000}"/>
    <cellStyle name="Normal 263 4 2 4" xfId="22904" xr:uid="{00000000-0005-0000-0000-000078580000}"/>
    <cellStyle name="Normal 263 4 3" xfId="22905" xr:uid="{00000000-0005-0000-0000-000079580000}"/>
    <cellStyle name="Normal 263 4 3 2" xfId="22906" xr:uid="{00000000-0005-0000-0000-00007A580000}"/>
    <cellStyle name="Normal 263 4 3 2 2" xfId="22907" xr:uid="{00000000-0005-0000-0000-00007B580000}"/>
    <cellStyle name="Normal 263 4 3 3" xfId="22908" xr:uid="{00000000-0005-0000-0000-00007C580000}"/>
    <cellStyle name="Normal 263 4 4" xfId="22909" xr:uid="{00000000-0005-0000-0000-00007D580000}"/>
    <cellStyle name="Normal 263 4 4 2" xfId="22910" xr:uid="{00000000-0005-0000-0000-00007E580000}"/>
    <cellStyle name="Normal 263 4 4 2 2" xfId="22911" xr:uid="{00000000-0005-0000-0000-00007F580000}"/>
    <cellStyle name="Normal 263 4 4 3" xfId="22912" xr:uid="{00000000-0005-0000-0000-000080580000}"/>
    <cellStyle name="Normal 263 4 5" xfId="22913" xr:uid="{00000000-0005-0000-0000-000081580000}"/>
    <cellStyle name="Normal 263 4 5 2" xfId="22914" xr:uid="{00000000-0005-0000-0000-000082580000}"/>
    <cellStyle name="Normal 263 4 5 2 2" xfId="22915" xr:uid="{00000000-0005-0000-0000-000083580000}"/>
    <cellStyle name="Normal 263 4 5 3" xfId="22916" xr:uid="{00000000-0005-0000-0000-000084580000}"/>
    <cellStyle name="Normal 263 4 6" xfId="22917" xr:uid="{00000000-0005-0000-0000-000085580000}"/>
    <cellStyle name="Normal 263 5" xfId="22918" xr:uid="{00000000-0005-0000-0000-000086580000}"/>
    <cellStyle name="Normal 263 5 2" xfId="22919" xr:uid="{00000000-0005-0000-0000-000087580000}"/>
    <cellStyle name="Normal 263 5 2 2" xfId="22920" xr:uid="{00000000-0005-0000-0000-000088580000}"/>
    <cellStyle name="Normal 263 5 3" xfId="22921" xr:uid="{00000000-0005-0000-0000-000089580000}"/>
    <cellStyle name="Normal 263 6" xfId="22922" xr:uid="{00000000-0005-0000-0000-00008A580000}"/>
    <cellStyle name="Normal 263 6 2" xfId="22923" xr:uid="{00000000-0005-0000-0000-00008B580000}"/>
    <cellStyle name="Normal 263 6 2 2" xfId="22924" xr:uid="{00000000-0005-0000-0000-00008C580000}"/>
    <cellStyle name="Normal 263 6 3" xfId="22925" xr:uid="{00000000-0005-0000-0000-00008D580000}"/>
    <cellStyle name="Normal 263 7" xfId="22926" xr:uid="{00000000-0005-0000-0000-00008E580000}"/>
    <cellStyle name="Normal 263 7 2" xfId="22927" xr:uid="{00000000-0005-0000-0000-00008F580000}"/>
    <cellStyle name="Normal 263 7 2 2" xfId="22928" xr:uid="{00000000-0005-0000-0000-000090580000}"/>
    <cellStyle name="Normal 263 7 3" xfId="22929" xr:uid="{00000000-0005-0000-0000-000091580000}"/>
    <cellStyle name="Normal 263 8" xfId="22930" xr:uid="{00000000-0005-0000-0000-000092580000}"/>
    <cellStyle name="Normal 264" xfId="22931" xr:uid="{00000000-0005-0000-0000-000093580000}"/>
    <cellStyle name="Normal 264 2" xfId="22932" xr:uid="{00000000-0005-0000-0000-000094580000}"/>
    <cellStyle name="Normal 264 2 2" xfId="22933" xr:uid="{00000000-0005-0000-0000-000095580000}"/>
    <cellStyle name="Normal 264 2 2 2" xfId="22934" xr:uid="{00000000-0005-0000-0000-000096580000}"/>
    <cellStyle name="Normal 264 2 3" xfId="22935" xr:uid="{00000000-0005-0000-0000-000097580000}"/>
    <cellStyle name="Normal 264 2 3 2" xfId="22936" xr:uid="{00000000-0005-0000-0000-000098580000}"/>
    <cellStyle name="Normal 264 2 3 2 2" xfId="22937" xr:uid="{00000000-0005-0000-0000-000099580000}"/>
    <cellStyle name="Normal 264 2 3 3" xfId="22938" xr:uid="{00000000-0005-0000-0000-00009A580000}"/>
    <cellStyle name="Normal 264 2 4" xfId="22939" xr:uid="{00000000-0005-0000-0000-00009B580000}"/>
    <cellStyle name="Normal 264 2 4 2" xfId="22940" xr:uid="{00000000-0005-0000-0000-00009C580000}"/>
    <cellStyle name="Normal 264 2 4 2 2" xfId="22941" xr:uid="{00000000-0005-0000-0000-00009D580000}"/>
    <cellStyle name="Normal 264 2 4 3" xfId="22942" xr:uid="{00000000-0005-0000-0000-00009E580000}"/>
    <cellStyle name="Normal 264 2 5" xfId="22943" xr:uid="{00000000-0005-0000-0000-00009F580000}"/>
    <cellStyle name="Normal 264 3" xfId="22944" xr:uid="{00000000-0005-0000-0000-0000A0580000}"/>
    <cellStyle name="Normal 264 3 2" xfId="22945" xr:uid="{00000000-0005-0000-0000-0000A1580000}"/>
    <cellStyle name="Normal 264 3 2 2" xfId="22946" xr:uid="{00000000-0005-0000-0000-0000A2580000}"/>
    <cellStyle name="Normal 264 3 2 2 2" xfId="22947" xr:uid="{00000000-0005-0000-0000-0000A3580000}"/>
    <cellStyle name="Normal 264 3 2 3" xfId="22948" xr:uid="{00000000-0005-0000-0000-0000A4580000}"/>
    <cellStyle name="Normal 264 3 2 3 2" xfId="22949" xr:uid="{00000000-0005-0000-0000-0000A5580000}"/>
    <cellStyle name="Normal 264 3 2 3 2 2" xfId="22950" xr:uid="{00000000-0005-0000-0000-0000A6580000}"/>
    <cellStyle name="Normal 264 3 2 3 3" xfId="22951" xr:uid="{00000000-0005-0000-0000-0000A7580000}"/>
    <cellStyle name="Normal 264 3 2 4" xfId="22952" xr:uid="{00000000-0005-0000-0000-0000A8580000}"/>
    <cellStyle name="Normal 264 3 3" xfId="22953" xr:uid="{00000000-0005-0000-0000-0000A9580000}"/>
    <cellStyle name="Normal 264 3 3 2" xfId="22954" xr:uid="{00000000-0005-0000-0000-0000AA580000}"/>
    <cellStyle name="Normal 264 3 3 2 2" xfId="22955" xr:uid="{00000000-0005-0000-0000-0000AB580000}"/>
    <cellStyle name="Normal 264 3 3 3" xfId="22956" xr:uid="{00000000-0005-0000-0000-0000AC580000}"/>
    <cellStyle name="Normal 264 3 4" xfId="22957" xr:uid="{00000000-0005-0000-0000-0000AD580000}"/>
    <cellStyle name="Normal 264 3 4 2" xfId="22958" xr:uid="{00000000-0005-0000-0000-0000AE580000}"/>
    <cellStyle name="Normal 264 3 4 2 2" xfId="22959" xr:uid="{00000000-0005-0000-0000-0000AF580000}"/>
    <cellStyle name="Normal 264 3 4 3" xfId="22960" xr:uid="{00000000-0005-0000-0000-0000B0580000}"/>
    <cellStyle name="Normal 264 3 5" xfId="22961" xr:uid="{00000000-0005-0000-0000-0000B1580000}"/>
    <cellStyle name="Normal 264 3 5 2" xfId="22962" xr:uid="{00000000-0005-0000-0000-0000B2580000}"/>
    <cellStyle name="Normal 264 3 5 2 2" xfId="22963" xr:uid="{00000000-0005-0000-0000-0000B3580000}"/>
    <cellStyle name="Normal 264 3 5 3" xfId="22964" xr:uid="{00000000-0005-0000-0000-0000B4580000}"/>
    <cellStyle name="Normal 264 3 6" xfId="22965" xr:uid="{00000000-0005-0000-0000-0000B5580000}"/>
    <cellStyle name="Normal 264 4" xfId="22966" xr:uid="{00000000-0005-0000-0000-0000B6580000}"/>
    <cellStyle name="Normal 264 4 2" xfId="22967" xr:uid="{00000000-0005-0000-0000-0000B7580000}"/>
    <cellStyle name="Normal 264 4 2 2" xfId="22968" xr:uid="{00000000-0005-0000-0000-0000B8580000}"/>
    <cellStyle name="Normal 264 4 3" xfId="22969" xr:uid="{00000000-0005-0000-0000-0000B9580000}"/>
    <cellStyle name="Normal 264 5" xfId="22970" xr:uid="{00000000-0005-0000-0000-0000BA580000}"/>
    <cellStyle name="Normal 264 5 2" xfId="22971" xr:uid="{00000000-0005-0000-0000-0000BB580000}"/>
    <cellStyle name="Normal 264 5 2 2" xfId="22972" xr:uid="{00000000-0005-0000-0000-0000BC580000}"/>
    <cellStyle name="Normal 264 5 3" xfId="22973" xr:uid="{00000000-0005-0000-0000-0000BD580000}"/>
    <cellStyle name="Normal 264 6" xfId="22974" xr:uid="{00000000-0005-0000-0000-0000BE580000}"/>
    <cellStyle name="Normal 264 6 2" xfId="22975" xr:uid="{00000000-0005-0000-0000-0000BF580000}"/>
    <cellStyle name="Normal 264 6 2 2" xfId="22976" xr:uid="{00000000-0005-0000-0000-0000C0580000}"/>
    <cellStyle name="Normal 264 6 3" xfId="22977" xr:uid="{00000000-0005-0000-0000-0000C1580000}"/>
    <cellStyle name="Normal 264 7" xfId="22978" xr:uid="{00000000-0005-0000-0000-0000C2580000}"/>
    <cellStyle name="Normal 265" xfId="22979" xr:uid="{00000000-0005-0000-0000-0000C3580000}"/>
    <cellStyle name="Normal 265 2" xfId="22980" xr:uid="{00000000-0005-0000-0000-0000C4580000}"/>
    <cellStyle name="Normal 265 2 2" xfId="22981" xr:uid="{00000000-0005-0000-0000-0000C5580000}"/>
    <cellStyle name="Normal 265 2 2 2" xfId="22982" xr:uid="{00000000-0005-0000-0000-0000C6580000}"/>
    <cellStyle name="Normal 265 2 3" xfId="22983" xr:uid="{00000000-0005-0000-0000-0000C7580000}"/>
    <cellStyle name="Normal 265 2 3 2" xfId="22984" xr:uid="{00000000-0005-0000-0000-0000C8580000}"/>
    <cellStyle name="Normal 265 2 3 2 2" xfId="22985" xr:uid="{00000000-0005-0000-0000-0000C9580000}"/>
    <cellStyle name="Normal 265 2 3 3" xfId="22986" xr:uid="{00000000-0005-0000-0000-0000CA580000}"/>
    <cellStyle name="Normal 265 2 4" xfId="22987" xr:uid="{00000000-0005-0000-0000-0000CB580000}"/>
    <cellStyle name="Normal 265 2 4 2" xfId="22988" xr:uid="{00000000-0005-0000-0000-0000CC580000}"/>
    <cellStyle name="Normal 265 2 4 2 2" xfId="22989" xr:uid="{00000000-0005-0000-0000-0000CD580000}"/>
    <cellStyle name="Normal 265 2 4 3" xfId="22990" xr:uid="{00000000-0005-0000-0000-0000CE580000}"/>
    <cellStyle name="Normal 265 2 5" xfId="22991" xr:uid="{00000000-0005-0000-0000-0000CF580000}"/>
    <cellStyle name="Normal 265 3" xfId="22992" xr:uid="{00000000-0005-0000-0000-0000D0580000}"/>
    <cellStyle name="Normal 265 3 2" xfId="22993" xr:uid="{00000000-0005-0000-0000-0000D1580000}"/>
    <cellStyle name="Normal 265 3 2 2" xfId="22994" xr:uid="{00000000-0005-0000-0000-0000D2580000}"/>
    <cellStyle name="Normal 265 3 2 2 2" xfId="22995" xr:uid="{00000000-0005-0000-0000-0000D3580000}"/>
    <cellStyle name="Normal 265 3 2 3" xfId="22996" xr:uid="{00000000-0005-0000-0000-0000D4580000}"/>
    <cellStyle name="Normal 265 3 2 3 2" xfId="22997" xr:uid="{00000000-0005-0000-0000-0000D5580000}"/>
    <cellStyle name="Normal 265 3 2 3 2 2" xfId="22998" xr:uid="{00000000-0005-0000-0000-0000D6580000}"/>
    <cellStyle name="Normal 265 3 2 3 3" xfId="22999" xr:uid="{00000000-0005-0000-0000-0000D7580000}"/>
    <cellStyle name="Normal 265 3 2 4" xfId="23000" xr:uid="{00000000-0005-0000-0000-0000D8580000}"/>
    <cellStyle name="Normal 265 3 3" xfId="23001" xr:uid="{00000000-0005-0000-0000-0000D9580000}"/>
    <cellStyle name="Normal 265 3 3 2" xfId="23002" xr:uid="{00000000-0005-0000-0000-0000DA580000}"/>
    <cellStyle name="Normal 265 3 3 2 2" xfId="23003" xr:uid="{00000000-0005-0000-0000-0000DB580000}"/>
    <cellStyle name="Normal 265 3 3 3" xfId="23004" xr:uid="{00000000-0005-0000-0000-0000DC580000}"/>
    <cellStyle name="Normal 265 3 4" xfId="23005" xr:uid="{00000000-0005-0000-0000-0000DD580000}"/>
    <cellStyle name="Normal 265 3 4 2" xfId="23006" xr:uid="{00000000-0005-0000-0000-0000DE580000}"/>
    <cellStyle name="Normal 265 3 4 2 2" xfId="23007" xr:uid="{00000000-0005-0000-0000-0000DF580000}"/>
    <cellStyle name="Normal 265 3 4 3" xfId="23008" xr:uid="{00000000-0005-0000-0000-0000E0580000}"/>
    <cellStyle name="Normal 265 3 5" xfId="23009" xr:uid="{00000000-0005-0000-0000-0000E1580000}"/>
    <cellStyle name="Normal 265 3 5 2" xfId="23010" xr:uid="{00000000-0005-0000-0000-0000E2580000}"/>
    <cellStyle name="Normal 265 3 5 2 2" xfId="23011" xr:uid="{00000000-0005-0000-0000-0000E3580000}"/>
    <cellStyle name="Normal 265 3 5 3" xfId="23012" xr:uid="{00000000-0005-0000-0000-0000E4580000}"/>
    <cellStyle name="Normal 265 3 6" xfId="23013" xr:uid="{00000000-0005-0000-0000-0000E5580000}"/>
    <cellStyle name="Normal 265 4" xfId="23014" xr:uid="{00000000-0005-0000-0000-0000E6580000}"/>
    <cellStyle name="Normal 265 4 2" xfId="23015" xr:uid="{00000000-0005-0000-0000-0000E7580000}"/>
    <cellStyle name="Normal 265 4 2 2" xfId="23016" xr:uid="{00000000-0005-0000-0000-0000E8580000}"/>
    <cellStyle name="Normal 265 4 3" xfId="23017" xr:uid="{00000000-0005-0000-0000-0000E9580000}"/>
    <cellStyle name="Normal 265 5" xfId="23018" xr:uid="{00000000-0005-0000-0000-0000EA580000}"/>
    <cellStyle name="Normal 265 5 2" xfId="23019" xr:uid="{00000000-0005-0000-0000-0000EB580000}"/>
    <cellStyle name="Normal 265 5 2 2" xfId="23020" xr:uid="{00000000-0005-0000-0000-0000EC580000}"/>
    <cellStyle name="Normal 265 5 3" xfId="23021" xr:uid="{00000000-0005-0000-0000-0000ED580000}"/>
    <cellStyle name="Normal 265 6" xfId="23022" xr:uid="{00000000-0005-0000-0000-0000EE580000}"/>
    <cellStyle name="Normal 265 6 2" xfId="23023" xr:uid="{00000000-0005-0000-0000-0000EF580000}"/>
    <cellStyle name="Normal 265 6 2 2" xfId="23024" xr:uid="{00000000-0005-0000-0000-0000F0580000}"/>
    <cellStyle name="Normal 265 6 3" xfId="23025" xr:uid="{00000000-0005-0000-0000-0000F1580000}"/>
    <cellStyle name="Normal 265 7" xfId="23026" xr:uid="{00000000-0005-0000-0000-0000F2580000}"/>
    <cellStyle name="Normal 266" xfId="23027" xr:uid="{00000000-0005-0000-0000-0000F3580000}"/>
    <cellStyle name="Normal 266 2" xfId="23028" xr:uid="{00000000-0005-0000-0000-0000F4580000}"/>
    <cellStyle name="Normal 266 2 2" xfId="23029" xr:uid="{00000000-0005-0000-0000-0000F5580000}"/>
    <cellStyle name="Normal 266 2 2 2" xfId="23030" xr:uid="{00000000-0005-0000-0000-0000F6580000}"/>
    <cellStyle name="Normal 266 2 3" xfId="23031" xr:uid="{00000000-0005-0000-0000-0000F7580000}"/>
    <cellStyle name="Normal 266 2 3 2" xfId="23032" xr:uid="{00000000-0005-0000-0000-0000F8580000}"/>
    <cellStyle name="Normal 266 2 3 2 2" xfId="23033" xr:uid="{00000000-0005-0000-0000-0000F9580000}"/>
    <cellStyle name="Normal 266 2 3 3" xfId="23034" xr:uid="{00000000-0005-0000-0000-0000FA580000}"/>
    <cellStyle name="Normal 266 2 4" xfId="23035" xr:uid="{00000000-0005-0000-0000-0000FB580000}"/>
    <cellStyle name="Normal 266 2 4 2" xfId="23036" xr:uid="{00000000-0005-0000-0000-0000FC580000}"/>
    <cellStyle name="Normal 266 2 4 2 2" xfId="23037" xr:uid="{00000000-0005-0000-0000-0000FD580000}"/>
    <cellStyle name="Normal 266 2 4 3" xfId="23038" xr:uid="{00000000-0005-0000-0000-0000FE580000}"/>
    <cellStyle name="Normal 266 2 5" xfId="23039" xr:uid="{00000000-0005-0000-0000-0000FF580000}"/>
    <cellStyle name="Normal 266 3" xfId="23040" xr:uid="{00000000-0005-0000-0000-000000590000}"/>
    <cellStyle name="Normal 266 3 2" xfId="23041" xr:uid="{00000000-0005-0000-0000-000001590000}"/>
    <cellStyle name="Normal 266 3 2 2" xfId="23042" xr:uid="{00000000-0005-0000-0000-000002590000}"/>
    <cellStyle name="Normal 266 3 2 2 2" xfId="23043" xr:uid="{00000000-0005-0000-0000-000003590000}"/>
    <cellStyle name="Normal 266 3 2 3" xfId="23044" xr:uid="{00000000-0005-0000-0000-000004590000}"/>
    <cellStyle name="Normal 266 3 2 3 2" xfId="23045" xr:uid="{00000000-0005-0000-0000-000005590000}"/>
    <cellStyle name="Normal 266 3 2 3 2 2" xfId="23046" xr:uid="{00000000-0005-0000-0000-000006590000}"/>
    <cellStyle name="Normal 266 3 2 3 3" xfId="23047" xr:uid="{00000000-0005-0000-0000-000007590000}"/>
    <cellStyle name="Normal 266 3 2 4" xfId="23048" xr:uid="{00000000-0005-0000-0000-000008590000}"/>
    <cellStyle name="Normal 266 3 3" xfId="23049" xr:uid="{00000000-0005-0000-0000-000009590000}"/>
    <cellStyle name="Normal 266 3 3 2" xfId="23050" xr:uid="{00000000-0005-0000-0000-00000A590000}"/>
    <cellStyle name="Normal 266 3 3 2 2" xfId="23051" xr:uid="{00000000-0005-0000-0000-00000B590000}"/>
    <cellStyle name="Normal 266 3 3 3" xfId="23052" xr:uid="{00000000-0005-0000-0000-00000C590000}"/>
    <cellStyle name="Normal 266 3 4" xfId="23053" xr:uid="{00000000-0005-0000-0000-00000D590000}"/>
    <cellStyle name="Normal 266 3 4 2" xfId="23054" xr:uid="{00000000-0005-0000-0000-00000E590000}"/>
    <cellStyle name="Normal 266 3 4 2 2" xfId="23055" xr:uid="{00000000-0005-0000-0000-00000F590000}"/>
    <cellStyle name="Normal 266 3 4 3" xfId="23056" xr:uid="{00000000-0005-0000-0000-000010590000}"/>
    <cellStyle name="Normal 266 3 5" xfId="23057" xr:uid="{00000000-0005-0000-0000-000011590000}"/>
    <cellStyle name="Normal 266 3 5 2" xfId="23058" xr:uid="{00000000-0005-0000-0000-000012590000}"/>
    <cellStyle name="Normal 266 3 5 2 2" xfId="23059" xr:uid="{00000000-0005-0000-0000-000013590000}"/>
    <cellStyle name="Normal 266 3 5 3" xfId="23060" xr:uid="{00000000-0005-0000-0000-000014590000}"/>
    <cellStyle name="Normal 266 3 6" xfId="23061" xr:uid="{00000000-0005-0000-0000-000015590000}"/>
    <cellStyle name="Normal 266 4" xfId="23062" xr:uid="{00000000-0005-0000-0000-000016590000}"/>
    <cellStyle name="Normal 266 4 2" xfId="23063" xr:uid="{00000000-0005-0000-0000-000017590000}"/>
    <cellStyle name="Normal 266 4 2 2" xfId="23064" xr:uid="{00000000-0005-0000-0000-000018590000}"/>
    <cellStyle name="Normal 266 4 3" xfId="23065" xr:uid="{00000000-0005-0000-0000-000019590000}"/>
    <cellStyle name="Normal 266 5" xfId="23066" xr:uid="{00000000-0005-0000-0000-00001A590000}"/>
    <cellStyle name="Normal 266 5 2" xfId="23067" xr:uid="{00000000-0005-0000-0000-00001B590000}"/>
    <cellStyle name="Normal 266 5 2 2" xfId="23068" xr:uid="{00000000-0005-0000-0000-00001C590000}"/>
    <cellStyle name="Normal 266 5 3" xfId="23069" xr:uid="{00000000-0005-0000-0000-00001D590000}"/>
    <cellStyle name="Normal 266 6" xfId="23070" xr:uid="{00000000-0005-0000-0000-00001E590000}"/>
    <cellStyle name="Normal 266 6 2" xfId="23071" xr:uid="{00000000-0005-0000-0000-00001F590000}"/>
    <cellStyle name="Normal 266 6 2 2" xfId="23072" xr:uid="{00000000-0005-0000-0000-000020590000}"/>
    <cellStyle name="Normal 266 6 3" xfId="23073" xr:uid="{00000000-0005-0000-0000-000021590000}"/>
    <cellStyle name="Normal 266 7" xfId="23074" xr:uid="{00000000-0005-0000-0000-000022590000}"/>
    <cellStyle name="Normal 267" xfId="23075" xr:uid="{00000000-0005-0000-0000-000023590000}"/>
    <cellStyle name="Normal 267 2" xfId="23076" xr:uid="{00000000-0005-0000-0000-000024590000}"/>
    <cellStyle name="Normal 267 2 2" xfId="23077" xr:uid="{00000000-0005-0000-0000-000025590000}"/>
    <cellStyle name="Normal 267 2 2 2" xfId="23078" xr:uid="{00000000-0005-0000-0000-000026590000}"/>
    <cellStyle name="Normal 267 2 3" xfId="23079" xr:uid="{00000000-0005-0000-0000-000027590000}"/>
    <cellStyle name="Normal 267 2 3 2" xfId="23080" xr:uid="{00000000-0005-0000-0000-000028590000}"/>
    <cellStyle name="Normal 267 2 3 2 2" xfId="23081" xr:uid="{00000000-0005-0000-0000-000029590000}"/>
    <cellStyle name="Normal 267 2 3 3" xfId="23082" xr:uid="{00000000-0005-0000-0000-00002A590000}"/>
    <cellStyle name="Normal 267 2 4" xfId="23083" xr:uid="{00000000-0005-0000-0000-00002B590000}"/>
    <cellStyle name="Normal 267 2 4 2" xfId="23084" xr:uid="{00000000-0005-0000-0000-00002C590000}"/>
    <cellStyle name="Normal 267 2 4 2 2" xfId="23085" xr:uid="{00000000-0005-0000-0000-00002D590000}"/>
    <cellStyle name="Normal 267 2 4 3" xfId="23086" xr:uid="{00000000-0005-0000-0000-00002E590000}"/>
    <cellStyle name="Normal 267 2 5" xfId="23087" xr:uid="{00000000-0005-0000-0000-00002F590000}"/>
    <cellStyle name="Normal 267 3" xfId="23088" xr:uid="{00000000-0005-0000-0000-000030590000}"/>
    <cellStyle name="Normal 267 3 2" xfId="23089" xr:uid="{00000000-0005-0000-0000-000031590000}"/>
    <cellStyle name="Normal 267 3 2 2" xfId="23090" xr:uid="{00000000-0005-0000-0000-000032590000}"/>
    <cellStyle name="Normal 267 3 2 2 2" xfId="23091" xr:uid="{00000000-0005-0000-0000-000033590000}"/>
    <cellStyle name="Normal 267 3 2 3" xfId="23092" xr:uid="{00000000-0005-0000-0000-000034590000}"/>
    <cellStyle name="Normal 267 3 2 3 2" xfId="23093" xr:uid="{00000000-0005-0000-0000-000035590000}"/>
    <cellStyle name="Normal 267 3 2 3 2 2" xfId="23094" xr:uid="{00000000-0005-0000-0000-000036590000}"/>
    <cellStyle name="Normal 267 3 2 3 3" xfId="23095" xr:uid="{00000000-0005-0000-0000-000037590000}"/>
    <cellStyle name="Normal 267 3 2 4" xfId="23096" xr:uid="{00000000-0005-0000-0000-000038590000}"/>
    <cellStyle name="Normal 267 3 3" xfId="23097" xr:uid="{00000000-0005-0000-0000-000039590000}"/>
    <cellStyle name="Normal 267 3 3 2" xfId="23098" xr:uid="{00000000-0005-0000-0000-00003A590000}"/>
    <cellStyle name="Normal 267 3 3 2 2" xfId="23099" xr:uid="{00000000-0005-0000-0000-00003B590000}"/>
    <cellStyle name="Normal 267 3 3 3" xfId="23100" xr:uid="{00000000-0005-0000-0000-00003C590000}"/>
    <cellStyle name="Normal 267 3 4" xfId="23101" xr:uid="{00000000-0005-0000-0000-00003D590000}"/>
    <cellStyle name="Normal 267 3 4 2" xfId="23102" xr:uid="{00000000-0005-0000-0000-00003E590000}"/>
    <cellStyle name="Normal 267 3 4 2 2" xfId="23103" xr:uid="{00000000-0005-0000-0000-00003F590000}"/>
    <cellStyle name="Normal 267 3 4 3" xfId="23104" xr:uid="{00000000-0005-0000-0000-000040590000}"/>
    <cellStyle name="Normal 267 3 5" xfId="23105" xr:uid="{00000000-0005-0000-0000-000041590000}"/>
    <cellStyle name="Normal 267 3 5 2" xfId="23106" xr:uid="{00000000-0005-0000-0000-000042590000}"/>
    <cellStyle name="Normal 267 3 5 2 2" xfId="23107" xr:uid="{00000000-0005-0000-0000-000043590000}"/>
    <cellStyle name="Normal 267 3 5 3" xfId="23108" xr:uid="{00000000-0005-0000-0000-000044590000}"/>
    <cellStyle name="Normal 267 3 6" xfId="23109" xr:uid="{00000000-0005-0000-0000-000045590000}"/>
    <cellStyle name="Normal 267 4" xfId="23110" xr:uid="{00000000-0005-0000-0000-000046590000}"/>
    <cellStyle name="Normal 267 4 2" xfId="23111" xr:uid="{00000000-0005-0000-0000-000047590000}"/>
    <cellStyle name="Normal 267 4 2 2" xfId="23112" xr:uid="{00000000-0005-0000-0000-000048590000}"/>
    <cellStyle name="Normal 267 4 3" xfId="23113" xr:uid="{00000000-0005-0000-0000-000049590000}"/>
    <cellStyle name="Normal 267 5" xfId="23114" xr:uid="{00000000-0005-0000-0000-00004A590000}"/>
    <cellStyle name="Normal 267 5 2" xfId="23115" xr:uid="{00000000-0005-0000-0000-00004B590000}"/>
    <cellStyle name="Normal 267 5 2 2" xfId="23116" xr:uid="{00000000-0005-0000-0000-00004C590000}"/>
    <cellStyle name="Normal 267 5 3" xfId="23117" xr:uid="{00000000-0005-0000-0000-00004D590000}"/>
    <cellStyle name="Normal 267 6" xfId="23118" xr:uid="{00000000-0005-0000-0000-00004E590000}"/>
    <cellStyle name="Normal 267 6 2" xfId="23119" xr:uid="{00000000-0005-0000-0000-00004F590000}"/>
    <cellStyle name="Normal 267 6 2 2" xfId="23120" xr:uid="{00000000-0005-0000-0000-000050590000}"/>
    <cellStyle name="Normal 267 6 3" xfId="23121" xr:uid="{00000000-0005-0000-0000-000051590000}"/>
    <cellStyle name="Normal 267 7" xfId="23122" xr:uid="{00000000-0005-0000-0000-000052590000}"/>
    <cellStyle name="Normal 268" xfId="23123" xr:uid="{00000000-0005-0000-0000-000053590000}"/>
    <cellStyle name="Normal 268 2" xfId="23124" xr:uid="{00000000-0005-0000-0000-000054590000}"/>
    <cellStyle name="Normal 268 2 2" xfId="23125" xr:uid="{00000000-0005-0000-0000-000055590000}"/>
    <cellStyle name="Normal 268 2 2 2" xfId="23126" xr:uid="{00000000-0005-0000-0000-000056590000}"/>
    <cellStyle name="Normal 268 2 3" xfId="23127" xr:uid="{00000000-0005-0000-0000-000057590000}"/>
    <cellStyle name="Normal 268 2 3 2" xfId="23128" xr:uid="{00000000-0005-0000-0000-000058590000}"/>
    <cellStyle name="Normal 268 2 3 2 2" xfId="23129" xr:uid="{00000000-0005-0000-0000-000059590000}"/>
    <cellStyle name="Normal 268 2 3 3" xfId="23130" xr:uid="{00000000-0005-0000-0000-00005A590000}"/>
    <cellStyle name="Normal 268 2 4" xfId="23131" xr:uid="{00000000-0005-0000-0000-00005B590000}"/>
    <cellStyle name="Normal 268 2 4 2" xfId="23132" xr:uid="{00000000-0005-0000-0000-00005C590000}"/>
    <cellStyle name="Normal 268 2 4 2 2" xfId="23133" xr:uid="{00000000-0005-0000-0000-00005D590000}"/>
    <cellStyle name="Normal 268 2 4 3" xfId="23134" xr:uid="{00000000-0005-0000-0000-00005E590000}"/>
    <cellStyle name="Normal 268 2 5" xfId="23135" xr:uid="{00000000-0005-0000-0000-00005F590000}"/>
    <cellStyle name="Normal 268 3" xfId="23136" xr:uid="{00000000-0005-0000-0000-000060590000}"/>
    <cellStyle name="Normal 268 3 2" xfId="23137" xr:uid="{00000000-0005-0000-0000-000061590000}"/>
    <cellStyle name="Normal 268 3 2 2" xfId="23138" xr:uid="{00000000-0005-0000-0000-000062590000}"/>
    <cellStyle name="Normal 268 3 2 2 2" xfId="23139" xr:uid="{00000000-0005-0000-0000-000063590000}"/>
    <cellStyle name="Normal 268 3 2 3" xfId="23140" xr:uid="{00000000-0005-0000-0000-000064590000}"/>
    <cellStyle name="Normal 268 3 2 3 2" xfId="23141" xr:uid="{00000000-0005-0000-0000-000065590000}"/>
    <cellStyle name="Normal 268 3 2 3 2 2" xfId="23142" xr:uid="{00000000-0005-0000-0000-000066590000}"/>
    <cellStyle name="Normal 268 3 2 3 3" xfId="23143" xr:uid="{00000000-0005-0000-0000-000067590000}"/>
    <cellStyle name="Normal 268 3 2 4" xfId="23144" xr:uid="{00000000-0005-0000-0000-000068590000}"/>
    <cellStyle name="Normal 268 3 3" xfId="23145" xr:uid="{00000000-0005-0000-0000-000069590000}"/>
    <cellStyle name="Normal 268 3 3 2" xfId="23146" xr:uid="{00000000-0005-0000-0000-00006A590000}"/>
    <cellStyle name="Normal 268 3 3 2 2" xfId="23147" xr:uid="{00000000-0005-0000-0000-00006B590000}"/>
    <cellStyle name="Normal 268 3 3 3" xfId="23148" xr:uid="{00000000-0005-0000-0000-00006C590000}"/>
    <cellStyle name="Normal 268 3 4" xfId="23149" xr:uid="{00000000-0005-0000-0000-00006D590000}"/>
    <cellStyle name="Normal 268 3 4 2" xfId="23150" xr:uid="{00000000-0005-0000-0000-00006E590000}"/>
    <cellStyle name="Normal 268 3 4 2 2" xfId="23151" xr:uid="{00000000-0005-0000-0000-00006F590000}"/>
    <cellStyle name="Normal 268 3 4 3" xfId="23152" xr:uid="{00000000-0005-0000-0000-000070590000}"/>
    <cellStyle name="Normal 268 3 5" xfId="23153" xr:uid="{00000000-0005-0000-0000-000071590000}"/>
    <cellStyle name="Normal 268 3 5 2" xfId="23154" xr:uid="{00000000-0005-0000-0000-000072590000}"/>
    <cellStyle name="Normal 268 3 5 2 2" xfId="23155" xr:uid="{00000000-0005-0000-0000-000073590000}"/>
    <cellStyle name="Normal 268 3 5 3" xfId="23156" xr:uid="{00000000-0005-0000-0000-000074590000}"/>
    <cellStyle name="Normal 268 3 6" xfId="23157" xr:uid="{00000000-0005-0000-0000-000075590000}"/>
    <cellStyle name="Normal 268 4" xfId="23158" xr:uid="{00000000-0005-0000-0000-000076590000}"/>
    <cellStyle name="Normal 268 4 2" xfId="23159" xr:uid="{00000000-0005-0000-0000-000077590000}"/>
    <cellStyle name="Normal 268 4 2 2" xfId="23160" xr:uid="{00000000-0005-0000-0000-000078590000}"/>
    <cellStyle name="Normal 268 4 3" xfId="23161" xr:uid="{00000000-0005-0000-0000-000079590000}"/>
    <cellStyle name="Normal 268 5" xfId="23162" xr:uid="{00000000-0005-0000-0000-00007A590000}"/>
    <cellStyle name="Normal 268 5 2" xfId="23163" xr:uid="{00000000-0005-0000-0000-00007B590000}"/>
    <cellStyle name="Normal 268 5 2 2" xfId="23164" xr:uid="{00000000-0005-0000-0000-00007C590000}"/>
    <cellStyle name="Normal 268 5 3" xfId="23165" xr:uid="{00000000-0005-0000-0000-00007D590000}"/>
    <cellStyle name="Normal 268 6" xfId="23166" xr:uid="{00000000-0005-0000-0000-00007E590000}"/>
    <cellStyle name="Normal 268 6 2" xfId="23167" xr:uid="{00000000-0005-0000-0000-00007F590000}"/>
    <cellStyle name="Normal 268 6 2 2" xfId="23168" xr:uid="{00000000-0005-0000-0000-000080590000}"/>
    <cellStyle name="Normal 268 6 3" xfId="23169" xr:uid="{00000000-0005-0000-0000-000081590000}"/>
    <cellStyle name="Normal 268 7" xfId="23170" xr:uid="{00000000-0005-0000-0000-000082590000}"/>
    <cellStyle name="Normal 269" xfId="23171" xr:uid="{00000000-0005-0000-0000-000083590000}"/>
    <cellStyle name="Normal 269 2" xfId="23172" xr:uid="{00000000-0005-0000-0000-000084590000}"/>
    <cellStyle name="Normal 269 2 2" xfId="23173" xr:uid="{00000000-0005-0000-0000-000085590000}"/>
    <cellStyle name="Normal 269 2 2 2" xfId="23174" xr:uid="{00000000-0005-0000-0000-000086590000}"/>
    <cellStyle name="Normal 269 2 3" xfId="23175" xr:uid="{00000000-0005-0000-0000-000087590000}"/>
    <cellStyle name="Normal 269 2 3 2" xfId="23176" xr:uid="{00000000-0005-0000-0000-000088590000}"/>
    <cellStyle name="Normal 269 2 3 2 2" xfId="23177" xr:uid="{00000000-0005-0000-0000-000089590000}"/>
    <cellStyle name="Normal 269 2 3 3" xfId="23178" xr:uid="{00000000-0005-0000-0000-00008A590000}"/>
    <cellStyle name="Normal 269 2 4" xfId="23179" xr:uid="{00000000-0005-0000-0000-00008B590000}"/>
    <cellStyle name="Normal 269 2 4 2" xfId="23180" xr:uid="{00000000-0005-0000-0000-00008C590000}"/>
    <cellStyle name="Normal 269 2 4 2 2" xfId="23181" xr:uid="{00000000-0005-0000-0000-00008D590000}"/>
    <cellStyle name="Normal 269 2 4 3" xfId="23182" xr:uid="{00000000-0005-0000-0000-00008E590000}"/>
    <cellStyle name="Normal 269 2 5" xfId="23183" xr:uid="{00000000-0005-0000-0000-00008F590000}"/>
    <cellStyle name="Normal 269 3" xfId="23184" xr:uid="{00000000-0005-0000-0000-000090590000}"/>
    <cellStyle name="Normal 269 3 2" xfId="23185" xr:uid="{00000000-0005-0000-0000-000091590000}"/>
    <cellStyle name="Normal 269 3 2 2" xfId="23186" xr:uid="{00000000-0005-0000-0000-000092590000}"/>
    <cellStyle name="Normal 269 3 2 2 2" xfId="23187" xr:uid="{00000000-0005-0000-0000-000093590000}"/>
    <cellStyle name="Normal 269 3 2 3" xfId="23188" xr:uid="{00000000-0005-0000-0000-000094590000}"/>
    <cellStyle name="Normal 269 3 2 3 2" xfId="23189" xr:uid="{00000000-0005-0000-0000-000095590000}"/>
    <cellStyle name="Normal 269 3 2 3 2 2" xfId="23190" xr:uid="{00000000-0005-0000-0000-000096590000}"/>
    <cellStyle name="Normal 269 3 2 3 3" xfId="23191" xr:uid="{00000000-0005-0000-0000-000097590000}"/>
    <cellStyle name="Normal 269 3 2 4" xfId="23192" xr:uid="{00000000-0005-0000-0000-000098590000}"/>
    <cellStyle name="Normal 269 3 3" xfId="23193" xr:uid="{00000000-0005-0000-0000-000099590000}"/>
    <cellStyle name="Normal 269 3 3 2" xfId="23194" xr:uid="{00000000-0005-0000-0000-00009A590000}"/>
    <cellStyle name="Normal 269 3 3 2 2" xfId="23195" xr:uid="{00000000-0005-0000-0000-00009B590000}"/>
    <cellStyle name="Normal 269 3 3 3" xfId="23196" xr:uid="{00000000-0005-0000-0000-00009C590000}"/>
    <cellStyle name="Normal 269 3 4" xfId="23197" xr:uid="{00000000-0005-0000-0000-00009D590000}"/>
    <cellStyle name="Normal 269 3 4 2" xfId="23198" xr:uid="{00000000-0005-0000-0000-00009E590000}"/>
    <cellStyle name="Normal 269 3 4 2 2" xfId="23199" xr:uid="{00000000-0005-0000-0000-00009F590000}"/>
    <cellStyle name="Normal 269 3 4 3" xfId="23200" xr:uid="{00000000-0005-0000-0000-0000A0590000}"/>
    <cellStyle name="Normal 269 3 5" xfId="23201" xr:uid="{00000000-0005-0000-0000-0000A1590000}"/>
    <cellStyle name="Normal 269 3 5 2" xfId="23202" xr:uid="{00000000-0005-0000-0000-0000A2590000}"/>
    <cellStyle name="Normal 269 3 5 2 2" xfId="23203" xr:uid="{00000000-0005-0000-0000-0000A3590000}"/>
    <cellStyle name="Normal 269 3 5 3" xfId="23204" xr:uid="{00000000-0005-0000-0000-0000A4590000}"/>
    <cellStyle name="Normal 269 3 6" xfId="23205" xr:uid="{00000000-0005-0000-0000-0000A5590000}"/>
    <cellStyle name="Normal 269 4" xfId="23206" xr:uid="{00000000-0005-0000-0000-0000A6590000}"/>
    <cellStyle name="Normal 269 4 2" xfId="23207" xr:uid="{00000000-0005-0000-0000-0000A7590000}"/>
    <cellStyle name="Normal 269 4 2 2" xfId="23208" xr:uid="{00000000-0005-0000-0000-0000A8590000}"/>
    <cellStyle name="Normal 269 4 3" xfId="23209" xr:uid="{00000000-0005-0000-0000-0000A9590000}"/>
    <cellStyle name="Normal 269 5" xfId="23210" xr:uid="{00000000-0005-0000-0000-0000AA590000}"/>
    <cellStyle name="Normal 269 5 2" xfId="23211" xr:uid="{00000000-0005-0000-0000-0000AB590000}"/>
    <cellStyle name="Normal 269 5 2 2" xfId="23212" xr:uid="{00000000-0005-0000-0000-0000AC590000}"/>
    <cellStyle name="Normal 269 5 3" xfId="23213" xr:uid="{00000000-0005-0000-0000-0000AD590000}"/>
    <cellStyle name="Normal 269 6" xfId="23214" xr:uid="{00000000-0005-0000-0000-0000AE590000}"/>
    <cellStyle name="Normal 269 6 2" xfId="23215" xr:uid="{00000000-0005-0000-0000-0000AF590000}"/>
    <cellStyle name="Normal 269 6 2 2" xfId="23216" xr:uid="{00000000-0005-0000-0000-0000B0590000}"/>
    <cellStyle name="Normal 269 6 3" xfId="23217" xr:uid="{00000000-0005-0000-0000-0000B1590000}"/>
    <cellStyle name="Normal 269 7" xfId="23218" xr:uid="{00000000-0005-0000-0000-0000B2590000}"/>
    <cellStyle name="Normal 27" xfId="23219" xr:uid="{00000000-0005-0000-0000-0000B3590000}"/>
    <cellStyle name="Normal 27 2" xfId="23220" xr:uid="{00000000-0005-0000-0000-0000B4590000}"/>
    <cellStyle name="Normal 27 2 2" xfId="23221" xr:uid="{00000000-0005-0000-0000-0000B5590000}"/>
    <cellStyle name="Normal 27 2 2 2" xfId="23222" xr:uid="{00000000-0005-0000-0000-0000B6590000}"/>
    <cellStyle name="Normal 27 2 2 2 2" xfId="23223" xr:uid="{00000000-0005-0000-0000-0000B7590000}"/>
    <cellStyle name="Normal 27 2 2 3" xfId="23224" xr:uid="{00000000-0005-0000-0000-0000B8590000}"/>
    <cellStyle name="Normal 27 2 2 3 2" xfId="23225" xr:uid="{00000000-0005-0000-0000-0000B9590000}"/>
    <cellStyle name="Normal 27 2 2 3 2 2" xfId="23226" xr:uid="{00000000-0005-0000-0000-0000BA590000}"/>
    <cellStyle name="Normal 27 2 2 3 3" xfId="23227" xr:uid="{00000000-0005-0000-0000-0000BB590000}"/>
    <cellStyle name="Normal 27 2 2 4" xfId="23228" xr:uid="{00000000-0005-0000-0000-0000BC590000}"/>
    <cellStyle name="Normal 27 2 2 4 2" xfId="23229" xr:uid="{00000000-0005-0000-0000-0000BD590000}"/>
    <cellStyle name="Normal 27 2 2 4 2 2" xfId="23230" xr:uid="{00000000-0005-0000-0000-0000BE590000}"/>
    <cellStyle name="Normal 27 2 2 4 3" xfId="23231" xr:uid="{00000000-0005-0000-0000-0000BF590000}"/>
    <cellStyle name="Normal 27 2 2 5" xfId="23232" xr:uid="{00000000-0005-0000-0000-0000C0590000}"/>
    <cellStyle name="Normal 27 2 3" xfId="23233" xr:uid="{00000000-0005-0000-0000-0000C1590000}"/>
    <cellStyle name="Normal 27 2 3 2" xfId="23234" xr:uid="{00000000-0005-0000-0000-0000C2590000}"/>
    <cellStyle name="Normal 27 2 3 2 2" xfId="23235" xr:uid="{00000000-0005-0000-0000-0000C3590000}"/>
    <cellStyle name="Normal 27 2 3 3" xfId="23236" xr:uid="{00000000-0005-0000-0000-0000C4590000}"/>
    <cellStyle name="Normal 27 2 4" xfId="23237" xr:uid="{00000000-0005-0000-0000-0000C5590000}"/>
    <cellStyle name="Normal 27 2 4 2" xfId="23238" xr:uid="{00000000-0005-0000-0000-0000C6590000}"/>
    <cellStyle name="Normal 27 2 4 2 2" xfId="23239" xr:uid="{00000000-0005-0000-0000-0000C7590000}"/>
    <cellStyle name="Normal 27 2 4 3" xfId="23240" xr:uid="{00000000-0005-0000-0000-0000C8590000}"/>
    <cellStyle name="Normal 27 2 5" xfId="23241" xr:uid="{00000000-0005-0000-0000-0000C9590000}"/>
    <cellStyle name="Normal 27 2 5 2" xfId="23242" xr:uid="{00000000-0005-0000-0000-0000CA590000}"/>
    <cellStyle name="Normal 27 2 5 2 2" xfId="23243" xr:uid="{00000000-0005-0000-0000-0000CB590000}"/>
    <cellStyle name="Normal 27 2 5 3" xfId="23244" xr:uid="{00000000-0005-0000-0000-0000CC590000}"/>
    <cellStyle name="Normal 27 2 6" xfId="23245" xr:uid="{00000000-0005-0000-0000-0000CD590000}"/>
    <cellStyle name="Normal 27 3" xfId="23246" xr:uid="{00000000-0005-0000-0000-0000CE590000}"/>
    <cellStyle name="Normal 27 3 2" xfId="23247" xr:uid="{00000000-0005-0000-0000-0000CF590000}"/>
    <cellStyle name="Normal 27 3 2 2" xfId="23248" xr:uid="{00000000-0005-0000-0000-0000D0590000}"/>
    <cellStyle name="Normal 27 3 3" xfId="23249" xr:uid="{00000000-0005-0000-0000-0000D1590000}"/>
    <cellStyle name="Normal 27 3 3 2" xfId="23250" xr:uid="{00000000-0005-0000-0000-0000D2590000}"/>
    <cellStyle name="Normal 27 3 3 2 2" xfId="23251" xr:uid="{00000000-0005-0000-0000-0000D3590000}"/>
    <cellStyle name="Normal 27 3 3 3" xfId="23252" xr:uid="{00000000-0005-0000-0000-0000D4590000}"/>
    <cellStyle name="Normal 27 3 4" xfId="23253" xr:uid="{00000000-0005-0000-0000-0000D5590000}"/>
    <cellStyle name="Normal 27 3 4 2" xfId="23254" xr:uid="{00000000-0005-0000-0000-0000D6590000}"/>
    <cellStyle name="Normal 27 3 4 2 2" xfId="23255" xr:uid="{00000000-0005-0000-0000-0000D7590000}"/>
    <cellStyle name="Normal 27 3 4 3" xfId="23256" xr:uid="{00000000-0005-0000-0000-0000D8590000}"/>
    <cellStyle name="Normal 27 3 5" xfId="23257" xr:uid="{00000000-0005-0000-0000-0000D9590000}"/>
    <cellStyle name="Normal 27 4" xfId="23258" xr:uid="{00000000-0005-0000-0000-0000DA590000}"/>
    <cellStyle name="Normal 27 4 2" xfId="23259" xr:uid="{00000000-0005-0000-0000-0000DB590000}"/>
    <cellStyle name="Normal 27 4 2 2" xfId="23260" xr:uid="{00000000-0005-0000-0000-0000DC590000}"/>
    <cellStyle name="Normal 27 4 3" xfId="23261" xr:uid="{00000000-0005-0000-0000-0000DD590000}"/>
    <cellStyle name="Normal 27 4 3 2" xfId="23262" xr:uid="{00000000-0005-0000-0000-0000DE590000}"/>
    <cellStyle name="Normal 27 4 3 2 2" xfId="23263" xr:uid="{00000000-0005-0000-0000-0000DF590000}"/>
    <cellStyle name="Normal 27 4 3 3" xfId="23264" xr:uid="{00000000-0005-0000-0000-0000E0590000}"/>
    <cellStyle name="Normal 27 4 4" xfId="23265" xr:uid="{00000000-0005-0000-0000-0000E1590000}"/>
    <cellStyle name="Normal 27 4 4 2" xfId="23266" xr:uid="{00000000-0005-0000-0000-0000E2590000}"/>
    <cellStyle name="Normal 27 4 4 2 2" xfId="23267" xr:uid="{00000000-0005-0000-0000-0000E3590000}"/>
    <cellStyle name="Normal 27 4 4 3" xfId="23268" xr:uid="{00000000-0005-0000-0000-0000E4590000}"/>
    <cellStyle name="Normal 27 4 5" xfId="23269" xr:uid="{00000000-0005-0000-0000-0000E5590000}"/>
    <cellStyle name="Normal 27 5" xfId="23270" xr:uid="{00000000-0005-0000-0000-0000E6590000}"/>
    <cellStyle name="Normal 27 5 2" xfId="23271" xr:uid="{00000000-0005-0000-0000-0000E7590000}"/>
    <cellStyle name="Normal 27 5 2 2" xfId="23272" xr:uid="{00000000-0005-0000-0000-0000E8590000}"/>
    <cellStyle name="Normal 27 5 3" xfId="23273" xr:uid="{00000000-0005-0000-0000-0000E9590000}"/>
    <cellStyle name="Normal 27 6" xfId="23274" xr:uid="{00000000-0005-0000-0000-0000EA590000}"/>
    <cellStyle name="Normal 27 6 2" xfId="23275" xr:uid="{00000000-0005-0000-0000-0000EB590000}"/>
    <cellStyle name="Normal 27 6 2 2" xfId="23276" xr:uid="{00000000-0005-0000-0000-0000EC590000}"/>
    <cellStyle name="Normal 27 6 3" xfId="23277" xr:uid="{00000000-0005-0000-0000-0000ED590000}"/>
    <cellStyle name="Normal 27 7" xfId="23278" xr:uid="{00000000-0005-0000-0000-0000EE590000}"/>
    <cellStyle name="Normal 27 7 2" xfId="23279" xr:uid="{00000000-0005-0000-0000-0000EF590000}"/>
    <cellStyle name="Normal 27 7 2 2" xfId="23280" xr:uid="{00000000-0005-0000-0000-0000F0590000}"/>
    <cellStyle name="Normal 27 7 3" xfId="23281" xr:uid="{00000000-0005-0000-0000-0000F1590000}"/>
    <cellStyle name="Normal 27 8" xfId="23282" xr:uid="{00000000-0005-0000-0000-0000F2590000}"/>
    <cellStyle name="Normal 270" xfId="23283" xr:uid="{00000000-0005-0000-0000-0000F3590000}"/>
    <cellStyle name="Normal 270 2" xfId="23284" xr:uid="{00000000-0005-0000-0000-0000F4590000}"/>
    <cellStyle name="Normal 270 2 2" xfId="23285" xr:uid="{00000000-0005-0000-0000-0000F5590000}"/>
    <cellStyle name="Normal 270 2 2 2" xfId="23286" xr:uid="{00000000-0005-0000-0000-0000F6590000}"/>
    <cellStyle name="Normal 270 2 3" xfId="23287" xr:uid="{00000000-0005-0000-0000-0000F7590000}"/>
    <cellStyle name="Normal 270 2 3 2" xfId="23288" xr:uid="{00000000-0005-0000-0000-0000F8590000}"/>
    <cellStyle name="Normal 270 2 3 2 2" xfId="23289" xr:uid="{00000000-0005-0000-0000-0000F9590000}"/>
    <cellStyle name="Normal 270 2 3 3" xfId="23290" xr:uid="{00000000-0005-0000-0000-0000FA590000}"/>
    <cellStyle name="Normal 270 2 4" xfId="23291" xr:uid="{00000000-0005-0000-0000-0000FB590000}"/>
    <cellStyle name="Normal 270 2 4 2" xfId="23292" xr:uid="{00000000-0005-0000-0000-0000FC590000}"/>
    <cellStyle name="Normal 270 2 4 2 2" xfId="23293" xr:uid="{00000000-0005-0000-0000-0000FD590000}"/>
    <cellStyle name="Normal 270 2 4 3" xfId="23294" xr:uid="{00000000-0005-0000-0000-0000FE590000}"/>
    <cellStyle name="Normal 270 2 5" xfId="23295" xr:uid="{00000000-0005-0000-0000-0000FF590000}"/>
    <cellStyle name="Normal 270 3" xfId="23296" xr:uid="{00000000-0005-0000-0000-0000005A0000}"/>
    <cellStyle name="Normal 270 3 2" xfId="23297" xr:uid="{00000000-0005-0000-0000-0000015A0000}"/>
    <cellStyle name="Normal 270 3 2 2" xfId="23298" xr:uid="{00000000-0005-0000-0000-0000025A0000}"/>
    <cellStyle name="Normal 270 3 2 2 2" xfId="23299" xr:uid="{00000000-0005-0000-0000-0000035A0000}"/>
    <cellStyle name="Normal 270 3 2 3" xfId="23300" xr:uid="{00000000-0005-0000-0000-0000045A0000}"/>
    <cellStyle name="Normal 270 3 2 3 2" xfId="23301" xr:uid="{00000000-0005-0000-0000-0000055A0000}"/>
    <cellStyle name="Normal 270 3 2 3 2 2" xfId="23302" xr:uid="{00000000-0005-0000-0000-0000065A0000}"/>
    <cellStyle name="Normal 270 3 2 3 3" xfId="23303" xr:uid="{00000000-0005-0000-0000-0000075A0000}"/>
    <cellStyle name="Normal 270 3 2 4" xfId="23304" xr:uid="{00000000-0005-0000-0000-0000085A0000}"/>
    <cellStyle name="Normal 270 3 3" xfId="23305" xr:uid="{00000000-0005-0000-0000-0000095A0000}"/>
    <cellStyle name="Normal 270 3 3 2" xfId="23306" xr:uid="{00000000-0005-0000-0000-00000A5A0000}"/>
    <cellStyle name="Normal 270 3 3 2 2" xfId="23307" xr:uid="{00000000-0005-0000-0000-00000B5A0000}"/>
    <cellStyle name="Normal 270 3 3 3" xfId="23308" xr:uid="{00000000-0005-0000-0000-00000C5A0000}"/>
    <cellStyle name="Normal 270 3 4" xfId="23309" xr:uid="{00000000-0005-0000-0000-00000D5A0000}"/>
    <cellStyle name="Normal 270 3 4 2" xfId="23310" xr:uid="{00000000-0005-0000-0000-00000E5A0000}"/>
    <cellStyle name="Normal 270 3 4 2 2" xfId="23311" xr:uid="{00000000-0005-0000-0000-00000F5A0000}"/>
    <cellStyle name="Normal 270 3 4 3" xfId="23312" xr:uid="{00000000-0005-0000-0000-0000105A0000}"/>
    <cellStyle name="Normal 270 3 5" xfId="23313" xr:uid="{00000000-0005-0000-0000-0000115A0000}"/>
    <cellStyle name="Normal 270 3 5 2" xfId="23314" xr:uid="{00000000-0005-0000-0000-0000125A0000}"/>
    <cellStyle name="Normal 270 3 5 2 2" xfId="23315" xr:uid="{00000000-0005-0000-0000-0000135A0000}"/>
    <cellStyle name="Normal 270 3 5 3" xfId="23316" xr:uid="{00000000-0005-0000-0000-0000145A0000}"/>
    <cellStyle name="Normal 270 3 6" xfId="23317" xr:uid="{00000000-0005-0000-0000-0000155A0000}"/>
    <cellStyle name="Normal 270 4" xfId="23318" xr:uid="{00000000-0005-0000-0000-0000165A0000}"/>
    <cellStyle name="Normal 270 4 2" xfId="23319" xr:uid="{00000000-0005-0000-0000-0000175A0000}"/>
    <cellStyle name="Normal 270 4 2 2" xfId="23320" xr:uid="{00000000-0005-0000-0000-0000185A0000}"/>
    <cellStyle name="Normal 270 4 3" xfId="23321" xr:uid="{00000000-0005-0000-0000-0000195A0000}"/>
    <cellStyle name="Normal 270 5" xfId="23322" xr:uid="{00000000-0005-0000-0000-00001A5A0000}"/>
    <cellStyle name="Normal 270 5 2" xfId="23323" xr:uid="{00000000-0005-0000-0000-00001B5A0000}"/>
    <cellStyle name="Normal 270 5 2 2" xfId="23324" xr:uid="{00000000-0005-0000-0000-00001C5A0000}"/>
    <cellStyle name="Normal 270 5 3" xfId="23325" xr:uid="{00000000-0005-0000-0000-00001D5A0000}"/>
    <cellStyle name="Normal 270 6" xfId="23326" xr:uid="{00000000-0005-0000-0000-00001E5A0000}"/>
    <cellStyle name="Normal 270 6 2" xfId="23327" xr:uid="{00000000-0005-0000-0000-00001F5A0000}"/>
    <cellStyle name="Normal 270 6 2 2" xfId="23328" xr:uid="{00000000-0005-0000-0000-0000205A0000}"/>
    <cellStyle name="Normal 270 6 3" xfId="23329" xr:uid="{00000000-0005-0000-0000-0000215A0000}"/>
    <cellStyle name="Normal 270 7" xfId="23330" xr:uid="{00000000-0005-0000-0000-0000225A0000}"/>
    <cellStyle name="Normal 271" xfId="23331" xr:uid="{00000000-0005-0000-0000-0000235A0000}"/>
    <cellStyle name="Normal 271 2" xfId="23332" xr:uid="{00000000-0005-0000-0000-0000245A0000}"/>
    <cellStyle name="Normal 271 2 2" xfId="23333" xr:uid="{00000000-0005-0000-0000-0000255A0000}"/>
    <cellStyle name="Normal 271 2 2 2" xfId="23334" xr:uid="{00000000-0005-0000-0000-0000265A0000}"/>
    <cellStyle name="Normal 271 2 3" xfId="23335" xr:uid="{00000000-0005-0000-0000-0000275A0000}"/>
    <cellStyle name="Normal 271 2 3 2" xfId="23336" xr:uid="{00000000-0005-0000-0000-0000285A0000}"/>
    <cellStyle name="Normal 271 2 3 2 2" xfId="23337" xr:uid="{00000000-0005-0000-0000-0000295A0000}"/>
    <cellStyle name="Normal 271 2 3 3" xfId="23338" xr:uid="{00000000-0005-0000-0000-00002A5A0000}"/>
    <cellStyle name="Normal 271 2 4" xfId="23339" xr:uid="{00000000-0005-0000-0000-00002B5A0000}"/>
    <cellStyle name="Normal 271 2 4 2" xfId="23340" xr:uid="{00000000-0005-0000-0000-00002C5A0000}"/>
    <cellStyle name="Normal 271 2 4 2 2" xfId="23341" xr:uid="{00000000-0005-0000-0000-00002D5A0000}"/>
    <cellStyle name="Normal 271 2 4 3" xfId="23342" xr:uid="{00000000-0005-0000-0000-00002E5A0000}"/>
    <cellStyle name="Normal 271 2 5" xfId="23343" xr:uid="{00000000-0005-0000-0000-00002F5A0000}"/>
    <cellStyle name="Normal 271 3" xfId="23344" xr:uid="{00000000-0005-0000-0000-0000305A0000}"/>
    <cellStyle name="Normal 271 3 2" xfId="23345" xr:uid="{00000000-0005-0000-0000-0000315A0000}"/>
    <cellStyle name="Normal 271 3 2 2" xfId="23346" xr:uid="{00000000-0005-0000-0000-0000325A0000}"/>
    <cellStyle name="Normal 271 3 2 2 2" xfId="23347" xr:uid="{00000000-0005-0000-0000-0000335A0000}"/>
    <cellStyle name="Normal 271 3 2 3" xfId="23348" xr:uid="{00000000-0005-0000-0000-0000345A0000}"/>
    <cellStyle name="Normal 271 3 2 3 2" xfId="23349" xr:uid="{00000000-0005-0000-0000-0000355A0000}"/>
    <cellStyle name="Normal 271 3 2 3 2 2" xfId="23350" xr:uid="{00000000-0005-0000-0000-0000365A0000}"/>
    <cellStyle name="Normal 271 3 2 3 3" xfId="23351" xr:uid="{00000000-0005-0000-0000-0000375A0000}"/>
    <cellStyle name="Normal 271 3 2 4" xfId="23352" xr:uid="{00000000-0005-0000-0000-0000385A0000}"/>
    <cellStyle name="Normal 271 3 3" xfId="23353" xr:uid="{00000000-0005-0000-0000-0000395A0000}"/>
    <cellStyle name="Normal 271 3 3 2" xfId="23354" xr:uid="{00000000-0005-0000-0000-00003A5A0000}"/>
    <cellStyle name="Normal 271 3 3 2 2" xfId="23355" xr:uid="{00000000-0005-0000-0000-00003B5A0000}"/>
    <cellStyle name="Normal 271 3 3 3" xfId="23356" xr:uid="{00000000-0005-0000-0000-00003C5A0000}"/>
    <cellStyle name="Normal 271 3 4" xfId="23357" xr:uid="{00000000-0005-0000-0000-00003D5A0000}"/>
    <cellStyle name="Normal 271 3 4 2" xfId="23358" xr:uid="{00000000-0005-0000-0000-00003E5A0000}"/>
    <cellStyle name="Normal 271 3 4 2 2" xfId="23359" xr:uid="{00000000-0005-0000-0000-00003F5A0000}"/>
    <cellStyle name="Normal 271 3 4 3" xfId="23360" xr:uid="{00000000-0005-0000-0000-0000405A0000}"/>
    <cellStyle name="Normal 271 3 5" xfId="23361" xr:uid="{00000000-0005-0000-0000-0000415A0000}"/>
    <cellStyle name="Normal 271 3 5 2" xfId="23362" xr:uid="{00000000-0005-0000-0000-0000425A0000}"/>
    <cellStyle name="Normal 271 3 5 2 2" xfId="23363" xr:uid="{00000000-0005-0000-0000-0000435A0000}"/>
    <cellStyle name="Normal 271 3 5 3" xfId="23364" xr:uid="{00000000-0005-0000-0000-0000445A0000}"/>
    <cellStyle name="Normal 271 3 6" xfId="23365" xr:uid="{00000000-0005-0000-0000-0000455A0000}"/>
    <cellStyle name="Normal 271 4" xfId="23366" xr:uid="{00000000-0005-0000-0000-0000465A0000}"/>
    <cellStyle name="Normal 271 4 2" xfId="23367" xr:uid="{00000000-0005-0000-0000-0000475A0000}"/>
    <cellStyle name="Normal 271 4 2 2" xfId="23368" xr:uid="{00000000-0005-0000-0000-0000485A0000}"/>
    <cellStyle name="Normal 271 4 3" xfId="23369" xr:uid="{00000000-0005-0000-0000-0000495A0000}"/>
    <cellStyle name="Normal 271 5" xfId="23370" xr:uid="{00000000-0005-0000-0000-00004A5A0000}"/>
    <cellStyle name="Normal 271 5 2" xfId="23371" xr:uid="{00000000-0005-0000-0000-00004B5A0000}"/>
    <cellStyle name="Normal 271 5 2 2" xfId="23372" xr:uid="{00000000-0005-0000-0000-00004C5A0000}"/>
    <cellStyle name="Normal 271 5 3" xfId="23373" xr:uid="{00000000-0005-0000-0000-00004D5A0000}"/>
    <cellStyle name="Normal 271 6" xfId="23374" xr:uid="{00000000-0005-0000-0000-00004E5A0000}"/>
    <cellStyle name="Normal 271 6 2" xfId="23375" xr:uid="{00000000-0005-0000-0000-00004F5A0000}"/>
    <cellStyle name="Normal 271 6 2 2" xfId="23376" xr:uid="{00000000-0005-0000-0000-0000505A0000}"/>
    <cellStyle name="Normal 271 6 3" xfId="23377" xr:uid="{00000000-0005-0000-0000-0000515A0000}"/>
    <cellStyle name="Normal 271 7" xfId="23378" xr:uid="{00000000-0005-0000-0000-0000525A0000}"/>
    <cellStyle name="Normal 272" xfId="23379" xr:uid="{00000000-0005-0000-0000-0000535A0000}"/>
    <cellStyle name="Normal 272 2" xfId="23380" xr:uid="{00000000-0005-0000-0000-0000545A0000}"/>
    <cellStyle name="Normal 272 2 2" xfId="23381" xr:uid="{00000000-0005-0000-0000-0000555A0000}"/>
    <cellStyle name="Normal 272 2 2 2" xfId="23382" xr:uid="{00000000-0005-0000-0000-0000565A0000}"/>
    <cellStyle name="Normal 272 2 3" xfId="23383" xr:uid="{00000000-0005-0000-0000-0000575A0000}"/>
    <cellStyle name="Normal 272 2 3 2" xfId="23384" xr:uid="{00000000-0005-0000-0000-0000585A0000}"/>
    <cellStyle name="Normal 272 2 3 2 2" xfId="23385" xr:uid="{00000000-0005-0000-0000-0000595A0000}"/>
    <cellStyle name="Normal 272 2 3 3" xfId="23386" xr:uid="{00000000-0005-0000-0000-00005A5A0000}"/>
    <cellStyle name="Normal 272 2 4" xfId="23387" xr:uid="{00000000-0005-0000-0000-00005B5A0000}"/>
    <cellStyle name="Normal 272 2 4 2" xfId="23388" xr:uid="{00000000-0005-0000-0000-00005C5A0000}"/>
    <cellStyle name="Normal 272 2 4 2 2" xfId="23389" xr:uid="{00000000-0005-0000-0000-00005D5A0000}"/>
    <cellStyle name="Normal 272 2 4 3" xfId="23390" xr:uid="{00000000-0005-0000-0000-00005E5A0000}"/>
    <cellStyle name="Normal 272 2 5" xfId="23391" xr:uid="{00000000-0005-0000-0000-00005F5A0000}"/>
    <cellStyle name="Normal 272 3" xfId="23392" xr:uid="{00000000-0005-0000-0000-0000605A0000}"/>
    <cellStyle name="Normal 272 3 2" xfId="23393" xr:uid="{00000000-0005-0000-0000-0000615A0000}"/>
    <cellStyle name="Normal 272 3 2 2" xfId="23394" xr:uid="{00000000-0005-0000-0000-0000625A0000}"/>
    <cellStyle name="Normal 272 3 2 2 2" xfId="23395" xr:uid="{00000000-0005-0000-0000-0000635A0000}"/>
    <cellStyle name="Normal 272 3 2 3" xfId="23396" xr:uid="{00000000-0005-0000-0000-0000645A0000}"/>
    <cellStyle name="Normal 272 3 2 3 2" xfId="23397" xr:uid="{00000000-0005-0000-0000-0000655A0000}"/>
    <cellStyle name="Normal 272 3 2 3 2 2" xfId="23398" xr:uid="{00000000-0005-0000-0000-0000665A0000}"/>
    <cellStyle name="Normal 272 3 2 3 3" xfId="23399" xr:uid="{00000000-0005-0000-0000-0000675A0000}"/>
    <cellStyle name="Normal 272 3 2 4" xfId="23400" xr:uid="{00000000-0005-0000-0000-0000685A0000}"/>
    <cellStyle name="Normal 272 3 3" xfId="23401" xr:uid="{00000000-0005-0000-0000-0000695A0000}"/>
    <cellStyle name="Normal 272 3 3 2" xfId="23402" xr:uid="{00000000-0005-0000-0000-00006A5A0000}"/>
    <cellStyle name="Normal 272 3 3 2 2" xfId="23403" xr:uid="{00000000-0005-0000-0000-00006B5A0000}"/>
    <cellStyle name="Normal 272 3 3 3" xfId="23404" xr:uid="{00000000-0005-0000-0000-00006C5A0000}"/>
    <cellStyle name="Normal 272 3 4" xfId="23405" xr:uid="{00000000-0005-0000-0000-00006D5A0000}"/>
    <cellStyle name="Normal 272 3 4 2" xfId="23406" xr:uid="{00000000-0005-0000-0000-00006E5A0000}"/>
    <cellStyle name="Normal 272 3 4 2 2" xfId="23407" xr:uid="{00000000-0005-0000-0000-00006F5A0000}"/>
    <cellStyle name="Normal 272 3 4 3" xfId="23408" xr:uid="{00000000-0005-0000-0000-0000705A0000}"/>
    <cellStyle name="Normal 272 3 5" xfId="23409" xr:uid="{00000000-0005-0000-0000-0000715A0000}"/>
    <cellStyle name="Normal 272 3 5 2" xfId="23410" xr:uid="{00000000-0005-0000-0000-0000725A0000}"/>
    <cellStyle name="Normal 272 3 5 2 2" xfId="23411" xr:uid="{00000000-0005-0000-0000-0000735A0000}"/>
    <cellStyle name="Normal 272 3 5 3" xfId="23412" xr:uid="{00000000-0005-0000-0000-0000745A0000}"/>
    <cellStyle name="Normal 272 3 6" xfId="23413" xr:uid="{00000000-0005-0000-0000-0000755A0000}"/>
    <cellStyle name="Normal 272 4" xfId="23414" xr:uid="{00000000-0005-0000-0000-0000765A0000}"/>
    <cellStyle name="Normal 272 4 2" xfId="23415" xr:uid="{00000000-0005-0000-0000-0000775A0000}"/>
    <cellStyle name="Normal 272 4 2 2" xfId="23416" xr:uid="{00000000-0005-0000-0000-0000785A0000}"/>
    <cellStyle name="Normal 272 4 3" xfId="23417" xr:uid="{00000000-0005-0000-0000-0000795A0000}"/>
    <cellStyle name="Normal 272 5" xfId="23418" xr:uid="{00000000-0005-0000-0000-00007A5A0000}"/>
    <cellStyle name="Normal 272 5 2" xfId="23419" xr:uid="{00000000-0005-0000-0000-00007B5A0000}"/>
    <cellStyle name="Normal 272 5 2 2" xfId="23420" xr:uid="{00000000-0005-0000-0000-00007C5A0000}"/>
    <cellStyle name="Normal 272 5 3" xfId="23421" xr:uid="{00000000-0005-0000-0000-00007D5A0000}"/>
    <cellStyle name="Normal 272 6" xfId="23422" xr:uid="{00000000-0005-0000-0000-00007E5A0000}"/>
    <cellStyle name="Normal 272 6 2" xfId="23423" xr:uid="{00000000-0005-0000-0000-00007F5A0000}"/>
    <cellStyle name="Normal 272 6 2 2" xfId="23424" xr:uid="{00000000-0005-0000-0000-0000805A0000}"/>
    <cellStyle name="Normal 272 6 3" xfId="23425" xr:uid="{00000000-0005-0000-0000-0000815A0000}"/>
    <cellStyle name="Normal 272 7" xfId="23426" xr:uid="{00000000-0005-0000-0000-0000825A0000}"/>
    <cellStyle name="Normal 273" xfId="23427" xr:uid="{00000000-0005-0000-0000-0000835A0000}"/>
    <cellStyle name="Normal 273 2" xfId="23428" xr:uid="{00000000-0005-0000-0000-0000845A0000}"/>
    <cellStyle name="Normal 273 2 2" xfId="23429" xr:uid="{00000000-0005-0000-0000-0000855A0000}"/>
    <cellStyle name="Normal 273 2 2 2" xfId="23430" xr:uid="{00000000-0005-0000-0000-0000865A0000}"/>
    <cellStyle name="Normal 273 2 3" xfId="23431" xr:uid="{00000000-0005-0000-0000-0000875A0000}"/>
    <cellStyle name="Normal 273 2 3 2" xfId="23432" xr:uid="{00000000-0005-0000-0000-0000885A0000}"/>
    <cellStyle name="Normal 273 2 3 2 2" xfId="23433" xr:uid="{00000000-0005-0000-0000-0000895A0000}"/>
    <cellStyle name="Normal 273 2 3 3" xfId="23434" xr:uid="{00000000-0005-0000-0000-00008A5A0000}"/>
    <cellStyle name="Normal 273 2 4" xfId="23435" xr:uid="{00000000-0005-0000-0000-00008B5A0000}"/>
    <cellStyle name="Normal 273 2 4 2" xfId="23436" xr:uid="{00000000-0005-0000-0000-00008C5A0000}"/>
    <cellStyle name="Normal 273 2 4 2 2" xfId="23437" xr:uid="{00000000-0005-0000-0000-00008D5A0000}"/>
    <cellStyle name="Normal 273 2 4 3" xfId="23438" xr:uid="{00000000-0005-0000-0000-00008E5A0000}"/>
    <cellStyle name="Normal 273 2 5" xfId="23439" xr:uid="{00000000-0005-0000-0000-00008F5A0000}"/>
    <cellStyle name="Normal 273 3" xfId="23440" xr:uid="{00000000-0005-0000-0000-0000905A0000}"/>
    <cellStyle name="Normal 273 3 2" xfId="23441" xr:uid="{00000000-0005-0000-0000-0000915A0000}"/>
    <cellStyle name="Normal 273 3 2 2" xfId="23442" xr:uid="{00000000-0005-0000-0000-0000925A0000}"/>
    <cellStyle name="Normal 273 3 2 2 2" xfId="23443" xr:uid="{00000000-0005-0000-0000-0000935A0000}"/>
    <cellStyle name="Normal 273 3 2 3" xfId="23444" xr:uid="{00000000-0005-0000-0000-0000945A0000}"/>
    <cellStyle name="Normal 273 3 2 3 2" xfId="23445" xr:uid="{00000000-0005-0000-0000-0000955A0000}"/>
    <cellStyle name="Normal 273 3 2 3 2 2" xfId="23446" xr:uid="{00000000-0005-0000-0000-0000965A0000}"/>
    <cellStyle name="Normal 273 3 2 3 3" xfId="23447" xr:uid="{00000000-0005-0000-0000-0000975A0000}"/>
    <cellStyle name="Normal 273 3 2 4" xfId="23448" xr:uid="{00000000-0005-0000-0000-0000985A0000}"/>
    <cellStyle name="Normal 273 3 3" xfId="23449" xr:uid="{00000000-0005-0000-0000-0000995A0000}"/>
    <cellStyle name="Normal 273 3 3 2" xfId="23450" xr:uid="{00000000-0005-0000-0000-00009A5A0000}"/>
    <cellStyle name="Normal 273 3 3 2 2" xfId="23451" xr:uid="{00000000-0005-0000-0000-00009B5A0000}"/>
    <cellStyle name="Normal 273 3 3 3" xfId="23452" xr:uid="{00000000-0005-0000-0000-00009C5A0000}"/>
    <cellStyle name="Normal 273 3 4" xfId="23453" xr:uid="{00000000-0005-0000-0000-00009D5A0000}"/>
    <cellStyle name="Normal 273 3 4 2" xfId="23454" xr:uid="{00000000-0005-0000-0000-00009E5A0000}"/>
    <cellStyle name="Normal 273 3 4 2 2" xfId="23455" xr:uid="{00000000-0005-0000-0000-00009F5A0000}"/>
    <cellStyle name="Normal 273 3 4 3" xfId="23456" xr:uid="{00000000-0005-0000-0000-0000A05A0000}"/>
    <cellStyle name="Normal 273 3 5" xfId="23457" xr:uid="{00000000-0005-0000-0000-0000A15A0000}"/>
    <cellStyle name="Normal 273 3 5 2" xfId="23458" xr:uid="{00000000-0005-0000-0000-0000A25A0000}"/>
    <cellStyle name="Normal 273 3 5 2 2" xfId="23459" xr:uid="{00000000-0005-0000-0000-0000A35A0000}"/>
    <cellStyle name="Normal 273 3 5 3" xfId="23460" xr:uid="{00000000-0005-0000-0000-0000A45A0000}"/>
    <cellStyle name="Normal 273 3 6" xfId="23461" xr:uid="{00000000-0005-0000-0000-0000A55A0000}"/>
    <cellStyle name="Normal 273 4" xfId="23462" xr:uid="{00000000-0005-0000-0000-0000A65A0000}"/>
    <cellStyle name="Normal 273 4 2" xfId="23463" xr:uid="{00000000-0005-0000-0000-0000A75A0000}"/>
    <cellStyle name="Normal 273 4 2 2" xfId="23464" xr:uid="{00000000-0005-0000-0000-0000A85A0000}"/>
    <cellStyle name="Normal 273 4 3" xfId="23465" xr:uid="{00000000-0005-0000-0000-0000A95A0000}"/>
    <cellStyle name="Normal 273 5" xfId="23466" xr:uid="{00000000-0005-0000-0000-0000AA5A0000}"/>
    <cellStyle name="Normal 273 5 2" xfId="23467" xr:uid="{00000000-0005-0000-0000-0000AB5A0000}"/>
    <cellStyle name="Normal 273 5 2 2" xfId="23468" xr:uid="{00000000-0005-0000-0000-0000AC5A0000}"/>
    <cellStyle name="Normal 273 5 3" xfId="23469" xr:uid="{00000000-0005-0000-0000-0000AD5A0000}"/>
    <cellStyle name="Normal 273 6" xfId="23470" xr:uid="{00000000-0005-0000-0000-0000AE5A0000}"/>
    <cellStyle name="Normal 273 6 2" xfId="23471" xr:uid="{00000000-0005-0000-0000-0000AF5A0000}"/>
    <cellStyle name="Normal 273 6 2 2" xfId="23472" xr:uid="{00000000-0005-0000-0000-0000B05A0000}"/>
    <cellStyle name="Normal 273 6 3" xfId="23473" xr:uid="{00000000-0005-0000-0000-0000B15A0000}"/>
    <cellStyle name="Normal 273 7" xfId="23474" xr:uid="{00000000-0005-0000-0000-0000B25A0000}"/>
    <cellStyle name="Normal 274" xfId="23475" xr:uid="{00000000-0005-0000-0000-0000B35A0000}"/>
    <cellStyle name="Normal 274 2" xfId="23476" xr:uid="{00000000-0005-0000-0000-0000B45A0000}"/>
    <cellStyle name="Normal 274 2 2" xfId="23477" xr:uid="{00000000-0005-0000-0000-0000B55A0000}"/>
    <cellStyle name="Normal 274 2 2 2" xfId="23478" xr:uid="{00000000-0005-0000-0000-0000B65A0000}"/>
    <cellStyle name="Normal 274 2 3" xfId="23479" xr:uid="{00000000-0005-0000-0000-0000B75A0000}"/>
    <cellStyle name="Normal 274 2 3 2" xfId="23480" xr:uid="{00000000-0005-0000-0000-0000B85A0000}"/>
    <cellStyle name="Normal 274 2 3 2 2" xfId="23481" xr:uid="{00000000-0005-0000-0000-0000B95A0000}"/>
    <cellStyle name="Normal 274 2 3 3" xfId="23482" xr:uid="{00000000-0005-0000-0000-0000BA5A0000}"/>
    <cellStyle name="Normal 274 2 4" xfId="23483" xr:uid="{00000000-0005-0000-0000-0000BB5A0000}"/>
    <cellStyle name="Normal 274 2 4 2" xfId="23484" xr:uid="{00000000-0005-0000-0000-0000BC5A0000}"/>
    <cellStyle name="Normal 274 2 4 2 2" xfId="23485" xr:uid="{00000000-0005-0000-0000-0000BD5A0000}"/>
    <cellStyle name="Normal 274 2 4 3" xfId="23486" xr:uid="{00000000-0005-0000-0000-0000BE5A0000}"/>
    <cellStyle name="Normal 274 2 5" xfId="23487" xr:uid="{00000000-0005-0000-0000-0000BF5A0000}"/>
    <cellStyle name="Normal 274 3" xfId="23488" xr:uid="{00000000-0005-0000-0000-0000C05A0000}"/>
    <cellStyle name="Normal 274 3 2" xfId="23489" xr:uid="{00000000-0005-0000-0000-0000C15A0000}"/>
    <cellStyle name="Normal 274 3 2 2" xfId="23490" xr:uid="{00000000-0005-0000-0000-0000C25A0000}"/>
    <cellStyle name="Normal 274 3 2 2 2" xfId="23491" xr:uid="{00000000-0005-0000-0000-0000C35A0000}"/>
    <cellStyle name="Normal 274 3 2 3" xfId="23492" xr:uid="{00000000-0005-0000-0000-0000C45A0000}"/>
    <cellStyle name="Normal 274 3 2 3 2" xfId="23493" xr:uid="{00000000-0005-0000-0000-0000C55A0000}"/>
    <cellStyle name="Normal 274 3 2 3 2 2" xfId="23494" xr:uid="{00000000-0005-0000-0000-0000C65A0000}"/>
    <cellStyle name="Normal 274 3 2 3 3" xfId="23495" xr:uid="{00000000-0005-0000-0000-0000C75A0000}"/>
    <cellStyle name="Normal 274 3 2 4" xfId="23496" xr:uid="{00000000-0005-0000-0000-0000C85A0000}"/>
    <cellStyle name="Normal 274 3 3" xfId="23497" xr:uid="{00000000-0005-0000-0000-0000C95A0000}"/>
    <cellStyle name="Normal 274 3 3 2" xfId="23498" xr:uid="{00000000-0005-0000-0000-0000CA5A0000}"/>
    <cellStyle name="Normal 274 3 3 2 2" xfId="23499" xr:uid="{00000000-0005-0000-0000-0000CB5A0000}"/>
    <cellStyle name="Normal 274 3 3 3" xfId="23500" xr:uid="{00000000-0005-0000-0000-0000CC5A0000}"/>
    <cellStyle name="Normal 274 3 4" xfId="23501" xr:uid="{00000000-0005-0000-0000-0000CD5A0000}"/>
    <cellStyle name="Normal 274 3 4 2" xfId="23502" xr:uid="{00000000-0005-0000-0000-0000CE5A0000}"/>
    <cellStyle name="Normal 274 3 4 2 2" xfId="23503" xr:uid="{00000000-0005-0000-0000-0000CF5A0000}"/>
    <cellStyle name="Normal 274 3 4 3" xfId="23504" xr:uid="{00000000-0005-0000-0000-0000D05A0000}"/>
    <cellStyle name="Normal 274 3 5" xfId="23505" xr:uid="{00000000-0005-0000-0000-0000D15A0000}"/>
    <cellStyle name="Normal 274 3 5 2" xfId="23506" xr:uid="{00000000-0005-0000-0000-0000D25A0000}"/>
    <cellStyle name="Normal 274 3 5 2 2" xfId="23507" xr:uid="{00000000-0005-0000-0000-0000D35A0000}"/>
    <cellStyle name="Normal 274 3 5 3" xfId="23508" xr:uid="{00000000-0005-0000-0000-0000D45A0000}"/>
    <cellStyle name="Normal 274 3 6" xfId="23509" xr:uid="{00000000-0005-0000-0000-0000D55A0000}"/>
    <cellStyle name="Normal 274 4" xfId="23510" xr:uid="{00000000-0005-0000-0000-0000D65A0000}"/>
    <cellStyle name="Normal 274 4 2" xfId="23511" xr:uid="{00000000-0005-0000-0000-0000D75A0000}"/>
    <cellStyle name="Normal 274 4 2 2" xfId="23512" xr:uid="{00000000-0005-0000-0000-0000D85A0000}"/>
    <cellStyle name="Normal 274 4 3" xfId="23513" xr:uid="{00000000-0005-0000-0000-0000D95A0000}"/>
    <cellStyle name="Normal 274 5" xfId="23514" xr:uid="{00000000-0005-0000-0000-0000DA5A0000}"/>
    <cellStyle name="Normal 274 5 2" xfId="23515" xr:uid="{00000000-0005-0000-0000-0000DB5A0000}"/>
    <cellStyle name="Normal 274 5 2 2" xfId="23516" xr:uid="{00000000-0005-0000-0000-0000DC5A0000}"/>
    <cellStyle name="Normal 274 5 3" xfId="23517" xr:uid="{00000000-0005-0000-0000-0000DD5A0000}"/>
    <cellStyle name="Normal 274 6" xfId="23518" xr:uid="{00000000-0005-0000-0000-0000DE5A0000}"/>
    <cellStyle name="Normal 274 6 2" xfId="23519" xr:uid="{00000000-0005-0000-0000-0000DF5A0000}"/>
    <cellStyle name="Normal 274 6 2 2" xfId="23520" xr:uid="{00000000-0005-0000-0000-0000E05A0000}"/>
    <cellStyle name="Normal 274 6 3" xfId="23521" xr:uid="{00000000-0005-0000-0000-0000E15A0000}"/>
    <cellStyle name="Normal 274 7" xfId="23522" xr:uid="{00000000-0005-0000-0000-0000E25A0000}"/>
    <cellStyle name="Normal 275" xfId="23523" xr:uid="{00000000-0005-0000-0000-0000E35A0000}"/>
    <cellStyle name="Normal 275 2" xfId="23524" xr:uid="{00000000-0005-0000-0000-0000E45A0000}"/>
    <cellStyle name="Normal 275 2 2" xfId="23525" xr:uid="{00000000-0005-0000-0000-0000E55A0000}"/>
    <cellStyle name="Normal 275 2 2 2" xfId="23526" xr:uid="{00000000-0005-0000-0000-0000E65A0000}"/>
    <cellStyle name="Normal 275 2 3" xfId="23527" xr:uid="{00000000-0005-0000-0000-0000E75A0000}"/>
    <cellStyle name="Normal 275 2 3 2" xfId="23528" xr:uid="{00000000-0005-0000-0000-0000E85A0000}"/>
    <cellStyle name="Normal 275 2 3 2 2" xfId="23529" xr:uid="{00000000-0005-0000-0000-0000E95A0000}"/>
    <cellStyle name="Normal 275 2 3 3" xfId="23530" xr:uid="{00000000-0005-0000-0000-0000EA5A0000}"/>
    <cellStyle name="Normal 275 2 4" xfId="23531" xr:uid="{00000000-0005-0000-0000-0000EB5A0000}"/>
    <cellStyle name="Normal 275 2 4 2" xfId="23532" xr:uid="{00000000-0005-0000-0000-0000EC5A0000}"/>
    <cellStyle name="Normal 275 2 4 2 2" xfId="23533" xr:uid="{00000000-0005-0000-0000-0000ED5A0000}"/>
    <cellStyle name="Normal 275 2 4 3" xfId="23534" xr:uid="{00000000-0005-0000-0000-0000EE5A0000}"/>
    <cellStyle name="Normal 275 2 5" xfId="23535" xr:uid="{00000000-0005-0000-0000-0000EF5A0000}"/>
    <cellStyle name="Normal 275 3" xfId="23536" xr:uid="{00000000-0005-0000-0000-0000F05A0000}"/>
    <cellStyle name="Normal 275 3 2" xfId="23537" xr:uid="{00000000-0005-0000-0000-0000F15A0000}"/>
    <cellStyle name="Normal 275 3 2 2" xfId="23538" xr:uid="{00000000-0005-0000-0000-0000F25A0000}"/>
    <cellStyle name="Normal 275 3 2 2 2" xfId="23539" xr:uid="{00000000-0005-0000-0000-0000F35A0000}"/>
    <cellStyle name="Normal 275 3 2 3" xfId="23540" xr:uid="{00000000-0005-0000-0000-0000F45A0000}"/>
    <cellStyle name="Normal 275 3 2 3 2" xfId="23541" xr:uid="{00000000-0005-0000-0000-0000F55A0000}"/>
    <cellStyle name="Normal 275 3 2 3 2 2" xfId="23542" xr:uid="{00000000-0005-0000-0000-0000F65A0000}"/>
    <cellStyle name="Normal 275 3 2 3 3" xfId="23543" xr:uid="{00000000-0005-0000-0000-0000F75A0000}"/>
    <cellStyle name="Normal 275 3 2 4" xfId="23544" xr:uid="{00000000-0005-0000-0000-0000F85A0000}"/>
    <cellStyle name="Normal 275 3 3" xfId="23545" xr:uid="{00000000-0005-0000-0000-0000F95A0000}"/>
    <cellStyle name="Normal 275 3 3 2" xfId="23546" xr:uid="{00000000-0005-0000-0000-0000FA5A0000}"/>
    <cellStyle name="Normal 275 3 3 2 2" xfId="23547" xr:uid="{00000000-0005-0000-0000-0000FB5A0000}"/>
    <cellStyle name="Normal 275 3 3 3" xfId="23548" xr:uid="{00000000-0005-0000-0000-0000FC5A0000}"/>
    <cellStyle name="Normal 275 3 4" xfId="23549" xr:uid="{00000000-0005-0000-0000-0000FD5A0000}"/>
    <cellStyle name="Normal 275 3 4 2" xfId="23550" xr:uid="{00000000-0005-0000-0000-0000FE5A0000}"/>
    <cellStyle name="Normal 275 3 4 2 2" xfId="23551" xr:uid="{00000000-0005-0000-0000-0000FF5A0000}"/>
    <cellStyle name="Normal 275 3 4 3" xfId="23552" xr:uid="{00000000-0005-0000-0000-0000005B0000}"/>
    <cellStyle name="Normal 275 3 5" xfId="23553" xr:uid="{00000000-0005-0000-0000-0000015B0000}"/>
    <cellStyle name="Normal 275 3 5 2" xfId="23554" xr:uid="{00000000-0005-0000-0000-0000025B0000}"/>
    <cellStyle name="Normal 275 3 5 2 2" xfId="23555" xr:uid="{00000000-0005-0000-0000-0000035B0000}"/>
    <cellStyle name="Normal 275 3 5 3" xfId="23556" xr:uid="{00000000-0005-0000-0000-0000045B0000}"/>
    <cellStyle name="Normal 275 3 6" xfId="23557" xr:uid="{00000000-0005-0000-0000-0000055B0000}"/>
    <cellStyle name="Normal 275 4" xfId="23558" xr:uid="{00000000-0005-0000-0000-0000065B0000}"/>
    <cellStyle name="Normal 275 4 2" xfId="23559" xr:uid="{00000000-0005-0000-0000-0000075B0000}"/>
    <cellStyle name="Normal 275 4 2 2" xfId="23560" xr:uid="{00000000-0005-0000-0000-0000085B0000}"/>
    <cellStyle name="Normal 275 4 3" xfId="23561" xr:uid="{00000000-0005-0000-0000-0000095B0000}"/>
    <cellStyle name="Normal 275 5" xfId="23562" xr:uid="{00000000-0005-0000-0000-00000A5B0000}"/>
    <cellStyle name="Normal 275 5 2" xfId="23563" xr:uid="{00000000-0005-0000-0000-00000B5B0000}"/>
    <cellStyle name="Normal 275 5 2 2" xfId="23564" xr:uid="{00000000-0005-0000-0000-00000C5B0000}"/>
    <cellStyle name="Normal 275 5 3" xfId="23565" xr:uid="{00000000-0005-0000-0000-00000D5B0000}"/>
    <cellStyle name="Normal 275 6" xfId="23566" xr:uid="{00000000-0005-0000-0000-00000E5B0000}"/>
    <cellStyle name="Normal 275 6 2" xfId="23567" xr:uid="{00000000-0005-0000-0000-00000F5B0000}"/>
    <cellStyle name="Normal 275 6 2 2" xfId="23568" xr:uid="{00000000-0005-0000-0000-0000105B0000}"/>
    <cellStyle name="Normal 275 6 3" xfId="23569" xr:uid="{00000000-0005-0000-0000-0000115B0000}"/>
    <cellStyle name="Normal 275 7" xfId="23570" xr:uid="{00000000-0005-0000-0000-0000125B0000}"/>
    <cellStyle name="Normal 276" xfId="23571" xr:uid="{00000000-0005-0000-0000-0000135B0000}"/>
    <cellStyle name="Normal 276 2" xfId="23572" xr:uid="{00000000-0005-0000-0000-0000145B0000}"/>
    <cellStyle name="Normal 276 2 2" xfId="23573" xr:uid="{00000000-0005-0000-0000-0000155B0000}"/>
    <cellStyle name="Normal 276 2 2 2" xfId="23574" xr:uid="{00000000-0005-0000-0000-0000165B0000}"/>
    <cellStyle name="Normal 276 2 3" xfId="23575" xr:uid="{00000000-0005-0000-0000-0000175B0000}"/>
    <cellStyle name="Normal 276 2 3 2" xfId="23576" xr:uid="{00000000-0005-0000-0000-0000185B0000}"/>
    <cellStyle name="Normal 276 2 3 2 2" xfId="23577" xr:uid="{00000000-0005-0000-0000-0000195B0000}"/>
    <cellStyle name="Normal 276 2 3 3" xfId="23578" xr:uid="{00000000-0005-0000-0000-00001A5B0000}"/>
    <cellStyle name="Normal 276 2 4" xfId="23579" xr:uid="{00000000-0005-0000-0000-00001B5B0000}"/>
    <cellStyle name="Normal 276 2 4 2" xfId="23580" xr:uid="{00000000-0005-0000-0000-00001C5B0000}"/>
    <cellStyle name="Normal 276 2 4 2 2" xfId="23581" xr:uid="{00000000-0005-0000-0000-00001D5B0000}"/>
    <cellStyle name="Normal 276 2 4 3" xfId="23582" xr:uid="{00000000-0005-0000-0000-00001E5B0000}"/>
    <cellStyle name="Normal 276 2 5" xfId="23583" xr:uid="{00000000-0005-0000-0000-00001F5B0000}"/>
    <cellStyle name="Normal 276 3" xfId="23584" xr:uid="{00000000-0005-0000-0000-0000205B0000}"/>
    <cellStyle name="Normal 276 3 2" xfId="23585" xr:uid="{00000000-0005-0000-0000-0000215B0000}"/>
    <cellStyle name="Normal 276 3 2 2" xfId="23586" xr:uid="{00000000-0005-0000-0000-0000225B0000}"/>
    <cellStyle name="Normal 276 3 2 2 2" xfId="23587" xr:uid="{00000000-0005-0000-0000-0000235B0000}"/>
    <cellStyle name="Normal 276 3 2 3" xfId="23588" xr:uid="{00000000-0005-0000-0000-0000245B0000}"/>
    <cellStyle name="Normal 276 3 2 3 2" xfId="23589" xr:uid="{00000000-0005-0000-0000-0000255B0000}"/>
    <cellStyle name="Normal 276 3 2 3 2 2" xfId="23590" xr:uid="{00000000-0005-0000-0000-0000265B0000}"/>
    <cellStyle name="Normal 276 3 2 3 3" xfId="23591" xr:uid="{00000000-0005-0000-0000-0000275B0000}"/>
    <cellStyle name="Normal 276 3 2 4" xfId="23592" xr:uid="{00000000-0005-0000-0000-0000285B0000}"/>
    <cellStyle name="Normal 276 3 3" xfId="23593" xr:uid="{00000000-0005-0000-0000-0000295B0000}"/>
    <cellStyle name="Normal 276 3 3 2" xfId="23594" xr:uid="{00000000-0005-0000-0000-00002A5B0000}"/>
    <cellStyle name="Normal 276 3 3 2 2" xfId="23595" xr:uid="{00000000-0005-0000-0000-00002B5B0000}"/>
    <cellStyle name="Normal 276 3 3 3" xfId="23596" xr:uid="{00000000-0005-0000-0000-00002C5B0000}"/>
    <cellStyle name="Normal 276 3 4" xfId="23597" xr:uid="{00000000-0005-0000-0000-00002D5B0000}"/>
    <cellStyle name="Normal 276 3 4 2" xfId="23598" xr:uid="{00000000-0005-0000-0000-00002E5B0000}"/>
    <cellStyle name="Normal 276 3 4 2 2" xfId="23599" xr:uid="{00000000-0005-0000-0000-00002F5B0000}"/>
    <cellStyle name="Normal 276 3 4 3" xfId="23600" xr:uid="{00000000-0005-0000-0000-0000305B0000}"/>
    <cellStyle name="Normal 276 3 5" xfId="23601" xr:uid="{00000000-0005-0000-0000-0000315B0000}"/>
    <cellStyle name="Normal 276 3 5 2" xfId="23602" xr:uid="{00000000-0005-0000-0000-0000325B0000}"/>
    <cellStyle name="Normal 276 3 5 2 2" xfId="23603" xr:uid="{00000000-0005-0000-0000-0000335B0000}"/>
    <cellStyle name="Normal 276 3 5 3" xfId="23604" xr:uid="{00000000-0005-0000-0000-0000345B0000}"/>
    <cellStyle name="Normal 276 3 6" xfId="23605" xr:uid="{00000000-0005-0000-0000-0000355B0000}"/>
    <cellStyle name="Normal 276 4" xfId="23606" xr:uid="{00000000-0005-0000-0000-0000365B0000}"/>
    <cellStyle name="Normal 276 4 2" xfId="23607" xr:uid="{00000000-0005-0000-0000-0000375B0000}"/>
    <cellStyle name="Normal 276 4 2 2" xfId="23608" xr:uid="{00000000-0005-0000-0000-0000385B0000}"/>
    <cellStyle name="Normal 276 4 3" xfId="23609" xr:uid="{00000000-0005-0000-0000-0000395B0000}"/>
    <cellStyle name="Normal 276 5" xfId="23610" xr:uid="{00000000-0005-0000-0000-00003A5B0000}"/>
    <cellStyle name="Normal 276 5 2" xfId="23611" xr:uid="{00000000-0005-0000-0000-00003B5B0000}"/>
    <cellStyle name="Normal 276 5 2 2" xfId="23612" xr:uid="{00000000-0005-0000-0000-00003C5B0000}"/>
    <cellStyle name="Normal 276 5 3" xfId="23613" xr:uid="{00000000-0005-0000-0000-00003D5B0000}"/>
    <cellStyle name="Normal 276 6" xfId="23614" xr:uid="{00000000-0005-0000-0000-00003E5B0000}"/>
    <cellStyle name="Normal 276 6 2" xfId="23615" xr:uid="{00000000-0005-0000-0000-00003F5B0000}"/>
    <cellStyle name="Normal 276 6 2 2" xfId="23616" xr:uid="{00000000-0005-0000-0000-0000405B0000}"/>
    <cellStyle name="Normal 276 6 3" xfId="23617" xr:uid="{00000000-0005-0000-0000-0000415B0000}"/>
    <cellStyle name="Normal 276 7" xfId="23618" xr:uid="{00000000-0005-0000-0000-0000425B0000}"/>
    <cellStyle name="Normal 277" xfId="23619" xr:uid="{00000000-0005-0000-0000-0000435B0000}"/>
    <cellStyle name="Normal 277 2" xfId="23620" xr:uid="{00000000-0005-0000-0000-0000445B0000}"/>
    <cellStyle name="Normal 277 2 2" xfId="23621" xr:uid="{00000000-0005-0000-0000-0000455B0000}"/>
    <cellStyle name="Normal 277 2 2 2" xfId="23622" xr:uid="{00000000-0005-0000-0000-0000465B0000}"/>
    <cellStyle name="Normal 277 2 3" xfId="23623" xr:uid="{00000000-0005-0000-0000-0000475B0000}"/>
    <cellStyle name="Normal 277 2 3 2" xfId="23624" xr:uid="{00000000-0005-0000-0000-0000485B0000}"/>
    <cellStyle name="Normal 277 2 3 2 2" xfId="23625" xr:uid="{00000000-0005-0000-0000-0000495B0000}"/>
    <cellStyle name="Normal 277 2 3 3" xfId="23626" xr:uid="{00000000-0005-0000-0000-00004A5B0000}"/>
    <cellStyle name="Normal 277 2 4" xfId="23627" xr:uid="{00000000-0005-0000-0000-00004B5B0000}"/>
    <cellStyle name="Normal 277 2 4 2" xfId="23628" xr:uid="{00000000-0005-0000-0000-00004C5B0000}"/>
    <cellStyle name="Normal 277 2 4 2 2" xfId="23629" xr:uid="{00000000-0005-0000-0000-00004D5B0000}"/>
    <cellStyle name="Normal 277 2 4 3" xfId="23630" xr:uid="{00000000-0005-0000-0000-00004E5B0000}"/>
    <cellStyle name="Normal 277 2 5" xfId="23631" xr:uid="{00000000-0005-0000-0000-00004F5B0000}"/>
    <cellStyle name="Normal 277 3" xfId="23632" xr:uid="{00000000-0005-0000-0000-0000505B0000}"/>
    <cellStyle name="Normal 277 3 2" xfId="23633" xr:uid="{00000000-0005-0000-0000-0000515B0000}"/>
    <cellStyle name="Normal 277 3 2 2" xfId="23634" xr:uid="{00000000-0005-0000-0000-0000525B0000}"/>
    <cellStyle name="Normal 277 3 2 2 2" xfId="23635" xr:uid="{00000000-0005-0000-0000-0000535B0000}"/>
    <cellStyle name="Normal 277 3 2 3" xfId="23636" xr:uid="{00000000-0005-0000-0000-0000545B0000}"/>
    <cellStyle name="Normal 277 3 2 3 2" xfId="23637" xr:uid="{00000000-0005-0000-0000-0000555B0000}"/>
    <cellStyle name="Normal 277 3 2 3 2 2" xfId="23638" xr:uid="{00000000-0005-0000-0000-0000565B0000}"/>
    <cellStyle name="Normal 277 3 2 3 3" xfId="23639" xr:uid="{00000000-0005-0000-0000-0000575B0000}"/>
    <cellStyle name="Normal 277 3 2 4" xfId="23640" xr:uid="{00000000-0005-0000-0000-0000585B0000}"/>
    <cellStyle name="Normal 277 3 3" xfId="23641" xr:uid="{00000000-0005-0000-0000-0000595B0000}"/>
    <cellStyle name="Normal 277 3 3 2" xfId="23642" xr:uid="{00000000-0005-0000-0000-00005A5B0000}"/>
    <cellStyle name="Normal 277 3 3 2 2" xfId="23643" xr:uid="{00000000-0005-0000-0000-00005B5B0000}"/>
    <cellStyle name="Normal 277 3 3 3" xfId="23644" xr:uid="{00000000-0005-0000-0000-00005C5B0000}"/>
    <cellStyle name="Normal 277 3 4" xfId="23645" xr:uid="{00000000-0005-0000-0000-00005D5B0000}"/>
    <cellStyle name="Normal 277 3 4 2" xfId="23646" xr:uid="{00000000-0005-0000-0000-00005E5B0000}"/>
    <cellStyle name="Normal 277 3 4 2 2" xfId="23647" xr:uid="{00000000-0005-0000-0000-00005F5B0000}"/>
    <cellStyle name="Normal 277 3 4 3" xfId="23648" xr:uid="{00000000-0005-0000-0000-0000605B0000}"/>
    <cellStyle name="Normal 277 3 5" xfId="23649" xr:uid="{00000000-0005-0000-0000-0000615B0000}"/>
    <cellStyle name="Normal 277 3 5 2" xfId="23650" xr:uid="{00000000-0005-0000-0000-0000625B0000}"/>
    <cellStyle name="Normal 277 3 5 2 2" xfId="23651" xr:uid="{00000000-0005-0000-0000-0000635B0000}"/>
    <cellStyle name="Normal 277 3 5 3" xfId="23652" xr:uid="{00000000-0005-0000-0000-0000645B0000}"/>
    <cellStyle name="Normal 277 3 6" xfId="23653" xr:uid="{00000000-0005-0000-0000-0000655B0000}"/>
    <cellStyle name="Normal 277 4" xfId="23654" xr:uid="{00000000-0005-0000-0000-0000665B0000}"/>
    <cellStyle name="Normal 277 4 2" xfId="23655" xr:uid="{00000000-0005-0000-0000-0000675B0000}"/>
    <cellStyle name="Normal 277 4 2 2" xfId="23656" xr:uid="{00000000-0005-0000-0000-0000685B0000}"/>
    <cellStyle name="Normal 277 4 3" xfId="23657" xr:uid="{00000000-0005-0000-0000-0000695B0000}"/>
    <cellStyle name="Normal 277 5" xfId="23658" xr:uid="{00000000-0005-0000-0000-00006A5B0000}"/>
    <cellStyle name="Normal 277 5 2" xfId="23659" xr:uid="{00000000-0005-0000-0000-00006B5B0000}"/>
    <cellStyle name="Normal 277 5 2 2" xfId="23660" xr:uid="{00000000-0005-0000-0000-00006C5B0000}"/>
    <cellStyle name="Normal 277 5 3" xfId="23661" xr:uid="{00000000-0005-0000-0000-00006D5B0000}"/>
    <cellStyle name="Normal 277 6" xfId="23662" xr:uid="{00000000-0005-0000-0000-00006E5B0000}"/>
    <cellStyle name="Normal 277 6 2" xfId="23663" xr:uid="{00000000-0005-0000-0000-00006F5B0000}"/>
    <cellStyle name="Normal 277 6 2 2" xfId="23664" xr:uid="{00000000-0005-0000-0000-0000705B0000}"/>
    <cellStyle name="Normal 277 6 3" xfId="23665" xr:uid="{00000000-0005-0000-0000-0000715B0000}"/>
    <cellStyle name="Normal 277 7" xfId="23666" xr:uid="{00000000-0005-0000-0000-0000725B0000}"/>
    <cellStyle name="Normal 278" xfId="23667" xr:uid="{00000000-0005-0000-0000-0000735B0000}"/>
    <cellStyle name="Normal 278 2" xfId="23668" xr:uid="{00000000-0005-0000-0000-0000745B0000}"/>
    <cellStyle name="Normal 278 2 2" xfId="23669" xr:uid="{00000000-0005-0000-0000-0000755B0000}"/>
    <cellStyle name="Normal 278 2 2 2" xfId="23670" xr:uid="{00000000-0005-0000-0000-0000765B0000}"/>
    <cellStyle name="Normal 278 2 3" xfId="23671" xr:uid="{00000000-0005-0000-0000-0000775B0000}"/>
    <cellStyle name="Normal 278 2 3 2" xfId="23672" xr:uid="{00000000-0005-0000-0000-0000785B0000}"/>
    <cellStyle name="Normal 278 2 3 2 2" xfId="23673" xr:uid="{00000000-0005-0000-0000-0000795B0000}"/>
    <cellStyle name="Normal 278 2 3 3" xfId="23674" xr:uid="{00000000-0005-0000-0000-00007A5B0000}"/>
    <cellStyle name="Normal 278 2 4" xfId="23675" xr:uid="{00000000-0005-0000-0000-00007B5B0000}"/>
    <cellStyle name="Normal 278 2 4 2" xfId="23676" xr:uid="{00000000-0005-0000-0000-00007C5B0000}"/>
    <cellStyle name="Normal 278 2 4 2 2" xfId="23677" xr:uid="{00000000-0005-0000-0000-00007D5B0000}"/>
    <cellStyle name="Normal 278 2 4 3" xfId="23678" xr:uid="{00000000-0005-0000-0000-00007E5B0000}"/>
    <cellStyle name="Normal 278 2 5" xfId="23679" xr:uid="{00000000-0005-0000-0000-00007F5B0000}"/>
    <cellStyle name="Normal 278 3" xfId="23680" xr:uid="{00000000-0005-0000-0000-0000805B0000}"/>
    <cellStyle name="Normal 278 3 2" xfId="23681" xr:uid="{00000000-0005-0000-0000-0000815B0000}"/>
    <cellStyle name="Normal 278 3 2 2" xfId="23682" xr:uid="{00000000-0005-0000-0000-0000825B0000}"/>
    <cellStyle name="Normal 278 3 2 2 2" xfId="23683" xr:uid="{00000000-0005-0000-0000-0000835B0000}"/>
    <cellStyle name="Normal 278 3 2 3" xfId="23684" xr:uid="{00000000-0005-0000-0000-0000845B0000}"/>
    <cellStyle name="Normal 278 3 2 3 2" xfId="23685" xr:uid="{00000000-0005-0000-0000-0000855B0000}"/>
    <cellStyle name="Normal 278 3 2 3 2 2" xfId="23686" xr:uid="{00000000-0005-0000-0000-0000865B0000}"/>
    <cellStyle name="Normal 278 3 2 3 3" xfId="23687" xr:uid="{00000000-0005-0000-0000-0000875B0000}"/>
    <cellStyle name="Normal 278 3 2 4" xfId="23688" xr:uid="{00000000-0005-0000-0000-0000885B0000}"/>
    <cellStyle name="Normal 278 3 3" xfId="23689" xr:uid="{00000000-0005-0000-0000-0000895B0000}"/>
    <cellStyle name="Normal 278 3 3 2" xfId="23690" xr:uid="{00000000-0005-0000-0000-00008A5B0000}"/>
    <cellStyle name="Normal 278 3 3 2 2" xfId="23691" xr:uid="{00000000-0005-0000-0000-00008B5B0000}"/>
    <cellStyle name="Normal 278 3 3 3" xfId="23692" xr:uid="{00000000-0005-0000-0000-00008C5B0000}"/>
    <cellStyle name="Normal 278 3 4" xfId="23693" xr:uid="{00000000-0005-0000-0000-00008D5B0000}"/>
    <cellStyle name="Normal 278 3 4 2" xfId="23694" xr:uid="{00000000-0005-0000-0000-00008E5B0000}"/>
    <cellStyle name="Normal 278 3 4 2 2" xfId="23695" xr:uid="{00000000-0005-0000-0000-00008F5B0000}"/>
    <cellStyle name="Normal 278 3 4 3" xfId="23696" xr:uid="{00000000-0005-0000-0000-0000905B0000}"/>
    <cellStyle name="Normal 278 3 5" xfId="23697" xr:uid="{00000000-0005-0000-0000-0000915B0000}"/>
    <cellStyle name="Normal 278 3 5 2" xfId="23698" xr:uid="{00000000-0005-0000-0000-0000925B0000}"/>
    <cellStyle name="Normal 278 3 5 2 2" xfId="23699" xr:uid="{00000000-0005-0000-0000-0000935B0000}"/>
    <cellStyle name="Normal 278 3 5 3" xfId="23700" xr:uid="{00000000-0005-0000-0000-0000945B0000}"/>
    <cellStyle name="Normal 278 3 6" xfId="23701" xr:uid="{00000000-0005-0000-0000-0000955B0000}"/>
    <cellStyle name="Normal 278 4" xfId="23702" xr:uid="{00000000-0005-0000-0000-0000965B0000}"/>
    <cellStyle name="Normal 278 4 2" xfId="23703" xr:uid="{00000000-0005-0000-0000-0000975B0000}"/>
    <cellStyle name="Normal 278 4 2 2" xfId="23704" xr:uid="{00000000-0005-0000-0000-0000985B0000}"/>
    <cellStyle name="Normal 278 4 3" xfId="23705" xr:uid="{00000000-0005-0000-0000-0000995B0000}"/>
    <cellStyle name="Normal 278 5" xfId="23706" xr:uid="{00000000-0005-0000-0000-00009A5B0000}"/>
    <cellStyle name="Normal 278 5 2" xfId="23707" xr:uid="{00000000-0005-0000-0000-00009B5B0000}"/>
    <cellStyle name="Normal 278 5 2 2" xfId="23708" xr:uid="{00000000-0005-0000-0000-00009C5B0000}"/>
    <cellStyle name="Normal 278 5 3" xfId="23709" xr:uid="{00000000-0005-0000-0000-00009D5B0000}"/>
    <cellStyle name="Normal 278 6" xfId="23710" xr:uid="{00000000-0005-0000-0000-00009E5B0000}"/>
    <cellStyle name="Normal 278 6 2" xfId="23711" xr:uid="{00000000-0005-0000-0000-00009F5B0000}"/>
    <cellStyle name="Normal 278 6 2 2" xfId="23712" xr:uid="{00000000-0005-0000-0000-0000A05B0000}"/>
    <cellStyle name="Normal 278 6 3" xfId="23713" xr:uid="{00000000-0005-0000-0000-0000A15B0000}"/>
    <cellStyle name="Normal 278 7" xfId="23714" xr:uid="{00000000-0005-0000-0000-0000A25B0000}"/>
    <cellStyle name="Normal 279" xfId="23715" xr:uid="{00000000-0005-0000-0000-0000A35B0000}"/>
    <cellStyle name="Normal 279 2" xfId="23716" xr:uid="{00000000-0005-0000-0000-0000A45B0000}"/>
    <cellStyle name="Normal 279 2 2" xfId="23717" xr:uid="{00000000-0005-0000-0000-0000A55B0000}"/>
    <cellStyle name="Normal 279 2 2 2" xfId="23718" xr:uid="{00000000-0005-0000-0000-0000A65B0000}"/>
    <cellStyle name="Normal 279 2 3" xfId="23719" xr:uid="{00000000-0005-0000-0000-0000A75B0000}"/>
    <cellStyle name="Normal 279 2 3 2" xfId="23720" xr:uid="{00000000-0005-0000-0000-0000A85B0000}"/>
    <cellStyle name="Normal 279 2 3 2 2" xfId="23721" xr:uid="{00000000-0005-0000-0000-0000A95B0000}"/>
    <cellStyle name="Normal 279 2 3 3" xfId="23722" xr:uid="{00000000-0005-0000-0000-0000AA5B0000}"/>
    <cellStyle name="Normal 279 2 4" xfId="23723" xr:uid="{00000000-0005-0000-0000-0000AB5B0000}"/>
    <cellStyle name="Normal 279 2 4 2" xfId="23724" xr:uid="{00000000-0005-0000-0000-0000AC5B0000}"/>
    <cellStyle name="Normal 279 2 4 2 2" xfId="23725" xr:uid="{00000000-0005-0000-0000-0000AD5B0000}"/>
    <cellStyle name="Normal 279 2 4 3" xfId="23726" xr:uid="{00000000-0005-0000-0000-0000AE5B0000}"/>
    <cellStyle name="Normal 279 2 5" xfId="23727" xr:uid="{00000000-0005-0000-0000-0000AF5B0000}"/>
    <cellStyle name="Normal 279 3" xfId="23728" xr:uid="{00000000-0005-0000-0000-0000B05B0000}"/>
    <cellStyle name="Normal 279 3 2" xfId="23729" xr:uid="{00000000-0005-0000-0000-0000B15B0000}"/>
    <cellStyle name="Normal 279 3 2 2" xfId="23730" xr:uid="{00000000-0005-0000-0000-0000B25B0000}"/>
    <cellStyle name="Normal 279 3 2 2 2" xfId="23731" xr:uid="{00000000-0005-0000-0000-0000B35B0000}"/>
    <cellStyle name="Normal 279 3 2 3" xfId="23732" xr:uid="{00000000-0005-0000-0000-0000B45B0000}"/>
    <cellStyle name="Normal 279 3 2 3 2" xfId="23733" xr:uid="{00000000-0005-0000-0000-0000B55B0000}"/>
    <cellStyle name="Normal 279 3 2 3 2 2" xfId="23734" xr:uid="{00000000-0005-0000-0000-0000B65B0000}"/>
    <cellStyle name="Normal 279 3 2 3 3" xfId="23735" xr:uid="{00000000-0005-0000-0000-0000B75B0000}"/>
    <cellStyle name="Normal 279 3 2 4" xfId="23736" xr:uid="{00000000-0005-0000-0000-0000B85B0000}"/>
    <cellStyle name="Normal 279 3 3" xfId="23737" xr:uid="{00000000-0005-0000-0000-0000B95B0000}"/>
    <cellStyle name="Normal 279 3 3 2" xfId="23738" xr:uid="{00000000-0005-0000-0000-0000BA5B0000}"/>
    <cellStyle name="Normal 279 3 3 2 2" xfId="23739" xr:uid="{00000000-0005-0000-0000-0000BB5B0000}"/>
    <cellStyle name="Normal 279 3 3 3" xfId="23740" xr:uid="{00000000-0005-0000-0000-0000BC5B0000}"/>
    <cellStyle name="Normal 279 3 4" xfId="23741" xr:uid="{00000000-0005-0000-0000-0000BD5B0000}"/>
    <cellStyle name="Normal 279 3 4 2" xfId="23742" xr:uid="{00000000-0005-0000-0000-0000BE5B0000}"/>
    <cellStyle name="Normal 279 3 4 2 2" xfId="23743" xr:uid="{00000000-0005-0000-0000-0000BF5B0000}"/>
    <cellStyle name="Normal 279 3 4 3" xfId="23744" xr:uid="{00000000-0005-0000-0000-0000C05B0000}"/>
    <cellStyle name="Normal 279 3 5" xfId="23745" xr:uid="{00000000-0005-0000-0000-0000C15B0000}"/>
    <cellStyle name="Normal 279 3 5 2" xfId="23746" xr:uid="{00000000-0005-0000-0000-0000C25B0000}"/>
    <cellStyle name="Normal 279 3 5 2 2" xfId="23747" xr:uid="{00000000-0005-0000-0000-0000C35B0000}"/>
    <cellStyle name="Normal 279 3 5 3" xfId="23748" xr:uid="{00000000-0005-0000-0000-0000C45B0000}"/>
    <cellStyle name="Normal 279 3 6" xfId="23749" xr:uid="{00000000-0005-0000-0000-0000C55B0000}"/>
    <cellStyle name="Normal 279 4" xfId="23750" xr:uid="{00000000-0005-0000-0000-0000C65B0000}"/>
    <cellStyle name="Normal 279 4 2" xfId="23751" xr:uid="{00000000-0005-0000-0000-0000C75B0000}"/>
    <cellStyle name="Normal 279 4 2 2" xfId="23752" xr:uid="{00000000-0005-0000-0000-0000C85B0000}"/>
    <cellStyle name="Normal 279 4 3" xfId="23753" xr:uid="{00000000-0005-0000-0000-0000C95B0000}"/>
    <cellStyle name="Normal 279 5" xfId="23754" xr:uid="{00000000-0005-0000-0000-0000CA5B0000}"/>
    <cellStyle name="Normal 279 5 2" xfId="23755" xr:uid="{00000000-0005-0000-0000-0000CB5B0000}"/>
    <cellStyle name="Normal 279 5 2 2" xfId="23756" xr:uid="{00000000-0005-0000-0000-0000CC5B0000}"/>
    <cellStyle name="Normal 279 5 3" xfId="23757" xr:uid="{00000000-0005-0000-0000-0000CD5B0000}"/>
    <cellStyle name="Normal 279 6" xfId="23758" xr:uid="{00000000-0005-0000-0000-0000CE5B0000}"/>
    <cellStyle name="Normal 279 6 2" xfId="23759" xr:uid="{00000000-0005-0000-0000-0000CF5B0000}"/>
    <cellStyle name="Normal 279 6 2 2" xfId="23760" xr:uid="{00000000-0005-0000-0000-0000D05B0000}"/>
    <cellStyle name="Normal 279 6 3" xfId="23761" xr:uid="{00000000-0005-0000-0000-0000D15B0000}"/>
    <cellStyle name="Normal 279 7" xfId="23762" xr:uid="{00000000-0005-0000-0000-0000D25B0000}"/>
    <cellStyle name="Normal 28" xfId="23763" xr:uid="{00000000-0005-0000-0000-0000D35B0000}"/>
    <cellStyle name="Normal 28 2" xfId="23764" xr:uid="{00000000-0005-0000-0000-0000D45B0000}"/>
    <cellStyle name="Normal 28 2 2" xfId="23765" xr:uid="{00000000-0005-0000-0000-0000D55B0000}"/>
    <cellStyle name="Normal 28 2 2 2" xfId="23766" xr:uid="{00000000-0005-0000-0000-0000D65B0000}"/>
    <cellStyle name="Normal 28 2 2 2 2" xfId="23767" xr:uid="{00000000-0005-0000-0000-0000D75B0000}"/>
    <cellStyle name="Normal 28 2 2 3" xfId="23768" xr:uid="{00000000-0005-0000-0000-0000D85B0000}"/>
    <cellStyle name="Normal 28 2 2 3 2" xfId="23769" xr:uid="{00000000-0005-0000-0000-0000D95B0000}"/>
    <cellStyle name="Normal 28 2 2 3 2 2" xfId="23770" xr:uid="{00000000-0005-0000-0000-0000DA5B0000}"/>
    <cellStyle name="Normal 28 2 2 3 3" xfId="23771" xr:uid="{00000000-0005-0000-0000-0000DB5B0000}"/>
    <cellStyle name="Normal 28 2 2 4" xfId="23772" xr:uid="{00000000-0005-0000-0000-0000DC5B0000}"/>
    <cellStyle name="Normal 28 2 2 4 2" xfId="23773" xr:uid="{00000000-0005-0000-0000-0000DD5B0000}"/>
    <cellStyle name="Normal 28 2 2 4 2 2" xfId="23774" xr:uid="{00000000-0005-0000-0000-0000DE5B0000}"/>
    <cellStyle name="Normal 28 2 2 4 3" xfId="23775" xr:uid="{00000000-0005-0000-0000-0000DF5B0000}"/>
    <cellStyle name="Normal 28 2 2 5" xfId="23776" xr:uid="{00000000-0005-0000-0000-0000E05B0000}"/>
    <cellStyle name="Normal 28 2 3" xfId="23777" xr:uid="{00000000-0005-0000-0000-0000E15B0000}"/>
    <cellStyle name="Normal 28 2 3 2" xfId="23778" xr:uid="{00000000-0005-0000-0000-0000E25B0000}"/>
    <cellStyle name="Normal 28 2 3 2 2" xfId="23779" xr:uid="{00000000-0005-0000-0000-0000E35B0000}"/>
    <cellStyle name="Normal 28 2 3 3" xfId="23780" xr:uid="{00000000-0005-0000-0000-0000E45B0000}"/>
    <cellStyle name="Normal 28 2 4" xfId="23781" xr:uid="{00000000-0005-0000-0000-0000E55B0000}"/>
    <cellStyle name="Normal 28 2 4 2" xfId="23782" xr:uid="{00000000-0005-0000-0000-0000E65B0000}"/>
    <cellStyle name="Normal 28 2 4 2 2" xfId="23783" xr:uid="{00000000-0005-0000-0000-0000E75B0000}"/>
    <cellStyle name="Normal 28 2 4 3" xfId="23784" xr:uid="{00000000-0005-0000-0000-0000E85B0000}"/>
    <cellStyle name="Normal 28 2 5" xfId="23785" xr:uid="{00000000-0005-0000-0000-0000E95B0000}"/>
    <cellStyle name="Normal 28 2 5 2" xfId="23786" xr:uid="{00000000-0005-0000-0000-0000EA5B0000}"/>
    <cellStyle name="Normal 28 2 5 2 2" xfId="23787" xr:uid="{00000000-0005-0000-0000-0000EB5B0000}"/>
    <cellStyle name="Normal 28 2 5 3" xfId="23788" xr:uid="{00000000-0005-0000-0000-0000EC5B0000}"/>
    <cellStyle name="Normal 28 2 6" xfId="23789" xr:uid="{00000000-0005-0000-0000-0000ED5B0000}"/>
    <cellStyle name="Normal 28 3" xfId="23790" xr:uid="{00000000-0005-0000-0000-0000EE5B0000}"/>
    <cellStyle name="Normal 28 3 2" xfId="23791" xr:uid="{00000000-0005-0000-0000-0000EF5B0000}"/>
    <cellStyle name="Normal 28 3 2 2" xfId="23792" xr:uid="{00000000-0005-0000-0000-0000F05B0000}"/>
    <cellStyle name="Normal 28 3 3" xfId="23793" xr:uid="{00000000-0005-0000-0000-0000F15B0000}"/>
    <cellStyle name="Normal 28 3 3 2" xfId="23794" xr:uid="{00000000-0005-0000-0000-0000F25B0000}"/>
    <cellStyle name="Normal 28 3 3 2 2" xfId="23795" xr:uid="{00000000-0005-0000-0000-0000F35B0000}"/>
    <cellStyle name="Normal 28 3 3 3" xfId="23796" xr:uid="{00000000-0005-0000-0000-0000F45B0000}"/>
    <cellStyle name="Normal 28 3 4" xfId="23797" xr:uid="{00000000-0005-0000-0000-0000F55B0000}"/>
    <cellStyle name="Normal 28 3 4 2" xfId="23798" xr:uid="{00000000-0005-0000-0000-0000F65B0000}"/>
    <cellStyle name="Normal 28 3 4 2 2" xfId="23799" xr:uid="{00000000-0005-0000-0000-0000F75B0000}"/>
    <cellStyle name="Normal 28 3 4 3" xfId="23800" xr:uid="{00000000-0005-0000-0000-0000F85B0000}"/>
    <cellStyle name="Normal 28 3 5" xfId="23801" xr:uid="{00000000-0005-0000-0000-0000F95B0000}"/>
    <cellStyle name="Normal 28 4" xfId="23802" xr:uid="{00000000-0005-0000-0000-0000FA5B0000}"/>
    <cellStyle name="Normal 28 4 2" xfId="23803" xr:uid="{00000000-0005-0000-0000-0000FB5B0000}"/>
    <cellStyle name="Normal 28 4 2 2" xfId="23804" xr:uid="{00000000-0005-0000-0000-0000FC5B0000}"/>
    <cellStyle name="Normal 28 4 3" xfId="23805" xr:uid="{00000000-0005-0000-0000-0000FD5B0000}"/>
    <cellStyle name="Normal 28 4 3 2" xfId="23806" xr:uid="{00000000-0005-0000-0000-0000FE5B0000}"/>
    <cellStyle name="Normal 28 4 3 2 2" xfId="23807" xr:uid="{00000000-0005-0000-0000-0000FF5B0000}"/>
    <cellStyle name="Normal 28 4 3 3" xfId="23808" xr:uid="{00000000-0005-0000-0000-0000005C0000}"/>
    <cellStyle name="Normal 28 4 4" xfId="23809" xr:uid="{00000000-0005-0000-0000-0000015C0000}"/>
    <cellStyle name="Normal 28 4 4 2" xfId="23810" xr:uid="{00000000-0005-0000-0000-0000025C0000}"/>
    <cellStyle name="Normal 28 4 4 2 2" xfId="23811" xr:uid="{00000000-0005-0000-0000-0000035C0000}"/>
    <cellStyle name="Normal 28 4 4 3" xfId="23812" xr:uid="{00000000-0005-0000-0000-0000045C0000}"/>
    <cellStyle name="Normal 28 4 5" xfId="23813" xr:uid="{00000000-0005-0000-0000-0000055C0000}"/>
    <cellStyle name="Normal 28 5" xfId="23814" xr:uid="{00000000-0005-0000-0000-0000065C0000}"/>
    <cellStyle name="Normal 28 5 2" xfId="23815" xr:uid="{00000000-0005-0000-0000-0000075C0000}"/>
    <cellStyle name="Normal 28 5 2 2" xfId="23816" xr:uid="{00000000-0005-0000-0000-0000085C0000}"/>
    <cellStyle name="Normal 28 5 3" xfId="23817" xr:uid="{00000000-0005-0000-0000-0000095C0000}"/>
    <cellStyle name="Normal 28 6" xfId="23818" xr:uid="{00000000-0005-0000-0000-00000A5C0000}"/>
    <cellStyle name="Normal 28 6 2" xfId="23819" xr:uid="{00000000-0005-0000-0000-00000B5C0000}"/>
    <cellStyle name="Normal 28 6 2 2" xfId="23820" xr:uid="{00000000-0005-0000-0000-00000C5C0000}"/>
    <cellStyle name="Normal 28 6 3" xfId="23821" xr:uid="{00000000-0005-0000-0000-00000D5C0000}"/>
    <cellStyle name="Normal 28 7" xfId="23822" xr:uid="{00000000-0005-0000-0000-00000E5C0000}"/>
    <cellStyle name="Normal 28 7 2" xfId="23823" xr:uid="{00000000-0005-0000-0000-00000F5C0000}"/>
    <cellStyle name="Normal 28 7 2 2" xfId="23824" xr:uid="{00000000-0005-0000-0000-0000105C0000}"/>
    <cellStyle name="Normal 28 7 3" xfId="23825" xr:uid="{00000000-0005-0000-0000-0000115C0000}"/>
    <cellStyle name="Normal 28 8" xfId="23826" xr:uid="{00000000-0005-0000-0000-0000125C0000}"/>
    <cellStyle name="Normal 280" xfId="23827" xr:uid="{00000000-0005-0000-0000-0000135C0000}"/>
    <cellStyle name="Normal 280 2" xfId="23828" xr:uid="{00000000-0005-0000-0000-0000145C0000}"/>
    <cellStyle name="Normal 280 2 2" xfId="23829" xr:uid="{00000000-0005-0000-0000-0000155C0000}"/>
    <cellStyle name="Normal 280 2 2 2" xfId="23830" xr:uid="{00000000-0005-0000-0000-0000165C0000}"/>
    <cellStyle name="Normal 280 2 3" xfId="23831" xr:uid="{00000000-0005-0000-0000-0000175C0000}"/>
    <cellStyle name="Normal 280 2 3 2" xfId="23832" xr:uid="{00000000-0005-0000-0000-0000185C0000}"/>
    <cellStyle name="Normal 280 2 3 2 2" xfId="23833" xr:uid="{00000000-0005-0000-0000-0000195C0000}"/>
    <cellStyle name="Normal 280 2 3 3" xfId="23834" xr:uid="{00000000-0005-0000-0000-00001A5C0000}"/>
    <cellStyle name="Normal 280 2 4" xfId="23835" xr:uid="{00000000-0005-0000-0000-00001B5C0000}"/>
    <cellStyle name="Normal 280 2 4 2" xfId="23836" xr:uid="{00000000-0005-0000-0000-00001C5C0000}"/>
    <cellStyle name="Normal 280 2 4 2 2" xfId="23837" xr:uid="{00000000-0005-0000-0000-00001D5C0000}"/>
    <cellStyle name="Normal 280 2 4 3" xfId="23838" xr:uid="{00000000-0005-0000-0000-00001E5C0000}"/>
    <cellStyle name="Normal 280 2 5" xfId="23839" xr:uid="{00000000-0005-0000-0000-00001F5C0000}"/>
    <cellStyle name="Normal 280 3" xfId="23840" xr:uid="{00000000-0005-0000-0000-0000205C0000}"/>
    <cellStyle name="Normal 280 3 2" xfId="23841" xr:uid="{00000000-0005-0000-0000-0000215C0000}"/>
    <cellStyle name="Normal 280 3 2 2" xfId="23842" xr:uid="{00000000-0005-0000-0000-0000225C0000}"/>
    <cellStyle name="Normal 280 3 2 2 2" xfId="23843" xr:uid="{00000000-0005-0000-0000-0000235C0000}"/>
    <cellStyle name="Normal 280 3 2 3" xfId="23844" xr:uid="{00000000-0005-0000-0000-0000245C0000}"/>
    <cellStyle name="Normal 280 3 2 3 2" xfId="23845" xr:uid="{00000000-0005-0000-0000-0000255C0000}"/>
    <cellStyle name="Normal 280 3 2 3 2 2" xfId="23846" xr:uid="{00000000-0005-0000-0000-0000265C0000}"/>
    <cellStyle name="Normal 280 3 2 3 3" xfId="23847" xr:uid="{00000000-0005-0000-0000-0000275C0000}"/>
    <cellStyle name="Normal 280 3 2 4" xfId="23848" xr:uid="{00000000-0005-0000-0000-0000285C0000}"/>
    <cellStyle name="Normal 280 3 3" xfId="23849" xr:uid="{00000000-0005-0000-0000-0000295C0000}"/>
    <cellStyle name="Normal 280 3 3 2" xfId="23850" xr:uid="{00000000-0005-0000-0000-00002A5C0000}"/>
    <cellStyle name="Normal 280 3 3 2 2" xfId="23851" xr:uid="{00000000-0005-0000-0000-00002B5C0000}"/>
    <cellStyle name="Normal 280 3 3 3" xfId="23852" xr:uid="{00000000-0005-0000-0000-00002C5C0000}"/>
    <cellStyle name="Normal 280 3 4" xfId="23853" xr:uid="{00000000-0005-0000-0000-00002D5C0000}"/>
    <cellStyle name="Normal 280 3 4 2" xfId="23854" xr:uid="{00000000-0005-0000-0000-00002E5C0000}"/>
    <cellStyle name="Normal 280 3 4 2 2" xfId="23855" xr:uid="{00000000-0005-0000-0000-00002F5C0000}"/>
    <cellStyle name="Normal 280 3 4 3" xfId="23856" xr:uid="{00000000-0005-0000-0000-0000305C0000}"/>
    <cellStyle name="Normal 280 3 5" xfId="23857" xr:uid="{00000000-0005-0000-0000-0000315C0000}"/>
    <cellStyle name="Normal 280 3 5 2" xfId="23858" xr:uid="{00000000-0005-0000-0000-0000325C0000}"/>
    <cellStyle name="Normal 280 3 5 2 2" xfId="23859" xr:uid="{00000000-0005-0000-0000-0000335C0000}"/>
    <cellStyle name="Normal 280 3 5 3" xfId="23860" xr:uid="{00000000-0005-0000-0000-0000345C0000}"/>
    <cellStyle name="Normal 280 3 6" xfId="23861" xr:uid="{00000000-0005-0000-0000-0000355C0000}"/>
    <cellStyle name="Normal 280 4" xfId="23862" xr:uid="{00000000-0005-0000-0000-0000365C0000}"/>
    <cellStyle name="Normal 280 4 2" xfId="23863" xr:uid="{00000000-0005-0000-0000-0000375C0000}"/>
    <cellStyle name="Normal 280 4 2 2" xfId="23864" xr:uid="{00000000-0005-0000-0000-0000385C0000}"/>
    <cellStyle name="Normal 280 4 3" xfId="23865" xr:uid="{00000000-0005-0000-0000-0000395C0000}"/>
    <cellStyle name="Normal 280 5" xfId="23866" xr:uid="{00000000-0005-0000-0000-00003A5C0000}"/>
    <cellStyle name="Normal 280 5 2" xfId="23867" xr:uid="{00000000-0005-0000-0000-00003B5C0000}"/>
    <cellStyle name="Normal 280 5 2 2" xfId="23868" xr:uid="{00000000-0005-0000-0000-00003C5C0000}"/>
    <cellStyle name="Normal 280 5 3" xfId="23869" xr:uid="{00000000-0005-0000-0000-00003D5C0000}"/>
    <cellStyle name="Normal 280 6" xfId="23870" xr:uid="{00000000-0005-0000-0000-00003E5C0000}"/>
    <cellStyle name="Normal 280 6 2" xfId="23871" xr:uid="{00000000-0005-0000-0000-00003F5C0000}"/>
    <cellStyle name="Normal 280 6 2 2" xfId="23872" xr:uid="{00000000-0005-0000-0000-0000405C0000}"/>
    <cellStyle name="Normal 280 6 3" xfId="23873" xr:uid="{00000000-0005-0000-0000-0000415C0000}"/>
    <cellStyle name="Normal 280 7" xfId="23874" xr:uid="{00000000-0005-0000-0000-0000425C0000}"/>
    <cellStyle name="Normal 281" xfId="23875" xr:uid="{00000000-0005-0000-0000-0000435C0000}"/>
    <cellStyle name="Normal 281 2" xfId="23876" xr:uid="{00000000-0005-0000-0000-0000445C0000}"/>
    <cellStyle name="Normal 281 2 2" xfId="23877" xr:uid="{00000000-0005-0000-0000-0000455C0000}"/>
    <cellStyle name="Normal 281 2 2 2" xfId="23878" xr:uid="{00000000-0005-0000-0000-0000465C0000}"/>
    <cellStyle name="Normal 281 2 3" xfId="23879" xr:uid="{00000000-0005-0000-0000-0000475C0000}"/>
    <cellStyle name="Normal 281 2 3 2" xfId="23880" xr:uid="{00000000-0005-0000-0000-0000485C0000}"/>
    <cellStyle name="Normal 281 2 3 2 2" xfId="23881" xr:uid="{00000000-0005-0000-0000-0000495C0000}"/>
    <cellStyle name="Normal 281 2 3 3" xfId="23882" xr:uid="{00000000-0005-0000-0000-00004A5C0000}"/>
    <cellStyle name="Normal 281 2 4" xfId="23883" xr:uid="{00000000-0005-0000-0000-00004B5C0000}"/>
    <cellStyle name="Normal 281 2 4 2" xfId="23884" xr:uid="{00000000-0005-0000-0000-00004C5C0000}"/>
    <cellStyle name="Normal 281 2 4 2 2" xfId="23885" xr:uid="{00000000-0005-0000-0000-00004D5C0000}"/>
    <cellStyle name="Normal 281 2 4 3" xfId="23886" xr:uid="{00000000-0005-0000-0000-00004E5C0000}"/>
    <cellStyle name="Normal 281 2 5" xfId="23887" xr:uid="{00000000-0005-0000-0000-00004F5C0000}"/>
    <cellStyle name="Normal 281 3" xfId="23888" xr:uid="{00000000-0005-0000-0000-0000505C0000}"/>
    <cellStyle name="Normal 281 3 2" xfId="23889" xr:uid="{00000000-0005-0000-0000-0000515C0000}"/>
    <cellStyle name="Normal 281 3 2 2" xfId="23890" xr:uid="{00000000-0005-0000-0000-0000525C0000}"/>
    <cellStyle name="Normal 281 3 2 2 2" xfId="23891" xr:uid="{00000000-0005-0000-0000-0000535C0000}"/>
    <cellStyle name="Normal 281 3 2 3" xfId="23892" xr:uid="{00000000-0005-0000-0000-0000545C0000}"/>
    <cellStyle name="Normal 281 3 2 3 2" xfId="23893" xr:uid="{00000000-0005-0000-0000-0000555C0000}"/>
    <cellStyle name="Normal 281 3 2 3 2 2" xfId="23894" xr:uid="{00000000-0005-0000-0000-0000565C0000}"/>
    <cellStyle name="Normal 281 3 2 3 3" xfId="23895" xr:uid="{00000000-0005-0000-0000-0000575C0000}"/>
    <cellStyle name="Normal 281 3 2 4" xfId="23896" xr:uid="{00000000-0005-0000-0000-0000585C0000}"/>
    <cellStyle name="Normal 281 3 3" xfId="23897" xr:uid="{00000000-0005-0000-0000-0000595C0000}"/>
    <cellStyle name="Normal 281 3 3 2" xfId="23898" xr:uid="{00000000-0005-0000-0000-00005A5C0000}"/>
    <cellStyle name="Normal 281 3 3 2 2" xfId="23899" xr:uid="{00000000-0005-0000-0000-00005B5C0000}"/>
    <cellStyle name="Normal 281 3 3 3" xfId="23900" xr:uid="{00000000-0005-0000-0000-00005C5C0000}"/>
    <cellStyle name="Normal 281 3 4" xfId="23901" xr:uid="{00000000-0005-0000-0000-00005D5C0000}"/>
    <cellStyle name="Normal 281 3 4 2" xfId="23902" xr:uid="{00000000-0005-0000-0000-00005E5C0000}"/>
    <cellStyle name="Normal 281 3 4 2 2" xfId="23903" xr:uid="{00000000-0005-0000-0000-00005F5C0000}"/>
    <cellStyle name="Normal 281 3 4 3" xfId="23904" xr:uid="{00000000-0005-0000-0000-0000605C0000}"/>
    <cellStyle name="Normal 281 3 5" xfId="23905" xr:uid="{00000000-0005-0000-0000-0000615C0000}"/>
    <cellStyle name="Normal 281 3 5 2" xfId="23906" xr:uid="{00000000-0005-0000-0000-0000625C0000}"/>
    <cellStyle name="Normal 281 3 5 2 2" xfId="23907" xr:uid="{00000000-0005-0000-0000-0000635C0000}"/>
    <cellStyle name="Normal 281 3 5 3" xfId="23908" xr:uid="{00000000-0005-0000-0000-0000645C0000}"/>
    <cellStyle name="Normal 281 3 6" xfId="23909" xr:uid="{00000000-0005-0000-0000-0000655C0000}"/>
    <cellStyle name="Normal 281 4" xfId="23910" xr:uid="{00000000-0005-0000-0000-0000665C0000}"/>
    <cellStyle name="Normal 281 4 2" xfId="23911" xr:uid="{00000000-0005-0000-0000-0000675C0000}"/>
    <cellStyle name="Normal 281 4 2 2" xfId="23912" xr:uid="{00000000-0005-0000-0000-0000685C0000}"/>
    <cellStyle name="Normal 281 4 3" xfId="23913" xr:uid="{00000000-0005-0000-0000-0000695C0000}"/>
    <cellStyle name="Normal 281 5" xfId="23914" xr:uid="{00000000-0005-0000-0000-00006A5C0000}"/>
    <cellStyle name="Normal 281 5 2" xfId="23915" xr:uid="{00000000-0005-0000-0000-00006B5C0000}"/>
    <cellStyle name="Normal 281 5 2 2" xfId="23916" xr:uid="{00000000-0005-0000-0000-00006C5C0000}"/>
    <cellStyle name="Normal 281 5 3" xfId="23917" xr:uid="{00000000-0005-0000-0000-00006D5C0000}"/>
    <cellStyle name="Normal 281 6" xfId="23918" xr:uid="{00000000-0005-0000-0000-00006E5C0000}"/>
    <cellStyle name="Normal 281 6 2" xfId="23919" xr:uid="{00000000-0005-0000-0000-00006F5C0000}"/>
    <cellStyle name="Normal 281 6 2 2" xfId="23920" xr:uid="{00000000-0005-0000-0000-0000705C0000}"/>
    <cellStyle name="Normal 281 6 3" xfId="23921" xr:uid="{00000000-0005-0000-0000-0000715C0000}"/>
    <cellStyle name="Normal 281 7" xfId="23922" xr:uid="{00000000-0005-0000-0000-0000725C0000}"/>
    <cellStyle name="Normal 282" xfId="23923" xr:uid="{00000000-0005-0000-0000-0000735C0000}"/>
    <cellStyle name="Normal 282 2" xfId="23924" xr:uid="{00000000-0005-0000-0000-0000745C0000}"/>
    <cellStyle name="Normal 282 2 2" xfId="23925" xr:uid="{00000000-0005-0000-0000-0000755C0000}"/>
    <cellStyle name="Normal 282 2 2 2" xfId="23926" xr:uid="{00000000-0005-0000-0000-0000765C0000}"/>
    <cellStyle name="Normal 282 2 3" xfId="23927" xr:uid="{00000000-0005-0000-0000-0000775C0000}"/>
    <cellStyle name="Normal 282 2 3 2" xfId="23928" xr:uid="{00000000-0005-0000-0000-0000785C0000}"/>
    <cellStyle name="Normal 282 2 3 2 2" xfId="23929" xr:uid="{00000000-0005-0000-0000-0000795C0000}"/>
    <cellStyle name="Normal 282 2 3 3" xfId="23930" xr:uid="{00000000-0005-0000-0000-00007A5C0000}"/>
    <cellStyle name="Normal 282 2 4" xfId="23931" xr:uid="{00000000-0005-0000-0000-00007B5C0000}"/>
    <cellStyle name="Normal 282 2 4 2" xfId="23932" xr:uid="{00000000-0005-0000-0000-00007C5C0000}"/>
    <cellStyle name="Normal 282 2 4 2 2" xfId="23933" xr:uid="{00000000-0005-0000-0000-00007D5C0000}"/>
    <cellStyle name="Normal 282 2 4 3" xfId="23934" xr:uid="{00000000-0005-0000-0000-00007E5C0000}"/>
    <cellStyle name="Normal 282 2 5" xfId="23935" xr:uid="{00000000-0005-0000-0000-00007F5C0000}"/>
    <cellStyle name="Normal 282 3" xfId="23936" xr:uid="{00000000-0005-0000-0000-0000805C0000}"/>
    <cellStyle name="Normal 282 3 2" xfId="23937" xr:uid="{00000000-0005-0000-0000-0000815C0000}"/>
    <cellStyle name="Normal 282 3 2 2" xfId="23938" xr:uid="{00000000-0005-0000-0000-0000825C0000}"/>
    <cellStyle name="Normal 282 3 2 2 2" xfId="23939" xr:uid="{00000000-0005-0000-0000-0000835C0000}"/>
    <cellStyle name="Normal 282 3 2 3" xfId="23940" xr:uid="{00000000-0005-0000-0000-0000845C0000}"/>
    <cellStyle name="Normal 282 3 2 3 2" xfId="23941" xr:uid="{00000000-0005-0000-0000-0000855C0000}"/>
    <cellStyle name="Normal 282 3 2 3 2 2" xfId="23942" xr:uid="{00000000-0005-0000-0000-0000865C0000}"/>
    <cellStyle name="Normal 282 3 2 3 3" xfId="23943" xr:uid="{00000000-0005-0000-0000-0000875C0000}"/>
    <cellStyle name="Normal 282 3 2 4" xfId="23944" xr:uid="{00000000-0005-0000-0000-0000885C0000}"/>
    <cellStyle name="Normal 282 3 3" xfId="23945" xr:uid="{00000000-0005-0000-0000-0000895C0000}"/>
    <cellStyle name="Normal 282 3 3 2" xfId="23946" xr:uid="{00000000-0005-0000-0000-00008A5C0000}"/>
    <cellStyle name="Normal 282 3 3 2 2" xfId="23947" xr:uid="{00000000-0005-0000-0000-00008B5C0000}"/>
    <cellStyle name="Normal 282 3 3 3" xfId="23948" xr:uid="{00000000-0005-0000-0000-00008C5C0000}"/>
    <cellStyle name="Normal 282 3 4" xfId="23949" xr:uid="{00000000-0005-0000-0000-00008D5C0000}"/>
    <cellStyle name="Normal 282 3 4 2" xfId="23950" xr:uid="{00000000-0005-0000-0000-00008E5C0000}"/>
    <cellStyle name="Normal 282 3 4 2 2" xfId="23951" xr:uid="{00000000-0005-0000-0000-00008F5C0000}"/>
    <cellStyle name="Normal 282 3 4 3" xfId="23952" xr:uid="{00000000-0005-0000-0000-0000905C0000}"/>
    <cellStyle name="Normal 282 3 5" xfId="23953" xr:uid="{00000000-0005-0000-0000-0000915C0000}"/>
    <cellStyle name="Normal 282 3 5 2" xfId="23954" xr:uid="{00000000-0005-0000-0000-0000925C0000}"/>
    <cellStyle name="Normal 282 3 5 2 2" xfId="23955" xr:uid="{00000000-0005-0000-0000-0000935C0000}"/>
    <cellStyle name="Normal 282 3 5 3" xfId="23956" xr:uid="{00000000-0005-0000-0000-0000945C0000}"/>
    <cellStyle name="Normal 282 3 6" xfId="23957" xr:uid="{00000000-0005-0000-0000-0000955C0000}"/>
    <cellStyle name="Normal 282 4" xfId="23958" xr:uid="{00000000-0005-0000-0000-0000965C0000}"/>
    <cellStyle name="Normal 282 4 2" xfId="23959" xr:uid="{00000000-0005-0000-0000-0000975C0000}"/>
    <cellStyle name="Normal 282 4 2 2" xfId="23960" xr:uid="{00000000-0005-0000-0000-0000985C0000}"/>
    <cellStyle name="Normal 282 4 3" xfId="23961" xr:uid="{00000000-0005-0000-0000-0000995C0000}"/>
    <cellStyle name="Normal 282 5" xfId="23962" xr:uid="{00000000-0005-0000-0000-00009A5C0000}"/>
    <cellStyle name="Normal 282 5 2" xfId="23963" xr:uid="{00000000-0005-0000-0000-00009B5C0000}"/>
    <cellStyle name="Normal 282 5 2 2" xfId="23964" xr:uid="{00000000-0005-0000-0000-00009C5C0000}"/>
    <cellStyle name="Normal 282 5 3" xfId="23965" xr:uid="{00000000-0005-0000-0000-00009D5C0000}"/>
    <cellStyle name="Normal 282 6" xfId="23966" xr:uid="{00000000-0005-0000-0000-00009E5C0000}"/>
    <cellStyle name="Normal 282 6 2" xfId="23967" xr:uid="{00000000-0005-0000-0000-00009F5C0000}"/>
    <cellStyle name="Normal 282 6 2 2" xfId="23968" xr:uid="{00000000-0005-0000-0000-0000A05C0000}"/>
    <cellStyle name="Normal 282 6 3" xfId="23969" xr:uid="{00000000-0005-0000-0000-0000A15C0000}"/>
    <cellStyle name="Normal 282 7" xfId="23970" xr:uid="{00000000-0005-0000-0000-0000A25C0000}"/>
    <cellStyle name="Normal 283" xfId="23971" xr:uid="{00000000-0005-0000-0000-0000A35C0000}"/>
    <cellStyle name="Normal 283 2" xfId="23972" xr:uid="{00000000-0005-0000-0000-0000A45C0000}"/>
    <cellStyle name="Normal 283 2 2" xfId="23973" xr:uid="{00000000-0005-0000-0000-0000A55C0000}"/>
    <cellStyle name="Normal 283 2 2 2" xfId="23974" xr:uid="{00000000-0005-0000-0000-0000A65C0000}"/>
    <cellStyle name="Normal 283 2 3" xfId="23975" xr:uid="{00000000-0005-0000-0000-0000A75C0000}"/>
    <cellStyle name="Normal 283 2 3 2" xfId="23976" xr:uid="{00000000-0005-0000-0000-0000A85C0000}"/>
    <cellStyle name="Normal 283 2 3 2 2" xfId="23977" xr:uid="{00000000-0005-0000-0000-0000A95C0000}"/>
    <cellStyle name="Normal 283 2 3 3" xfId="23978" xr:uid="{00000000-0005-0000-0000-0000AA5C0000}"/>
    <cellStyle name="Normal 283 2 4" xfId="23979" xr:uid="{00000000-0005-0000-0000-0000AB5C0000}"/>
    <cellStyle name="Normal 283 2 4 2" xfId="23980" xr:uid="{00000000-0005-0000-0000-0000AC5C0000}"/>
    <cellStyle name="Normal 283 2 4 2 2" xfId="23981" xr:uid="{00000000-0005-0000-0000-0000AD5C0000}"/>
    <cellStyle name="Normal 283 2 4 3" xfId="23982" xr:uid="{00000000-0005-0000-0000-0000AE5C0000}"/>
    <cellStyle name="Normal 283 2 5" xfId="23983" xr:uid="{00000000-0005-0000-0000-0000AF5C0000}"/>
    <cellStyle name="Normal 283 3" xfId="23984" xr:uid="{00000000-0005-0000-0000-0000B05C0000}"/>
    <cellStyle name="Normal 283 3 2" xfId="23985" xr:uid="{00000000-0005-0000-0000-0000B15C0000}"/>
    <cellStyle name="Normal 283 3 2 2" xfId="23986" xr:uid="{00000000-0005-0000-0000-0000B25C0000}"/>
    <cellStyle name="Normal 283 3 2 2 2" xfId="23987" xr:uid="{00000000-0005-0000-0000-0000B35C0000}"/>
    <cellStyle name="Normal 283 3 2 3" xfId="23988" xr:uid="{00000000-0005-0000-0000-0000B45C0000}"/>
    <cellStyle name="Normal 283 3 2 3 2" xfId="23989" xr:uid="{00000000-0005-0000-0000-0000B55C0000}"/>
    <cellStyle name="Normal 283 3 2 3 2 2" xfId="23990" xr:uid="{00000000-0005-0000-0000-0000B65C0000}"/>
    <cellStyle name="Normal 283 3 2 3 3" xfId="23991" xr:uid="{00000000-0005-0000-0000-0000B75C0000}"/>
    <cellStyle name="Normal 283 3 2 4" xfId="23992" xr:uid="{00000000-0005-0000-0000-0000B85C0000}"/>
    <cellStyle name="Normal 283 3 3" xfId="23993" xr:uid="{00000000-0005-0000-0000-0000B95C0000}"/>
    <cellStyle name="Normal 283 3 3 2" xfId="23994" xr:uid="{00000000-0005-0000-0000-0000BA5C0000}"/>
    <cellStyle name="Normal 283 3 3 2 2" xfId="23995" xr:uid="{00000000-0005-0000-0000-0000BB5C0000}"/>
    <cellStyle name="Normal 283 3 3 3" xfId="23996" xr:uid="{00000000-0005-0000-0000-0000BC5C0000}"/>
    <cellStyle name="Normal 283 3 4" xfId="23997" xr:uid="{00000000-0005-0000-0000-0000BD5C0000}"/>
    <cellStyle name="Normal 283 3 4 2" xfId="23998" xr:uid="{00000000-0005-0000-0000-0000BE5C0000}"/>
    <cellStyle name="Normal 283 3 4 2 2" xfId="23999" xr:uid="{00000000-0005-0000-0000-0000BF5C0000}"/>
    <cellStyle name="Normal 283 3 4 3" xfId="24000" xr:uid="{00000000-0005-0000-0000-0000C05C0000}"/>
    <cellStyle name="Normal 283 3 5" xfId="24001" xr:uid="{00000000-0005-0000-0000-0000C15C0000}"/>
    <cellStyle name="Normal 283 3 5 2" xfId="24002" xr:uid="{00000000-0005-0000-0000-0000C25C0000}"/>
    <cellStyle name="Normal 283 3 5 2 2" xfId="24003" xr:uid="{00000000-0005-0000-0000-0000C35C0000}"/>
    <cellStyle name="Normal 283 3 5 3" xfId="24004" xr:uid="{00000000-0005-0000-0000-0000C45C0000}"/>
    <cellStyle name="Normal 283 3 6" xfId="24005" xr:uid="{00000000-0005-0000-0000-0000C55C0000}"/>
    <cellStyle name="Normal 283 4" xfId="24006" xr:uid="{00000000-0005-0000-0000-0000C65C0000}"/>
    <cellStyle name="Normal 283 4 2" xfId="24007" xr:uid="{00000000-0005-0000-0000-0000C75C0000}"/>
    <cellStyle name="Normal 283 4 2 2" xfId="24008" xr:uid="{00000000-0005-0000-0000-0000C85C0000}"/>
    <cellStyle name="Normal 283 4 3" xfId="24009" xr:uid="{00000000-0005-0000-0000-0000C95C0000}"/>
    <cellStyle name="Normal 283 5" xfId="24010" xr:uid="{00000000-0005-0000-0000-0000CA5C0000}"/>
    <cellStyle name="Normal 283 5 2" xfId="24011" xr:uid="{00000000-0005-0000-0000-0000CB5C0000}"/>
    <cellStyle name="Normal 283 5 2 2" xfId="24012" xr:uid="{00000000-0005-0000-0000-0000CC5C0000}"/>
    <cellStyle name="Normal 283 5 3" xfId="24013" xr:uid="{00000000-0005-0000-0000-0000CD5C0000}"/>
    <cellStyle name="Normal 283 6" xfId="24014" xr:uid="{00000000-0005-0000-0000-0000CE5C0000}"/>
    <cellStyle name="Normal 283 6 2" xfId="24015" xr:uid="{00000000-0005-0000-0000-0000CF5C0000}"/>
    <cellStyle name="Normal 283 6 2 2" xfId="24016" xr:uid="{00000000-0005-0000-0000-0000D05C0000}"/>
    <cellStyle name="Normal 283 6 3" xfId="24017" xr:uid="{00000000-0005-0000-0000-0000D15C0000}"/>
    <cellStyle name="Normal 283 7" xfId="24018" xr:uid="{00000000-0005-0000-0000-0000D25C0000}"/>
    <cellStyle name="Normal 284" xfId="24019" xr:uid="{00000000-0005-0000-0000-0000D35C0000}"/>
    <cellStyle name="Normal 284 2" xfId="24020" xr:uid="{00000000-0005-0000-0000-0000D45C0000}"/>
    <cellStyle name="Normal 284 2 2" xfId="24021" xr:uid="{00000000-0005-0000-0000-0000D55C0000}"/>
    <cellStyle name="Normal 284 2 2 2" xfId="24022" xr:uid="{00000000-0005-0000-0000-0000D65C0000}"/>
    <cellStyle name="Normal 284 2 3" xfId="24023" xr:uid="{00000000-0005-0000-0000-0000D75C0000}"/>
    <cellStyle name="Normal 284 2 3 2" xfId="24024" xr:uid="{00000000-0005-0000-0000-0000D85C0000}"/>
    <cellStyle name="Normal 284 2 3 2 2" xfId="24025" xr:uid="{00000000-0005-0000-0000-0000D95C0000}"/>
    <cellStyle name="Normal 284 2 3 3" xfId="24026" xr:uid="{00000000-0005-0000-0000-0000DA5C0000}"/>
    <cellStyle name="Normal 284 2 4" xfId="24027" xr:uid="{00000000-0005-0000-0000-0000DB5C0000}"/>
    <cellStyle name="Normal 284 2 4 2" xfId="24028" xr:uid="{00000000-0005-0000-0000-0000DC5C0000}"/>
    <cellStyle name="Normal 284 2 4 2 2" xfId="24029" xr:uid="{00000000-0005-0000-0000-0000DD5C0000}"/>
    <cellStyle name="Normal 284 2 4 3" xfId="24030" xr:uid="{00000000-0005-0000-0000-0000DE5C0000}"/>
    <cellStyle name="Normal 284 2 5" xfId="24031" xr:uid="{00000000-0005-0000-0000-0000DF5C0000}"/>
    <cellStyle name="Normal 284 3" xfId="24032" xr:uid="{00000000-0005-0000-0000-0000E05C0000}"/>
    <cellStyle name="Normal 284 3 2" xfId="24033" xr:uid="{00000000-0005-0000-0000-0000E15C0000}"/>
    <cellStyle name="Normal 284 3 2 2" xfId="24034" xr:uid="{00000000-0005-0000-0000-0000E25C0000}"/>
    <cellStyle name="Normal 284 3 2 2 2" xfId="24035" xr:uid="{00000000-0005-0000-0000-0000E35C0000}"/>
    <cellStyle name="Normal 284 3 2 3" xfId="24036" xr:uid="{00000000-0005-0000-0000-0000E45C0000}"/>
    <cellStyle name="Normal 284 3 2 3 2" xfId="24037" xr:uid="{00000000-0005-0000-0000-0000E55C0000}"/>
    <cellStyle name="Normal 284 3 2 3 2 2" xfId="24038" xr:uid="{00000000-0005-0000-0000-0000E65C0000}"/>
    <cellStyle name="Normal 284 3 2 3 3" xfId="24039" xr:uid="{00000000-0005-0000-0000-0000E75C0000}"/>
    <cellStyle name="Normal 284 3 2 4" xfId="24040" xr:uid="{00000000-0005-0000-0000-0000E85C0000}"/>
    <cellStyle name="Normal 284 3 3" xfId="24041" xr:uid="{00000000-0005-0000-0000-0000E95C0000}"/>
    <cellStyle name="Normal 284 3 3 2" xfId="24042" xr:uid="{00000000-0005-0000-0000-0000EA5C0000}"/>
    <cellStyle name="Normal 284 3 3 2 2" xfId="24043" xr:uid="{00000000-0005-0000-0000-0000EB5C0000}"/>
    <cellStyle name="Normal 284 3 3 3" xfId="24044" xr:uid="{00000000-0005-0000-0000-0000EC5C0000}"/>
    <cellStyle name="Normal 284 3 4" xfId="24045" xr:uid="{00000000-0005-0000-0000-0000ED5C0000}"/>
    <cellStyle name="Normal 284 3 4 2" xfId="24046" xr:uid="{00000000-0005-0000-0000-0000EE5C0000}"/>
    <cellStyle name="Normal 284 3 4 2 2" xfId="24047" xr:uid="{00000000-0005-0000-0000-0000EF5C0000}"/>
    <cellStyle name="Normal 284 3 4 3" xfId="24048" xr:uid="{00000000-0005-0000-0000-0000F05C0000}"/>
    <cellStyle name="Normal 284 3 5" xfId="24049" xr:uid="{00000000-0005-0000-0000-0000F15C0000}"/>
    <cellStyle name="Normal 284 3 5 2" xfId="24050" xr:uid="{00000000-0005-0000-0000-0000F25C0000}"/>
    <cellStyle name="Normal 284 3 5 2 2" xfId="24051" xr:uid="{00000000-0005-0000-0000-0000F35C0000}"/>
    <cellStyle name="Normal 284 3 5 3" xfId="24052" xr:uid="{00000000-0005-0000-0000-0000F45C0000}"/>
    <cellStyle name="Normal 284 3 6" xfId="24053" xr:uid="{00000000-0005-0000-0000-0000F55C0000}"/>
    <cellStyle name="Normal 284 4" xfId="24054" xr:uid="{00000000-0005-0000-0000-0000F65C0000}"/>
    <cellStyle name="Normal 284 4 2" xfId="24055" xr:uid="{00000000-0005-0000-0000-0000F75C0000}"/>
    <cellStyle name="Normal 284 4 2 2" xfId="24056" xr:uid="{00000000-0005-0000-0000-0000F85C0000}"/>
    <cellStyle name="Normal 284 4 3" xfId="24057" xr:uid="{00000000-0005-0000-0000-0000F95C0000}"/>
    <cellStyle name="Normal 284 5" xfId="24058" xr:uid="{00000000-0005-0000-0000-0000FA5C0000}"/>
    <cellStyle name="Normal 284 5 2" xfId="24059" xr:uid="{00000000-0005-0000-0000-0000FB5C0000}"/>
    <cellStyle name="Normal 284 5 2 2" xfId="24060" xr:uid="{00000000-0005-0000-0000-0000FC5C0000}"/>
    <cellStyle name="Normal 284 5 3" xfId="24061" xr:uid="{00000000-0005-0000-0000-0000FD5C0000}"/>
    <cellStyle name="Normal 284 6" xfId="24062" xr:uid="{00000000-0005-0000-0000-0000FE5C0000}"/>
    <cellStyle name="Normal 284 6 2" xfId="24063" xr:uid="{00000000-0005-0000-0000-0000FF5C0000}"/>
    <cellStyle name="Normal 284 6 2 2" xfId="24064" xr:uid="{00000000-0005-0000-0000-0000005D0000}"/>
    <cellStyle name="Normal 284 6 3" xfId="24065" xr:uid="{00000000-0005-0000-0000-0000015D0000}"/>
    <cellStyle name="Normal 284 7" xfId="24066" xr:uid="{00000000-0005-0000-0000-0000025D0000}"/>
    <cellStyle name="Normal 285" xfId="24067" xr:uid="{00000000-0005-0000-0000-0000035D0000}"/>
    <cellStyle name="Normal 285 2" xfId="24068" xr:uid="{00000000-0005-0000-0000-0000045D0000}"/>
    <cellStyle name="Normal 285 2 2" xfId="24069" xr:uid="{00000000-0005-0000-0000-0000055D0000}"/>
    <cellStyle name="Normal 285 2 2 2" xfId="24070" xr:uid="{00000000-0005-0000-0000-0000065D0000}"/>
    <cellStyle name="Normal 285 2 3" xfId="24071" xr:uid="{00000000-0005-0000-0000-0000075D0000}"/>
    <cellStyle name="Normal 285 2 3 2" xfId="24072" xr:uid="{00000000-0005-0000-0000-0000085D0000}"/>
    <cellStyle name="Normal 285 2 3 2 2" xfId="24073" xr:uid="{00000000-0005-0000-0000-0000095D0000}"/>
    <cellStyle name="Normal 285 2 3 3" xfId="24074" xr:uid="{00000000-0005-0000-0000-00000A5D0000}"/>
    <cellStyle name="Normal 285 2 4" xfId="24075" xr:uid="{00000000-0005-0000-0000-00000B5D0000}"/>
    <cellStyle name="Normal 285 2 4 2" xfId="24076" xr:uid="{00000000-0005-0000-0000-00000C5D0000}"/>
    <cellStyle name="Normal 285 2 4 2 2" xfId="24077" xr:uid="{00000000-0005-0000-0000-00000D5D0000}"/>
    <cellStyle name="Normal 285 2 4 3" xfId="24078" xr:uid="{00000000-0005-0000-0000-00000E5D0000}"/>
    <cellStyle name="Normal 285 2 5" xfId="24079" xr:uid="{00000000-0005-0000-0000-00000F5D0000}"/>
    <cellStyle name="Normal 285 3" xfId="24080" xr:uid="{00000000-0005-0000-0000-0000105D0000}"/>
    <cellStyle name="Normal 285 3 2" xfId="24081" xr:uid="{00000000-0005-0000-0000-0000115D0000}"/>
    <cellStyle name="Normal 285 3 2 2" xfId="24082" xr:uid="{00000000-0005-0000-0000-0000125D0000}"/>
    <cellStyle name="Normal 285 3 2 2 2" xfId="24083" xr:uid="{00000000-0005-0000-0000-0000135D0000}"/>
    <cellStyle name="Normal 285 3 2 3" xfId="24084" xr:uid="{00000000-0005-0000-0000-0000145D0000}"/>
    <cellStyle name="Normal 285 3 2 3 2" xfId="24085" xr:uid="{00000000-0005-0000-0000-0000155D0000}"/>
    <cellStyle name="Normal 285 3 2 3 2 2" xfId="24086" xr:uid="{00000000-0005-0000-0000-0000165D0000}"/>
    <cellStyle name="Normal 285 3 2 3 3" xfId="24087" xr:uid="{00000000-0005-0000-0000-0000175D0000}"/>
    <cellStyle name="Normal 285 3 2 4" xfId="24088" xr:uid="{00000000-0005-0000-0000-0000185D0000}"/>
    <cellStyle name="Normal 285 3 3" xfId="24089" xr:uid="{00000000-0005-0000-0000-0000195D0000}"/>
    <cellStyle name="Normal 285 3 3 2" xfId="24090" xr:uid="{00000000-0005-0000-0000-00001A5D0000}"/>
    <cellStyle name="Normal 285 3 3 2 2" xfId="24091" xr:uid="{00000000-0005-0000-0000-00001B5D0000}"/>
    <cellStyle name="Normal 285 3 3 3" xfId="24092" xr:uid="{00000000-0005-0000-0000-00001C5D0000}"/>
    <cellStyle name="Normal 285 3 4" xfId="24093" xr:uid="{00000000-0005-0000-0000-00001D5D0000}"/>
    <cellStyle name="Normal 285 3 4 2" xfId="24094" xr:uid="{00000000-0005-0000-0000-00001E5D0000}"/>
    <cellStyle name="Normal 285 3 4 2 2" xfId="24095" xr:uid="{00000000-0005-0000-0000-00001F5D0000}"/>
    <cellStyle name="Normal 285 3 4 3" xfId="24096" xr:uid="{00000000-0005-0000-0000-0000205D0000}"/>
    <cellStyle name="Normal 285 3 5" xfId="24097" xr:uid="{00000000-0005-0000-0000-0000215D0000}"/>
    <cellStyle name="Normal 285 3 5 2" xfId="24098" xr:uid="{00000000-0005-0000-0000-0000225D0000}"/>
    <cellStyle name="Normal 285 3 5 2 2" xfId="24099" xr:uid="{00000000-0005-0000-0000-0000235D0000}"/>
    <cellStyle name="Normal 285 3 5 3" xfId="24100" xr:uid="{00000000-0005-0000-0000-0000245D0000}"/>
    <cellStyle name="Normal 285 3 6" xfId="24101" xr:uid="{00000000-0005-0000-0000-0000255D0000}"/>
    <cellStyle name="Normal 285 4" xfId="24102" xr:uid="{00000000-0005-0000-0000-0000265D0000}"/>
    <cellStyle name="Normal 285 4 2" xfId="24103" xr:uid="{00000000-0005-0000-0000-0000275D0000}"/>
    <cellStyle name="Normal 285 4 2 2" xfId="24104" xr:uid="{00000000-0005-0000-0000-0000285D0000}"/>
    <cellStyle name="Normal 285 4 3" xfId="24105" xr:uid="{00000000-0005-0000-0000-0000295D0000}"/>
    <cellStyle name="Normal 285 5" xfId="24106" xr:uid="{00000000-0005-0000-0000-00002A5D0000}"/>
    <cellStyle name="Normal 285 5 2" xfId="24107" xr:uid="{00000000-0005-0000-0000-00002B5D0000}"/>
    <cellStyle name="Normal 285 5 2 2" xfId="24108" xr:uid="{00000000-0005-0000-0000-00002C5D0000}"/>
    <cellStyle name="Normal 285 5 3" xfId="24109" xr:uid="{00000000-0005-0000-0000-00002D5D0000}"/>
    <cellStyle name="Normal 285 6" xfId="24110" xr:uid="{00000000-0005-0000-0000-00002E5D0000}"/>
    <cellStyle name="Normal 285 6 2" xfId="24111" xr:uid="{00000000-0005-0000-0000-00002F5D0000}"/>
    <cellStyle name="Normal 285 6 2 2" xfId="24112" xr:uid="{00000000-0005-0000-0000-0000305D0000}"/>
    <cellStyle name="Normal 285 6 3" xfId="24113" xr:uid="{00000000-0005-0000-0000-0000315D0000}"/>
    <cellStyle name="Normal 285 7" xfId="24114" xr:uid="{00000000-0005-0000-0000-0000325D0000}"/>
    <cellStyle name="Normal 286" xfId="24115" xr:uid="{00000000-0005-0000-0000-0000335D0000}"/>
    <cellStyle name="Normal 286 2" xfId="24116" xr:uid="{00000000-0005-0000-0000-0000345D0000}"/>
    <cellStyle name="Normal 286 2 2" xfId="24117" xr:uid="{00000000-0005-0000-0000-0000355D0000}"/>
    <cellStyle name="Normal 286 2 2 2" xfId="24118" xr:uid="{00000000-0005-0000-0000-0000365D0000}"/>
    <cellStyle name="Normal 286 2 3" xfId="24119" xr:uid="{00000000-0005-0000-0000-0000375D0000}"/>
    <cellStyle name="Normal 286 2 3 2" xfId="24120" xr:uid="{00000000-0005-0000-0000-0000385D0000}"/>
    <cellStyle name="Normal 286 2 3 2 2" xfId="24121" xr:uid="{00000000-0005-0000-0000-0000395D0000}"/>
    <cellStyle name="Normal 286 2 3 3" xfId="24122" xr:uid="{00000000-0005-0000-0000-00003A5D0000}"/>
    <cellStyle name="Normal 286 2 4" xfId="24123" xr:uid="{00000000-0005-0000-0000-00003B5D0000}"/>
    <cellStyle name="Normal 286 2 4 2" xfId="24124" xr:uid="{00000000-0005-0000-0000-00003C5D0000}"/>
    <cellStyle name="Normal 286 2 4 2 2" xfId="24125" xr:uid="{00000000-0005-0000-0000-00003D5D0000}"/>
    <cellStyle name="Normal 286 2 4 3" xfId="24126" xr:uid="{00000000-0005-0000-0000-00003E5D0000}"/>
    <cellStyle name="Normal 286 2 5" xfId="24127" xr:uid="{00000000-0005-0000-0000-00003F5D0000}"/>
    <cellStyle name="Normal 286 3" xfId="24128" xr:uid="{00000000-0005-0000-0000-0000405D0000}"/>
    <cellStyle name="Normal 286 3 2" xfId="24129" xr:uid="{00000000-0005-0000-0000-0000415D0000}"/>
    <cellStyle name="Normal 286 3 2 2" xfId="24130" xr:uid="{00000000-0005-0000-0000-0000425D0000}"/>
    <cellStyle name="Normal 286 3 2 2 2" xfId="24131" xr:uid="{00000000-0005-0000-0000-0000435D0000}"/>
    <cellStyle name="Normal 286 3 2 3" xfId="24132" xr:uid="{00000000-0005-0000-0000-0000445D0000}"/>
    <cellStyle name="Normal 286 3 2 3 2" xfId="24133" xr:uid="{00000000-0005-0000-0000-0000455D0000}"/>
    <cellStyle name="Normal 286 3 2 3 2 2" xfId="24134" xr:uid="{00000000-0005-0000-0000-0000465D0000}"/>
    <cellStyle name="Normal 286 3 2 3 3" xfId="24135" xr:uid="{00000000-0005-0000-0000-0000475D0000}"/>
    <cellStyle name="Normal 286 3 2 4" xfId="24136" xr:uid="{00000000-0005-0000-0000-0000485D0000}"/>
    <cellStyle name="Normal 286 3 3" xfId="24137" xr:uid="{00000000-0005-0000-0000-0000495D0000}"/>
    <cellStyle name="Normal 286 3 3 2" xfId="24138" xr:uid="{00000000-0005-0000-0000-00004A5D0000}"/>
    <cellStyle name="Normal 286 3 3 2 2" xfId="24139" xr:uid="{00000000-0005-0000-0000-00004B5D0000}"/>
    <cellStyle name="Normal 286 3 3 3" xfId="24140" xr:uid="{00000000-0005-0000-0000-00004C5D0000}"/>
    <cellStyle name="Normal 286 3 4" xfId="24141" xr:uid="{00000000-0005-0000-0000-00004D5D0000}"/>
    <cellStyle name="Normal 286 3 4 2" xfId="24142" xr:uid="{00000000-0005-0000-0000-00004E5D0000}"/>
    <cellStyle name="Normal 286 3 4 2 2" xfId="24143" xr:uid="{00000000-0005-0000-0000-00004F5D0000}"/>
    <cellStyle name="Normal 286 3 4 3" xfId="24144" xr:uid="{00000000-0005-0000-0000-0000505D0000}"/>
    <cellStyle name="Normal 286 3 5" xfId="24145" xr:uid="{00000000-0005-0000-0000-0000515D0000}"/>
    <cellStyle name="Normal 286 3 5 2" xfId="24146" xr:uid="{00000000-0005-0000-0000-0000525D0000}"/>
    <cellStyle name="Normal 286 3 5 2 2" xfId="24147" xr:uid="{00000000-0005-0000-0000-0000535D0000}"/>
    <cellStyle name="Normal 286 3 5 3" xfId="24148" xr:uid="{00000000-0005-0000-0000-0000545D0000}"/>
    <cellStyle name="Normal 286 3 6" xfId="24149" xr:uid="{00000000-0005-0000-0000-0000555D0000}"/>
    <cellStyle name="Normal 286 4" xfId="24150" xr:uid="{00000000-0005-0000-0000-0000565D0000}"/>
    <cellStyle name="Normal 286 4 2" xfId="24151" xr:uid="{00000000-0005-0000-0000-0000575D0000}"/>
    <cellStyle name="Normal 286 4 2 2" xfId="24152" xr:uid="{00000000-0005-0000-0000-0000585D0000}"/>
    <cellStyle name="Normal 286 4 3" xfId="24153" xr:uid="{00000000-0005-0000-0000-0000595D0000}"/>
    <cellStyle name="Normal 286 5" xfId="24154" xr:uid="{00000000-0005-0000-0000-00005A5D0000}"/>
    <cellStyle name="Normal 286 5 2" xfId="24155" xr:uid="{00000000-0005-0000-0000-00005B5D0000}"/>
    <cellStyle name="Normal 286 5 2 2" xfId="24156" xr:uid="{00000000-0005-0000-0000-00005C5D0000}"/>
    <cellStyle name="Normal 286 5 3" xfId="24157" xr:uid="{00000000-0005-0000-0000-00005D5D0000}"/>
    <cellStyle name="Normal 286 6" xfId="24158" xr:uid="{00000000-0005-0000-0000-00005E5D0000}"/>
    <cellStyle name="Normal 286 6 2" xfId="24159" xr:uid="{00000000-0005-0000-0000-00005F5D0000}"/>
    <cellStyle name="Normal 286 6 2 2" xfId="24160" xr:uid="{00000000-0005-0000-0000-0000605D0000}"/>
    <cellStyle name="Normal 286 6 3" xfId="24161" xr:uid="{00000000-0005-0000-0000-0000615D0000}"/>
    <cellStyle name="Normal 286 7" xfId="24162" xr:uid="{00000000-0005-0000-0000-0000625D0000}"/>
    <cellStyle name="Normal 287" xfId="24163" xr:uid="{00000000-0005-0000-0000-0000635D0000}"/>
    <cellStyle name="Normal 287 2" xfId="24164" xr:uid="{00000000-0005-0000-0000-0000645D0000}"/>
    <cellStyle name="Normal 287 2 2" xfId="24165" xr:uid="{00000000-0005-0000-0000-0000655D0000}"/>
    <cellStyle name="Normal 287 2 2 2" xfId="24166" xr:uid="{00000000-0005-0000-0000-0000665D0000}"/>
    <cellStyle name="Normal 287 2 3" xfId="24167" xr:uid="{00000000-0005-0000-0000-0000675D0000}"/>
    <cellStyle name="Normal 287 2 3 2" xfId="24168" xr:uid="{00000000-0005-0000-0000-0000685D0000}"/>
    <cellStyle name="Normal 287 2 3 2 2" xfId="24169" xr:uid="{00000000-0005-0000-0000-0000695D0000}"/>
    <cellStyle name="Normal 287 2 3 3" xfId="24170" xr:uid="{00000000-0005-0000-0000-00006A5D0000}"/>
    <cellStyle name="Normal 287 2 4" xfId="24171" xr:uid="{00000000-0005-0000-0000-00006B5D0000}"/>
    <cellStyle name="Normal 287 2 4 2" xfId="24172" xr:uid="{00000000-0005-0000-0000-00006C5D0000}"/>
    <cellStyle name="Normal 287 2 4 2 2" xfId="24173" xr:uid="{00000000-0005-0000-0000-00006D5D0000}"/>
    <cellStyle name="Normal 287 2 4 3" xfId="24174" xr:uid="{00000000-0005-0000-0000-00006E5D0000}"/>
    <cellStyle name="Normal 287 2 5" xfId="24175" xr:uid="{00000000-0005-0000-0000-00006F5D0000}"/>
    <cellStyle name="Normal 287 3" xfId="24176" xr:uid="{00000000-0005-0000-0000-0000705D0000}"/>
    <cellStyle name="Normal 287 3 2" xfId="24177" xr:uid="{00000000-0005-0000-0000-0000715D0000}"/>
    <cellStyle name="Normal 287 3 2 2" xfId="24178" xr:uid="{00000000-0005-0000-0000-0000725D0000}"/>
    <cellStyle name="Normal 287 3 2 2 2" xfId="24179" xr:uid="{00000000-0005-0000-0000-0000735D0000}"/>
    <cellStyle name="Normal 287 3 2 3" xfId="24180" xr:uid="{00000000-0005-0000-0000-0000745D0000}"/>
    <cellStyle name="Normal 287 3 2 3 2" xfId="24181" xr:uid="{00000000-0005-0000-0000-0000755D0000}"/>
    <cellStyle name="Normal 287 3 2 3 2 2" xfId="24182" xr:uid="{00000000-0005-0000-0000-0000765D0000}"/>
    <cellStyle name="Normal 287 3 2 3 3" xfId="24183" xr:uid="{00000000-0005-0000-0000-0000775D0000}"/>
    <cellStyle name="Normal 287 3 2 4" xfId="24184" xr:uid="{00000000-0005-0000-0000-0000785D0000}"/>
    <cellStyle name="Normal 287 3 3" xfId="24185" xr:uid="{00000000-0005-0000-0000-0000795D0000}"/>
    <cellStyle name="Normal 287 3 3 2" xfId="24186" xr:uid="{00000000-0005-0000-0000-00007A5D0000}"/>
    <cellStyle name="Normal 287 3 3 2 2" xfId="24187" xr:uid="{00000000-0005-0000-0000-00007B5D0000}"/>
    <cellStyle name="Normal 287 3 3 3" xfId="24188" xr:uid="{00000000-0005-0000-0000-00007C5D0000}"/>
    <cellStyle name="Normal 287 3 4" xfId="24189" xr:uid="{00000000-0005-0000-0000-00007D5D0000}"/>
    <cellStyle name="Normal 287 3 4 2" xfId="24190" xr:uid="{00000000-0005-0000-0000-00007E5D0000}"/>
    <cellStyle name="Normal 287 3 4 2 2" xfId="24191" xr:uid="{00000000-0005-0000-0000-00007F5D0000}"/>
    <cellStyle name="Normal 287 3 4 3" xfId="24192" xr:uid="{00000000-0005-0000-0000-0000805D0000}"/>
    <cellStyle name="Normal 287 3 5" xfId="24193" xr:uid="{00000000-0005-0000-0000-0000815D0000}"/>
    <cellStyle name="Normal 287 3 5 2" xfId="24194" xr:uid="{00000000-0005-0000-0000-0000825D0000}"/>
    <cellStyle name="Normal 287 3 5 2 2" xfId="24195" xr:uid="{00000000-0005-0000-0000-0000835D0000}"/>
    <cellStyle name="Normal 287 3 5 3" xfId="24196" xr:uid="{00000000-0005-0000-0000-0000845D0000}"/>
    <cellStyle name="Normal 287 3 6" xfId="24197" xr:uid="{00000000-0005-0000-0000-0000855D0000}"/>
    <cellStyle name="Normal 287 4" xfId="24198" xr:uid="{00000000-0005-0000-0000-0000865D0000}"/>
    <cellStyle name="Normal 287 4 2" xfId="24199" xr:uid="{00000000-0005-0000-0000-0000875D0000}"/>
    <cellStyle name="Normal 287 4 2 2" xfId="24200" xr:uid="{00000000-0005-0000-0000-0000885D0000}"/>
    <cellStyle name="Normal 287 4 3" xfId="24201" xr:uid="{00000000-0005-0000-0000-0000895D0000}"/>
    <cellStyle name="Normal 287 5" xfId="24202" xr:uid="{00000000-0005-0000-0000-00008A5D0000}"/>
    <cellStyle name="Normal 287 5 2" xfId="24203" xr:uid="{00000000-0005-0000-0000-00008B5D0000}"/>
    <cellStyle name="Normal 287 5 2 2" xfId="24204" xr:uid="{00000000-0005-0000-0000-00008C5D0000}"/>
    <cellStyle name="Normal 287 5 3" xfId="24205" xr:uid="{00000000-0005-0000-0000-00008D5D0000}"/>
    <cellStyle name="Normal 287 6" xfId="24206" xr:uid="{00000000-0005-0000-0000-00008E5D0000}"/>
    <cellStyle name="Normal 287 6 2" xfId="24207" xr:uid="{00000000-0005-0000-0000-00008F5D0000}"/>
    <cellStyle name="Normal 287 6 2 2" xfId="24208" xr:uid="{00000000-0005-0000-0000-0000905D0000}"/>
    <cellStyle name="Normal 287 6 3" xfId="24209" xr:uid="{00000000-0005-0000-0000-0000915D0000}"/>
    <cellStyle name="Normal 287 7" xfId="24210" xr:uid="{00000000-0005-0000-0000-0000925D0000}"/>
    <cellStyle name="Normal 288" xfId="24211" xr:uid="{00000000-0005-0000-0000-0000935D0000}"/>
    <cellStyle name="Normal 288 2" xfId="24212" xr:uid="{00000000-0005-0000-0000-0000945D0000}"/>
    <cellStyle name="Normal 288 2 2" xfId="24213" xr:uid="{00000000-0005-0000-0000-0000955D0000}"/>
    <cellStyle name="Normal 288 2 2 2" xfId="24214" xr:uid="{00000000-0005-0000-0000-0000965D0000}"/>
    <cellStyle name="Normal 288 2 3" xfId="24215" xr:uid="{00000000-0005-0000-0000-0000975D0000}"/>
    <cellStyle name="Normal 288 2 3 2" xfId="24216" xr:uid="{00000000-0005-0000-0000-0000985D0000}"/>
    <cellStyle name="Normal 288 2 3 2 2" xfId="24217" xr:uid="{00000000-0005-0000-0000-0000995D0000}"/>
    <cellStyle name="Normal 288 2 3 3" xfId="24218" xr:uid="{00000000-0005-0000-0000-00009A5D0000}"/>
    <cellStyle name="Normal 288 2 4" xfId="24219" xr:uid="{00000000-0005-0000-0000-00009B5D0000}"/>
    <cellStyle name="Normal 288 2 4 2" xfId="24220" xr:uid="{00000000-0005-0000-0000-00009C5D0000}"/>
    <cellStyle name="Normal 288 2 4 2 2" xfId="24221" xr:uid="{00000000-0005-0000-0000-00009D5D0000}"/>
    <cellStyle name="Normal 288 2 4 3" xfId="24222" xr:uid="{00000000-0005-0000-0000-00009E5D0000}"/>
    <cellStyle name="Normal 288 2 5" xfId="24223" xr:uid="{00000000-0005-0000-0000-00009F5D0000}"/>
    <cellStyle name="Normal 288 3" xfId="24224" xr:uid="{00000000-0005-0000-0000-0000A05D0000}"/>
    <cellStyle name="Normal 288 3 2" xfId="24225" xr:uid="{00000000-0005-0000-0000-0000A15D0000}"/>
    <cellStyle name="Normal 288 3 2 2" xfId="24226" xr:uid="{00000000-0005-0000-0000-0000A25D0000}"/>
    <cellStyle name="Normal 288 3 2 2 2" xfId="24227" xr:uid="{00000000-0005-0000-0000-0000A35D0000}"/>
    <cellStyle name="Normal 288 3 2 3" xfId="24228" xr:uid="{00000000-0005-0000-0000-0000A45D0000}"/>
    <cellStyle name="Normal 288 3 2 3 2" xfId="24229" xr:uid="{00000000-0005-0000-0000-0000A55D0000}"/>
    <cellStyle name="Normal 288 3 2 3 2 2" xfId="24230" xr:uid="{00000000-0005-0000-0000-0000A65D0000}"/>
    <cellStyle name="Normal 288 3 2 3 3" xfId="24231" xr:uid="{00000000-0005-0000-0000-0000A75D0000}"/>
    <cellStyle name="Normal 288 3 2 4" xfId="24232" xr:uid="{00000000-0005-0000-0000-0000A85D0000}"/>
    <cellStyle name="Normal 288 3 3" xfId="24233" xr:uid="{00000000-0005-0000-0000-0000A95D0000}"/>
    <cellStyle name="Normal 288 3 3 2" xfId="24234" xr:uid="{00000000-0005-0000-0000-0000AA5D0000}"/>
    <cellStyle name="Normal 288 3 3 2 2" xfId="24235" xr:uid="{00000000-0005-0000-0000-0000AB5D0000}"/>
    <cellStyle name="Normal 288 3 3 3" xfId="24236" xr:uid="{00000000-0005-0000-0000-0000AC5D0000}"/>
    <cellStyle name="Normal 288 3 4" xfId="24237" xr:uid="{00000000-0005-0000-0000-0000AD5D0000}"/>
    <cellStyle name="Normal 288 3 4 2" xfId="24238" xr:uid="{00000000-0005-0000-0000-0000AE5D0000}"/>
    <cellStyle name="Normal 288 3 4 2 2" xfId="24239" xr:uid="{00000000-0005-0000-0000-0000AF5D0000}"/>
    <cellStyle name="Normal 288 3 4 3" xfId="24240" xr:uid="{00000000-0005-0000-0000-0000B05D0000}"/>
    <cellStyle name="Normal 288 3 5" xfId="24241" xr:uid="{00000000-0005-0000-0000-0000B15D0000}"/>
    <cellStyle name="Normal 288 3 5 2" xfId="24242" xr:uid="{00000000-0005-0000-0000-0000B25D0000}"/>
    <cellStyle name="Normal 288 3 5 2 2" xfId="24243" xr:uid="{00000000-0005-0000-0000-0000B35D0000}"/>
    <cellStyle name="Normal 288 3 5 3" xfId="24244" xr:uid="{00000000-0005-0000-0000-0000B45D0000}"/>
    <cellStyle name="Normal 288 3 6" xfId="24245" xr:uid="{00000000-0005-0000-0000-0000B55D0000}"/>
    <cellStyle name="Normal 288 4" xfId="24246" xr:uid="{00000000-0005-0000-0000-0000B65D0000}"/>
    <cellStyle name="Normal 288 4 2" xfId="24247" xr:uid="{00000000-0005-0000-0000-0000B75D0000}"/>
    <cellStyle name="Normal 288 4 2 2" xfId="24248" xr:uid="{00000000-0005-0000-0000-0000B85D0000}"/>
    <cellStyle name="Normal 288 4 3" xfId="24249" xr:uid="{00000000-0005-0000-0000-0000B95D0000}"/>
    <cellStyle name="Normal 288 5" xfId="24250" xr:uid="{00000000-0005-0000-0000-0000BA5D0000}"/>
    <cellStyle name="Normal 288 5 2" xfId="24251" xr:uid="{00000000-0005-0000-0000-0000BB5D0000}"/>
    <cellStyle name="Normal 288 5 2 2" xfId="24252" xr:uid="{00000000-0005-0000-0000-0000BC5D0000}"/>
    <cellStyle name="Normal 288 5 3" xfId="24253" xr:uid="{00000000-0005-0000-0000-0000BD5D0000}"/>
    <cellStyle name="Normal 288 6" xfId="24254" xr:uid="{00000000-0005-0000-0000-0000BE5D0000}"/>
    <cellStyle name="Normal 288 6 2" xfId="24255" xr:uid="{00000000-0005-0000-0000-0000BF5D0000}"/>
    <cellStyle name="Normal 288 6 2 2" xfId="24256" xr:uid="{00000000-0005-0000-0000-0000C05D0000}"/>
    <cellStyle name="Normal 288 6 3" xfId="24257" xr:uid="{00000000-0005-0000-0000-0000C15D0000}"/>
    <cellStyle name="Normal 288 7" xfId="24258" xr:uid="{00000000-0005-0000-0000-0000C25D0000}"/>
    <cellStyle name="Normal 289" xfId="24259" xr:uid="{00000000-0005-0000-0000-0000C35D0000}"/>
    <cellStyle name="Normal 289 2" xfId="24260" xr:uid="{00000000-0005-0000-0000-0000C45D0000}"/>
    <cellStyle name="Normal 289 2 2" xfId="24261" xr:uid="{00000000-0005-0000-0000-0000C55D0000}"/>
    <cellStyle name="Normal 289 2 2 2" xfId="24262" xr:uid="{00000000-0005-0000-0000-0000C65D0000}"/>
    <cellStyle name="Normal 289 2 3" xfId="24263" xr:uid="{00000000-0005-0000-0000-0000C75D0000}"/>
    <cellStyle name="Normal 289 2 3 2" xfId="24264" xr:uid="{00000000-0005-0000-0000-0000C85D0000}"/>
    <cellStyle name="Normal 289 2 3 2 2" xfId="24265" xr:uid="{00000000-0005-0000-0000-0000C95D0000}"/>
    <cellStyle name="Normal 289 2 3 3" xfId="24266" xr:uid="{00000000-0005-0000-0000-0000CA5D0000}"/>
    <cellStyle name="Normal 289 2 4" xfId="24267" xr:uid="{00000000-0005-0000-0000-0000CB5D0000}"/>
    <cellStyle name="Normal 289 2 4 2" xfId="24268" xr:uid="{00000000-0005-0000-0000-0000CC5D0000}"/>
    <cellStyle name="Normal 289 2 4 2 2" xfId="24269" xr:uid="{00000000-0005-0000-0000-0000CD5D0000}"/>
    <cellStyle name="Normal 289 2 4 3" xfId="24270" xr:uid="{00000000-0005-0000-0000-0000CE5D0000}"/>
    <cellStyle name="Normal 289 2 5" xfId="24271" xr:uid="{00000000-0005-0000-0000-0000CF5D0000}"/>
    <cellStyle name="Normal 289 3" xfId="24272" xr:uid="{00000000-0005-0000-0000-0000D05D0000}"/>
    <cellStyle name="Normal 289 3 2" xfId="24273" xr:uid="{00000000-0005-0000-0000-0000D15D0000}"/>
    <cellStyle name="Normal 289 3 2 2" xfId="24274" xr:uid="{00000000-0005-0000-0000-0000D25D0000}"/>
    <cellStyle name="Normal 289 3 2 2 2" xfId="24275" xr:uid="{00000000-0005-0000-0000-0000D35D0000}"/>
    <cellStyle name="Normal 289 3 2 3" xfId="24276" xr:uid="{00000000-0005-0000-0000-0000D45D0000}"/>
    <cellStyle name="Normal 289 3 2 3 2" xfId="24277" xr:uid="{00000000-0005-0000-0000-0000D55D0000}"/>
    <cellStyle name="Normal 289 3 2 3 2 2" xfId="24278" xr:uid="{00000000-0005-0000-0000-0000D65D0000}"/>
    <cellStyle name="Normal 289 3 2 3 3" xfId="24279" xr:uid="{00000000-0005-0000-0000-0000D75D0000}"/>
    <cellStyle name="Normal 289 3 2 4" xfId="24280" xr:uid="{00000000-0005-0000-0000-0000D85D0000}"/>
    <cellStyle name="Normal 289 3 3" xfId="24281" xr:uid="{00000000-0005-0000-0000-0000D95D0000}"/>
    <cellStyle name="Normal 289 3 3 2" xfId="24282" xr:uid="{00000000-0005-0000-0000-0000DA5D0000}"/>
    <cellStyle name="Normal 289 3 3 2 2" xfId="24283" xr:uid="{00000000-0005-0000-0000-0000DB5D0000}"/>
    <cellStyle name="Normal 289 3 3 3" xfId="24284" xr:uid="{00000000-0005-0000-0000-0000DC5D0000}"/>
    <cellStyle name="Normal 289 3 4" xfId="24285" xr:uid="{00000000-0005-0000-0000-0000DD5D0000}"/>
    <cellStyle name="Normal 289 3 4 2" xfId="24286" xr:uid="{00000000-0005-0000-0000-0000DE5D0000}"/>
    <cellStyle name="Normal 289 3 4 2 2" xfId="24287" xr:uid="{00000000-0005-0000-0000-0000DF5D0000}"/>
    <cellStyle name="Normal 289 3 4 3" xfId="24288" xr:uid="{00000000-0005-0000-0000-0000E05D0000}"/>
    <cellStyle name="Normal 289 3 5" xfId="24289" xr:uid="{00000000-0005-0000-0000-0000E15D0000}"/>
    <cellStyle name="Normal 289 3 5 2" xfId="24290" xr:uid="{00000000-0005-0000-0000-0000E25D0000}"/>
    <cellStyle name="Normal 289 3 5 2 2" xfId="24291" xr:uid="{00000000-0005-0000-0000-0000E35D0000}"/>
    <cellStyle name="Normal 289 3 5 3" xfId="24292" xr:uid="{00000000-0005-0000-0000-0000E45D0000}"/>
    <cellStyle name="Normal 289 3 6" xfId="24293" xr:uid="{00000000-0005-0000-0000-0000E55D0000}"/>
    <cellStyle name="Normal 289 4" xfId="24294" xr:uid="{00000000-0005-0000-0000-0000E65D0000}"/>
    <cellStyle name="Normal 289 4 2" xfId="24295" xr:uid="{00000000-0005-0000-0000-0000E75D0000}"/>
    <cellStyle name="Normal 289 4 2 2" xfId="24296" xr:uid="{00000000-0005-0000-0000-0000E85D0000}"/>
    <cellStyle name="Normal 289 4 3" xfId="24297" xr:uid="{00000000-0005-0000-0000-0000E95D0000}"/>
    <cellStyle name="Normal 289 5" xfId="24298" xr:uid="{00000000-0005-0000-0000-0000EA5D0000}"/>
    <cellStyle name="Normal 289 5 2" xfId="24299" xr:uid="{00000000-0005-0000-0000-0000EB5D0000}"/>
    <cellStyle name="Normal 289 5 2 2" xfId="24300" xr:uid="{00000000-0005-0000-0000-0000EC5D0000}"/>
    <cellStyle name="Normal 289 5 3" xfId="24301" xr:uid="{00000000-0005-0000-0000-0000ED5D0000}"/>
    <cellStyle name="Normal 289 6" xfId="24302" xr:uid="{00000000-0005-0000-0000-0000EE5D0000}"/>
    <cellStyle name="Normal 289 6 2" xfId="24303" xr:uid="{00000000-0005-0000-0000-0000EF5D0000}"/>
    <cellStyle name="Normal 289 6 2 2" xfId="24304" xr:uid="{00000000-0005-0000-0000-0000F05D0000}"/>
    <cellStyle name="Normal 289 6 3" xfId="24305" xr:uid="{00000000-0005-0000-0000-0000F15D0000}"/>
    <cellStyle name="Normal 289 7" xfId="24306" xr:uid="{00000000-0005-0000-0000-0000F25D0000}"/>
    <cellStyle name="Normal 29" xfId="24307" xr:uid="{00000000-0005-0000-0000-0000F35D0000}"/>
    <cellStyle name="Normal 29 2" xfId="24308" xr:uid="{00000000-0005-0000-0000-0000F45D0000}"/>
    <cellStyle name="Normal 29 2 2" xfId="24309" xr:uid="{00000000-0005-0000-0000-0000F55D0000}"/>
    <cellStyle name="Normal 29 2 2 2" xfId="24310" xr:uid="{00000000-0005-0000-0000-0000F65D0000}"/>
    <cellStyle name="Normal 29 2 2 2 2" xfId="24311" xr:uid="{00000000-0005-0000-0000-0000F75D0000}"/>
    <cellStyle name="Normal 29 2 2 3" xfId="24312" xr:uid="{00000000-0005-0000-0000-0000F85D0000}"/>
    <cellStyle name="Normal 29 2 2 3 2" xfId="24313" xr:uid="{00000000-0005-0000-0000-0000F95D0000}"/>
    <cellStyle name="Normal 29 2 2 3 2 2" xfId="24314" xr:uid="{00000000-0005-0000-0000-0000FA5D0000}"/>
    <cellStyle name="Normal 29 2 2 3 3" xfId="24315" xr:uid="{00000000-0005-0000-0000-0000FB5D0000}"/>
    <cellStyle name="Normal 29 2 2 4" xfId="24316" xr:uid="{00000000-0005-0000-0000-0000FC5D0000}"/>
    <cellStyle name="Normal 29 2 2 4 2" xfId="24317" xr:uid="{00000000-0005-0000-0000-0000FD5D0000}"/>
    <cellStyle name="Normal 29 2 2 4 2 2" xfId="24318" xr:uid="{00000000-0005-0000-0000-0000FE5D0000}"/>
    <cellStyle name="Normal 29 2 2 4 3" xfId="24319" xr:uid="{00000000-0005-0000-0000-0000FF5D0000}"/>
    <cellStyle name="Normal 29 2 2 5" xfId="24320" xr:uid="{00000000-0005-0000-0000-0000005E0000}"/>
    <cellStyle name="Normal 29 2 3" xfId="24321" xr:uid="{00000000-0005-0000-0000-0000015E0000}"/>
    <cellStyle name="Normal 29 2 3 2" xfId="24322" xr:uid="{00000000-0005-0000-0000-0000025E0000}"/>
    <cellStyle name="Normal 29 2 3 2 2" xfId="24323" xr:uid="{00000000-0005-0000-0000-0000035E0000}"/>
    <cellStyle name="Normal 29 2 3 3" xfId="24324" xr:uid="{00000000-0005-0000-0000-0000045E0000}"/>
    <cellStyle name="Normal 29 2 4" xfId="24325" xr:uid="{00000000-0005-0000-0000-0000055E0000}"/>
    <cellStyle name="Normal 29 2 4 2" xfId="24326" xr:uid="{00000000-0005-0000-0000-0000065E0000}"/>
    <cellStyle name="Normal 29 2 4 2 2" xfId="24327" xr:uid="{00000000-0005-0000-0000-0000075E0000}"/>
    <cellStyle name="Normal 29 2 4 3" xfId="24328" xr:uid="{00000000-0005-0000-0000-0000085E0000}"/>
    <cellStyle name="Normal 29 2 5" xfId="24329" xr:uid="{00000000-0005-0000-0000-0000095E0000}"/>
    <cellStyle name="Normal 29 2 5 2" xfId="24330" xr:uid="{00000000-0005-0000-0000-00000A5E0000}"/>
    <cellStyle name="Normal 29 2 5 2 2" xfId="24331" xr:uid="{00000000-0005-0000-0000-00000B5E0000}"/>
    <cellStyle name="Normal 29 2 5 3" xfId="24332" xr:uid="{00000000-0005-0000-0000-00000C5E0000}"/>
    <cellStyle name="Normal 29 2 6" xfId="24333" xr:uid="{00000000-0005-0000-0000-00000D5E0000}"/>
    <cellStyle name="Normal 29 3" xfId="24334" xr:uid="{00000000-0005-0000-0000-00000E5E0000}"/>
    <cellStyle name="Normal 29 3 2" xfId="24335" xr:uid="{00000000-0005-0000-0000-00000F5E0000}"/>
    <cellStyle name="Normal 29 3 2 2" xfId="24336" xr:uid="{00000000-0005-0000-0000-0000105E0000}"/>
    <cellStyle name="Normal 29 3 3" xfId="24337" xr:uid="{00000000-0005-0000-0000-0000115E0000}"/>
    <cellStyle name="Normal 29 3 3 2" xfId="24338" xr:uid="{00000000-0005-0000-0000-0000125E0000}"/>
    <cellStyle name="Normal 29 3 3 2 2" xfId="24339" xr:uid="{00000000-0005-0000-0000-0000135E0000}"/>
    <cellStyle name="Normal 29 3 3 3" xfId="24340" xr:uid="{00000000-0005-0000-0000-0000145E0000}"/>
    <cellStyle name="Normal 29 3 4" xfId="24341" xr:uid="{00000000-0005-0000-0000-0000155E0000}"/>
    <cellStyle name="Normal 29 3 4 2" xfId="24342" xr:uid="{00000000-0005-0000-0000-0000165E0000}"/>
    <cellStyle name="Normal 29 3 4 2 2" xfId="24343" xr:uid="{00000000-0005-0000-0000-0000175E0000}"/>
    <cellStyle name="Normal 29 3 4 3" xfId="24344" xr:uid="{00000000-0005-0000-0000-0000185E0000}"/>
    <cellStyle name="Normal 29 3 5" xfId="24345" xr:uid="{00000000-0005-0000-0000-0000195E0000}"/>
    <cellStyle name="Normal 29 4" xfId="24346" xr:uid="{00000000-0005-0000-0000-00001A5E0000}"/>
    <cellStyle name="Normal 29 4 2" xfId="24347" xr:uid="{00000000-0005-0000-0000-00001B5E0000}"/>
    <cellStyle name="Normal 29 4 2 2" xfId="24348" xr:uid="{00000000-0005-0000-0000-00001C5E0000}"/>
    <cellStyle name="Normal 29 4 3" xfId="24349" xr:uid="{00000000-0005-0000-0000-00001D5E0000}"/>
    <cellStyle name="Normal 29 5" xfId="24350" xr:uid="{00000000-0005-0000-0000-00001E5E0000}"/>
    <cellStyle name="Normal 29 5 2" xfId="24351" xr:uid="{00000000-0005-0000-0000-00001F5E0000}"/>
    <cellStyle name="Normal 29 5 2 2" xfId="24352" xr:uid="{00000000-0005-0000-0000-0000205E0000}"/>
    <cellStyle name="Normal 29 5 3" xfId="24353" xr:uid="{00000000-0005-0000-0000-0000215E0000}"/>
    <cellStyle name="Normal 29 6" xfId="24354" xr:uid="{00000000-0005-0000-0000-0000225E0000}"/>
    <cellStyle name="Normal 29 6 2" xfId="24355" xr:uid="{00000000-0005-0000-0000-0000235E0000}"/>
    <cellStyle name="Normal 29 6 2 2" xfId="24356" xr:uid="{00000000-0005-0000-0000-0000245E0000}"/>
    <cellStyle name="Normal 29 6 3" xfId="24357" xr:uid="{00000000-0005-0000-0000-0000255E0000}"/>
    <cellStyle name="Normal 29 7" xfId="24358" xr:uid="{00000000-0005-0000-0000-0000265E0000}"/>
    <cellStyle name="Normal 290" xfId="24359" xr:uid="{00000000-0005-0000-0000-0000275E0000}"/>
    <cellStyle name="Normal 290 2" xfId="24360" xr:uid="{00000000-0005-0000-0000-0000285E0000}"/>
    <cellStyle name="Normal 290 2 2" xfId="24361" xr:uid="{00000000-0005-0000-0000-0000295E0000}"/>
    <cellStyle name="Normal 290 2 2 2" xfId="24362" xr:uid="{00000000-0005-0000-0000-00002A5E0000}"/>
    <cellStyle name="Normal 290 2 3" xfId="24363" xr:uid="{00000000-0005-0000-0000-00002B5E0000}"/>
    <cellStyle name="Normal 290 2 3 2" xfId="24364" xr:uid="{00000000-0005-0000-0000-00002C5E0000}"/>
    <cellStyle name="Normal 290 2 3 2 2" xfId="24365" xr:uid="{00000000-0005-0000-0000-00002D5E0000}"/>
    <cellStyle name="Normal 290 2 3 3" xfId="24366" xr:uid="{00000000-0005-0000-0000-00002E5E0000}"/>
    <cellStyle name="Normal 290 2 4" xfId="24367" xr:uid="{00000000-0005-0000-0000-00002F5E0000}"/>
    <cellStyle name="Normal 290 2 4 2" xfId="24368" xr:uid="{00000000-0005-0000-0000-0000305E0000}"/>
    <cellStyle name="Normal 290 2 4 2 2" xfId="24369" xr:uid="{00000000-0005-0000-0000-0000315E0000}"/>
    <cellStyle name="Normal 290 2 4 3" xfId="24370" xr:uid="{00000000-0005-0000-0000-0000325E0000}"/>
    <cellStyle name="Normal 290 2 5" xfId="24371" xr:uid="{00000000-0005-0000-0000-0000335E0000}"/>
    <cellStyle name="Normal 290 3" xfId="24372" xr:uid="{00000000-0005-0000-0000-0000345E0000}"/>
    <cellStyle name="Normal 290 3 2" xfId="24373" xr:uid="{00000000-0005-0000-0000-0000355E0000}"/>
    <cellStyle name="Normal 290 3 2 2" xfId="24374" xr:uid="{00000000-0005-0000-0000-0000365E0000}"/>
    <cellStyle name="Normal 290 3 2 2 2" xfId="24375" xr:uid="{00000000-0005-0000-0000-0000375E0000}"/>
    <cellStyle name="Normal 290 3 2 3" xfId="24376" xr:uid="{00000000-0005-0000-0000-0000385E0000}"/>
    <cellStyle name="Normal 290 3 2 3 2" xfId="24377" xr:uid="{00000000-0005-0000-0000-0000395E0000}"/>
    <cellStyle name="Normal 290 3 2 3 2 2" xfId="24378" xr:uid="{00000000-0005-0000-0000-00003A5E0000}"/>
    <cellStyle name="Normal 290 3 2 3 3" xfId="24379" xr:uid="{00000000-0005-0000-0000-00003B5E0000}"/>
    <cellStyle name="Normal 290 3 2 4" xfId="24380" xr:uid="{00000000-0005-0000-0000-00003C5E0000}"/>
    <cellStyle name="Normal 290 3 3" xfId="24381" xr:uid="{00000000-0005-0000-0000-00003D5E0000}"/>
    <cellStyle name="Normal 290 3 3 2" xfId="24382" xr:uid="{00000000-0005-0000-0000-00003E5E0000}"/>
    <cellStyle name="Normal 290 3 3 2 2" xfId="24383" xr:uid="{00000000-0005-0000-0000-00003F5E0000}"/>
    <cellStyle name="Normal 290 3 3 3" xfId="24384" xr:uid="{00000000-0005-0000-0000-0000405E0000}"/>
    <cellStyle name="Normal 290 3 4" xfId="24385" xr:uid="{00000000-0005-0000-0000-0000415E0000}"/>
    <cellStyle name="Normal 290 3 4 2" xfId="24386" xr:uid="{00000000-0005-0000-0000-0000425E0000}"/>
    <cellStyle name="Normal 290 3 4 2 2" xfId="24387" xr:uid="{00000000-0005-0000-0000-0000435E0000}"/>
    <cellStyle name="Normal 290 3 4 3" xfId="24388" xr:uid="{00000000-0005-0000-0000-0000445E0000}"/>
    <cellStyle name="Normal 290 3 5" xfId="24389" xr:uid="{00000000-0005-0000-0000-0000455E0000}"/>
    <cellStyle name="Normal 290 3 5 2" xfId="24390" xr:uid="{00000000-0005-0000-0000-0000465E0000}"/>
    <cellStyle name="Normal 290 3 5 2 2" xfId="24391" xr:uid="{00000000-0005-0000-0000-0000475E0000}"/>
    <cellStyle name="Normal 290 3 5 3" xfId="24392" xr:uid="{00000000-0005-0000-0000-0000485E0000}"/>
    <cellStyle name="Normal 290 3 6" xfId="24393" xr:uid="{00000000-0005-0000-0000-0000495E0000}"/>
    <cellStyle name="Normal 290 4" xfId="24394" xr:uid="{00000000-0005-0000-0000-00004A5E0000}"/>
    <cellStyle name="Normal 290 4 2" xfId="24395" xr:uid="{00000000-0005-0000-0000-00004B5E0000}"/>
    <cellStyle name="Normal 290 4 2 2" xfId="24396" xr:uid="{00000000-0005-0000-0000-00004C5E0000}"/>
    <cellStyle name="Normal 290 4 3" xfId="24397" xr:uid="{00000000-0005-0000-0000-00004D5E0000}"/>
    <cellStyle name="Normal 290 5" xfId="24398" xr:uid="{00000000-0005-0000-0000-00004E5E0000}"/>
    <cellStyle name="Normal 290 5 2" xfId="24399" xr:uid="{00000000-0005-0000-0000-00004F5E0000}"/>
    <cellStyle name="Normal 290 5 2 2" xfId="24400" xr:uid="{00000000-0005-0000-0000-0000505E0000}"/>
    <cellStyle name="Normal 290 5 3" xfId="24401" xr:uid="{00000000-0005-0000-0000-0000515E0000}"/>
    <cellStyle name="Normal 290 6" xfId="24402" xr:uid="{00000000-0005-0000-0000-0000525E0000}"/>
    <cellStyle name="Normal 290 6 2" xfId="24403" xr:uid="{00000000-0005-0000-0000-0000535E0000}"/>
    <cellStyle name="Normal 290 6 2 2" xfId="24404" xr:uid="{00000000-0005-0000-0000-0000545E0000}"/>
    <cellStyle name="Normal 290 6 3" xfId="24405" xr:uid="{00000000-0005-0000-0000-0000555E0000}"/>
    <cellStyle name="Normal 290 7" xfId="24406" xr:uid="{00000000-0005-0000-0000-0000565E0000}"/>
    <cellStyle name="Normal 291" xfId="24407" xr:uid="{00000000-0005-0000-0000-0000575E0000}"/>
    <cellStyle name="Normal 291 2" xfId="24408" xr:uid="{00000000-0005-0000-0000-0000585E0000}"/>
    <cellStyle name="Normal 291 2 2" xfId="24409" xr:uid="{00000000-0005-0000-0000-0000595E0000}"/>
    <cellStyle name="Normal 291 2 2 2" xfId="24410" xr:uid="{00000000-0005-0000-0000-00005A5E0000}"/>
    <cellStyle name="Normal 291 2 3" xfId="24411" xr:uid="{00000000-0005-0000-0000-00005B5E0000}"/>
    <cellStyle name="Normal 291 2 3 2" xfId="24412" xr:uid="{00000000-0005-0000-0000-00005C5E0000}"/>
    <cellStyle name="Normal 291 2 3 2 2" xfId="24413" xr:uid="{00000000-0005-0000-0000-00005D5E0000}"/>
    <cellStyle name="Normal 291 2 3 3" xfId="24414" xr:uid="{00000000-0005-0000-0000-00005E5E0000}"/>
    <cellStyle name="Normal 291 2 4" xfId="24415" xr:uid="{00000000-0005-0000-0000-00005F5E0000}"/>
    <cellStyle name="Normal 291 2 4 2" xfId="24416" xr:uid="{00000000-0005-0000-0000-0000605E0000}"/>
    <cellStyle name="Normal 291 2 4 2 2" xfId="24417" xr:uid="{00000000-0005-0000-0000-0000615E0000}"/>
    <cellStyle name="Normal 291 2 4 3" xfId="24418" xr:uid="{00000000-0005-0000-0000-0000625E0000}"/>
    <cellStyle name="Normal 291 2 5" xfId="24419" xr:uid="{00000000-0005-0000-0000-0000635E0000}"/>
    <cellStyle name="Normal 291 3" xfId="24420" xr:uid="{00000000-0005-0000-0000-0000645E0000}"/>
    <cellStyle name="Normal 291 3 2" xfId="24421" xr:uid="{00000000-0005-0000-0000-0000655E0000}"/>
    <cellStyle name="Normal 291 3 2 2" xfId="24422" xr:uid="{00000000-0005-0000-0000-0000665E0000}"/>
    <cellStyle name="Normal 291 3 2 2 2" xfId="24423" xr:uid="{00000000-0005-0000-0000-0000675E0000}"/>
    <cellStyle name="Normal 291 3 2 3" xfId="24424" xr:uid="{00000000-0005-0000-0000-0000685E0000}"/>
    <cellStyle name="Normal 291 3 2 3 2" xfId="24425" xr:uid="{00000000-0005-0000-0000-0000695E0000}"/>
    <cellStyle name="Normal 291 3 2 3 2 2" xfId="24426" xr:uid="{00000000-0005-0000-0000-00006A5E0000}"/>
    <cellStyle name="Normal 291 3 2 3 3" xfId="24427" xr:uid="{00000000-0005-0000-0000-00006B5E0000}"/>
    <cellStyle name="Normal 291 3 2 4" xfId="24428" xr:uid="{00000000-0005-0000-0000-00006C5E0000}"/>
    <cellStyle name="Normal 291 3 3" xfId="24429" xr:uid="{00000000-0005-0000-0000-00006D5E0000}"/>
    <cellStyle name="Normal 291 3 3 2" xfId="24430" xr:uid="{00000000-0005-0000-0000-00006E5E0000}"/>
    <cellStyle name="Normal 291 3 3 2 2" xfId="24431" xr:uid="{00000000-0005-0000-0000-00006F5E0000}"/>
    <cellStyle name="Normal 291 3 3 3" xfId="24432" xr:uid="{00000000-0005-0000-0000-0000705E0000}"/>
    <cellStyle name="Normal 291 3 4" xfId="24433" xr:uid="{00000000-0005-0000-0000-0000715E0000}"/>
    <cellStyle name="Normal 291 3 4 2" xfId="24434" xr:uid="{00000000-0005-0000-0000-0000725E0000}"/>
    <cellStyle name="Normal 291 3 4 2 2" xfId="24435" xr:uid="{00000000-0005-0000-0000-0000735E0000}"/>
    <cellStyle name="Normal 291 3 4 3" xfId="24436" xr:uid="{00000000-0005-0000-0000-0000745E0000}"/>
    <cellStyle name="Normal 291 3 5" xfId="24437" xr:uid="{00000000-0005-0000-0000-0000755E0000}"/>
    <cellStyle name="Normal 291 3 5 2" xfId="24438" xr:uid="{00000000-0005-0000-0000-0000765E0000}"/>
    <cellStyle name="Normal 291 3 5 2 2" xfId="24439" xr:uid="{00000000-0005-0000-0000-0000775E0000}"/>
    <cellStyle name="Normal 291 3 5 3" xfId="24440" xr:uid="{00000000-0005-0000-0000-0000785E0000}"/>
    <cellStyle name="Normal 291 3 6" xfId="24441" xr:uid="{00000000-0005-0000-0000-0000795E0000}"/>
    <cellStyle name="Normal 291 4" xfId="24442" xr:uid="{00000000-0005-0000-0000-00007A5E0000}"/>
    <cellStyle name="Normal 291 4 2" xfId="24443" xr:uid="{00000000-0005-0000-0000-00007B5E0000}"/>
    <cellStyle name="Normal 291 4 2 2" xfId="24444" xr:uid="{00000000-0005-0000-0000-00007C5E0000}"/>
    <cellStyle name="Normal 291 4 3" xfId="24445" xr:uid="{00000000-0005-0000-0000-00007D5E0000}"/>
    <cellStyle name="Normal 291 5" xfId="24446" xr:uid="{00000000-0005-0000-0000-00007E5E0000}"/>
    <cellStyle name="Normal 291 5 2" xfId="24447" xr:uid="{00000000-0005-0000-0000-00007F5E0000}"/>
    <cellStyle name="Normal 291 5 2 2" xfId="24448" xr:uid="{00000000-0005-0000-0000-0000805E0000}"/>
    <cellStyle name="Normal 291 5 3" xfId="24449" xr:uid="{00000000-0005-0000-0000-0000815E0000}"/>
    <cellStyle name="Normal 291 6" xfId="24450" xr:uid="{00000000-0005-0000-0000-0000825E0000}"/>
    <cellStyle name="Normal 291 6 2" xfId="24451" xr:uid="{00000000-0005-0000-0000-0000835E0000}"/>
    <cellStyle name="Normal 291 6 2 2" xfId="24452" xr:uid="{00000000-0005-0000-0000-0000845E0000}"/>
    <cellStyle name="Normal 291 6 3" xfId="24453" xr:uid="{00000000-0005-0000-0000-0000855E0000}"/>
    <cellStyle name="Normal 291 7" xfId="24454" xr:uid="{00000000-0005-0000-0000-0000865E0000}"/>
    <cellStyle name="Normal 292" xfId="24455" xr:uid="{00000000-0005-0000-0000-0000875E0000}"/>
    <cellStyle name="Normal 292 2" xfId="24456" xr:uid="{00000000-0005-0000-0000-0000885E0000}"/>
    <cellStyle name="Normal 292 2 2" xfId="24457" xr:uid="{00000000-0005-0000-0000-0000895E0000}"/>
    <cellStyle name="Normal 292 2 2 2" xfId="24458" xr:uid="{00000000-0005-0000-0000-00008A5E0000}"/>
    <cellStyle name="Normal 292 2 3" xfId="24459" xr:uid="{00000000-0005-0000-0000-00008B5E0000}"/>
    <cellStyle name="Normal 292 2 3 2" xfId="24460" xr:uid="{00000000-0005-0000-0000-00008C5E0000}"/>
    <cellStyle name="Normal 292 2 3 2 2" xfId="24461" xr:uid="{00000000-0005-0000-0000-00008D5E0000}"/>
    <cellStyle name="Normal 292 2 3 3" xfId="24462" xr:uid="{00000000-0005-0000-0000-00008E5E0000}"/>
    <cellStyle name="Normal 292 2 4" xfId="24463" xr:uid="{00000000-0005-0000-0000-00008F5E0000}"/>
    <cellStyle name="Normal 292 2 4 2" xfId="24464" xr:uid="{00000000-0005-0000-0000-0000905E0000}"/>
    <cellStyle name="Normal 292 2 4 2 2" xfId="24465" xr:uid="{00000000-0005-0000-0000-0000915E0000}"/>
    <cellStyle name="Normal 292 2 4 3" xfId="24466" xr:uid="{00000000-0005-0000-0000-0000925E0000}"/>
    <cellStyle name="Normal 292 2 5" xfId="24467" xr:uid="{00000000-0005-0000-0000-0000935E0000}"/>
    <cellStyle name="Normal 292 3" xfId="24468" xr:uid="{00000000-0005-0000-0000-0000945E0000}"/>
    <cellStyle name="Normal 292 3 2" xfId="24469" xr:uid="{00000000-0005-0000-0000-0000955E0000}"/>
    <cellStyle name="Normal 292 3 2 2" xfId="24470" xr:uid="{00000000-0005-0000-0000-0000965E0000}"/>
    <cellStyle name="Normal 292 3 2 2 2" xfId="24471" xr:uid="{00000000-0005-0000-0000-0000975E0000}"/>
    <cellStyle name="Normal 292 3 2 3" xfId="24472" xr:uid="{00000000-0005-0000-0000-0000985E0000}"/>
    <cellStyle name="Normal 292 3 2 3 2" xfId="24473" xr:uid="{00000000-0005-0000-0000-0000995E0000}"/>
    <cellStyle name="Normal 292 3 2 3 2 2" xfId="24474" xr:uid="{00000000-0005-0000-0000-00009A5E0000}"/>
    <cellStyle name="Normal 292 3 2 3 3" xfId="24475" xr:uid="{00000000-0005-0000-0000-00009B5E0000}"/>
    <cellStyle name="Normal 292 3 2 4" xfId="24476" xr:uid="{00000000-0005-0000-0000-00009C5E0000}"/>
    <cellStyle name="Normal 292 3 3" xfId="24477" xr:uid="{00000000-0005-0000-0000-00009D5E0000}"/>
    <cellStyle name="Normal 292 3 3 2" xfId="24478" xr:uid="{00000000-0005-0000-0000-00009E5E0000}"/>
    <cellStyle name="Normal 292 3 3 2 2" xfId="24479" xr:uid="{00000000-0005-0000-0000-00009F5E0000}"/>
    <cellStyle name="Normal 292 3 3 3" xfId="24480" xr:uid="{00000000-0005-0000-0000-0000A05E0000}"/>
    <cellStyle name="Normal 292 3 4" xfId="24481" xr:uid="{00000000-0005-0000-0000-0000A15E0000}"/>
    <cellStyle name="Normal 292 3 4 2" xfId="24482" xr:uid="{00000000-0005-0000-0000-0000A25E0000}"/>
    <cellStyle name="Normal 292 3 4 2 2" xfId="24483" xr:uid="{00000000-0005-0000-0000-0000A35E0000}"/>
    <cellStyle name="Normal 292 3 4 3" xfId="24484" xr:uid="{00000000-0005-0000-0000-0000A45E0000}"/>
    <cellStyle name="Normal 292 3 5" xfId="24485" xr:uid="{00000000-0005-0000-0000-0000A55E0000}"/>
    <cellStyle name="Normal 292 3 5 2" xfId="24486" xr:uid="{00000000-0005-0000-0000-0000A65E0000}"/>
    <cellStyle name="Normal 292 3 5 2 2" xfId="24487" xr:uid="{00000000-0005-0000-0000-0000A75E0000}"/>
    <cellStyle name="Normal 292 3 5 3" xfId="24488" xr:uid="{00000000-0005-0000-0000-0000A85E0000}"/>
    <cellStyle name="Normal 292 3 6" xfId="24489" xr:uid="{00000000-0005-0000-0000-0000A95E0000}"/>
    <cellStyle name="Normal 292 4" xfId="24490" xr:uid="{00000000-0005-0000-0000-0000AA5E0000}"/>
    <cellStyle name="Normal 292 4 2" xfId="24491" xr:uid="{00000000-0005-0000-0000-0000AB5E0000}"/>
    <cellStyle name="Normal 292 4 2 2" xfId="24492" xr:uid="{00000000-0005-0000-0000-0000AC5E0000}"/>
    <cellStyle name="Normal 292 4 3" xfId="24493" xr:uid="{00000000-0005-0000-0000-0000AD5E0000}"/>
    <cellStyle name="Normal 292 5" xfId="24494" xr:uid="{00000000-0005-0000-0000-0000AE5E0000}"/>
    <cellStyle name="Normal 292 5 2" xfId="24495" xr:uid="{00000000-0005-0000-0000-0000AF5E0000}"/>
    <cellStyle name="Normal 292 5 2 2" xfId="24496" xr:uid="{00000000-0005-0000-0000-0000B05E0000}"/>
    <cellStyle name="Normal 292 5 3" xfId="24497" xr:uid="{00000000-0005-0000-0000-0000B15E0000}"/>
    <cellStyle name="Normal 292 6" xfId="24498" xr:uid="{00000000-0005-0000-0000-0000B25E0000}"/>
    <cellStyle name="Normal 292 6 2" xfId="24499" xr:uid="{00000000-0005-0000-0000-0000B35E0000}"/>
    <cellStyle name="Normal 292 6 2 2" xfId="24500" xr:uid="{00000000-0005-0000-0000-0000B45E0000}"/>
    <cellStyle name="Normal 292 6 3" xfId="24501" xr:uid="{00000000-0005-0000-0000-0000B55E0000}"/>
    <cellStyle name="Normal 292 7" xfId="24502" xr:uid="{00000000-0005-0000-0000-0000B65E0000}"/>
    <cellStyle name="Normal 293" xfId="24503" xr:uid="{00000000-0005-0000-0000-0000B75E0000}"/>
    <cellStyle name="Normal 293 2" xfId="24504" xr:uid="{00000000-0005-0000-0000-0000B85E0000}"/>
    <cellStyle name="Normal 293 2 2" xfId="24505" xr:uid="{00000000-0005-0000-0000-0000B95E0000}"/>
    <cellStyle name="Normal 293 2 2 2" xfId="24506" xr:uid="{00000000-0005-0000-0000-0000BA5E0000}"/>
    <cellStyle name="Normal 293 2 3" xfId="24507" xr:uid="{00000000-0005-0000-0000-0000BB5E0000}"/>
    <cellStyle name="Normal 293 2 3 2" xfId="24508" xr:uid="{00000000-0005-0000-0000-0000BC5E0000}"/>
    <cellStyle name="Normal 293 2 3 2 2" xfId="24509" xr:uid="{00000000-0005-0000-0000-0000BD5E0000}"/>
    <cellStyle name="Normal 293 2 3 3" xfId="24510" xr:uid="{00000000-0005-0000-0000-0000BE5E0000}"/>
    <cellStyle name="Normal 293 2 4" xfId="24511" xr:uid="{00000000-0005-0000-0000-0000BF5E0000}"/>
    <cellStyle name="Normal 293 2 4 2" xfId="24512" xr:uid="{00000000-0005-0000-0000-0000C05E0000}"/>
    <cellStyle name="Normal 293 2 4 2 2" xfId="24513" xr:uid="{00000000-0005-0000-0000-0000C15E0000}"/>
    <cellStyle name="Normal 293 2 4 3" xfId="24514" xr:uid="{00000000-0005-0000-0000-0000C25E0000}"/>
    <cellStyle name="Normal 293 2 5" xfId="24515" xr:uid="{00000000-0005-0000-0000-0000C35E0000}"/>
    <cellStyle name="Normal 293 3" xfId="24516" xr:uid="{00000000-0005-0000-0000-0000C45E0000}"/>
    <cellStyle name="Normal 293 3 2" xfId="24517" xr:uid="{00000000-0005-0000-0000-0000C55E0000}"/>
    <cellStyle name="Normal 293 3 2 2" xfId="24518" xr:uid="{00000000-0005-0000-0000-0000C65E0000}"/>
    <cellStyle name="Normal 293 3 2 2 2" xfId="24519" xr:uid="{00000000-0005-0000-0000-0000C75E0000}"/>
    <cellStyle name="Normal 293 3 2 3" xfId="24520" xr:uid="{00000000-0005-0000-0000-0000C85E0000}"/>
    <cellStyle name="Normal 293 3 2 3 2" xfId="24521" xr:uid="{00000000-0005-0000-0000-0000C95E0000}"/>
    <cellStyle name="Normal 293 3 2 3 2 2" xfId="24522" xr:uid="{00000000-0005-0000-0000-0000CA5E0000}"/>
    <cellStyle name="Normal 293 3 2 3 3" xfId="24523" xr:uid="{00000000-0005-0000-0000-0000CB5E0000}"/>
    <cellStyle name="Normal 293 3 2 4" xfId="24524" xr:uid="{00000000-0005-0000-0000-0000CC5E0000}"/>
    <cellStyle name="Normal 293 3 3" xfId="24525" xr:uid="{00000000-0005-0000-0000-0000CD5E0000}"/>
    <cellStyle name="Normal 293 3 3 2" xfId="24526" xr:uid="{00000000-0005-0000-0000-0000CE5E0000}"/>
    <cellStyle name="Normal 293 3 3 2 2" xfId="24527" xr:uid="{00000000-0005-0000-0000-0000CF5E0000}"/>
    <cellStyle name="Normal 293 3 3 3" xfId="24528" xr:uid="{00000000-0005-0000-0000-0000D05E0000}"/>
    <cellStyle name="Normal 293 3 4" xfId="24529" xr:uid="{00000000-0005-0000-0000-0000D15E0000}"/>
    <cellStyle name="Normal 293 3 4 2" xfId="24530" xr:uid="{00000000-0005-0000-0000-0000D25E0000}"/>
    <cellStyle name="Normal 293 3 4 2 2" xfId="24531" xr:uid="{00000000-0005-0000-0000-0000D35E0000}"/>
    <cellStyle name="Normal 293 3 4 3" xfId="24532" xr:uid="{00000000-0005-0000-0000-0000D45E0000}"/>
    <cellStyle name="Normal 293 3 5" xfId="24533" xr:uid="{00000000-0005-0000-0000-0000D55E0000}"/>
    <cellStyle name="Normal 293 3 5 2" xfId="24534" xr:uid="{00000000-0005-0000-0000-0000D65E0000}"/>
    <cellStyle name="Normal 293 3 5 2 2" xfId="24535" xr:uid="{00000000-0005-0000-0000-0000D75E0000}"/>
    <cellStyle name="Normal 293 3 5 3" xfId="24536" xr:uid="{00000000-0005-0000-0000-0000D85E0000}"/>
    <cellStyle name="Normal 293 3 6" xfId="24537" xr:uid="{00000000-0005-0000-0000-0000D95E0000}"/>
    <cellStyle name="Normal 293 4" xfId="24538" xr:uid="{00000000-0005-0000-0000-0000DA5E0000}"/>
    <cellStyle name="Normal 293 4 2" xfId="24539" xr:uid="{00000000-0005-0000-0000-0000DB5E0000}"/>
    <cellStyle name="Normal 293 4 2 2" xfId="24540" xr:uid="{00000000-0005-0000-0000-0000DC5E0000}"/>
    <cellStyle name="Normal 293 4 3" xfId="24541" xr:uid="{00000000-0005-0000-0000-0000DD5E0000}"/>
    <cellStyle name="Normal 293 5" xfId="24542" xr:uid="{00000000-0005-0000-0000-0000DE5E0000}"/>
    <cellStyle name="Normal 293 5 2" xfId="24543" xr:uid="{00000000-0005-0000-0000-0000DF5E0000}"/>
    <cellStyle name="Normal 293 5 2 2" xfId="24544" xr:uid="{00000000-0005-0000-0000-0000E05E0000}"/>
    <cellStyle name="Normal 293 5 3" xfId="24545" xr:uid="{00000000-0005-0000-0000-0000E15E0000}"/>
    <cellStyle name="Normal 293 6" xfId="24546" xr:uid="{00000000-0005-0000-0000-0000E25E0000}"/>
    <cellStyle name="Normal 293 6 2" xfId="24547" xr:uid="{00000000-0005-0000-0000-0000E35E0000}"/>
    <cellStyle name="Normal 293 6 2 2" xfId="24548" xr:uid="{00000000-0005-0000-0000-0000E45E0000}"/>
    <cellStyle name="Normal 293 6 3" xfId="24549" xr:uid="{00000000-0005-0000-0000-0000E55E0000}"/>
    <cellStyle name="Normal 293 7" xfId="24550" xr:uid="{00000000-0005-0000-0000-0000E65E0000}"/>
    <cellStyle name="Normal 294" xfId="24551" xr:uid="{00000000-0005-0000-0000-0000E75E0000}"/>
    <cellStyle name="Normal 294 2" xfId="24552" xr:uid="{00000000-0005-0000-0000-0000E85E0000}"/>
    <cellStyle name="Normal 294 2 2" xfId="24553" xr:uid="{00000000-0005-0000-0000-0000E95E0000}"/>
    <cellStyle name="Normal 294 2 2 2" xfId="24554" xr:uid="{00000000-0005-0000-0000-0000EA5E0000}"/>
    <cellStyle name="Normal 294 2 3" xfId="24555" xr:uid="{00000000-0005-0000-0000-0000EB5E0000}"/>
    <cellStyle name="Normal 294 2 3 2" xfId="24556" xr:uid="{00000000-0005-0000-0000-0000EC5E0000}"/>
    <cellStyle name="Normal 294 2 3 2 2" xfId="24557" xr:uid="{00000000-0005-0000-0000-0000ED5E0000}"/>
    <cellStyle name="Normal 294 2 3 3" xfId="24558" xr:uid="{00000000-0005-0000-0000-0000EE5E0000}"/>
    <cellStyle name="Normal 294 2 4" xfId="24559" xr:uid="{00000000-0005-0000-0000-0000EF5E0000}"/>
    <cellStyle name="Normal 294 2 4 2" xfId="24560" xr:uid="{00000000-0005-0000-0000-0000F05E0000}"/>
    <cellStyle name="Normal 294 2 4 2 2" xfId="24561" xr:uid="{00000000-0005-0000-0000-0000F15E0000}"/>
    <cellStyle name="Normal 294 2 4 3" xfId="24562" xr:uid="{00000000-0005-0000-0000-0000F25E0000}"/>
    <cellStyle name="Normal 294 2 5" xfId="24563" xr:uid="{00000000-0005-0000-0000-0000F35E0000}"/>
    <cellStyle name="Normal 294 3" xfId="24564" xr:uid="{00000000-0005-0000-0000-0000F45E0000}"/>
    <cellStyle name="Normal 294 3 2" xfId="24565" xr:uid="{00000000-0005-0000-0000-0000F55E0000}"/>
    <cellStyle name="Normal 294 3 2 2" xfId="24566" xr:uid="{00000000-0005-0000-0000-0000F65E0000}"/>
    <cellStyle name="Normal 294 3 2 2 2" xfId="24567" xr:uid="{00000000-0005-0000-0000-0000F75E0000}"/>
    <cellStyle name="Normal 294 3 2 3" xfId="24568" xr:uid="{00000000-0005-0000-0000-0000F85E0000}"/>
    <cellStyle name="Normal 294 3 2 3 2" xfId="24569" xr:uid="{00000000-0005-0000-0000-0000F95E0000}"/>
    <cellStyle name="Normal 294 3 2 3 2 2" xfId="24570" xr:uid="{00000000-0005-0000-0000-0000FA5E0000}"/>
    <cellStyle name="Normal 294 3 2 3 3" xfId="24571" xr:uid="{00000000-0005-0000-0000-0000FB5E0000}"/>
    <cellStyle name="Normal 294 3 2 4" xfId="24572" xr:uid="{00000000-0005-0000-0000-0000FC5E0000}"/>
    <cellStyle name="Normal 294 3 3" xfId="24573" xr:uid="{00000000-0005-0000-0000-0000FD5E0000}"/>
    <cellStyle name="Normal 294 3 3 2" xfId="24574" xr:uid="{00000000-0005-0000-0000-0000FE5E0000}"/>
    <cellStyle name="Normal 294 3 3 2 2" xfId="24575" xr:uid="{00000000-0005-0000-0000-0000FF5E0000}"/>
    <cellStyle name="Normal 294 3 3 3" xfId="24576" xr:uid="{00000000-0005-0000-0000-0000005F0000}"/>
    <cellStyle name="Normal 294 3 4" xfId="24577" xr:uid="{00000000-0005-0000-0000-0000015F0000}"/>
    <cellStyle name="Normal 294 3 4 2" xfId="24578" xr:uid="{00000000-0005-0000-0000-0000025F0000}"/>
    <cellStyle name="Normal 294 3 4 2 2" xfId="24579" xr:uid="{00000000-0005-0000-0000-0000035F0000}"/>
    <cellStyle name="Normal 294 3 4 3" xfId="24580" xr:uid="{00000000-0005-0000-0000-0000045F0000}"/>
    <cellStyle name="Normal 294 3 5" xfId="24581" xr:uid="{00000000-0005-0000-0000-0000055F0000}"/>
    <cellStyle name="Normal 294 3 5 2" xfId="24582" xr:uid="{00000000-0005-0000-0000-0000065F0000}"/>
    <cellStyle name="Normal 294 3 5 2 2" xfId="24583" xr:uid="{00000000-0005-0000-0000-0000075F0000}"/>
    <cellStyle name="Normal 294 3 5 3" xfId="24584" xr:uid="{00000000-0005-0000-0000-0000085F0000}"/>
    <cellStyle name="Normal 294 3 6" xfId="24585" xr:uid="{00000000-0005-0000-0000-0000095F0000}"/>
    <cellStyle name="Normal 294 4" xfId="24586" xr:uid="{00000000-0005-0000-0000-00000A5F0000}"/>
    <cellStyle name="Normal 294 4 2" xfId="24587" xr:uid="{00000000-0005-0000-0000-00000B5F0000}"/>
    <cellStyle name="Normal 294 4 2 2" xfId="24588" xr:uid="{00000000-0005-0000-0000-00000C5F0000}"/>
    <cellStyle name="Normal 294 4 3" xfId="24589" xr:uid="{00000000-0005-0000-0000-00000D5F0000}"/>
    <cellStyle name="Normal 294 5" xfId="24590" xr:uid="{00000000-0005-0000-0000-00000E5F0000}"/>
    <cellStyle name="Normal 294 5 2" xfId="24591" xr:uid="{00000000-0005-0000-0000-00000F5F0000}"/>
    <cellStyle name="Normal 294 5 2 2" xfId="24592" xr:uid="{00000000-0005-0000-0000-0000105F0000}"/>
    <cellStyle name="Normal 294 5 3" xfId="24593" xr:uid="{00000000-0005-0000-0000-0000115F0000}"/>
    <cellStyle name="Normal 294 6" xfId="24594" xr:uid="{00000000-0005-0000-0000-0000125F0000}"/>
    <cellStyle name="Normal 294 6 2" xfId="24595" xr:uid="{00000000-0005-0000-0000-0000135F0000}"/>
    <cellStyle name="Normal 294 6 2 2" xfId="24596" xr:uid="{00000000-0005-0000-0000-0000145F0000}"/>
    <cellStyle name="Normal 294 6 3" xfId="24597" xr:uid="{00000000-0005-0000-0000-0000155F0000}"/>
    <cellStyle name="Normal 294 7" xfId="24598" xr:uid="{00000000-0005-0000-0000-0000165F0000}"/>
    <cellStyle name="Normal 295" xfId="24599" xr:uid="{00000000-0005-0000-0000-0000175F0000}"/>
    <cellStyle name="Normal 295 2" xfId="24600" xr:uid="{00000000-0005-0000-0000-0000185F0000}"/>
    <cellStyle name="Normal 295 2 2" xfId="24601" xr:uid="{00000000-0005-0000-0000-0000195F0000}"/>
    <cellStyle name="Normal 295 2 2 2" xfId="24602" xr:uid="{00000000-0005-0000-0000-00001A5F0000}"/>
    <cellStyle name="Normal 295 2 3" xfId="24603" xr:uid="{00000000-0005-0000-0000-00001B5F0000}"/>
    <cellStyle name="Normal 295 2 3 2" xfId="24604" xr:uid="{00000000-0005-0000-0000-00001C5F0000}"/>
    <cellStyle name="Normal 295 2 3 2 2" xfId="24605" xr:uid="{00000000-0005-0000-0000-00001D5F0000}"/>
    <cellStyle name="Normal 295 2 3 3" xfId="24606" xr:uid="{00000000-0005-0000-0000-00001E5F0000}"/>
    <cellStyle name="Normal 295 2 4" xfId="24607" xr:uid="{00000000-0005-0000-0000-00001F5F0000}"/>
    <cellStyle name="Normal 295 2 4 2" xfId="24608" xr:uid="{00000000-0005-0000-0000-0000205F0000}"/>
    <cellStyle name="Normal 295 2 4 2 2" xfId="24609" xr:uid="{00000000-0005-0000-0000-0000215F0000}"/>
    <cellStyle name="Normal 295 2 4 3" xfId="24610" xr:uid="{00000000-0005-0000-0000-0000225F0000}"/>
    <cellStyle name="Normal 295 2 5" xfId="24611" xr:uid="{00000000-0005-0000-0000-0000235F0000}"/>
    <cellStyle name="Normal 295 3" xfId="24612" xr:uid="{00000000-0005-0000-0000-0000245F0000}"/>
    <cellStyle name="Normal 295 3 2" xfId="24613" xr:uid="{00000000-0005-0000-0000-0000255F0000}"/>
    <cellStyle name="Normal 295 3 2 2" xfId="24614" xr:uid="{00000000-0005-0000-0000-0000265F0000}"/>
    <cellStyle name="Normal 295 3 2 2 2" xfId="24615" xr:uid="{00000000-0005-0000-0000-0000275F0000}"/>
    <cellStyle name="Normal 295 3 2 3" xfId="24616" xr:uid="{00000000-0005-0000-0000-0000285F0000}"/>
    <cellStyle name="Normal 295 3 2 3 2" xfId="24617" xr:uid="{00000000-0005-0000-0000-0000295F0000}"/>
    <cellStyle name="Normal 295 3 2 3 2 2" xfId="24618" xr:uid="{00000000-0005-0000-0000-00002A5F0000}"/>
    <cellStyle name="Normal 295 3 2 3 3" xfId="24619" xr:uid="{00000000-0005-0000-0000-00002B5F0000}"/>
    <cellStyle name="Normal 295 3 2 4" xfId="24620" xr:uid="{00000000-0005-0000-0000-00002C5F0000}"/>
    <cellStyle name="Normal 295 3 3" xfId="24621" xr:uid="{00000000-0005-0000-0000-00002D5F0000}"/>
    <cellStyle name="Normal 295 3 3 2" xfId="24622" xr:uid="{00000000-0005-0000-0000-00002E5F0000}"/>
    <cellStyle name="Normal 295 3 3 2 2" xfId="24623" xr:uid="{00000000-0005-0000-0000-00002F5F0000}"/>
    <cellStyle name="Normal 295 3 3 3" xfId="24624" xr:uid="{00000000-0005-0000-0000-0000305F0000}"/>
    <cellStyle name="Normal 295 3 4" xfId="24625" xr:uid="{00000000-0005-0000-0000-0000315F0000}"/>
    <cellStyle name="Normal 295 3 4 2" xfId="24626" xr:uid="{00000000-0005-0000-0000-0000325F0000}"/>
    <cellStyle name="Normal 295 3 4 2 2" xfId="24627" xr:uid="{00000000-0005-0000-0000-0000335F0000}"/>
    <cellStyle name="Normal 295 3 4 3" xfId="24628" xr:uid="{00000000-0005-0000-0000-0000345F0000}"/>
    <cellStyle name="Normal 295 3 5" xfId="24629" xr:uid="{00000000-0005-0000-0000-0000355F0000}"/>
    <cellStyle name="Normal 295 3 5 2" xfId="24630" xr:uid="{00000000-0005-0000-0000-0000365F0000}"/>
    <cellStyle name="Normal 295 3 5 2 2" xfId="24631" xr:uid="{00000000-0005-0000-0000-0000375F0000}"/>
    <cellStyle name="Normal 295 3 5 3" xfId="24632" xr:uid="{00000000-0005-0000-0000-0000385F0000}"/>
    <cellStyle name="Normal 295 3 6" xfId="24633" xr:uid="{00000000-0005-0000-0000-0000395F0000}"/>
    <cellStyle name="Normal 295 4" xfId="24634" xr:uid="{00000000-0005-0000-0000-00003A5F0000}"/>
    <cellStyle name="Normal 295 4 2" xfId="24635" xr:uid="{00000000-0005-0000-0000-00003B5F0000}"/>
    <cellStyle name="Normal 295 4 2 2" xfId="24636" xr:uid="{00000000-0005-0000-0000-00003C5F0000}"/>
    <cellStyle name="Normal 295 4 3" xfId="24637" xr:uid="{00000000-0005-0000-0000-00003D5F0000}"/>
    <cellStyle name="Normal 295 5" xfId="24638" xr:uid="{00000000-0005-0000-0000-00003E5F0000}"/>
    <cellStyle name="Normal 295 5 2" xfId="24639" xr:uid="{00000000-0005-0000-0000-00003F5F0000}"/>
    <cellStyle name="Normal 295 5 2 2" xfId="24640" xr:uid="{00000000-0005-0000-0000-0000405F0000}"/>
    <cellStyle name="Normal 295 5 3" xfId="24641" xr:uid="{00000000-0005-0000-0000-0000415F0000}"/>
    <cellStyle name="Normal 295 6" xfId="24642" xr:uid="{00000000-0005-0000-0000-0000425F0000}"/>
    <cellStyle name="Normal 295 6 2" xfId="24643" xr:uid="{00000000-0005-0000-0000-0000435F0000}"/>
    <cellStyle name="Normal 295 6 2 2" xfId="24644" xr:uid="{00000000-0005-0000-0000-0000445F0000}"/>
    <cellStyle name="Normal 295 6 3" xfId="24645" xr:uid="{00000000-0005-0000-0000-0000455F0000}"/>
    <cellStyle name="Normal 295 7" xfId="24646" xr:uid="{00000000-0005-0000-0000-0000465F0000}"/>
    <cellStyle name="Normal 296" xfId="24647" xr:uid="{00000000-0005-0000-0000-0000475F0000}"/>
    <cellStyle name="Normal 296 2" xfId="24648" xr:uid="{00000000-0005-0000-0000-0000485F0000}"/>
    <cellStyle name="Normal 296 2 2" xfId="24649" xr:uid="{00000000-0005-0000-0000-0000495F0000}"/>
    <cellStyle name="Normal 296 2 2 2" xfId="24650" xr:uid="{00000000-0005-0000-0000-00004A5F0000}"/>
    <cellStyle name="Normal 296 2 3" xfId="24651" xr:uid="{00000000-0005-0000-0000-00004B5F0000}"/>
    <cellStyle name="Normal 296 2 3 2" xfId="24652" xr:uid="{00000000-0005-0000-0000-00004C5F0000}"/>
    <cellStyle name="Normal 296 2 3 2 2" xfId="24653" xr:uid="{00000000-0005-0000-0000-00004D5F0000}"/>
    <cellStyle name="Normal 296 2 3 3" xfId="24654" xr:uid="{00000000-0005-0000-0000-00004E5F0000}"/>
    <cellStyle name="Normal 296 2 4" xfId="24655" xr:uid="{00000000-0005-0000-0000-00004F5F0000}"/>
    <cellStyle name="Normal 296 2 4 2" xfId="24656" xr:uid="{00000000-0005-0000-0000-0000505F0000}"/>
    <cellStyle name="Normal 296 2 4 2 2" xfId="24657" xr:uid="{00000000-0005-0000-0000-0000515F0000}"/>
    <cellStyle name="Normal 296 2 4 3" xfId="24658" xr:uid="{00000000-0005-0000-0000-0000525F0000}"/>
    <cellStyle name="Normal 296 2 5" xfId="24659" xr:uid="{00000000-0005-0000-0000-0000535F0000}"/>
    <cellStyle name="Normal 296 3" xfId="24660" xr:uid="{00000000-0005-0000-0000-0000545F0000}"/>
    <cellStyle name="Normal 296 3 2" xfId="24661" xr:uid="{00000000-0005-0000-0000-0000555F0000}"/>
    <cellStyle name="Normal 296 3 2 2" xfId="24662" xr:uid="{00000000-0005-0000-0000-0000565F0000}"/>
    <cellStyle name="Normal 296 3 2 2 2" xfId="24663" xr:uid="{00000000-0005-0000-0000-0000575F0000}"/>
    <cellStyle name="Normal 296 3 2 3" xfId="24664" xr:uid="{00000000-0005-0000-0000-0000585F0000}"/>
    <cellStyle name="Normal 296 3 2 3 2" xfId="24665" xr:uid="{00000000-0005-0000-0000-0000595F0000}"/>
    <cellStyle name="Normal 296 3 2 3 2 2" xfId="24666" xr:uid="{00000000-0005-0000-0000-00005A5F0000}"/>
    <cellStyle name="Normal 296 3 2 3 3" xfId="24667" xr:uid="{00000000-0005-0000-0000-00005B5F0000}"/>
    <cellStyle name="Normal 296 3 2 4" xfId="24668" xr:uid="{00000000-0005-0000-0000-00005C5F0000}"/>
    <cellStyle name="Normal 296 3 3" xfId="24669" xr:uid="{00000000-0005-0000-0000-00005D5F0000}"/>
    <cellStyle name="Normal 296 3 3 2" xfId="24670" xr:uid="{00000000-0005-0000-0000-00005E5F0000}"/>
    <cellStyle name="Normal 296 3 3 2 2" xfId="24671" xr:uid="{00000000-0005-0000-0000-00005F5F0000}"/>
    <cellStyle name="Normal 296 3 3 3" xfId="24672" xr:uid="{00000000-0005-0000-0000-0000605F0000}"/>
    <cellStyle name="Normal 296 3 4" xfId="24673" xr:uid="{00000000-0005-0000-0000-0000615F0000}"/>
    <cellStyle name="Normal 296 3 4 2" xfId="24674" xr:uid="{00000000-0005-0000-0000-0000625F0000}"/>
    <cellStyle name="Normal 296 3 4 2 2" xfId="24675" xr:uid="{00000000-0005-0000-0000-0000635F0000}"/>
    <cellStyle name="Normal 296 3 4 3" xfId="24676" xr:uid="{00000000-0005-0000-0000-0000645F0000}"/>
    <cellStyle name="Normal 296 3 5" xfId="24677" xr:uid="{00000000-0005-0000-0000-0000655F0000}"/>
    <cellStyle name="Normal 296 3 5 2" xfId="24678" xr:uid="{00000000-0005-0000-0000-0000665F0000}"/>
    <cellStyle name="Normal 296 3 5 2 2" xfId="24679" xr:uid="{00000000-0005-0000-0000-0000675F0000}"/>
    <cellStyle name="Normal 296 3 5 3" xfId="24680" xr:uid="{00000000-0005-0000-0000-0000685F0000}"/>
    <cellStyle name="Normal 296 3 6" xfId="24681" xr:uid="{00000000-0005-0000-0000-0000695F0000}"/>
    <cellStyle name="Normal 296 4" xfId="24682" xr:uid="{00000000-0005-0000-0000-00006A5F0000}"/>
    <cellStyle name="Normal 296 4 2" xfId="24683" xr:uid="{00000000-0005-0000-0000-00006B5F0000}"/>
    <cellStyle name="Normal 296 4 2 2" xfId="24684" xr:uid="{00000000-0005-0000-0000-00006C5F0000}"/>
    <cellStyle name="Normal 296 4 3" xfId="24685" xr:uid="{00000000-0005-0000-0000-00006D5F0000}"/>
    <cellStyle name="Normal 296 5" xfId="24686" xr:uid="{00000000-0005-0000-0000-00006E5F0000}"/>
    <cellStyle name="Normal 296 5 2" xfId="24687" xr:uid="{00000000-0005-0000-0000-00006F5F0000}"/>
    <cellStyle name="Normal 296 5 2 2" xfId="24688" xr:uid="{00000000-0005-0000-0000-0000705F0000}"/>
    <cellStyle name="Normal 296 5 3" xfId="24689" xr:uid="{00000000-0005-0000-0000-0000715F0000}"/>
    <cellStyle name="Normal 296 6" xfId="24690" xr:uid="{00000000-0005-0000-0000-0000725F0000}"/>
    <cellStyle name="Normal 296 6 2" xfId="24691" xr:uid="{00000000-0005-0000-0000-0000735F0000}"/>
    <cellStyle name="Normal 296 6 2 2" xfId="24692" xr:uid="{00000000-0005-0000-0000-0000745F0000}"/>
    <cellStyle name="Normal 296 6 3" xfId="24693" xr:uid="{00000000-0005-0000-0000-0000755F0000}"/>
    <cellStyle name="Normal 296 7" xfId="24694" xr:uid="{00000000-0005-0000-0000-0000765F0000}"/>
    <cellStyle name="Normal 297" xfId="24695" xr:uid="{00000000-0005-0000-0000-0000775F0000}"/>
    <cellStyle name="Normal 297 2" xfId="24696" xr:uid="{00000000-0005-0000-0000-0000785F0000}"/>
    <cellStyle name="Normal 297 2 2" xfId="24697" xr:uid="{00000000-0005-0000-0000-0000795F0000}"/>
    <cellStyle name="Normal 297 2 2 2" xfId="24698" xr:uid="{00000000-0005-0000-0000-00007A5F0000}"/>
    <cellStyle name="Normal 297 2 3" xfId="24699" xr:uid="{00000000-0005-0000-0000-00007B5F0000}"/>
    <cellStyle name="Normal 297 2 3 2" xfId="24700" xr:uid="{00000000-0005-0000-0000-00007C5F0000}"/>
    <cellStyle name="Normal 297 2 3 2 2" xfId="24701" xr:uid="{00000000-0005-0000-0000-00007D5F0000}"/>
    <cellStyle name="Normal 297 2 3 3" xfId="24702" xr:uid="{00000000-0005-0000-0000-00007E5F0000}"/>
    <cellStyle name="Normal 297 2 4" xfId="24703" xr:uid="{00000000-0005-0000-0000-00007F5F0000}"/>
    <cellStyle name="Normal 297 2 4 2" xfId="24704" xr:uid="{00000000-0005-0000-0000-0000805F0000}"/>
    <cellStyle name="Normal 297 2 4 2 2" xfId="24705" xr:uid="{00000000-0005-0000-0000-0000815F0000}"/>
    <cellStyle name="Normal 297 2 4 3" xfId="24706" xr:uid="{00000000-0005-0000-0000-0000825F0000}"/>
    <cellStyle name="Normal 297 2 5" xfId="24707" xr:uid="{00000000-0005-0000-0000-0000835F0000}"/>
    <cellStyle name="Normal 297 3" xfId="24708" xr:uid="{00000000-0005-0000-0000-0000845F0000}"/>
    <cellStyle name="Normal 297 3 2" xfId="24709" xr:uid="{00000000-0005-0000-0000-0000855F0000}"/>
    <cellStyle name="Normal 297 3 2 2" xfId="24710" xr:uid="{00000000-0005-0000-0000-0000865F0000}"/>
    <cellStyle name="Normal 297 3 2 2 2" xfId="24711" xr:uid="{00000000-0005-0000-0000-0000875F0000}"/>
    <cellStyle name="Normal 297 3 2 3" xfId="24712" xr:uid="{00000000-0005-0000-0000-0000885F0000}"/>
    <cellStyle name="Normal 297 3 2 3 2" xfId="24713" xr:uid="{00000000-0005-0000-0000-0000895F0000}"/>
    <cellStyle name="Normal 297 3 2 3 2 2" xfId="24714" xr:uid="{00000000-0005-0000-0000-00008A5F0000}"/>
    <cellStyle name="Normal 297 3 2 3 3" xfId="24715" xr:uid="{00000000-0005-0000-0000-00008B5F0000}"/>
    <cellStyle name="Normal 297 3 2 4" xfId="24716" xr:uid="{00000000-0005-0000-0000-00008C5F0000}"/>
    <cellStyle name="Normal 297 3 3" xfId="24717" xr:uid="{00000000-0005-0000-0000-00008D5F0000}"/>
    <cellStyle name="Normal 297 3 3 2" xfId="24718" xr:uid="{00000000-0005-0000-0000-00008E5F0000}"/>
    <cellStyle name="Normal 297 3 3 2 2" xfId="24719" xr:uid="{00000000-0005-0000-0000-00008F5F0000}"/>
    <cellStyle name="Normal 297 3 3 3" xfId="24720" xr:uid="{00000000-0005-0000-0000-0000905F0000}"/>
    <cellStyle name="Normal 297 3 4" xfId="24721" xr:uid="{00000000-0005-0000-0000-0000915F0000}"/>
    <cellStyle name="Normal 297 3 4 2" xfId="24722" xr:uid="{00000000-0005-0000-0000-0000925F0000}"/>
    <cellStyle name="Normal 297 3 4 2 2" xfId="24723" xr:uid="{00000000-0005-0000-0000-0000935F0000}"/>
    <cellStyle name="Normal 297 3 4 3" xfId="24724" xr:uid="{00000000-0005-0000-0000-0000945F0000}"/>
    <cellStyle name="Normal 297 3 5" xfId="24725" xr:uid="{00000000-0005-0000-0000-0000955F0000}"/>
    <cellStyle name="Normal 297 3 5 2" xfId="24726" xr:uid="{00000000-0005-0000-0000-0000965F0000}"/>
    <cellStyle name="Normal 297 3 5 2 2" xfId="24727" xr:uid="{00000000-0005-0000-0000-0000975F0000}"/>
    <cellStyle name="Normal 297 3 5 3" xfId="24728" xr:uid="{00000000-0005-0000-0000-0000985F0000}"/>
    <cellStyle name="Normal 297 3 6" xfId="24729" xr:uid="{00000000-0005-0000-0000-0000995F0000}"/>
    <cellStyle name="Normal 297 4" xfId="24730" xr:uid="{00000000-0005-0000-0000-00009A5F0000}"/>
    <cellStyle name="Normal 297 4 2" xfId="24731" xr:uid="{00000000-0005-0000-0000-00009B5F0000}"/>
    <cellStyle name="Normal 297 4 2 2" xfId="24732" xr:uid="{00000000-0005-0000-0000-00009C5F0000}"/>
    <cellStyle name="Normal 297 4 3" xfId="24733" xr:uid="{00000000-0005-0000-0000-00009D5F0000}"/>
    <cellStyle name="Normal 297 5" xfId="24734" xr:uid="{00000000-0005-0000-0000-00009E5F0000}"/>
    <cellStyle name="Normal 297 5 2" xfId="24735" xr:uid="{00000000-0005-0000-0000-00009F5F0000}"/>
    <cellStyle name="Normal 297 5 2 2" xfId="24736" xr:uid="{00000000-0005-0000-0000-0000A05F0000}"/>
    <cellStyle name="Normal 297 5 3" xfId="24737" xr:uid="{00000000-0005-0000-0000-0000A15F0000}"/>
    <cellStyle name="Normal 297 6" xfId="24738" xr:uid="{00000000-0005-0000-0000-0000A25F0000}"/>
    <cellStyle name="Normal 297 6 2" xfId="24739" xr:uid="{00000000-0005-0000-0000-0000A35F0000}"/>
    <cellStyle name="Normal 297 6 2 2" xfId="24740" xr:uid="{00000000-0005-0000-0000-0000A45F0000}"/>
    <cellStyle name="Normal 297 6 3" xfId="24741" xr:uid="{00000000-0005-0000-0000-0000A55F0000}"/>
    <cellStyle name="Normal 297 7" xfId="24742" xr:uid="{00000000-0005-0000-0000-0000A65F0000}"/>
    <cellStyle name="Normal 298" xfId="24743" xr:uid="{00000000-0005-0000-0000-0000A75F0000}"/>
    <cellStyle name="Normal 298 2" xfId="24744" xr:uid="{00000000-0005-0000-0000-0000A85F0000}"/>
    <cellStyle name="Normal 298 2 2" xfId="24745" xr:uid="{00000000-0005-0000-0000-0000A95F0000}"/>
    <cellStyle name="Normal 298 2 2 2" xfId="24746" xr:uid="{00000000-0005-0000-0000-0000AA5F0000}"/>
    <cellStyle name="Normal 298 2 3" xfId="24747" xr:uid="{00000000-0005-0000-0000-0000AB5F0000}"/>
    <cellStyle name="Normal 298 2 3 2" xfId="24748" xr:uid="{00000000-0005-0000-0000-0000AC5F0000}"/>
    <cellStyle name="Normal 298 2 3 2 2" xfId="24749" xr:uid="{00000000-0005-0000-0000-0000AD5F0000}"/>
    <cellStyle name="Normal 298 2 3 3" xfId="24750" xr:uid="{00000000-0005-0000-0000-0000AE5F0000}"/>
    <cellStyle name="Normal 298 2 4" xfId="24751" xr:uid="{00000000-0005-0000-0000-0000AF5F0000}"/>
    <cellStyle name="Normal 298 2 4 2" xfId="24752" xr:uid="{00000000-0005-0000-0000-0000B05F0000}"/>
    <cellStyle name="Normal 298 2 4 2 2" xfId="24753" xr:uid="{00000000-0005-0000-0000-0000B15F0000}"/>
    <cellStyle name="Normal 298 2 4 3" xfId="24754" xr:uid="{00000000-0005-0000-0000-0000B25F0000}"/>
    <cellStyle name="Normal 298 2 5" xfId="24755" xr:uid="{00000000-0005-0000-0000-0000B35F0000}"/>
    <cellStyle name="Normal 298 3" xfId="24756" xr:uid="{00000000-0005-0000-0000-0000B45F0000}"/>
    <cellStyle name="Normal 298 3 2" xfId="24757" xr:uid="{00000000-0005-0000-0000-0000B55F0000}"/>
    <cellStyle name="Normal 298 3 2 2" xfId="24758" xr:uid="{00000000-0005-0000-0000-0000B65F0000}"/>
    <cellStyle name="Normal 298 3 2 2 2" xfId="24759" xr:uid="{00000000-0005-0000-0000-0000B75F0000}"/>
    <cellStyle name="Normal 298 3 2 3" xfId="24760" xr:uid="{00000000-0005-0000-0000-0000B85F0000}"/>
    <cellStyle name="Normal 298 3 2 3 2" xfId="24761" xr:uid="{00000000-0005-0000-0000-0000B95F0000}"/>
    <cellStyle name="Normal 298 3 2 3 2 2" xfId="24762" xr:uid="{00000000-0005-0000-0000-0000BA5F0000}"/>
    <cellStyle name="Normal 298 3 2 3 3" xfId="24763" xr:uid="{00000000-0005-0000-0000-0000BB5F0000}"/>
    <cellStyle name="Normal 298 3 2 4" xfId="24764" xr:uid="{00000000-0005-0000-0000-0000BC5F0000}"/>
    <cellStyle name="Normal 298 3 3" xfId="24765" xr:uid="{00000000-0005-0000-0000-0000BD5F0000}"/>
    <cellStyle name="Normal 298 3 3 2" xfId="24766" xr:uid="{00000000-0005-0000-0000-0000BE5F0000}"/>
    <cellStyle name="Normal 298 3 3 2 2" xfId="24767" xr:uid="{00000000-0005-0000-0000-0000BF5F0000}"/>
    <cellStyle name="Normal 298 3 3 3" xfId="24768" xr:uid="{00000000-0005-0000-0000-0000C05F0000}"/>
    <cellStyle name="Normal 298 3 4" xfId="24769" xr:uid="{00000000-0005-0000-0000-0000C15F0000}"/>
    <cellStyle name="Normal 298 3 4 2" xfId="24770" xr:uid="{00000000-0005-0000-0000-0000C25F0000}"/>
    <cellStyle name="Normal 298 3 4 2 2" xfId="24771" xr:uid="{00000000-0005-0000-0000-0000C35F0000}"/>
    <cellStyle name="Normal 298 3 4 3" xfId="24772" xr:uid="{00000000-0005-0000-0000-0000C45F0000}"/>
    <cellStyle name="Normal 298 3 5" xfId="24773" xr:uid="{00000000-0005-0000-0000-0000C55F0000}"/>
    <cellStyle name="Normal 298 3 5 2" xfId="24774" xr:uid="{00000000-0005-0000-0000-0000C65F0000}"/>
    <cellStyle name="Normal 298 3 5 2 2" xfId="24775" xr:uid="{00000000-0005-0000-0000-0000C75F0000}"/>
    <cellStyle name="Normal 298 3 5 3" xfId="24776" xr:uid="{00000000-0005-0000-0000-0000C85F0000}"/>
    <cellStyle name="Normal 298 3 6" xfId="24777" xr:uid="{00000000-0005-0000-0000-0000C95F0000}"/>
    <cellStyle name="Normal 298 4" xfId="24778" xr:uid="{00000000-0005-0000-0000-0000CA5F0000}"/>
    <cellStyle name="Normal 298 4 2" xfId="24779" xr:uid="{00000000-0005-0000-0000-0000CB5F0000}"/>
    <cellStyle name="Normal 298 4 2 2" xfId="24780" xr:uid="{00000000-0005-0000-0000-0000CC5F0000}"/>
    <cellStyle name="Normal 298 4 3" xfId="24781" xr:uid="{00000000-0005-0000-0000-0000CD5F0000}"/>
    <cellStyle name="Normal 298 5" xfId="24782" xr:uid="{00000000-0005-0000-0000-0000CE5F0000}"/>
    <cellStyle name="Normal 298 5 2" xfId="24783" xr:uid="{00000000-0005-0000-0000-0000CF5F0000}"/>
    <cellStyle name="Normal 298 5 2 2" xfId="24784" xr:uid="{00000000-0005-0000-0000-0000D05F0000}"/>
    <cellStyle name="Normal 298 5 3" xfId="24785" xr:uid="{00000000-0005-0000-0000-0000D15F0000}"/>
    <cellStyle name="Normal 298 6" xfId="24786" xr:uid="{00000000-0005-0000-0000-0000D25F0000}"/>
    <cellStyle name="Normal 298 6 2" xfId="24787" xr:uid="{00000000-0005-0000-0000-0000D35F0000}"/>
    <cellStyle name="Normal 298 6 2 2" xfId="24788" xr:uid="{00000000-0005-0000-0000-0000D45F0000}"/>
    <cellStyle name="Normal 298 6 3" xfId="24789" xr:uid="{00000000-0005-0000-0000-0000D55F0000}"/>
    <cellStyle name="Normal 298 7" xfId="24790" xr:uid="{00000000-0005-0000-0000-0000D65F0000}"/>
    <cellStyle name="Normal 299" xfId="24791" xr:uid="{00000000-0005-0000-0000-0000D75F0000}"/>
    <cellStyle name="Normal 299 2" xfId="24792" xr:uid="{00000000-0005-0000-0000-0000D85F0000}"/>
    <cellStyle name="Normal 299 2 2" xfId="24793" xr:uid="{00000000-0005-0000-0000-0000D95F0000}"/>
    <cellStyle name="Normal 299 2 2 2" xfId="24794" xr:uid="{00000000-0005-0000-0000-0000DA5F0000}"/>
    <cellStyle name="Normal 299 2 3" xfId="24795" xr:uid="{00000000-0005-0000-0000-0000DB5F0000}"/>
    <cellStyle name="Normal 299 2 3 2" xfId="24796" xr:uid="{00000000-0005-0000-0000-0000DC5F0000}"/>
    <cellStyle name="Normal 299 2 3 2 2" xfId="24797" xr:uid="{00000000-0005-0000-0000-0000DD5F0000}"/>
    <cellStyle name="Normal 299 2 3 3" xfId="24798" xr:uid="{00000000-0005-0000-0000-0000DE5F0000}"/>
    <cellStyle name="Normal 299 2 4" xfId="24799" xr:uid="{00000000-0005-0000-0000-0000DF5F0000}"/>
    <cellStyle name="Normal 299 2 4 2" xfId="24800" xr:uid="{00000000-0005-0000-0000-0000E05F0000}"/>
    <cellStyle name="Normal 299 2 4 2 2" xfId="24801" xr:uid="{00000000-0005-0000-0000-0000E15F0000}"/>
    <cellStyle name="Normal 299 2 4 3" xfId="24802" xr:uid="{00000000-0005-0000-0000-0000E25F0000}"/>
    <cellStyle name="Normal 299 2 5" xfId="24803" xr:uid="{00000000-0005-0000-0000-0000E35F0000}"/>
    <cellStyle name="Normal 299 3" xfId="24804" xr:uid="{00000000-0005-0000-0000-0000E45F0000}"/>
    <cellStyle name="Normal 299 3 2" xfId="24805" xr:uid="{00000000-0005-0000-0000-0000E55F0000}"/>
    <cellStyle name="Normal 299 3 2 2" xfId="24806" xr:uid="{00000000-0005-0000-0000-0000E65F0000}"/>
    <cellStyle name="Normal 299 3 2 2 2" xfId="24807" xr:uid="{00000000-0005-0000-0000-0000E75F0000}"/>
    <cellStyle name="Normal 299 3 2 3" xfId="24808" xr:uid="{00000000-0005-0000-0000-0000E85F0000}"/>
    <cellStyle name="Normal 299 3 2 3 2" xfId="24809" xr:uid="{00000000-0005-0000-0000-0000E95F0000}"/>
    <cellStyle name="Normal 299 3 2 3 2 2" xfId="24810" xr:uid="{00000000-0005-0000-0000-0000EA5F0000}"/>
    <cellStyle name="Normal 299 3 2 3 3" xfId="24811" xr:uid="{00000000-0005-0000-0000-0000EB5F0000}"/>
    <cellStyle name="Normal 299 3 2 4" xfId="24812" xr:uid="{00000000-0005-0000-0000-0000EC5F0000}"/>
    <cellStyle name="Normal 299 3 3" xfId="24813" xr:uid="{00000000-0005-0000-0000-0000ED5F0000}"/>
    <cellStyle name="Normal 299 3 3 2" xfId="24814" xr:uid="{00000000-0005-0000-0000-0000EE5F0000}"/>
    <cellStyle name="Normal 299 3 3 2 2" xfId="24815" xr:uid="{00000000-0005-0000-0000-0000EF5F0000}"/>
    <cellStyle name="Normal 299 3 3 3" xfId="24816" xr:uid="{00000000-0005-0000-0000-0000F05F0000}"/>
    <cellStyle name="Normal 299 3 4" xfId="24817" xr:uid="{00000000-0005-0000-0000-0000F15F0000}"/>
    <cellStyle name="Normal 299 3 4 2" xfId="24818" xr:uid="{00000000-0005-0000-0000-0000F25F0000}"/>
    <cellStyle name="Normal 299 3 4 2 2" xfId="24819" xr:uid="{00000000-0005-0000-0000-0000F35F0000}"/>
    <cellStyle name="Normal 299 3 4 3" xfId="24820" xr:uid="{00000000-0005-0000-0000-0000F45F0000}"/>
    <cellStyle name="Normal 299 3 5" xfId="24821" xr:uid="{00000000-0005-0000-0000-0000F55F0000}"/>
    <cellStyle name="Normal 299 3 5 2" xfId="24822" xr:uid="{00000000-0005-0000-0000-0000F65F0000}"/>
    <cellStyle name="Normal 299 3 5 2 2" xfId="24823" xr:uid="{00000000-0005-0000-0000-0000F75F0000}"/>
    <cellStyle name="Normal 299 3 5 3" xfId="24824" xr:uid="{00000000-0005-0000-0000-0000F85F0000}"/>
    <cellStyle name="Normal 299 3 6" xfId="24825" xr:uid="{00000000-0005-0000-0000-0000F95F0000}"/>
    <cellStyle name="Normal 299 4" xfId="24826" xr:uid="{00000000-0005-0000-0000-0000FA5F0000}"/>
    <cellStyle name="Normal 299 4 2" xfId="24827" xr:uid="{00000000-0005-0000-0000-0000FB5F0000}"/>
    <cellStyle name="Normal 299 4 2 2" xfId="24828" xr:uid="{00000000-0005-0000-0000-0000FC5F0000}"/>
    <cellStyle name="Normal 299 4 3" xfId="24829" xr:uid="{00000000-0005-0000-0000-0000FD5F0000}"/>
    <cellStyle name="Normal 299 5" xfId="24830" xr:uid="{00000000-0005-0000-0000-0000FE5F0000}"/>
    <cellStyle name="Normal 299 5 2" xfId="24831" xr:uid="{00000000-0005-0000-0000-0000FF5F0000}"/>
    <cellStyle name="Normal 299 5 2 2" xfId="24832" xr:uid="{00000000-0005-0000-0000-000000600000}"/>
    <cellStyle name="Normal 299 5 3" xfId="24833" xr:uid="{00000000-0005-0000-0000-000001600000}"/>
    <cellStyle name="Normal 299 6" xfId="24834" xr:uid="{00000000-0005-0000-0000-000002600000}"/>
    <cellStyle name="Normal 299 6 2" xfId="24835" xr:uid="{00000000-0005-0000-0000-000003600000}"/>
    <cellStyle name="Normal 299 6 2 2" xfId="24836" xr:uid="{00000000-0005-0000-0000-000004600000}"/>
    <cellStyle name="Normal 299 6 3" xfId="24837" xr:uid="{00000000-0005-0000-0000-000005600000}"/>
    <cellStyle name="Normal 299 7" xfId="24838" xr:uid="{00000000-0005-0000-0000-000006600000}"/>
    <cellStyle name="Normal 3" xfId="80" xr:uid="{00000000-0005-0000-0000-000007600000}"/>
    <cellStyle name="Normal 3 10" xfId="24839" xr:uid="{00000000-0005-0000-0000-000008600000}"/>
    <cellStyle name="Normal 3 11" xfId="24840" xr:uid="{00000000-0005-0000-0000-000009600000}"/>
    <cellStyle name="Normal 3 12" xfId="24841" xr:uid="{00000000-0005-0000-0000-00000A600000}"/>
    <cellStyle name="Normal 3 2" xfId="32" xr:uid="{00000000-0005-0000-0000-00000B600000}"/>
    <cellStyle name="Normal 3 2 2" xfId="103" xr:uid="{00000000-0005-0000-0000-00000C600000}"/>
    <cellStyle name="Normal 3 2 2 2" xfId="24844" xr:uid="{00000000-0005-0000-0000-00000D600000}"/>
    <cellStyle name="Normal 3 2 2 2 2" xfId="24845" xr:uid="{00000000-0005-0000-0000-00000E600000}"/>
    <cellStyle name="Normal 3 2 2 2 2 2" xfId="24846" xr:uid="{00000000-0005-0000-0000-00000F600000}"/>
    <cellStyle name="Normal 3 2 2 2 3" xfId="24847" xr:uid="{00000000-0005-0000-0000-000010600000}"/>
    <cellStyle name="Normal 3 2 2 2 3 2" xfId="24848" xr:uid="{00000000-0005-0000-0000-000011600000}"/>
    <cellStyle name="Normal 3 2 2 2 3 2 2" xfId="24849" xr:uid="{00000000-0005-0000-0000-000012600000}"/>
    <cellStyle name="Normal 3 2 2 2 3 3" xfId="24850" xr:uid="{00000000-0005-0000-0000-000013600000}"/>
    <cellStyle name="Normal 3 2 2 2 4" xfId="24851" xr:uid="{00000000-0005-0000-0000-000014600000}"/>
    <cellStyle name="Normal 3 2 2 2 4 2" xfId="24852" xr:uid="{00000000-0005-0000-0000-000015600000}"/>
    <cellStyle name="Normal 3 2 2 2 4 2 2" xfId="24853" xr:uid="{00000000-0005-0000-0000-000016600000}"/>
    <cellStyle name="Normal 3 2 2 2 4 3" xfId="24854" xr:uid="{00000000-0005-0000-0000-000017600000}"/>
    <cellStyle name="Normal 3 2 2 2 5" xfId="24855" xr:uid="{00000000-0005-0000-0000-000018600000}"/>
    <cellStyle name="Normal 3 2 2 3" xfId="24856" xr:uid="{00000000-0005-0000-0000-000019600000}"/>
    <cellStyle name="Normal 3 2 2 3 2" xfId="24857" xr:uid="{00000000-0005-0000-0000-00001A600000}"/>
    <cellStyle name="Normal 3 2 2 3 2 2" xfId="24858" xr:uid="{00000000-0005-0000-0000-00001B600000}"/>
    <cellStyle name="Normal 3 2 2 3 2 2 2" xfId="24859" xr:uid="{00000000-0005-0000-0000-00001C600000}"/>
    <cellStyle name="Normal 3 2 2 3 2 3" xfId="24860" xr:uid="{00000000-0005-0000-0000-00001D600000}"/>
    <cellStyle name="Normal 3 2 2 3 2 3 2" xfId="24861" xr:uid="{00000000-0005-0000-0000-00001E600000}"/>
    <cellStyle name="Normal 3 2 2 3 2 3 2 2" xfId="24862" xr:uid="{00000000-0005-0000-0000-00001F600000}"/>
    <cellStyle name="Normal 3 2 2 3 2 3 3" xfId="24863" xr:uid="{00000000-0005-0000-0000-000020600000}"/>
    <cellStyle name="Normal 3 2 2 3 2 4" xfId="24864" xr:uid="{00000000-0005-0000-0000-000021600000}"/>
    <cellStyle name="Normal 3 2 2 3 3" xfId="24865" xr:uid="{00000000-0005-0000-0000-000022600000}"/>
    <cellStyle name="Normal 3 2 2 3 3 2" xfId="24866" xr:uid="{00000000-0005-0000-0000-000023600000}"/>
    <cellStyle name="Normal 3 2 2 3 3 2 2" xfId="24867" xr:uid="{00000000-0005-0000-0000-000024600000}"/>
    <cellStyle name="Normal 3 2 2 3 3 3" xfId="24868" xr:uid="{00000000-0005-0000-0000-000025600000}"/>
    <cellStyle name="Normal 3 2 2 3 4" xfId="24869" xr:uid="{00000000-0005-0000-0000-000026600000}"/>
    <cellStyle name="Normal 3 2 2 3 4 2" xfId="24870" xr:uid="{00000000-0005-0000-0000-000027600000}"/>
    <cellStyle name="Normal 3 2 2 3 4 2 2" xfId="24871" xr:uid="{00000000-0005-0000-0000-000028600000}"/>
    <cellStyle name="Normal 3 2 2 3 4 3" xfId="24872" xr:uid="{00000000-0005-0000-0000-000029600000}"/>
    <cellStyle name="Normal 3 2 2 3 5" xfId="24873" xr:uid="{00000000-0005-0000-0000-00002A600000}"/>
    <cellStyle name="Normal 3 2 2 3 5 2" xfId="24874" xr:uid="{00000000-0005-0000-0000-00002B600000}"/>
    <cellStyle name="Normal 3 2 2 3 5 2 2" xfId="24875" xr:uid="{00000000-0005-0000-0000-00002C600000}"/>
    <cellStyle name="Normal 3 2 2 3 5 3" xfId="24876" xr:uid="{00000000-0005-0000-0000-00002D600000}"/>
    <cellStyle name="Normal 3 2 2 3 6" xfId="24877" xr:uid="{00000000-0005-0000-0000-00002E600000}"/>
    <cellStyle name="Normal 3 2 2 4" xfId="24878" xr:uid="{00000000-0005-0000-0000-00002F600000}"/>
    <cellStyle name="Normal 3 2 2 5" xfId="24843" xr:uid="{00000000-0005-0000-0000-000030600000}"/>
    <cellStyle name="Normal 3 2 3" xfId="24879" xr:uid="{00000000-0005-0000-0000-000031600000}"/>
    <cellStyle name="Normal 3 2 3 2" xfId="24880" xr:uid="{00000000-0005-0000-0000-000032600000}"/>
    <cellStyle name="Normal 3 2 3 2 2" xfId="24881" xr:uid="{00000000-0005-0000-0000-000033600000}"/>
    <cellStyle name="Normal 3 2 3 3" xfId="24882" xr:uid="{00000000-0005-0000-0000-000034600000}"/>
    <cellStyle name="Normal 3 2 3 3 2" xfId="24883" xr:uid="{00000000-0005-0000-0000-000035600000}"/>
    <cellStyle name="Normal 3 2 3 3 2 2" xfId="24884" xr:uid="{00000000-0005-0000-0000-000036600000}"/>
    <cellStyle name="Normal 3 2 3 3 3" xfId="24885" xr:uid="{00000000-0005-0000-0000-000037600000}"/>
    <cellStyle name="Normal 3 2 3 4" xfId="24886" xr:uid="{00000000-0005-0000-0000-000038600000}"/>
    <cellStyle name="Normal 3 2 3 4 2" xfId="24887" xr:uid="{00000000-0005-0000-0000-000039600000}"/>
    <cellStyle name="Normal 3 2 3 4 2 2" xfId="24888" xr:uid="{00000000-0005-0000-0000-00003A600000}"/>
    <cellStyle name="Normal 3 2 3 4 3" xfId="24889" xr:uid="{00000000-0005-0000-0000-00003B600000}"/>
    <cellStyle name="Normal 3 2 3 5" xfId="24890" xr:uid="{00000000-0005-0000-0000-00003C600000}"/>
    <cellStyle name="Normal 3 2 4" xfId="24891" xr:uid="{00000000-0005-0000-0000-00003D600000}"/>
    <cellStyle name="Normal 3 2 4 2" xfId="24892" xr:uid="{00000000-0005-0000-0000-00003E600000}"/>
    <cellStyle name="Normal 3 2 4 2 2" xfId="24893" xr:uid="{00000000-0005-0000-0000-00003F600000}"/>
    <cellStyle name="Normal 3 2 4 2 2 2" xfId="24894" xr:uid="{00000000-0005-0000-0000-000040600000}"/>
    <cellStyle name="Normal 3 2 4 2 3" xfId="24895" xr:uid="{00000000-0005-0000-0000-000041600000}"/>
    <cellStyle name="Normal 3 2 4 2 3 2" xfId="24896" xr:uid="{00000000-0005-0000-0000-000042600000}"/>
    <cellStyle name="Normal 3 2 4 2 3 2 2" xfId="24897" xr:uid="{00000000-0005-0000-0000-000043600000}"/>
    <cellStyle name="Normal 3 2 4 2 3 3" xfId="24898" xr:uid="{00000000-0005-0000-0000-000044600000}"/>
    <cellStyle name="Normal 3 2 4 2 4" xfId="24899" xr:uid="{00000000-0005-0000-0000-000045600000}"/>
    <cellStyle name="Normal 3 2 4 3" xfId="24900" xr:uid="{00000000-0005-0000-0000-000046600000}"/>
    <cellStyle name="Normal 3 2 4 3 2" xfId="24901" xr:uid="{00000000-0005-0000-0000-000047600000}"/>
    <cellStyle name="Normal 3 2 4 3 2 2" xfId="24902" xr:uid="{00000000-0005-0000-0000-000048600000}"/>
    <cellStyle name="Normal 3 2 4 3 3" xfId="24903" xr:uid="{00000000-0005-0000-0000-000049600000}"/>
    <cellStyle name="Normal 3 2 4 4" xfId="24904" xr:uid="{00000000-0005-0000-0000-00004A600000}"/>
    <cellStyle name="Normal 3 2 4 4 2" xfId="24905" xr:uid="{00000000-0005-0000-0000-00004B600000}"/>
    <cellStyle name="Normal 3 2 4 4 2 2" xfId="24906" xr:uid="{00000000-0005-0000-0000-00004C600000}"/>
    <cellStyle name="Normal 3 2 4 4 3" xfId="24907" xr:uid="{00000000-0005-0000-0000-00004D600000}"/>
    <cellStyle name="Normal 3 2 4 5" xfId="24908" xr:uid="{00000000-0005-0000-0000-00004E600000}"/>
    <cellStyle name="Normal 3 2 4 5 2" xfId="24909" xr:uid="{00000000-0005-0000-0000-00004F600000}"/>
    <cellStyle name="Normal 3 2 4 5 2 2" xfId="24910" xr:uid="{00000000-0005-0000-0000-000050600000}"/>
    <cellStyle name="Normal 3 2 4 5 3" xfId="24911" xr:uid="{00000000-0005-0000-0000-000051600000}"/>
    <cellStyle name="Normal 3 2 4 6" xfId="24912" xr:uid="{00000000-0005-0000-0000-000052600000}"/>
    <cellStyle name="Normal 3 2 5" xfId="24913" xr:uid="{00000000-0005-0000-0000-000053600000}"/>
    <cellStyle name="Normal 3 2 5 2" xfId="24914" xr:uid="{00000000-0005-0000-0000-000054600000}"/>
    <cellStyle name="Normal 3 2 5 2 2" xfId="24915" xr:uid="{00000000-0005-0000-0000-000055600000}"/>
    <cellStyle name="Normal 3 2 5 3" xfId="24916" xr:uid="{00000000-0005-0000-0000-000056600000}"/>
    <cellStyle name="Normal 3 2 6" xfId="24917" xr:uid="{00000000-0005-0000-0000-000057600000}"/>
    <cellStyle name="Normal 3 2 7" xfId="24842" xr:uid="{00000000-0005-0000-0000-000058600000}"/>
    <cellStyle name="Normal 3 3" xfId="24918" xr:uid="{00000000-0005-0000-0000-000059600000}"/>
    <cellStyle name="Normal 3 3 2" xfId="24919" xr:uid="{00000000-0005-0000-0000-00005A600000}"/>
    <cellStyle name="Normal 3 3 2 2" xfId="24920" xr:uid="{00000000-0005-0000-0000-00005B600000}"/>
    <cellStyle name="Normal 3 3 2 2 2" xfId="24921" xr:uid="{00000000-0005-0000-0000-00005C600000}"/>
    <cellStyle name="Normal 3 3 2 2 2 2" xfId="24922" xr:uid="{00000000-0005-0000-0000-00005D600000}"/>
    <cellStyle name="Normal 3 3 2 2 3" xfId="24923" xr:uid="{00000000-0005-0000-0000-00005E600000}"/>
    <cellStyle name="Normal 3 3 2 2 3 2" xfId="24924" xr:uid="{00000000-0005-0000-0000-00005F600000}"/>
    <cellStyle name="Normal 3 3 2 2 3 2 2" xfId="24925" xr:uid="{00000000-0005-0000-0000-000060600000}"/>
    <cellStyle name="Normal 3 3 2 2 3 3" xfId="24926" xr:uid="{00000000-0005-0000-0000-000061600000}"/>
    <cellStyle name="Normal 3 3 2 2 4" xfId="24927" xr:uid="{00000000-0005-0000-0000-000062600000}"/>
    <cellStyle name="Normal 3 3 2 2 4 2" xfId="24928" xr:uid="{00000000-0005-0000-0000-000063600000}"/>
    <cellStyle name="Normal 3 3 2 2 4 2 2" xfId="24929" xr:uid="{00000000-0005-0000-0000-000064600000}"/>
    <cellStyle name="Normal 3 3 2 2 4 3" xfId="24930" xr:uid="{00000000-0005-0000-0000-000065600000}"/>
    <cellStyle name="Normal 3 3 2 2 5" xfId="24931" xr:uid="{00000000-0005-0000-0000-000066600000}"/>
    <cellStyle name="Normal 3 3 2 3" xfId="24932" xr:uid="{00000000-0005-0000-0000-000067600000}"/>
    <cellStyle name="Normal 3 3 2 3 2" xfId="24933" xr:uid="{00000000-0005-0000-0000-000068600000}"/>
    <cellStyle name="Normal 3 3 2 3 2 2" xfId="24934" xr:uid="{00000000-0005-0000-0000-000069600000}"/>
    <cellStyle name="Normal 3 3 2 3 3" xfId="24935" xr:uid="{00000000-0005-0000-0000-00006A600000}"/>
    <cellStyle name="Normal 3 3 2 4" xfId="24936" xr:uid="{00000000-0005-0000-0000-00006B600000}"/>
    <cellStyle name="Normal 3 3 2 4 2" xfId="24937" xr:uid="{00000000-0005-0000-0000-00006C600000}"/>
    <cellStyle name="Normal 3 3 2 4 2 2" xfId="24938" xr:uid="{00000000-0005-0000-0000-00006D600000}"/>
    <cellStyle name="Normal 3 3 2 4 3" xfId="24939" xr:uid="{00000000-0005-0000-0000-00006E600000}"/>
    <cellStyle name="Normal 3 3 2 5" xfId="24940" xr:uid="{00000000-0005-0000-0000-00006F600000}"/>
    <cellStyle name="Normal 3 3 2 5 2" xfId="24941" xr:uid="{00000000-0005-0000-0000-000070600000}"/>
    <cellStyle name="Normal 3 3 2 5 2 2" xfId="24942" xr:uid="{00000000-0005-0000-0000-000071600000}"/>
    <cellStyle name="Normal 3 3 2 5 3" xfId="24943" xr:uid="{00000000-0005-0000-0000-000072600000}"/>
    <cellStyle name="Normal 3 3 2 6" xfId="24944" xr:uid="{00000000-0005-0000-0000-000073600000}"/>
    <cellStyle name="Normal 3 3 3" xfId="24945" xr:uid="{00000000-0005-0000-0000-000074600000}"/>
    <cellStyle name="Normal 3 3 3 2" xfId="24946" xr:uid="{00000000-0005-0000-0000-000075600000}"/>
    <cellStyle name="Normal 3 3 3 2 2" xfId="24947" xr:uid="{00000000-0005-0000-0000-000076600000}"/>
    <cellStyle name="Normal 3 3 3 3" xfId="24948" xr:uid="{00000000-0005-0000-0000-000077600000}"/>
    <cellStyle name="Normal 3 3 3 3 2" xfId="24949" xr:uid="{00000000-0005-0000-0000-000078600000}"/>
    <cellStyle name="Normal 3 3 3 3 2 2" xfId="24950" xr:uid="{00000000-0005-0000-0000-000079600000}"/>
    <cellStyle name="Normal 3 3 3 3 3" xfId="24951" xr:uid="{00000000-0005-0000-0000-00007A600000}"/>
    <cellStyle name="Normal 3 3 3 4" xfId="24952" xr:uid="{00000000-0005-0000-0000-00007B600000}"/>
    <cellStyle name="Normal 3 3 3 4 2" xfId="24953" xr:uid="{00000000-0005-0000-0000-00007C600000}"/>
    <cellStyle name="Normal 3 3 3 4 2 2" xfId="24954" xr:uid="{00000000-0005-0000-0000-00007D600000}"/>
    <cellStyle name="Normal 3 3 3 4 3" xfId="24955" xr:uid="{00000000-0005-0000-0000-00007E600000}"/>
    <cellStyle name="Normal 3 3 3 5" xfId="24956" xr:uid="{00000000-0005-0000-0000-00007F600000}"/>
    <cellStyle name="Normal 3 3 4" xfId="24957" xr:uid="{00000000-0005-0000-0000-000080600000}"/>
    <cellStyle name="Normal 3 3 4 2" xfId="24958" xr:uid="{00000000-0005-0000-0000-000081600000}"/>
    <cellStyle name="Normal 3 3 4 2 2" xfId="24959" xr:uid="{00000000-0005-0000-0000-000082600000}"/>
    <cellStyle name="Normal 3 3 4 2 2 2" xfId="24960" xr:uid="{00000000-0005-0000-0000-000083600000}"/>
    <cellStyle name="Normal 3 3 4 2 3" xfId="24961" xr:uid="{00000000-0005-0000-0000-000084600000}"/>
    <cellStyle name="Normal 3 3 4 2 3 2" xfId="24962" xr:uid="{00000000-0005-0000-0000-000085600000}"/>
    <cellStyle name="Normal 3 3 4 2 3 2 2" xfId="24963" xr:uid="{00000000-0005-0000-0000-000086600000}"/>
    <cellStyle name="Normal 3 3 4 2 3 3" xfId="24964" xr:uid="{00000000-0005-0000-0000-000087600000}"/>
    <cellStyle name="Normal 3 3 4 2 4" xfId="24965" xr:uid="{00000000-0005-0000-0000-000088600000}"/>
    <cellStyle name="Normal 3 3 4 3" xfId="24966" xr:uid="{00000000-0005-0000-0000-000089600000}"/>
    <cellStyle name="Normal 3 3 4 3 2" xfId="24967" xr:uid="{00000000-0005-0000-0000-00008A600000}"/>
    <cellStyle name="Normal 3 3 4 3 2 2" xfId="24968" xr:uid="{00000000-0005-0000-0000-00008B600000}"/>
    <cellStyle name="Normal 3 3 4 3 3" xfId="24969" xr:uid="{00000000-0005-0000-0000-00008C600000}"/>
    <cellStyle name="Normal 3 3 4 4" xfId="24970" xr:uid="{00000000-0005-0000-0000-00008D600000}"/>
    <cellStyle name="Normal 3 3 4 4 2" xfId="24971" xr:uid="{00000000-0005-0000-0000-00008E600000}"/>
    <cellStyle name="Normal 3 3 4 4 2 2" xfId="24972" xr:uid="{00000000-0005-0000-0000-00008F600000}"/>
    <cellStyle name="Normal 3 3 4 4 3" xfId="24973" xr:uid="{00000000-0005-0000-0000-000090600000}"/>
    <cellStyle name="Normal 3 3 4 5" xfId="24974" xr:uid="{00000000-0005-0000-0000-000091600000}"/>
    <cellStyle name="Normal 3 3 4 5 2" xfId="24975" xr:uid="{00000000-0005-0000-0000-000092600000}"/>
    <cellStyle name="Normal 3 3 4 5 2 2" xfId="24976" xr:uid="{00000000-0005-0000-0000-000093600000}"/>
    <cellStyle name="Normal 3 3 4 5 3" xfId="24977" xr:uid="{00000000-0005-0000-0000-000094600000}"/>
    <cellStyle name="Normal 3 3 4 6" xfId="24978" xr:uid="{00000000-0005-0000-0000-000095600000}"/>
    <cellStyle name="Normal 3 3 5" xfId="24979" xr:uid="{00000000-0005-0000-0000-000096600000}"/>
    <cellStyle name="Normal 3 3 5 2" xfId="24980" xr:uid="{00000000-0005-0000-0000-000097600000}"/>
    <cellStyle name="Normal 3 3 5 2 2" xfId="24981" xr:uid="{00000000-0005-0000-0000-000098600000}"/>
    <cellStyle name="Normal 3 3 5 3" xfId="24982" xr:uid="{00000000-0005-0000-0000-000099600000}"/>
    <cellStyle name="Normal 3 3 6" xfId="24983" xr:uid="{00000000-0005-0000-0000-00009A600000}"/>
    <cellStyle name="Normal 3 3 6 2" xfId="24984" xr:uid="{00000000-0005-0000-0000-00009B600000}"/>
    <cellStyle name="Normal 3 3 6 2 2" xfId="24985" xr:uid="{00000000-0005-0000-0000-00009C600000}"/>
    <cellStyle name="Normal 3 3 6 3" xfId="24986" xr:uid="{00000000-0005-0000-0000-00009D600000}"/>
    <cellStyle name="Normal 3 3 7" xfId="24987" xr:uid="{00000000-0005-0000-0000-00009E600000}"/>
    <cellStyle name="Normal 3 3 7 2" xfId="24988" xr:uid="{00000000-0005-0000-0000-00009F600000}"/>
    <cellStyle name="Normal 3 3 7 2 2" xfId="24989" xr:uid="{00000000-0005-0000-0000-0000A0600000}"/>
    <cellStyle name="Normal 3 3 7 3" xfId="24990" xr:uid="{00000000-0005-0000-0000-0000A1600000}"/>
    <cellStyle name="Normal 3 3 8" xfId="24991" xr:uid="{00000000-0005-0000-0000-0000A2600000}"/>
    <cellStyle name="Normal 3 4" xfId="24992" xr:uid="{00000000-0005-0000-0000-0000A3600000}"/>
    <cellStyle name="Normal 3 4 2" xfId="24993" xr:uid="{00000000-0005-0000-0000-0000A4600000}"/>
    <cellStyle name="Normal 3 4 2 2" xfId="24994" xr:uid="{00000000-0005-0000-0000-0000A5600000}"/>
    <cellStyle name="Normal 3 4 2 2 2" xfId="24995" xr:uid="{00000000-0005-0000-0000-0000A6600000}"/>
    <cellStyle name="Normal 3 4 2 3" xfId="24996" xr:uid="{00000000-0005-0000-0000-0000A7600000}"/>
    <cellStyle name="Normal 3 4 2 3 2" xfId="24997" xr:uid="{00000000-0005-0000-0000-0000A8600000}"/>
    <cellStyle name="Normal 3 4 2 3 2 2" xfId="24998" xr:uid="{00000000-0005-0000-0000-0000A9600000}"/>
    <cellStyle name="Normal 3 4 2 3 3" xfId="24999" xr:uid="{00000000-0005-0000-0000-0000AA600000}"/>
    <cellStyle name="Normal 3 4 2 4" xfId="25000" xr:uid="{00000000-0005-0000-0000-0000AB600000}"/>
    <cellStyle name="Normal 3 4 2 4 2" xfId="25001" xr:uid="{00000000-0005-0000-0000-0000AC600000}"/>
    <cellStyle name="Normal 3 4 2 4 2 2" xfId="25002" xr:uid="{00000000-0005-0000-0000-0000AD600000}"/>
    <cellStyle name="Normal 3 4 2 4 3" xfId="25003" xr:uid="{00000000-0005-0000-0000-0000AE600000}"/>
    <cellStyle name="Normal 3 4 2 5" xfId="25004" xr:uid="{00000000-0005-0000-0000-0000AF600000}"/>
    <cellStyle name="Normal 3 4 3" xfId="25005" xr:uid="{00000000-0005-0000-0000-0000B0600000}"/>
    <cellStyle name="Normal 3 4 3 2" xfId="25006" xr:uid="{00000000-0005-0000-0000-0000B1600000}"/>
    <cellStyle name="Normal 3 4 3 2 2" xfId="25007" xr:uid="{00000000-0005-0000-0000-0000B2600000}"/>
    <cellStyle name="Normal 3 4 3 3" xfId="25008" xr:uid="{00000000-0005-0000-0000-0000B3600000}"/>
    <cellStyle name="Normal 3 4 4" xfId="25009" xr:uid="{00000000-0005-0000-0000-0000B4600000}"/>
    <cellStyle name="Normal 3 4 4 2" xfId="25010" xr:uid="{00000000-0005-0000-0000-0000B5600000}"/>
    <cellStyle name="Normal 3 4 4 2 2" xfId="25011" xr:uid="{00000000-0005-0000-0000-0000B6600000}"/>
    <cellStyle name="Normal 3 4 4 3" xfId="25012" xr:uid="{00000000-0005-0000-0000-0000B7600000}"/>
    <cellStyle name="Normal 3 4 5" xfId="25013" xr:uid="{00000000-0005-0000-0000-0000B8600000}"/>
    <cellStyle name="Normal 3 4 5 2" xfId="25014" xr:uid="{00000000-0005-0000-0000-0000B9600000}"/>
    <cellStyle name="Normal 3 4 5 2 2" xfId="25015" xr:uid="{00000000-0005-0000-0000-0000BA600000}"/>
    <cellStyle name="Normal 3 4 5 3" xfId="25016" xr:uid="{00000000-0005-0000-0000-0000BB600000}"/>
    <cellStyle name="Normal 3 4 6" xfId="25017" xr:uid="{00000000-0005-0000-0000-0000BC600000}"/>
    <cellStyle name="Normal 3 5" xfId="25018" xr:uid="{00000000-0005-0000-0000-0000BD600000}"/>
    <cellStyle name="Normal 3 5 2" xfId="25019" xr:uid="{00000000-0005-0000-0000-0000BE600000}"/>
    <cellStyle name="Normal 3 5 2 2" xfId="25020" xr:uid="{00000000-0005-0000-0000-0000BF600000}"/>
    <cellStyle name="Normal 3 5 2 2 2" xfId="25021" xr:uid="{00000000-0005-0000-0000-0000C0600000}"/>
    <cellStyle name="Normal 3 5 2 3" xfId="25022" xr:uid="{00000000-0005-0000-0000-0000C1600000}"/>
    <cellStyle name="Normal 3 5 2 3 2" xfId="25023" xr:uid="{00000000-0005-0000-0000-0000C2600000}"/>
    <cellStyle name="Normal 3 5 2 3 2 2" xfId="25024" xr:uid="{00000000-0005-0000-0000-0000C3600000}"/>
    <cellStyle name="Normal 3 5 2 3 3" xfId="25025" xr:uid="{00000000-0005-0000-0000-0000C4600000}"/>
    <cellStyle name="Normal 3 5 2 4" xfId="25026" xr:uid="{00000000-0005-0000-0000-0000C5600000}"/>
    <cellStyle name="Normal 3 5 2 4 2" xfId="25027" xr:uid="{00000000-0005-0000-0000-0000C6600000}"/>
    <cellStyle name="Normal 3 5 2 4 2 2" xfId="25028" xr:uid="{00000000-0005-0000-0000-0000C7600000}"/>
    <cellStyle name="Normal 3 5 2 4 3" xfId="25029" xr:uid="{00000000-0005-0000-0000-0000C8600000}"/>
    <cellStyle name="Normal 3 5 2 5" xfId="25030" xr:uid="{00000000-0005-0000-0000-0000C9600000}"/>
    <cellStyle name="Normal 3 5 3" xfId="25031" xr:uid="{00000000-0005-0000-0000-0000CA600000}"/>
    <cellStyle name="Normal 3 5 3 2" xfId="25032" xr:uid="{00000000-0005-0000-0000-0000CB600000}"/>
    <cellStyle name="Normal 3 5 3 2 2" xfId="25033" xr:uid="{00000000-0005-0000-0000-0000CC600000}"/>
    <cellStyle name="Normal 3 5 3 3" xfId="25034" xr:uid="{00000000-0005-0000-0000-0000CD600000}"/>
    <cellStyle name="Normal 3 5 4" xfId="25035" xr:uid="{00000000-0005-0000-0000-0000CE600000}"/>
    <cellStyle name="Normal 3 5 4 2" xfId="25036" xr:uid="{00000000-0005-0000-0000-0000CF600000}"/>
    <cellStyle name="Normal 3 5 4 2 2" xfId="25037" xr:uid="{00000000-0005-0000-0000-0000D0600000}"/>
    <cellStyle name="Normal 3 5 4 3" xfId="25038" xr:uid="{00000000-0005-0000-0000-0000D1600000}"/>
    <cellStyle name="Normal 3 5 5" xfId="25039" xr:uid="{00000000-0005-0000-0000-0000D2600000}"/>
    <cellStyle name="Normal 3 5 5 2" xfId="25040" xr:uid="{00000000-0005-0000-0000-0000D3600000}"/>
    <cellStyle name="Normal 3 5 5 2 2" xfId="25041" xr:uid="{00000000-0005-0000-0000-0000D4600000}"/>
    <cellStyle name="Normal 3 5 5 3" xfId="25042" xr:uid="{00000000-0005-0000-0000-0000D5600000}"/>
    <cellStyle name="Normal 3 5 6" xfId="25043" xr:uid="{00000000-0005-0000-0000-0000D6600000}"/>
    <cellStyle name="Normal 3 6" xfId="25044" xr:uid="{00000000-0005-0000-0000-0000D7600000}"/>
    <cellStyle name="Normal 3 6 2" xfId="25045" xr:uid="{00000000-0005-0000-0000-0000D8600000}"/>
    <cellStyle name="Normal 3 6 2 2" xfId="25046" xr:uid="{00000000-0005-0000-0000-0000D9600000}"/>
    <cellStyle name="Normal 3 6 2 2 2" xfId="25047" xr:uid="{00000000-0005-0000-0000-0000DA600000}"/>
    <cellStyle name="Normal 3 6 2 2 2 2" xfId="25048" xr:uid="{00000000-0005-0000-0000-0000DB600000}"/>
    <cellStyle name="Normal 3 6 2 2 3" xfId="25049" xr:uid="{00000000-0005-0000-0000-0000DC600000}"/>
    <cellStyle name="Normal 3 6 2 2 3 2" xfId="25050" xr:uid="{00000000-0005-0000-0000-0000DD600000}"/>
    <cellStyle name="Normal 3 6 2 2 3 2 2" xfId="25051" xr:uid="{00000000-0005-0000-0000-0000DE600000}"/>
    <cellStyle name="Normal 3 6 2 2 3 3" xfId="25052" xr:uid="{00000000-0005-0000-0000-0000DF600000}"/>
    <cellStyle name="Normal 3 6 2 2 4" xfId="25053" xr:uid="{00000000-0005-0000-0000-0000E0600000}"/>
    <cellStyle name="Normal 3 6 2 3" xfId="25054" xr:uid="{00000000-0005-0000-0000-0000E1600000}"/>
    <cellStyle name="Normal 3 6 2 3 2" xfId="25055" xr:uid="{00000000-0005-0000-0000-0000E2600000}"/>
    <cellStyle name="Normal 3 6 2 3 2 2" xfId="25056" xr:uid="{00000000-0005-0000-0000-0000E3600000}"/>
    <cellStyle name="Normal 3 6 2 3 3" xfId="25057" xr:uid="{00000000-0005-0000-0000-0000E4600000}"/>
    <cellStyle name="Normal 3 6 2 4" xfId="25058" xr:uid="{00000000-0005-0000-0000-0000E5600000}"/>
    <cellStyle name="Normal 3 6 2 4 2" xfId="25059" xr:uid="{00000000-0005-0000-0000-0000E6600000}"/>
    <cellStyle name="Normal 3 6 2 4 2 2" xfId="25060" xr:uid="{00000000-0005-0000-0000-0000E7600000}"/>
    <cellStyle name="Normal 3 6 2 4 3" xfId="25061" xr:uid="{00000000-0005-0000-0000-0000E8600000}"/>
    <cellStyle name="Normal 3 6 2 5" xfId="25062" xr:uid="{00000000-0005-0000-0000-0000E9600000}"/>
    <cellStyle name="Normal 3 6 3" xfId="25063" xr:uid="{00000000-0005-0000-0000-0000EA600000}"/>
    <cellStyle name="Normal 3 6 3 2" xfId="25064" xr:uid="{00000000-0005-0000-0000-0000EB600000}"/>
    <cellStyle name="Normal 3 6 4" xfId="25065" xr:uid="{00000000-0005-0000-0000-0000EC600000}"/>
    <cellStyle name="Normal 3 6 4 2" xfId="25066" xr:uid="{00000000-0005-0000-0000-0000ED600000}"/>
    <cellStyle name="Normal 3 6 4 2 2" xfId="25067" xr:uid="{00000000-0005-0000-0000-0000EE600000}"/>
    <cellStyle name="Normal 3 6 4 3" xfId="25068" xr:uid="{00000000-0005-0000-0000-0000EF600000}"/>
    <cellStyle name="Normal 3 6 5" xfId="25069" xr:uid="{00000000-0005-0000-0000-0000F0600000}"/>
    <cellStyle name="Normal 3 6 5 2" xfId="25070" xr:uid="{00000000-0005-0000-0000-0000F1600000}"/>
    <cellStyle name="Normal 3 6 5 2 2" xfId="25071" xr:uid="{00000000-0005-0000-0000-0000F2600000}"/>
    <cellStyle name="Normal 3 6 5 3" xfId="25072" xr:uid="{00000000-0005-0000-0000-0000F3600000}"/>
    <cellStyle name="Normal 3 6 6" xfId="25073" xr:uid="{00000000-0005-0000-0000-0000F4600000}"/>
    <cellStyle name="Normal 3 7" xfId="25074" xr:uid="{00000000-0005-0000-0000-0000F5600000}"/>
    <cellStyle name="Normal 3 7 2" xfId="25075" xr:uid="{00000000-0005-0000-0000-0000F6600000}"/>
    <cellStyle name="Normal 3 7 2 2" xfId="25076" xr:uid="{00000000-0005-0000-0000-0000F7600000}"/>
    <cellStyle name="Normal 3 7 2 2 2" xfId="25077" xr:uid="{00000000-0005-0000-0000-0000F8600000}"/>
    <cellStyle name="Normal 3 7 2 3" xfId="25078" xr:uid="{00000000-0005-0000-0000-0000F9600000}"/>
    <cellStyle name="Normal 3 7 2 3 2" xfId="25079" xr:uid="{00000000-0005-0000-0000-0000FA600000}"/>
    <cellStyle name="Normal 3 7 2 3 2 2" xfId="25080" xr:uid="{00000000-0005-0000-0000-0000FB600000}"/>
    <cellStyle name="Normal 3 7 2 3 3" xfId="25081" xr:uid="{00000000-0005-0000-0000-0000FC600000}"/>
    <cellStyle name="Normal 3 7 2 4" xfId="25082" xr:uid="{00000000-0005-0000-0000-0000FD600000}"/>
    <cellStyle name="Normal 3 7 3" xfId="25083" xr:uid="{00000000-0005-0000-0000-0000FE600000}"/>
    <cellStyle name="Normal 3 7 3 2" xfId="25084" xr:uid="{00000000-0005-0000-0000-0000FF600000}"/>
    <cellStyle name="Normal 3 7 3 2 2" xfId="25085" xr:uid="{00000000-0005-0000-0000-000000610000}"/>
    <cellStyle name="Normal 3 7 3 3" xfId="25086" xr:uid="{00000000-0005-0000-0000-000001610000}"/>
    <cellStyle name="Normal 3 7 4" xfId="25087" xr:uid="{00000000-0005-0000-0000-000002610000}"/>
    <cellStyle name="Normal 3 7 4 2" xfId="25088" xr:uid="{00000000-0005-0000-0000-000003610000}"/>
    <cellStyle name="Normal 3 7 4 2 2" xfId="25089" xr:uid="{00000000-0005-0000-0000-000004610000}"/>
    <cellStyle name="Normal 3 7 4 3" xfId="25090" xr:uid="{00000000-0005-0000-0000-000005610000}"/>
    <cellStyle name="Normal 3 7 5" xfId="25091" xr:uid="{00000000-0005-0000-0000-000006610000}"/>
    <cellStyle name="Normal 3 8" xfId="25092" xr:uid="{00000000-0005-0000-0000-000007610000}"/>
    <cellStyle name="Normal 3 8 2" xfId="25093" xr:uid="{00000000-0005-0000-0000-000008610000}"/>
    <cellStyle name="Normal 3 8 2 2" xfId="25094" xr:uid="{00000000-0005-0000-0000-000009610000}"/>
    <cellStyle name="Normal 3 8 3" xfId="25095" xr:uid="{00000000-0005-0000-0000-00000A610000}"/>
    <cellStyle name="Normal 3 9" xfId="25096" xr:uid="{00000000-0005-0000-0000-00000B610000}"/>
    <cellStyle name="Normal 3 9 2" xfId="25097" xr:uid="{00000000-0005-0000-0000-00000C610000}"/>
    <cellStyle name="Normal 30" xfId="25098" xr:uid="{00000000-0005-0000-0000-00000D610000}"/>
    <cellStyle name="Normal 30 2" xfId="25099" xr:uid="{00000000-0005-0000-0000-00000E610000}"/>
    <cellStyle name="Normal 30 2 2" xfId="25100" xr:uid="{00000000-0005-0000-0000-00000F610000}"/>
    <cellStyle name="Normal 30 2 2 2" xfId="25101" xr:uid="{00000000-0005-0000-0000-000010610000}"/>
    <cellStyle name="Normal 30 2 2 2 2" xfId="25102" xr:uid="{00000000-0005-0000-0000-000011610000}"/>
    <cellStyle name="Normal 30 2 2 3" xfId="25103" xr:uid="{00000000-0005-0000-0000-000012610000}"/>
    <cellStyle name="Normal 30 2 2 3 2" xfId="25104" xr:uid="{00000000-0005-0000-0000-000013610000}"/>
    <cellStyle name="Normal 30 2 2 3 2 2" xfId="25105" xr:uid="{00000000-0005-0000-0000-000014610000}"/>
    <cellStyle name="Normal 30 2 2 3 3" xfId="25106" xr:uid="{00000000-0005-0000-0000-000015610000}"/>
    <cellStyle name="Normal 30 2 2 4" xfId="25107" xr:uid="{00000000-0005-0000-0000-000016610000}"/>
    <cellStyle name="Normal 30 2 2 4 2" xfId="25108" xr:uid="{00000000-0005-0000-0000-000017610000}"/>
    <cellStyle name="Normal 30 2 2 4 2 2" xfId="25109" xr:uid="{00000000-0005-0000-0000-000018610000}"/>
    <cellStyle name="Normal 30 2 2 4 3" xfId="25110" xr:uid="{00000000-0005-0000-0000-000019610000}"/>
    <cellStyle name="Normal 30 2 2 5" xfId="25111" xr:uid="{00000000-0005-0000-0000-00001A610000}"/>
    <cellStyle name="Normal 30 2 3" xfId="25112" xr:uid="{00000000-0005-0000-0000-00001B610000}"/>
    <cellStyle name="Normal 30 2 3 2" xfId="25113" xr:uid="{00000000-0005-0000-0000-00001C610000}"/>
    <cellStyle name="Normal 30 2 3 2 2" xfId="25114" xr:uid="{00000000-0005-0000-0000-00001D610000}"/>
    <cellStyle name="Normal 30 2 3 3" xfId="25115" xr:uid="{00000000-0005-0000-0000-00001E610000}"/>
    <cellStyle name="Normal 30 2 4" xfId="25116" xr:uid="{00000000-0005-0000-0000-00001F610000}"/>
    <cellStyle name="Normal 30 2 4 2" xfId="25117" xr:uid="{00000000-0005-0000-0000-000020610000}"/>
    <cellStyle name="Normal 30 2 4 2 2" xfId="25118" xr:uid="{00000000-0005-0000-0000-000021610000}"/>
    <cellStyle name="Normal 30 2 4 3" xfId="25119" xr:uid="{00000000-0005-0000-0000-000022610000}"/>
    <cellStyle name="Normal 30 2 5" xfId="25120" xr:uid="{00000000-0005-0000-0000-000023610000}"/>
    <cellStyle name="Normal 30 2 5 2" xfId="25121" xr:uid="{00000000-0005-0000-0000-000024610000}"/>
    <cellStyle name="Normal 30 2 5 2 2" xfId="25122" xr:uid="{00000000-0005-0000-0000-000025610000}"/>
    <cellStyle name="Normal 30 2 5 3" xfId="25123" xr:uid="{00000000-0005-0000-0000-000026610000}"/>
    <cellStyle name="Normal 30 2 6" xfId="25124" xr:uid="{00000000-0005-0000-0000-000027610000}"/>
    <cellStyle name="Normal 30 3" xfId="25125" xr:uid="{00000000-0005-0000-0000-000028610000}"/>
    <cellStyle name="Normal 30 3 2" xfId="25126" xr:uid="{00000000-0005-0000-0000-000029610000}"/>
    <cellStyle name="Normal 30 3 2 2" xfId="25127" xr:uid="{00000000-0005-0000-0000-00002A610000}"/>
    <cellStyle name="Normal 30 3 3" xfId="25128" xr:uid="{00000000-0005-0000-0000-00002B610000}"/>
    <cellStyle name="Normal 30 3 3 2" xfId="25129" xr:uid="{00000000-0005-0000-0000-00002C610000}"/>
    <cellStyle name="Normal 30 3 3 2 2" xfId="25130" xr:uid="{00000000-0005-0000-0000-00002D610000}"/>
    <cellStyle name="Normal 30 3 3 3" xfId="25131" xr:uid="{00000000-0005-0000-0000-00002E610000}"/>
    <cellStyle name="Normal 30 3 4" xfId="25132" xr:uid="{00000000-0005-0000-0000-00002F610000}"/>
    <cellStyle name="Normal 30 3 4 2" xfId="25133" xr:uid="{00000000-0005-0000-0000-000030610000}"/>
    <cellStyle name="Normal 30 3 4 2 2" xfId="25134" xr:uid="{00000000-0005-0000-0000-000031610000}"/>
    <cellStyle name="Normal 30 3 4 3" xfId="25135" xr:uid="{00000000-0005-0000-0000-000032610000}"/>
    <cellStyle name="Normal 30 3 5" xfId="25136" xr:uid="{00000000-0005-0000-0000-000033610000}"/>
    <cellStyle name="Normal 30 4" xfId="25137" xr:uid="{00000000-0005-0000-0000-000034610000}"/>
    <cellStyle name="Normal 30 4 2" xfId="25138" xr:uid="{00000000-0005-0000-0000-000035610000}"/>
    <cellStyle name="Normal 30 4 2 2" xfId="25139" xr:uid="{00000000-0005-0000-0000-000036610000}"/>
    <cellStyle name="Normal 30 4 3" xfId="25140" xr:uid="{00000000-0005-0000-0000-000037610000}"/>
    <cellStyle name="Normal 30 5" xfId="25141" xr:uid="{00000000-0005-0000-0000-000038610000}"/>
    <cellStyle name="Normal 30 5 2" xfId="25142" xr:uid="{00000000-0005-0000-0000-000039610000}"/>
    <cellStyle name="Normal 30 5 2 2" xfId="25143" xr:uid="{00000000-0005-0000-0000-00003A610000}"/>
    <cellStyle name="Normal 30 5 3" xfId="25144" xr:uid="{00000000-0005-0000-0000-00003B610000}"/>
    <cellStyle name="Normal 30 6" xfId="25145" xr:uid="{00000000-0005-0000-0000-00003C610000}"/>
    <cellStyle name="Normal 30 6 2" xfId="25146" xr:uid="{00000000-0005-0000-0000-00003D610000}"/>
    <cellStyle name="Normal 30 6 2 2" xfId="25147" xr:uid="{00000000-0005-0000-0000-00003E610000}"/>
    <cellStyle name="Normal 30 6 3" xfId="25148" xr:uid="{00000000-0005-0000-0000-00003F610000}"/>
    <cellStyle name="Normal 30 7" xfId="25149" xr:uid="{00000000-0005-0000-0000-000040610000}"/>
    <cellStyle name="Normal 300" xfId="25150" xr:uid="{00000000-0005-0000-0000-000041610000}"/>
    <cellStyle name="Normal 300 2" xfId="25151" xr:uid="{00000000-0005-0000-0000-000042610000}"/>
    <cellStyle name="Normal 300 2 2" xfId="25152" xr:uid="{00000000-0005-0000-0000-000043610000}"/>
    <cellStyle name="Normal 300 2 2 2" xfId="25153" xr:uid="{00000000-0005-0000-0000-000044610000}"/>
    <cellStyle name="Normal 300 2 3" xfId="25154" xr:uid="{00000000-0005-0000-0000-000045610000}"/>
    <cellStyle name="Normal 300 2 3 2" xfId="25155" xr:uid="{00000000-0005-0000-0000-000046610000}"/>
    <cellStyle name="Normal 300 2 3 2 2" xfId="25156" xr:uid="{00000000-0005-0000-0000-000047610000}"/>
    <cellStyle name="Normal 300 2 3 3" xfId="25157" xr:uid="{00000000-0005-0000-0000-000048610000}"/>
    <cellStyle name="Normal 300 2 4" xfId="25158" xr:uid="{00000000-0005-0000-0000-000049610000}"/>
    <cellStyle name="Normal 300 2 4 2" xfId="25159" xr:uid="{00000000-0005-0000-0000-00004A610000}"/>
    <cellStyle name="Normal 300 2 4 2 2" xfId="25160" xr:uid="{00000000-0005-0000-0000-00004B610000}"/>
    <cellStyle name="Normal 300 2 4 3" xfId="25161" xr:uid="{00000000-0005-0000-0000-00004C610000}"/>
    <cellStyle name="Normal 300 2 5" xfId="25162" xr:uid="{00000000-0005-0000-0000-00004D610000}"/>
    <cellStyle name="Normal 300 3" xfId="25163" xr:uid="{00000000-0005-0000-0000-00004E610000}"/>
    <cellStyle name="Normal 300 3 2" xfId="25164" xr:uid="{00000000-0005-0000-0000-00004F610000}"/>
    <cellStyle name="Normal 300 3 2 2" xfId="25165" xr:uid="{00000000-0005-0000-0000-000050610000}"/>
    <cellStyle name="Normal 300 3 2 2 2" xfId="25166" xr:uid="{00000000-0005-0000-0000-000051610000}"/>
    <cellStyle name="Normal 300 3 2 3" xfId="25167" xr:uid="{00000000-0005-0000-0000-000052610000}"/>
    <cellStyle name="Normal 300 3 2 3 2" xfId="25168" xr:uid="{00000000-0005-0000-0000-000053610000}"/>
    <cellStyle name="Normal 300 3 2 3 2 2" xfId="25169" xr:uid="{00000000-0005-0000-0000-000054610000}"/>
    <cellStyle name="Normal 300 3 2 3 3" xfId="25170" xr:uid="{00000000-0005-0000-0000-000055610000}"/>
    <cellStyle name="Normal 300 3 2 4" xfId="25171" xr:uid="{00000000-0005-0000-0000-000056610000}"/>
    <cellStyle name="Normal 300 3 3" xfId="25172" xr:uid="{00000000-0005-0000-0000-000057610000}"/>
    <cellStyle name="Normal 300 3 3 2" xfId="25173" xr:uid="{00000000-0005-0000-0000-000058610000}"/>
    <cellStyle name="Normal 300 3 3 2 2" xfId="25174" xr:uid="{00000000-0005-0000-0000-000059610000}"/>
    <cellStyle name="Normal 300 3 3 3" xfId="25175" xr:uid="{00000000-0005-0000-0000-00005A610000}"/>
    <cellStyle name="Normal 300 3 4" xfId="25176" xr:uid="{00000000-0005-0000-0000-00005B610000}"/>
    <cellStyle name="Normal 300 3 4 2" xfId="25177" xr:uid="{00000000-0005-0000-0000-00005C610000}"/>
    <cellStyle name="Normal 300 3 4 2 2" xfId="25178" xr:uid="{00000000-0005-0000-0000-00005D610000}"/>
    <cellStyle name="Normal 300 3 4 3" xfId="25179" xr:uid="{00000000-0005-0000-0000-00005E610000}"/>
    <cellStyle name="Normal 300 3 5" xfId="25180" xr:uid="{00000000-0005-0000-0000-00005F610000}"/>
    <cellStyle name="Normal 300 3 5 2" xfId="25181" xr:uid="{00000000-0005-0000-0000-000060610000}"/>
    <cellStyle name="Normal 300 3 5 2 2" xfId="25182" xr:uid="{00000000-0005-0000-0000-000061610000}"/>
    <cellStyle name="Normal 300 3 5 3" xfId="25183" xr:uid="{00000000-0005-0000-0000-000062610000}"/>
    <cellStyle name="Normal 300 3 6" xfId="25184" xr:uid="{00000000-0005-0000-0000-000063610000}"/>
    <cellStyle name="Normal 300 4" xfId="25185" xr:uid="{00000000-0005-0000-0000-000064610000}"/>
    <cellStyle name="Normal 300 4 2" xfId="25186" xr:uid="{00000000-0005-0000-0000-000065610000}"/>
    <cellStyle name="Normal 300 4 2 2" xfId="25187" xr:uid="{00000000-0005-0000-0000-000066610000}"/>
    <cellStyle name="Normal 300 4 3" xfId="25188" xr:uid="{00000000-0005-0000-0000-000067610000}"/>
    <cellStyle name="Normal 300 5" xfId="25189" xr:uid="{00000000-0005-0000-0000-000068610000}"/>
    <cellStyle name="Normal 300 5 2" xfId="25190" xr:uid="{00000000-0005-0000-0000-000069610000}"/>
    <cellStyle name="Normal 300 5 2 2" xfId="25191" xr:uid="{00000000-0005-0000-0000-00006A610000}"/>
    <cellStyle name="Normal 300 5 3" xfId="25192" xr:uid="{00000000-0005-0000-0000-00006B610000}"/>
    <cellStyle name="Normal 300 6" xfId="25193" xr:uid="{00000000-0005-0000-0000-00006C610000}"/>
    <cellStyle name="Normal 300 6 2" xfId="25194" xr:uid="{00000000-0005-0000-0000-00006D610000}"/>
    <cellStyle name="Normal 300 6 2 2" xfId="25195" xr:uid="{00000000-0005-0000-0000-00006E610000}"/>
    <cellStyle name="Normal 300 6 3" xfId="25196" xr:uid="{00000000-0005-0000-0000-00006F610000}"/>
    <cellStyle name="Normal 300 7" xfId="25197" xr:uid="{00000000-0005-0000-0000-000070610000}"/>
    <cellStyle name="Normal 301" xfId="25198" xr:uid="{00000000-0005-0000-0000-000071610000}"/>
    <cellStyle name="Normal 301 2" xfId="25199" xr:uid="{00000000-0005-0000-0000-000072610000}"/>
    <cellStyle name="Normal 301 2 2" xfId="25200" xr:uid="{00000000-0005-0000-0000-000073610000}"/>
    <cellStyle name="Normal 301 2 2 2" xfId="25201" xr:uid="{00000000-0005-0000-0000-000074610000}"/>
    <cellStyle name="Normal 301 2 3" xfId="25202" xr:uid="{00000000-0005-0000-0000-000075610000}"/>
    <cellStyle name="Normal 301 2 3 2" xfId="25203" xr:uid="{00000000-0005-0000-0000-000076610000}"/>
    <cellStyle name="Normal 301 2 3 2 2" xfId="25204" xr:uid="{00000000-0005-0000-0000-000077610000}"/>
    <cellStyle name="Normal 301 2 3 3" xfId="25205" xr:uid="{00000000-0005-0000-0000-000078610000}"/>
    <cellStyle name="Normal 301 2 4" xfId="25206" xr:uid="{00000000-0005-0000-0000-000079610000}"/>
    <cellStyle name="Normal 301 2 4 2" xfId="25207" xr:uid="{00000000-0005-0000-0000-00007A610000}"/>
    <cellStyle name="Normal 301 2 4 2 2" xfId="25208" xr:uid="{00000000-0005-0000-0000-00007B610000}"/>
    <cellStyle name="Normal 301 2 4 3" xfId="25209" xr:uid="{00000000-0005-0000-0000-00007C610000}"/>
    <cellStyle name="Normal 301 2 5" xfId="25210" xr:uid="{00000000-0005-0000-0000-00007D610000}"/>
    <cellStyle name="Normal 301 3" xfId="25211" xr:uid="{00000000-0005-0000-0000-00007E610000}"/>
    <cellStyle name="Normal 301 3 2" xfId="25212" xr:uid="{00000000-0005-0000-0000-00007F610000}"/>
    <cellStyle name="Normal 301 3 2 2" xfId="25213" xr:uid="{00000000-0005-0000-0000-000080610000}"/>
    <cellStyle name="Normal 301 3 2 2 2" xfId="25214" xr:uid="{00000000-0005-0000-0000-000081610000}"/>
    <cellStyle name="Normal 301 3 2 3" xfId="25215" xr:uid="{00000000-0005-0000-0000-000082610000}"/>
    <cellStyle name="Normal 301 3 2 3 2" xfId="25216" xr:uid="{00000000-0005-0000-0000-000083610000}"/>
    <cellStyle name="Normal 301 3 2 3 2 2" xfId="25217" xr:uid="{00000000-0005-0000-0000-000084610000}"/>
    <cellStyle name="Normal 301 3 2 3 3" xfId="25218" xr:uid="{00000000-0005-0000-0000-000085610000}"/>
    <cellStyle name="Normal 301 3 2 4" xfId="25219" xr:uid="{00000000-0005-0000-0000-000086610000}"/>
    <cellStyle name="Normal 301 3 3" xfId="25220" xr:uid="{00000000-0005-0000-0000-000087610000}"/>
    <cellStyle name="Normal 301 3 3 2" xfId="25221" xr:uid="{00000000-0005-0000-0000-000088610000}"/>
    <cellStyle name="Normal 301 3 3 2 2" xfId="25222" xr:uid="{00000000-0005-0000-0000-000089610000}"/>
    <cellStyle name="Normal 301 3 3 3" xfId="25223" xr:uid="{00000000-0005-0000-0000-00008A610000}"/>
    <cellStyle name="Normal 301 3 4" xfId="25224" xr:uid="{00000000-0005-0000-0000-00008B610000}"/>
    <cellStyle name="Normal 301 3 4 2" xfId="25225" xr:uid="{00000000-0005-0000-0000-00008C610000}"/>
    <cellStyle name="Normal 301 3 4 2 2" xfId="25226" xr:uid="{00000000-0005-0000-0000-00008D610000}"/>
    <cellStyle name="Normal 301 3 4 3" xfId="25227" xr:uid="{00000000-0005-0000-0000-00008E610000}"/>
    <cellStyle name="Normal 301 3 5" xfId="25228" xr:uid="{00000000-0005-0000-0000-00008F610000}"/>
    <cellStyle name="Normal 301 3 5 2" xfId="25229" xr:uid="{00000000-0005-0000-0000-000090610000}"/>
    <cellStyle name="Normal 301 3 5 2 2" xfId="25230" xr:uid="{00000000-0005-0000-0000-000091610000}"/>
    <cellStyle name="Normal 301 3 5 3" xfId="25231" xr:uid="{00000000-0005-0000-0000-000092610000}"/>
    <cellStyle name="Normal 301 3 6" xfId="25232" xr:uid="{00000000-0005-0000-0000-000093610000}"/>
    <cellStyle name="Normal 301 4" xfId="25233" xr:uid="{00000000-0005-0000-0000-000094610000}"/>
    <cellStyle name="Normal 301 4 2" xfId="25234" xr:uid="{00000000-0005-0000-0000-000095610000}"/>
    <cellStyle name="Normal 301 4 2 2" xfId="25235" xr:uid="{00000000-0005-0000-0000-000096610000}"/>
    <cellStyle name="Normal 301 4 3" xfId="25236" xr:uid="{00000000-0005-0000-0000-000097610000}"/>
    <cellStyle name="Normal 301 5" xfId="25237" xr:uid="{00000000-0005-0000-0000-000098610000}"/>
    <cellStyle name="Normal 301 5 2" xfId="25238" xr:uid="{00000000-0005-0000-0000-000099610000}"/>
    <cellStyle name="Normal 301 5 2 2" xfId="25239" xr:uid="{00000000-0005-0000-0000-00009A610000}"/>
    <cellStyle name="Normal 301 5 3" xfId="25240" xr:uid="{00000000-0005-0000-0000-00009B610000}"/>
    <cellStyle name="Normal 301 6" xfId="25241" xr:uid="{00000000-0005-0000-0000-00009C610000}"/>
    <cellStyle name="Normal 301 6 2" xfId="25242" xr:uid="{00000000-0005-0000-0000-00009D610000}"/>
    <cellStyle name="Normal 301 6 2 2" xfId="25243" xr:uid="{00000000-0005-0000-0000-00009E610000}"/>
    <cellStyle name="Normal 301 6 3" xfId="25244" xr:uid="{00000000-0005-0000-0000-00009F610000}"/>
    <cellStyle name="Normal 301 7" xfId="25245" xr:uid="{00000000-0005-0000-0000-0000A0610000}"/>
    <cellStyle name="Normal 302" xfId="25246" xr:uid="{00000000-0005-0000-0000-0000A1610000}"/>
    <cellStyle name="Normal 302 2" xfId="25247" xr:uid="{00000000-0005-0000-0000-0000A2610000}"/>
    <cellStyle name="Normal 302 2 2" xfId="25248" xr:uid="{00000000-0005-0000-0000-0000A3610000}"/>
    <cellStyle name="Normal 302 2 2 2" xfId="25249" xr:uid="{00000000-0005-0000-0000-0000A4610000}"/>
    <cellStyle name="Normal 302 2 3" xfId="25250" xr:uid="{00000000-0005-0000-0000-0000A5610000}"/>
    <cellStyle name="Normal 302 2 3 2" xfId="25251" xr:uid="{00000000-0005-0000-0000-0000A6610000}"/>
    <cellStyle name="Normal 302 2 3 2 2" xfId="25252" xr:uid="{00000000-0005-0000-0000-0000A7610000}"/>
    <cellStyle name="Normal 302 2 3 3" xfId="25253" xr:uid="{00000000-0005-0000-0000-0000A8610000}"/>
    <cellStyle name="Normal 302 2 4" xfId="25254" xr:uid="{00000000-0005-0000-0000-0000A9610000}"/>
    <cellStyle name="Normal 302 2 4 2" xfId="25255" xr:uid="{00000000-0005-0000-0000-0000AA610000}"/>
    <cellStyle name="Normal 302 2 4 2 2" xfId="25256" xr:uid="{00000000-0005-0000-0000-0000AB610000}"/>
    <cellStyle name="Normal 302 2 4 3" xfId="25257" xr:uid="{00000000-0005-0000-0000-0000AC610000}"/>
    <cellStyle name="Normal 302 2 5" xfId="25258" xr:uid="{00000000-0005-0000-0000-0000AD610000}"/>
    <cellStyle name="Normal 302 3" xfId="25259" xr:uid="{00000000-0005-0000-0000-0000AE610000}"/>
    <cellStyle name="Normal 302 3 2" xfId="25260" xr:uid="{00000000-0005-0000-0000-0000AF610000}"/>
    <cellStyle name="Normal 302 3 2 2" xfId="25261" xr:uid="{00000000-0005-0000-0000-0000B0610000}"/>
    <cellStyle name="Normal 302 3 2 2 2" xfId="25262" xr:uid="{00000000-0005-0000-0000-0000B1610000}"/>
    <cellStyle name="Normal 302 3 2 3" xfId="25263" xr:uid="{00000000-0005-0000-0000-0000B2610000}"/>
    <cellStyle name="Normal 302 3 2 3 2" xfId="25264" xr:uid="{00000000-0005-0000-0000-0000B3610000}"/>
    <cellStyle name="Normal 302 3 2 3 2 2" xfId="25265" xr:uid="{00000000-0005-0000-0000-0000B4610000}"/>
    <cellStyle name="Normal 302 3 2 3 3" xfId="25266" xr:uid="{00000000-0005-0000-0000-0000B5610000}"/>
    <cellStyle name="Normal 302 3 2 4" xfId="25267" xr:uid="{00000000-0005-0000-0000-0000B6610000}"/>
    <cellStyle name="Normal 302 3 3" xfId="25268" xr:uid="{00000000-0005-0000-0000-0000B7610000}"/>
    <cellStyle name="Normal 302 3 3 2" xfId="25269" xr:uid="{00000000-0005-0000-0000-0000B8610000}"/>
    <cellStyle name="Normal 302 3 3 2 2" xfId="25270" xr:uid="{00000000-0005-0000-0000-0000B9610000}"/>
    <cellStyle name="Normal 302 3 3 3" xfId="25271" xr:uid="{00000000-0005-0000-0000-0000BA610000}"/>
    <cellStyle name="Normal 302 3 4" xfId="25272" xr:uid="{00000000-0005-0000-0000-0000BB610000}"/>
    <cellStyle name="Normal 302 3 4 2" xfId="25273" xr:uid="{00000000-0005-0000-0000-0000BC610000}"/>
    <cellStyle name="Normal 302 3 4 2 2" xfId="25274" xr:uid="{00000000-0005-0000-0000-0000BD610000}"/>
    <cellStyle name="Normal 302 3 4 3" xfId="25275" xr:uid="{00000000-0005-0000-0000-0000BE610000}"/>
    <cellStyle name="Normal 302 3 5" xfId="25276" xr:uid="{00000000-0005-0000-0000-0000BF610000}"/>
    <cellStyle name="Normal 302 3 5 2" xfId="25277" xr:uid="{00000000-0005-0000-0000-0000C0610000}"/>
    <cellStyle name="Normal 302 3 5 2 2" xfId="25278" xr:uid="{00000000-0005-0000-0000-0000C1610000}"/>
    <cellStyle name="Normal 302 3 5 3" xfId="25279" xr:uid="{00000000-0005-0000-0000-0000C2610000}"/>
    <cellStyle name="Normal 302 3 6" xfId="25280" xr:uid="{00000000-0005-0000-0000-0000C3610000}"/>
    <cellStyle name="Normal 302 4" xfId="25281" xr:uid="{00000000-0005-0000-0000-0000C4610000}"/>
    <cellStyle name="Normal 302 4 2" xfId="25282" xr:uid="{00000000-0005-0000-0000-0000C5610000}"/>
    <cellStyle name="Normal 302 4 2 2" xfId="25283" xr:uid="{00000000-0005-0000-0000-0000C6610000}"/>
    <cellStyle name="Normal 302 4 3" xfId="25284" xr:uid="{00000000-0005-0000-0000-0000C7610000}"/>
    <cellStyle name="Normal 302 5" xfId="25285" xr:uid="{00000000-0005-0000-0000-0000C8610000}"/>
    <cellStyle name="Normal 302 5 2" xfId="25286" xr:uid="{00000000-0005-0000-0000-0000C9610000}"/>
    <cellStyle name="Normal 302 5 2 2" xfId="25287" xr:uid="{00000000-0005-0000-0000-0000CA610000}"/>
    <cellStyle name="Normal 302 5 3" xfId="25288" xr:uid="{00000000-0005-0000-0000-0000CB610000}"/>
    <cellStyle name="Normal 302 6" xfId="25289" xr:uid="{00000000-0005-0000-0000-0000CC610000}"/>
    <cellStyle name="Normal 302 6 2" xfId="25290" xr:uid="{00000000-0005-0000-0000-0000CD610000}"/>
    <cellStyle name="Normal 302 6 2 2" xfId="25291" xr:uid="{00000000-0005-0000-0000-0000CE610000}"/>
    <cellStyle name="Normal 302 6 3" xfId="25292" xr:uid="{00000000-0005-0000-0000-0000CF610000}"/>
    <cellStyle name="Normal 302 7" xfId="25293" xr:uid="{00000000-0005-0000-0000-0000D0610000}"/>
    <cellStyle name="Normal 303" xfId="25294" xr:uid="{00000000-0005-0000-0000-0000D1610000}"/>
    <cellStyle name="Normal 303 2" xfId="25295" xr:uid="{00000000-0005-0000-0000-0000D2610000}"/>
    <cellStyle name="Normal 303 2 2" xfId="25296" xr:uid="{00000000-0005-0000-0000-0000D3610000}"/>
    <cellStyle name="Normal 303 2 2 2" xfId="25297" xr:uid="{00000000-0005-0000-0000-0000D4610000}"/>
    <cellStyle name="Normal 303 2 3" xfId="25298" xr:uid="{00000000-0005-0000-0000-0000D5610000}"/>
    <cellStyle name="Normal 303 2 3 2" xfId="25299" xr:uid="{00000000-0005-0000-0000-0000D6610000}"/>
    <cellStyle name="Normal 303 2 3 2 2" xfId="25300" xr:uid="{00000000-0005-0000-0000-0000D7610000}"/>
    <cellStyle name="Normal 303 2 3 3" xfId="25301" xr:uid="{00000000-0005-0000-0000-0000D8610000}"/>
    <cellStyle name="Normal 303 2 4" xfId="25302" xr:uid="{00000000-0005-0000-0000-0000D9610000}"/>
    <cellStyle name="Normal 303 2 4 2" xfId="25303" xr:uid="{00000000-0005-0000-0000-0000DA610000}"/>
    <cellStyle name="Normal 303 2 4 2 2" xfId="25304" xr:uid="{00000000-0005-0000-0000-0000DB610000}"/>
    <cellStyle name="Normal 303 2 4 3" xfId="25305" xr:uid="{00000000-0005-0000-0000-0000DC610000}"/>
    <cellStyle name="Normal 303 2 5" xfId="25306" xr:uid="{00000000-0005-0000-0000-0000DD610000}"/>
    <cellStyle name="Normal 303 3" xfId="25307" xr:uid="{00000000-0005-0000-0000-0000DE610000}"/>
    <cellStyle name="Normal 303 3 2" xfId="25308" xr:uid="{00000000-0005-0000-0000-0000DF610000}"/>
    <cellStyle name="Normal 303 3 2 2" xfId="25309" xr:uid="{00000000-0005-0000-0000-0000E0610000}"/>
    <cellStyle name="Normal 303 3 2 2 2" xfId="25310" xr:uid="{00000000-0005-0000-0000-0000E1610000}"/>
    <cellStyle name="Normal 303 3 2 3" xfId="25311" xr:uid="{00000000-0005-0000-0000-0000E2610000}"/>
    <cellStyle name="Normal 303 3 2 3 2" xfId="25312" xr:uid="{00000000-0005-0000-0000-0000E3610000}"/>
    <cellStyle name="Normal 303 3 2 3 2 2" xfId="25313" xr:uid="{00000000-0005-0000-0000-0000E4610000}"/>
    <cellStyle name="Normal 303 3 2 3 3" xfId="25314" xr:uid="{00000000-0005-0000-0000-0000E5610000}"/>
    <cellStyle name="Normal 303 3 2 4" xfId="25315" xr:uid="{00000000-0005-0000-0000-0000E6610000}"/>
    <cellStyle name="Normal 303 3 3" xfId="25316" xr:uid="{00000000-0005-0000-0000-0000E7610000}"/>
    <cellStyle name="Normal 303 3 3 2" xfId="25317" xr:uid="{00000000-0005-0000-0000-0000E8610000}"/>
    <cellStyle name="Normal 303 3 3 2 2" xfId="25318" xr:uid="{00000000-0005-0000-0000-0000E9610000}"/>
    <cellStyle name="Normal 303 3 3 3" xfId="25319" xr:uid="{00000000-0005-0000-0000-0000EA610000}"/>
    <cellStyle name="Normal 303 3 4" xfId="25320" xr:uid="{00000000-0005-0000-0000-0000EB610000}"/>
    <cellStyle name="Normal 303 3 4 2" xfId="25321" xr:uid="{00000000-0005-0000-0000-0000EC610000}"/>
    <cellStyle name="Normal 303 3 4 2 2" xfId="25322" xr:uid="{00000000-0005-0000-0000-0000ED610000}"/>
    <cellStyle name="Normal 303 3 4 3" xfId="25323" xr:uid="{00000000-0005-0000-0000-0000EE610000}"/>
    <cellStyle name="Normal 303 3 5" xfId="25324" xr:uid="{00000000-0005-0000-0000-0000EF610000}"/>
    <cellStyle name="Normal 303 3 5 2" xfId="25325" xr:uid="{00000000-0005-0000-0000-0000F0610000}"/>
    <cellStyle name="Normal 303 3 5 2 2" xfId="25326" xr:uid="{00000000-0005-0000-0000-0000F1610000}"/>
    <cellStyle name="Normal 303 3 5 3" xfId="25327" xr:uid="{00000000-0005-0000-0000-0000F2610000}"/>
    <cellStyle name="Normal 303 3 6" xfId="25328" xr:uid="{00000000-0005-0000-0000-0000F3610000}"/>
    <cellStyle name="Normal 303 4" xfId="25329" xr:uid="{00000000-0005-0000-0000-0000F4610000}"/>
    <cellStyle name="Normal 303 4 2" xfId="25330" xr:uid="{00000000-0005-0000-0000-0000F5610000}"/>
    <cellStyle name="Normal 303 4 2 2" xfId="25331" xr:uid="{00000000-0005-0000-0000-0000F6610000}"/>
    <cellStyle name="Normal 303 4 3" xfId="25332" xr:uid="{00000000-0005-0000-0000-0000F7610000}"/>
    <cellStyle name="Normal 303 5" xfId="25333" xr:uid="{00000000-0005-0000-0000-0000F8610000}"/>
    <cellStyle name="Normal 303 5 2" xfId="25334" xr:uid="{00000000-0005-0000-0000-0000F9610000}"/>
    <cellStyle name="Normal 303 5 2 2" xfId="25335" xr:uid="{00000000-0005-0000-0000-0000FA610000}"/>
    <cellStyle name="Normal 303 5 3" xfId="25336" xr:uid="{00000000-0005-0000-0000-0000FB610000}"/>
    <cellStyle name="Normal 303 6" xfId="25337" xr:uid="{00000000-0005-0000-0000-0000FC610000}"/>
    <cellStyle name="Normal 303 6 2" xfId="25338" xr:uid="{00000000-0005-0000-0000-0000FD610000}"/>
    <cellStyle name="Normal 303 6 2 2" xfId="25339" xr:uid="{00000000-0005-0000-0000-0000FE610000}"/>
    <cellStyle name="Normal 303 6 3" xfId="25340" xr:uid="{00000000-0005-0000-0000-0000FF610000}"/>
    <cellStyle name="Normal 303 7" xfId="25341" xr:uid="{00000000-0005-0000-0000-000000620000}"/>
    <cellStyle name="Normal 304" xfId="25342" xr:uid="{00000000-0005-0000-0000-000001620000}"/>
    <cellStyle name="Normal 304 2" xfId="25343" xr:uid="{00000000-0005-0000-0000-000002620000}"/>
    <cellStyle name="Normal 304 2 2" xfId="25344" xr:uid="{00000000-0005-0000-0000-000003620000}"/>
    <cellStyle name="Normal 304 2 2 2" xfId="25345" xr:uid="{00000000-0005-0000-0000-000004620000}"/>
    <cellStyle name="Normal 304 2 3" xfId="25346" xr:uid="{00000000-0005-0000-0000-000005620000}"/>
    <cellStyle name="Normal 304 2 3 2" xfId="25347" xr:uid="{00000000-0005-0000-0000-000006620000}"/>
    <cellStyle name="Normal 304 2 3 2 2" xfId="25348" xr:uid="{00000000-0005-0000-0000-000007620000}"/>
    <cellStyle name="Normal 304 2 3 3" xfId="25349" xr:uid="{00000000-0005-0000-0000-000008620000}"/>
    <cellStyle name="Normal 304 2 4" xfId="25350" xr:uid="{00000000-0005-0000-0000-000009620000}"/>
    <cellStyle name="Normal 304 2 4 2" xfId="25351" xr:uid="{00000000-0005-0000-0000-00000A620000}"/>
    <cellStyle name="Normal 304 2 4 2 2" xfId="25352" xr:uid="{00000000-0005-0000-0000-00000B620000}"/>
    <cellStyle name="Normal 304 2 4 3" xfId="25353" xr:uid="{00000000-0005-0000-0000-00000C620000}"/>
    <cellStyle name="Normal 304 2 5" xfId="25354" xr:uid="{00000000-0005-0000-0000-00000D620000}"/>
    <cellStyle name="Normal 304 3" xfId="25355" xr:uid="{00000000-0005-0000-0000-00000E620000}"/>
    <cellStyle name="Normal 304 3 2" xfId="25356" xr:uid="{00000000-0005-0000-0000-00000F620000}"/>
    <cellStyle name="Normal 304 3 2 2" xfId="25357" xr:uid="{00000000-0005-0000-0000-000010620000}"/>
    <cellStyle name="Normal 304 3 2 2 2" xfId="25358" xr:uid="{00000000-0005-0000-0000-000011620000}"/>
    <cellStyle name="Normal 304 3 2 3" xfId="25359" xr:uid="{00000000-0005-0000-0000-000012620000}"/>
    <cellStyle name="Normal 304 3 2 3 2" xfId="25360" xr:uid="{00000000-0005-0000-0000-000013620000}"/>
    <cellStyle name="Normal 304 3 2 3 2 2" xfId="25361" xr:uid="{00000000-0005-0000-0000-000014620000}"/>
    <cellStyle name="Normal 304 3 2 3 3" xfId="25362" xr:uid="{00000000-0005-0000-0000-000015620000}"/>
    <cellStyle name="Normal 304 3 2 4" xfId="25363" xr:uid="{00000000-0005-0000-0000-000016620000}"/>
    <cellStyle name="Normal 304 3 3" xfId="25364" xr:uid="{00000000-0005-0000-0000-000017620000}"/>
    <cellStyle name="Normal 304 3 3 2" xfId="25365" xr:uid="{00000000-0005-0000-0000-000018620000}"/>
    <cellStyle name="Normal 304 3 3 2 2" xfId="25366" xr:uid="{00000000-0005-0000-0000-000019620000}"/>
    <cellStyle name="Normal 304 3 3 3" xfId="25367" xr:uid="{00000000-0005-0000-0000-00001A620000}"/>
    <cellStyle name="Normal 304 3 4" xfId="25368" xr:uid="{00000000-0005-0000-0000-00001B620000}"/>
    <cellStyle name="Normal 304 3 4 2" xfId="25369" xr:uid="{00000000-0005-0000-0000-00001C620000}"/>
    <cellStyle name="Normal 304 3 4 2 2" xfId="25370" xr:uid="{00000000-0005-0000-0000-00001D620000}"/>
    <cellStyle name="Normal 304 3 4 3" xfId="25371" xr:uid="{00000000-0005-0000-0000-00001E620000}"/>
    <cellStyle name="Normal 304 3 5" xfId="25372" xr:uid="{00000000-0005-0000-0000-00001F620000}"/>
    <cellStyle name="Normal 304 3 5 2" xfId="25373" xr:uid="{00000000-0005-0000-0000-000020620000}"/>
    <cellStyle name="Normal 304 3 5 2 2" xfId="25374" xr:uid="{00000000-0005-0000-0000-000021620000}"/>
    <cellStyle name="Normal 304 3 5 3" xfId="25375" xr:uid="{00000000-0005-0000-0000-000022620000}"/>
    <cellStyle name="Normal 304 3 6" xfId="25376" xr:uid="{00000000-0005-0000-0000-000023620000}"/>
    <cellStyle name="Normal 304 4" xfId="25377" xr:uid="{00000000-0005-0000-0000-000024620000}"/>
    <cellStyle name="Normal 304 4 2" xfId="25378" xr:uid="{00000000-0005-0000-0000-000025620000}"/>
    <cellStyle name="Normal 304 4 2 2" xfId="25379" xr:uid="{00000000-0005-0000-0000-000026620000}"/>
    <cellStyle name="Normal 304 4 3" xfId="25380" xr:uid="{00000000-0005-0000-0000-000027620000}"/>
    <cellStyle name="Normal 304 5" xfId="25381" xr:uid="{00000000-0005-0000-0000-000028620000}"/>
    <cellStyle name="Normal 304 5 2" xfId="25382" xr:uid="{00000000-0005-0000-0000-000029620000}"/>
    <cellStyle name="Normal 304 5 2 2" xfId="25383" xr:uid="{00000000-0005-0000-0000-00002A620000}"/>
    <cellStyle name="Normal 304 5 3" xfId="25384" xr:uid="{00000000-0005-0000-0000-00002B620000}"/>
    <cellStyle name="Normal 304 6" xfId="25385" xr:uid="{00000000-0005-0000-0000-00002C620000}"/>
    <cellStyle name="Normal 304 6 2" xfId="25386" xr:uid="{00000000-0005-0000-0000-00002D620000}"/>
    <cellStyle name="Normal 304 6 2 2" xfId="25387" xr:uid="{00000000-0005-0000-0000-00002E620000}"/>
    <cellStyle name="Normal 304 6 3" xfId="25388" xr:uid="{00000000-0005-0000-0000-00002F620000}"/>
    <cellStyle name="Normal 304 7" xfId="25389" xr:uid="{00000000-0005-0000-0000-000030620000}"/>
    <cellStyle name="Normal 305" xfId="25390" xr:uid="{00000000-0005-0000-0000-000031620000}"/>
    <cellStyle name="Normal 305 2" xfId="25391" xr:uid="{00000000-0005-0000-0000-000032620000}"/>
    <cellStyle name="Normal 305 2 2" xfId="25392" xr:uid="{00000000-0005-0000-0000-000033620000}"/>
    <cellStyle name="Normal 305 2 2 2" xfId="25393" xr:uid="{00000000-0005-0000-0000-000034620000}"/>
    <cellStyle name="Normal 305 2 3" xfId="25394" xr:uid="{00000000-0005-0000-0000-000035620000}"/>
    <cellStyle name="Normal 305 2 3 2" xfId="25395" xr:uid="{00000000-0005-0000-0000-000036620000}"/>
    <cellStyle name="Normal 305 2 3 2 2" xfId="25396" xr:uid="{00000000-0005-0000-0000-000037620000}"/>
    <cellStyle name="Normal 305 2 3 3" xfId="25397" xr:uid="{00000000-0005-0000-0000-000038620000}"/>
    <cellStyle name="Normal 305 2 4" xfId="25398" xr:uid="{00000000-0005-0000-0000-000039620000}"/>
    <cellStyle name="Normal 305 2 4 2" xfId="25399" xr:uid="{00000000-0005-0000-0000-00003A620000}"/>
    <cellStyle name="Normal 305 2 4 2 2" xfId="25400" xr:uid="{00000000-0005-0000-0000-00003B620000}"/>
    <cellStyle name="Normal 305 2 4 3" xfId="25401" xr:uid="{00000000-0005-0000-0000-00003C620000}"/>
    <cellStyle name="Normal 305 2 5" xfId="25402" xr:uid="{00000000-0005-0000-0000-00003D620000}"/>
    <cellStyle name="Normal 305 3" xfId="25403" xr:uid="{00000000-0005-0000-0000-00003E620000}"/>
    <cellStyle name="Normal 305 3 2" xfId="25404" xr:uid="{00000000-0005-0000-0000-00003F620000}"/>
    <cellStyle name="Normal 305 3 2 2" xfId="25405" xr:uid="{00000000-0005-0000-0000-000040620000}"/>
    <cellStyle name="Normal 305 3 2 2 2" xfId="25406" xr:uid="{00000000-0005-0000-0000-000041620000}"/>
    <cellStyle name="Normal 305 3 2 3" xfId="25407" xr:uid="{00000000-0005-0000-0000-000042620000}"/>
    <cellStyle name="Normal 305 3 2 3 2" xfId="25408" xr:uid="{00000000-0005-0000-0000-000043620000}"/>
    <cellStyle name="Normal 305 3 2 3 2 2" xfId="25409" xr:uid="{00000000-0005-0000-0000-000044620000}"/>
    <cellStyle name="Normal 305 3 2 3 3" xfId="25410" xr:uid="{00000000-0005-0000-0000-000045620000}"/>
    <cellStyle name="Normal 305 3 2 4" xfId="25411" xr:uid="{00000000-0005-0000-0000-000046620000}"/>
    <cellStyle name="Normal 305 3 3" xfId="25412" xr:uid="{00000000-0005-0000-0000-000047620000}"/>
    <cellStyle name="Normal 305 3 3 2" xfId="25413" xr:uid="{00000000-0005-0000-0000-000048620000}"/>
    <cellStyle name="Normal 305 3 3 2 2" xfId="25414" xr:uid="{00000000-0005-0000-0000-000049620000}"/>
    <cellStyle name="Normal 305 3 3 3" xfId="25415" xr:uid="{00000000-0005-0000-0000-00004A620000}"/>
    <cellStyle name="Normal 305 3 4" xfId="25416" xr:uid="{00000000-0005-0000-0000-00004B620000}"/>
    <cellStyle name="Normal 305 3 4 2" xfId="25417" xr:uid="{00000000-0005-0000-0000-00004C620000}"/>
    <cellStyle name="Normal 305 3 4 2 2" xfId="25418" xr:uid="{00000000-0005-0000-0000-00004D620000}"/>
    <cellStyle name="Normal 305 3 4 3" xfId="25419" xr:uid="{00000000-0005-0000-0000-00004E620000}"/>
    <cellStyle name="Normal 305 3 5" xfId="25420" xr:uid="{00000000-0005-0000-0000-00004F620000}"/>
    <cellStyle name="Normal 305 3 5 2" xfId="25421" xr:uid="{00000000-0005-0000-0000-000050620000}"/>
    <cellStyle name="Normal 305 3 5 2 2" xfId="25422" xr:uid="{00000000-0005-0000-0000-000051620000}"/>
    <cellStyle name="Normal 305 3 5 3" xfId="25423" xr:uid="{00000000-0005-0000-0000-000052620000}"/>
    <cellStyle name="Normal 305 3 6" xfId="25424" xr:uid="{00000000-0005-0000-0000-000053620000}"/>
    <cellStyle name="Normal 305 4" xfId="25425" xr:uid="{00000000-0005-0000-0000-000054620000}"/>
    <cellStyle name="Normal 305 4 2" xfId="25426" xr:uid="{00000000-0005-0000-0000-000055620000}"/>
    <cellStyle name="Normal 305 4 2 2" xfId="25427" xr:uid="{00000000-0005-0000-0000-000056620000}"/>
    <cellStyle name="Normal 305 4 3" xfId="25428" xr:uid="{00000000-0005-0000-0000-000057620000}"/>
    <cellStyle name="Normal 305 5" xfId="25429" xr:uid="{00000000-0005-0000-0000-000058620000}"/>
    <cellStyle name="Normal 305 5 2" xfId="25430" xr:uid="{00000000-0005-0000-0000-000059620000}"/>
    <cellStyle name="Normal 305 5 2 2" xfId="25431" xr:uid="{00000000-0005-0000-0000-00005A620000}"/>
    <cellStyle name="Normal 305 5 3" xfId="25432" xr:uid="{00000000-0005-0000-0000-00005B620000}"/>
    <cellStyle name="Normal 305 6" xfId="25433" xr:uid="{00000000-0005-0000-0000-00005C620000}"/>
    <cellStyle name="Normal 305 6 2" xfId="25434" xr:uid="{00000000-0005-0000-0000-00005D620000}"/>
    <cellStyle name="Normal 305 6 2 2" xfId="25435" xr:uid="{00000000-0005-0000-0000-00005E620000}"/>
    <cellStyle name="Normal 305 6 3" xfId="25436" xr:uid="{00000000-0005-0000-0000-00005F620000}"/>
    <cellStyle name="Normal 305 7" xfId="25437" xr:uid="{00000000-0005-0000-0000-000060620000}"/>
    <cellStyle name="Normal 306" xfId="25438" xr:uid="{00000000-0005-0000-0000-000061620000}"/>
    <cellStyle name="Normal 306 2" xfId="25439" xr:uid="{00000000-0005-0000-0000-000062620000}"/>
    <cellStyle name="Normal 306 2 2" xfId="25440" xr:uid="{00000000-0005-0000-0000-000063620000}"/>
    <cellStyle name="Normal 306 2 2 2" xfId="25441" xr:uid="{00000000-0005-0000-0000-000064620000}"/>
    <cellStyle name="Normal 306 2 3" xfId="25442" xr:uid="{00000000-0005-0000-0000-000065620000}"/>
    <cellStyle name="Normal 306 2 3 2" xfId="25443" xr:uid="{00000000-0005-0000-0000-000066620000}"/>
    <cellStyle name="Normal 306 2 3 2 2" xfId="25444" xr:uid="{00000000-0005-0000-0000-000067620000}"/>
    <cellStyle name="Normal 306 2 3 3" xfId="25445" xr:uid="{00000000-0005-0000-0000-000068620000}"/>
    <cellStyle name="Normal 306 2 4" xfId="25446" xr:uid="{00000000-0005-0000-0000-000069620000}"/>
    <cellStyle name="Normal 306 2 4 2" xfId="25447" xr:uid="{00000000-0005-0000-0000-00006A620000}"/>
    <cellStyle name="Normal 306 2 4 2 2" xfId="25448" xr:uid="{00000000-0005-0000-0000-00006B620000}"/>
    <cellStyle name="Normal 306 2 4 3" xfId="25449" xr:uid="{00000000-0005-0000-0000-00006C620000}"/>
    <cellStyle name="Normal 306 2 5" xfId="25450" xr:uid="{00000000-0005-0000-0000-00006D620000}"/>
    <cellStyle name="Normal 306 3" xfId="25451" xr:uid="{00000000-0005-0000-0000-00006E620000}"/>
    <cellStyle name="Normal 306 3 2" xfId="25452" xr:uid="{00000000-0005-0000-0000-00006F620000}"/>
    <cellStyle name="Normal 306 3 2 2" xfId="25453" xr:uid="{00000000-0005-0000-0000-000070620000}"/>
    <cellStyle name="Normal 306 3 2 2 2" xfId="25454" xr:uid="{00000000-0005-0000-0000-000071620000}"/>
    <cellStyle name="Normal 306 3 2 3" xfId="25455" xr:uid="{00000000-0005-0000-0000-000072620000}"/>
    <cellStyle name="Normal 306 3 2 3 2" xfId="25456" xr:uid="{00000000-0005-0000-0000-000073620000}"/>
    <cellStyle name="Normal 306 3 2 3 2 2" xfId="25457" xr:uid="{00000000-0005-0000-0000-000074620000}"/>
    <cellStyle name="Normal 306 3 2 3 3" xfId="25458" xr:uid="{00000000-0005-0000-0000-000075620000}"/>
    <cellStyle name="Normal 306 3 2 4" xfId="25459" xr:uid="{00000000-0005-0000-0000-000076620000}"/>
    <cellStyle name="Normal 306 3 3" xfId="25460" xr:uid="{00000000-0005-0000-0000-000077620000}"/>
    <cellStyle name="Normal 306 3 3 2" xfId="25461" xr:uid="{00000000-0005-0000-0000-000078620000}"/>
    <cellStyle name="Normal 306 3 3 2 2" xfId="25462" xr:uid="{00000000-0005-0000-0000-000079620000}"/>
    <cellStyle name="Normal 306 3 3 3" xfId="25463" xr:uid="{00000000-0005-0000-0000-00007A620000}"/>
    <cellStyle name="Normal 306 3 4" xfId="25464" xr:uid="{00000000-0005-0000-0000-00007B620000}"/>
    <cellStyle name="Normal 306 3 4 2" xfId="25465" xr:uid="{00000000-0005-0000-0000-00007C620000}"/>
    <cellStyle name="Normal 306 3 4 2 2" xfId="25466" xr:uid="{00000000-0005-0000-0000-00007D620000}"/>
    <cellStyle name="Normal 306 3 4 3" xfId="25467" xr:uid="{00000000-0005-0000-0000-00007E620000}"/>
    <cellStyle name="Normal 306 3 5" xfId="25468" xr:uid="{00000000-0005-0000-0000-00007F620000}"/>
    <cellStyle name="Normal 306 3 5 2" xfId="25469" xr:uid="{00000000-0005-0000-0000-000080620000}"/>
    <cellStyle name="Normal 306 3 5 2 2" xfId="25470" xr:uid="{00000000-0005-0000-0000-000081620000}"/>
    <cellStyle name="Normal 306 3 5 3" xfId="25471" xr:uid="{00000000-0005-0000-0000-000082620000}"/>
    <cellStyle name="Normal 306 3 6" xfId="25472" xr:uid="{00000000-0005-0000-0000-000083620000}"/>
    <cellStyle name="Normal 306 4" xfId="25473" xr:uid="{00000000-0005-0000-0000-000084620000}"/>
    <cellStyle name="Normal 306 4 2" xfId="25474" xr:uid="{00000000-0005-0000-0000-000085620000}"/>
    <cellStyle name="Normal 306 4 2 2" xfId="25475" xr:uid="{00000000-0005-0000-0000-000086620000}"/>
    <cellStyle name="Normal 306 4 3" xfId="25476" xr:uid="{00000000-0005-0000-0000-000087620000}"/>
    <cellStyle name="Normal 306 5" xfId="25477" xr:uid="{00000000-0005-0000-0000-000088620000}"/>
    <cellStyle name="Normal 306 5 2" xfId="25478" xr:uid="{00000000-0005-0000-0000-000089620000}"/>
    <cellStyle name="Normal 306 5 2 2" xfId="25479" xr:uid="{00000000-0005-0000-0000-00008A620000}"/>
    <cellStyle name="Normal 306 5 3" xfId="25480" xr:uid="{00000000-0005-0000-0000-00008B620000}"/>
    <cellStyle name="Normal 306 6" xfId="25481" xr:uid="{00000000-0005-0000-0000-00008C620000}"/>
    <cellStyle name="Normal 306 6 2" xfId="25482" xr:uid="{00000000-0005-0000-0000-00008D620000}"/>
    <cellStyle name="Normal 306 6 2 2" xfId="25483" xr:uid="{00000000-0005-0000-0000-00008E620000}"/>
    <cellStyle name="Normal 306 6 3" xfId="25484" xr:uid="{00000000-0005-0000-0000-00008F620000}"/>
    <cellStyle name="Normal 306 7" xfId="25485" xr:uid="{00000000-0005-0000-0000-000090620000}"/>
    <cellStyle name="Normal 307" xfId="25486" xr:uid="{00000000-0005-0000-0000-000091620000}"/>
    <cellStyle name="Normal 307 2" xfId="25487" xr:uid="{00000000-0005-0000-0000-000092620000}"/>
    <cellStyle name="Normal 307 2 2" xfId="25488" xr:uid="{00000000-0005-0000-0000-000093620000}"/>
    <cellStyle name="Normal 307 2 2 2" xfId="25489" xr:uid="{00000000-0005-0000-0000-000094620000}"/>
    <cellStyle name="Normal 307 2 3" xfId="25490" xr:uid="{00000000-0005-0000-0000-000095620000}"/>
    <cellStyle name="Normal 307 2 3 2" xfId="25491" xr:uid="{00000000-0005-0000-0000-000096620000}"/>
    <cellStyle name="Normal 307 2 3 2 2" xfId="25492" xr:uid="{00000000-0005-0000-0000-000097620000}"/>
    <cellStyle name="Normal 307 2 3 3" xfId="25493" xr:uid="{00000000-0005-0000-0000-000098620000}"/>
    <cellStyle name="Normal 307 2 4" xfId="25494" xr:uid="{00000000-0005-0000-0000-000099620000}"/>
    <cellStyle name="Normal 307 2 4 2" xfId="25495" xr:uid="{00000000-0005-0000-0000-00009A620000}"/>
    <cellStyle name="Normal 307 2 4 2 2" xfId="25496" xr:uid="{00000000-0005-0000-0000-00009B620000}"/>
    <cellStyle name="Normal 307 2 4 3" xfId="25497" xr:uid="{00000000-0005-0000-0000-00009C620000}"/>
    <cellStyle name="Normal 307 2 5" xfId="25498" xr:uid="{00000000-0005-0000-0000-00009D620000}"/>
    <cellStyle name="Normal 307 3" xfId="25499" xr:uid="{00000000-0005-0000-0000-00009E620000}"/>
    <cellStyle name="Normal 307 3 2" xfId="25500" xr:uid="{00000000-0005-0000-0000-00009F620000}"/>
    <cellStyle name="Normal 307 3 2 2" xfId="25501" xr:uid="{00000000-0005-0000-0000-0000A0620000}"/>
    <cellStyle name="Normal 307 3 2 2 2" xfId="25502" xr:uid="{00000000-0005-0000-0000-0000A1620000}"/>
    <cellStyle name="Normal 307 3 2 3" xfId="25503" xr:uid="{00000000-0005-0000-0000-0000A2620000}"/>
    <cellStyle name="Normal 307 3 2 3 2" xfId="25504" xr:uid="{00000000-0005-0000-0000-0000A3620000}"/>
    <cellStyle name="Normal 307 3 2 3 2 2" xfId="25505" xr:uid="{00000000-0005-0000-0000-0000A4620000}"/>
    <cellStyle name="Normal 307 3 2 3 3" xfId="25506" xr:uid="{00000000-0005-0000-0000-0000A5620000}"/>
    <cellStyle name="Normal 307 3 2 4" xfId="25507" xr:uid="{00000000-0005-0000-0000-0000A6620000}"/>
    <cellStyle name="Normal 307 3 3" xfId="25508" xr:uid="{00000000-0005-0000-0000-0000A7620000}"/>
    <cellStyle name="Normal 307 3 3 2" xfId="25509" xr:uid="{00000000-0005-0000-0000-0000A8620000}"/>
    <cellStyle name="Normal 307 3 3 2 2" xfId="25510" xr:uid="{00000000-0005-0000-0000-0000A9620000}"/>
    <cellStyle name="Normal 307 3 3 3" xfId="25511" xr:uid="{00000000-0005-0000-0000-0000AA620000}"/>
    <cellStyle name="Normal 307 3 4" xfId="25512" xr:uid="{00000000-0005-0000-0000-0000AB620000}"/>
    <cellStyle name="Normal 307 3 4 2" xfId="25513" xr:uid="{00000000-0005-0000-0000-0000AC620000}"/>
    <cellStyle name="Normal 307 3 4 2 2" xfId="25514" xr:uid="{00000000-0005-0000-0000-0000AD620000}"/>
    <cellStyle name="Normal 307 3 4 3" xfId="25515" xr:uid="{00000000-0005-0000-0000-0000AE620000}"/>
    <cellStyle name="Normal 307 3 5" xfId="25516" xr:uid="{00000000-0005-0000-0000-0000AF620000}"/>
    <cellStyle name="Normal 307 3 5 2" xfId="25517" xr:uid="{00000000-0005-0000-0000-0000B0620000}"/>
    <cellStyle name="Normal 307 3 5 2 2" xfId="25518" xr:uid="{00000000-0005-0000-0000-0000B1620000}"/>
    <cellStyle name="Normal 307 3 5 3" xfId="25519" xr:uid="{00000000-0005-0000-0000-0000B2620000}"/>
    <cellStyle name="Normal 307 3 6" xfId="25520" xr:uid="{00000000-0005-0000-0000-0000B3620000}"/>
    <cellStyle name="Normal 307 4" xfId="25521" xr:uid="{00000000-0005-0000-0000-0000B4620000}"/>
    <cellStyle name="Normal 307 4 2" xfId="25522" xr:uid="{00000000-0005-0000-0000-0000B5620000}"/>
    <cellStyle name="Normal 307 4 2 2" xfId="25523" xr:uid="{00000000-0005-0000-0000-0000B6620000}"/>
    <cellStyle name="Normal 307 4 3" xfId="25524" xr:uid="{00000000-0005-0000-0000-0000B7620000}"/>
    <cellStyle name="Normal 307 5" xfId="25525" xr:uid="{00000000-0005-0000-0000-0000B8620000}"/>
    <cellStyle name="Normal 307 5 2" xfId="25526" xr:uid="{00000000-0005-0000-0000-0000B9620000}"/>
    <cellStyle name="Normal 307 5 2 2" xfId="25527" xr:uid="{00000000-0005-0000-0000-0000BA620000}"/>
    <cellStyle name="Normal 307 5 3" xfId="25528" xr:uid="{00000000-0005-0000-0000-0000BB620000}"/>
    <cellStyle name="Normal 307 6" xfId="25529" xr:uid="{00000000-0005-0000-0000-0000BC620000}"/>
    <cellStyle name="Normal 307 6 2" xfId="25530" xr:uid="{00000000-0005-0000-0000-0000BD620000}"/>
    <cellStyle name="Normal 307 6 2 2" xfId="25531" xr:uid="{00000000-0005-0000-0000-0000BE620000}"/>
    <cellStyle name="Normal 307 6 3" xfId="25532" xr:uid="{00000000-0005-0000-0000-0000BF620000}"/>
    <cellStyle name="Normal 307 7" xfId="25533" xr:uid="{00000000-0005-0000-0000-0000C0620000}"/>
    <cellStyle name="Normal 308" xfId="25534" xr:uid="{00000000-0005-0000-0000-0000C1620000}"/>
    <cellStyle name="Normal 308 2" xfId="25535" xr:uid="{00000000-0005-0000-0000-0000C2620000}"/>
    <cellStyle name="Normal 308 2 2" xfId="25536" xr:uid="{00000000-0005-0000-0000-0000C3620000}"/>
    <cellStyle name="Normal 308 2 2 2" xfId="25537" xr:uid="{00000000-0005-0000-0000-0000C4620000}"/>
    <cellStyle name="Normal 308 2 3" xfId="25538" xr:uid="{00000000-0005-0000-0000-0000C5620000}"/>
    <cellStyle name="Normal 308 2 3 2" xfId="25539" xr:uid="{00000000-0005-0000-0000-0000C6620000}"/>
    <cellStyle name="Normal 308 2 3 2 2" xfId="25540" xr:uid="{00000000-0005-0000-0000-0000C7620000}"/>
    <cellStyle name="Normal 308 2 3 3" xfId="25541" xr:uid="{00000000-0005-0000-0000-0000C8620000}"/>
    <cellStyle name="Normal 308 2 4" xfId="25542" xr:uid="{00000000-0005-0000-0000-0000C9620000}"/>
    <cellStyle name="Normal 308 2 4 2" xfId="25543" xr:uid="{00000000-0005-0000-0000-0000CA620000}"/>
    <cellStyle name="Normal 308 2 4 2 2" xfId="25544" xr:uid="{00000000-0005-0000-0000-0000CB620000}"/>
    <cellStyle name="Normal 308 2 4 3" xfId="25545" xr:uid="{00000000-0005-0000-0000-0000CC620000}"/>
    <cellStyle name="Normal 308 2 5" xfId="25546" xr:uid="{00000000-0005-0000-0000-0000CD620000}"/>
    <cellStyle name="Normal 308 3" xfId="25547" xr:uid="{00000000-0005-0000-0000-0000CE620000}"/>
    <cellStyle name="Normal 308 3 2" xfId="25548" xr:uid="{00000000-0005-0000-0000-0000CF620000}"/>
    <cellStyle name="Normal 308 3 2 2" xfId="25549" xr:uid="{00000000-0005-0000-0000-0000D0620000}"/>
    <cellStyle name="Normal 308 3 2 2 2" xfId="25550" xr:uid="{00000000-0005-0000-0000-0000D1620000}"/>
    <cellStyle name="Normal 308 3 2 3" xfId="25551" xr:uid="{00000000-0005-0000-0000-0000D2620000}"/>
    <cellStyle name="Normal 308 3 2 3 2" xfId="25552" xr:uid="{00000000-0005-0000-0000-0000D3620000}"/>
    <cellStyle name="Normal 308 3 2 3 2 2" xfId="25553" xr:uid="{00000000-0005-0000-0000-0000D4620000}"/>
    <cellStyle name="Normal 308 3 2 3 3" xfId="25554" xr:uid="{00000000-0005-0000-0000-0000D5620000}"/>
    <cellStyle name="Normal 308 3 2 4" xfId="25555" xr:uid="{00000000-0005-0000-0000-0000D6620000}"/>
    <cellStyle name="Normal 308 3 3" xfId="25556" xr:uid="{00000000-0005-0000-0000-0000D7620000}"/>
    <cellStyle name="Normal 308 3 3 2" xfId="25557" xr:uid="{00000000-0005-0000-0000-0000D8620000}"/>
    <cellStyle name="Normal 308 3 3 2 2" xfId="25558" xr:uid="{00000000-0005-0000-0000-0000D9620000}"/>
    <cellStyle name="Normal 308 3 3 3" xfId="25559" xr:uid="{00000000-0005-0000-0000-0000DA620000}"/>
    <cellStyle name="Normal 308 3 4" xfId="25560" xr:uid="{00000000-0005-0000-0000-0000DB620000}"/>
    <cellStyle name="Normal 308 3 4 2" xfId="25561" xr:uid="{00000000-0005-0000-0000-0000DC620000}"/>
    <cellStyle name="Normal 308 3 4 2 2" xfId="25562" xr:uid="{00000000-0005-0000-0000-0000DD620000}"/>
    <cellStyle name="Normal 308 3 4 3" xfId="25563" xr:uid="{00000000-0005-0000-0000-0000DE620000}"/>
    <cellStyle name="Normal 308 3 5" xfId="25564" xr:uid="{00000000-0005-0000-0000-0000DF620000}"/>
    <cellStyle name="Normal 308 3 5 2" xfId="25565" xr:uid="{00000000-0005-0000-0000-0000E0620000}"/>
    <cellStyle name="Normal 308 3 5 2 2" xfId="25566" xr:uid="{00000000-0005-0000-0000-0000E1620000}"/>
    <cellStyle name="Normal 308 3 5 3" xfId="25567" xr:uid="{00000000-0005-0000-0000-0000E2620000}"/>
    <cellStyle name="Normal 308 3 6" xfId="25568" xr:uid="{00000000-0005-0000-0000-0000E3620000}"/>
    <cellStyle name="Normal 308 4" xfId="25569" xr:uid="{00000000-0005-0000-0000-0000E4620000}"/>
    <cellStyle name="Normal 308 4 2" xfId="25570" xr:uid="{00000000-0005-0000-0000-0000E5620000}"/>
    <cellStyle name="Normal 308 4 2 2" xfId="25571" xr:uid="{00000000-0005-0000-0000-0000E6620000}"/>
    <cellStyle name="Normal 308 4 3" xfId="25572" xr:uid="{00000000-0005-0000-0000-0000E7620000}"/>
    <cellStyle name="Normal 308 5" xfId="25573" xr:uid="{00000000-0005-0000-0000-0000E8620000}"/>
    <cellStyle name="Normal 308 5 2" xfId="25574" xr:uid="{00000000-0005-0000-0000-0000E9620000}"/>
    <cellStyle name="Normal 308 5 2 2" xfId="25575" xr:uid="{00000000-0005-0000-0000-0000EA620000}"/>
    <cellStyle name="Normal 308 5 3" xfId="25576" xr:uid="{00000000-0005-0000-0000-0000EB620000}"/>
    <cellStyle name="Normal 308 6" xfId="25577" xr:uid="{00000000-0005-0000-0000-0000EC620000}"/>
    <cellStyle name="Normal 308 6 2" xfId="25578" xr:uid="{00000000-0005-0000-0000-0000ED620000}"/>
    <cellStyle name="Normal 308 6 2 2" xfId="25579" xr:uid="{00000000-0005-0000-0000-0000EE620000}"/>
    <cellStyle name="Normal 308 6 3" xfId="25580" xr:uid="{00000000-0005-0000-0000-0000EF620000}"/>
    <cellStyle name="Normal 308 7" xfId="25581" xr:uid="{00000000-0005-0000-0000-0000F0620000}"/>
    <cellStyle name="Normal 309" xfId="25582" xr:uid="{00000000-0005-0000-0000-0000F1620000}"/>
    <cellStyle name="Normal 309 2" xfId="25583" xr:uid="{00000000-0005-0000-0000-0000F2620000}"/>
    <cellStyle name="Normal 309 2 2" xfId="25584" xr:uid="{00000000-0005-0000-0000-0000F3620000}"/>
    <cellStyle name="Normal 309 2 2 2" xfId="25585" xr:uid="{00000000-0005-0000-0000-0000F4620000}"/>
    <cellStyle name="Normal 309 2 3" xfId="25586" xr:uid="{00000000-0005-0000-0000-0000F5620000}"/>
    <cellStyle name="Normal 309 2 3 2" xfId="25587" xr:uid="{00000000-0005-0000-0000-0000F6620000}"/>
    <cellStyle name="Normal 309 2 3 2 2" xfId="25588" xr:uid="{00000000-0005-0000-0000-0000F7620000}"/>
    <cellStyle name="Normal 309 2 3 3" xfId="25589" xr:uid="{00000000-0005-0000-0000-0000F8620000}"/>
    <cellStyle name="Normal 309 2 4" xfId="25590" xr:uid="{00000000-0005-0000-0000-0000F9620000}"/>
    <cellStyle name="Normal 309 2 4 2" xfId="25591" xr:uid="{00000000-0005-0000-0000-0000FA620000}"/>
    <cellStyle name="Normal 309 2 4 2 2" xfId="25592" xr:uid="{00000000-0005-0000-0000-0000FB620000}"/>
    <cellStyle name="Normal 309 2 4 3" xfId="25593" xr:uid="{00000000-0005-0000-0000-0000FC620000}"/>
    <cellStyle name="Normal 309 2 5" xfId="25594" xr:uid="{00000000-0005-0000-0000-0000FD620000}"/>
    <cellStyle name="Normal 309 3" xfId="25595" xr:uid="{00000000-0005-0000-0000-0000FE620000}"/>
    <cellStyle name="Normal 309 3 2" xfId="25596" xr:uid="{00000000-0005-0000-0000-0000FF620000}"/>
    <cellStyle name="Normal 309 3 2 2" xfId="25597" xr:uid="{00000000-0005-0000-0000-000000630000}"/>
    <cellStyle name="Normal 309 3 2 2 2" xfId="25598" xr:uid="{00000000-0005-0000-0000-000001630000}"/>
    <cellStyle name="Normal 309 3 2 3" xfId="25599" xr:uid="{00000000-0005-0000-0000-000002630000}"/>
    <cellStyle name="Normal 309 3 2 3 2" xfId="25600" xr:uid="{00000000-0005-0000-0000-000003630000}"/>
    <cellStyle name="Normal 309 3 2 3 2 2" xfId="25601" xr:uid="{00000000-0005-0000-0000-000004630000}"/>
    <cellStyle name="Normal 309 3 2 3 3" xfId="25602" xr:uid="{00000000-0005-0000-0000-000005630000}"/>
    <cellStyle name="Normal 309 3 2 4" xfId="25603" xr:uid="{00000000-0005-0000-0000-000006630000}"/>
    <cellStyle name="Normal 309 3 3" xfId="25604" xr:uid="{00000000-0005-0000-0000-000007630000}"/>
    <cellStyle name="Normal 309 3 3 2" xfId="25605" xr:uid="{00000000-0005-0000-0000-000008630000}"/>
    <cellStyle name="Normal 309 3 3 2 2" xfId="25606" xr:uid="{00000000-0005-0000-0000-000009630000}"/>
    <cellStyle name="Normal 309 3 3 3" xfId="25607" xr:uid="{00000000-0005-0000-0000-00000A630000}"/>
    <cellStyle name="Normal 309 3 4" xfId="25608" xr:uid="{00000000-0005-0000-0000-00000B630000}"/>
    <cellStyle name="Normal 309 3 4 2" xfId="25609" xr:uid="{00000000-0005-0000-0000-00000C630000}"/>
    <cellStyle name="Normal 309 3 4 2 2" xfId="25610" xr:uid="{00000000-0005-0000-0000-00000D630000}"/>
    <cellStyle name="Normal 309 3 4 3" xfId="25611" xr:uid="{00000000-0005-0000-0000-00000E630000}"/>
    <cellStyle name="Normal 309 3 5" xfId="25612" xr:uid="{00000000-0005-0000-0000-00000F630000}"/>
    <cellStyle name="Normal 309 3 5 2" xfId="25613" xr:uid="{00000000-0005-0000-0000-000010630000}"/>
    <cellStyle name="Normal 309 3 5 2 2" xfId="25614" xr:uid="{00000000-0005-0000-0000-000011630000}"/>
    <cellStyle name="Normal 309 3 5 3" xfId="25615" xr:uid="{00000000-0005-0000-0000-000012630000}"/>
    <cellStyle name="Normal 309 3 6" xfId="25616" xr:uid="{00000000-0005-0000-0000-000013630000}"/>
    <cellStyle name="Normal 309 4" xfId="25617" xr:uid="{00000000-0005-0000-0000-000014630000}"/>
    <cellStyle name="Normal 309 4 2" xfId="25618" xr:uid="{00000000-0005-0000-0000-000015630000}"/>
    <cellStyle name="Normal 309 4 2 2" xfId="25619" xr:uid="{00000000-0005-0000-0000-000016630000}"/>
    <cellStyle name="Normal 309 4 3" xfId="25620" xr:uid="{00000000-0005-0000-0000-000017630000}"/>
    <cellStyle name="Normal 309 5" xfId="25621" xr:uid="{00000000-0005-0000-0000-000018630000}"/>
    <cellStyle name="Normal 309 5 2" xfId="25622" xr:uid="{00000000-0005-0000-0000-000019630000}"/>
    <cellStyle name="Normal 309 5 2 2" xfId="25623" xr:uid="{00000000-0005-0000-0000-00001A630000}"/>
    <cellStyle name="Normal 309 5 3" xfId="25624" xr:uid="{00000000-0005-0000-0000-00001B630000}"/>
    <cellStyle name="Normal 309 6" xfId="25625" xr:uid="{00000000-0005-0000-0000-00001C630000}"/>
    <cellStyle name="Normal 309 6 2" xfId="25626" xr:uid="{00000000-0005-0000-0000-00001D630000}"/>
    <cellStyle name="Normal 309 6 2 2" xfId="25627" xr:uid="{00000000-0005-0000-0000-00001E630000}"/>
    <cellStyle name="Normal 309 6 3" xfId="25628" xr:uid="{00000000-0005-0000-0000-00001F630000}"/>
    <cellStyle name="Normal 309 7" xfId="25629" xr:uid="{00000000-0005-0000-0000-000020630000}"/>
    <cellStyle name="Normal 31" xfId="25630" xr:uid="{00000000-0005-0000-0000-000021630000}"/>
    <cellStyle name="Normal 31 2" xfId="25631" xr:uid="{00000000-0005-0000-0000-000022630000}"/>
    <cellStyle name="Normal 31 2 2" xfId="25632" xr:uid="{00000000-0005-0000-0000-000023630000}"/>
    <cellStyle name="Normal 31 2 2 2" xfId="25633" xr:uid="{00000000-0005-0000-0000-000024630000}"/>
    <cellStyle name="Normal 31 2 2 2 2" xfId="25634" xr:uid="{00000000-0005-0000-0000-000025630000}"/>
    <cellStyle name="Normal 31 2 2 3" xfId="25635" xr:uid="{00000000-0005-0000-0000-000026630000}"/>
    <cellStyle name="Normal 31 2 2 3 2" xfId="25636" xr:uid="{00000000-0005-0000-0000-000027630000}"/>
    <cellStyle name="Normal 31 2 2 3 2 2" xfId="25637" xr:uid="{00000000-0005-0000-0000-000028630000}"/>
    <cellStyle name="Normal 31 2 2 3 3" xfId="25638" xr:uid="{00000000-0005-0000-0000-000029630000}"/>
    <cellStyle name="Normal 31 2 2 4" xfId="25639" xr:uid="{00000000-0005-0000-0000-00002A630000}"/>
    <cellStyle name="Normal 31 2 2 4 2" xfId="25640" xr:uid="{00000000-0005-0000-0000-00002B630000}"/>
    <cellStyle name="Normal 31 2 2 4 2 2" xfId="25641" xr:uid="{00000000-0005-0000-0000-00002C630000}"/>
    <cellStyle name="Normal 31 2 2 4 3" xfId="25642" xr:uid="{00000000-0005-0000-0000-00002D630000}"/>
    <cellStyle name="Normal 31 2 2 5" xfId="25643" xr:uid="{00000000-0005-0000-0000-00002E630000}"/>
    <cellStyle name="Normal 31 2 3" xfId="25644" xr:uid="{00000000-0005-0000-0000-00002F630000}"/>
    <cellStyle name="Normal 31 2 3 2" xfId="25645" xr:uid="{00000000-0005-0000-0000-000030630000}"/>
    <cellStyle name="Normal 31 2 3 2 2" xfId="25646" xr:uid="{00000000-0005-0000-0000-000031630000}"/>
    <cellStyle name="Normal 31 2 3 3" xfId="25647" xr:uid="{00000000-0005-0000-0000-000032630000}"/>
    <cellStyle name="Normal 31 2 4" xfId="25648" xr:uid="{00000000-0005-0000-0000-000033630000}"/>
    <cellStyle name="Normal 31 2 4 2" xfId="25649" xr:uid="{00000000-0005-0000-0000-000034630000}"/>
    <cellStyle name="Normal 31 2 4 2 2" xfId="25650" xr:uid="{00000000-0005-0000-0000-000035630000}"/>
    <cellStyle name="Normal 31 2 4 3" xfId="25651" xr:uid="{00000000-0005-0000-0000-000036630000}"/>
    <cellStyle name="Normal 31 2 5" xfId="25652" xr:uid="{00000000-0005-0000-0000-000037630000}"/>
    <cellStyle name="Normal 31 2 5 2" xfId="25653" xr:uid="{00000000-0005-0000-0000-000038630000}"/>
    <cellStyle name="Normal 31 2 5 2 2" xfId="25654" xr:uid="{00000000-0005-0000-0000-000039630000}"/>
    <cellStyle name="Normal 31 2 5 3" xfId="25655" xr:uid="{00000000-0005-0000-0000-00003A630000}"/>
    <cellStyle name="Normal 31 2 6" xfId="25656" xr:uid="{00000000-0005-0000-0000-00003B630000}"/>
    <cellStyle name="Normal 31 3" xfId="25657" xr:uid="{00000000-0005-0000-0000-00003C630000}"/>
    <cellStyle name="Normal 31 3 2" xfId="25658" xr:uid="{00000000-0005-0000-0000-00003D630000}"/>
    <cellStyle name="Normal 31 3 2 2" xfId="25659" xr:uid="{00000000-0005-0000-0000-00003E630000}"/>
    <cellStyle name="Normal 31 3 3" xfId="25660" xr:uid="{00000000-0005-0000-0000-00003F630000}"/>
    <cellStyle name="Normal 31 3 3 2" xfId="25661" xr:uid="{00000000-0005-0000-0000-000040630000}"/>
    <cellStyle name="Normal 31 3 3 2 2" xfId="25662" xr:uid="{00000000-0005-0000-0000-000041630000}"/>
    <cellStyle name="Normal 31 3 3 3" xfId="25663" xr:uid="{00000000-0005-0000-0000-000042630000}"/>
    <cellStyle name="Normal 31 3 4" xfId="25664" xr:uid="{00000000-0005-0000-0000-000043630000}"/>
    <cellStyle name="Normal 31 3 4 2" xfId="25665" xr:uid="{00000000-0005-0000-0000-000044630000}"/>
    <cellStyle name="Normal 31 3 4 2 2" xfId="25666" xr:uid="{00000000-0005-0000-0000-000045630000}"/>
    <cellStyle name="Normal 31 3 4 3" xfId="25667" xr:uid="{00000000-0005-0000-0000-000046630000}"/>
    <cellStyle name="Normal 31 3 5" xfId="25668" xr:uid="{00000000-0005-0000-0000-000047630000}"/>
    <cellStyle name="Normal 31 4" xfId="25669" xr:uid="{00000000-0005-0000-0000-000048630000}"/>
    <cellStyle name="Normal 31 4 2" xfId="25670" xr:uid="{00000000-0005-0000-0000-000049630000}"/>
    <cellStyle name="Normal 31 4 2 2" xfId="25671" xr:uid="{00000000-0005-0000-0000-00004A630000}"/>
    <cellStyle name="Normal 31 4 3" xfId="25672" xr:uid="{00000000-0005-0000-0000-00004B630000}"/>
    <cellStyle name="Normal 31 5" xfId="25673" xr:uid="{00000000-0005-0000-0000-00004C630000}"/>
    <cellStyle name="Normal 31 5 2" xfId="25674" xr:uid="{00000000-0005-0000-0000-00004D630000}"/>
    <cellStyle name="Normal 31 5 2 2" xfId="25675" xr:uid="{00000000-0005-0000-0000-00004E630000}"/>
    <cellStyle name="Normal 31 5 3" xfId="25676" xr:uid="{00000000-0005-0000-0000-00004F630000}"/>
    <cellStyle name="Normal 31 6" xfId="25677" xr:uid="{00000000-0005-0000-0000-000050630000}"/>
    <cellStyle name="Normal 31 6 2" xfId="25678" xr:uid="{00000000-0005-0000-0000-000051630000}"/>
    <cellStyle name="Normal 31 6 2 2" xfId="25679" xr:uid="{00000000-0005-0000-0000-000052630000}"/>
    <cellStyle name="Normal 31 6 3" xfId="25680" xr:uid="{00000000-0005-0000-0000-000053630000}"/>
    <cellStyle name="Normal 31 7" xfId="25681" xr:uid="{00000000-0005-0000-0000-000054630000}"/>
    <cellStyle name="Normal 310" xfId="25682" xr:uid="{00000000-0005-0000-0000-000055630000}"/>
    <cellStyle name="Normal 310 2" xfId="25683" xr:uid="{00000000-0005-0000-0000-000056630000}"/>
    <cellStyle name="Normal 310 2 2" xfId="25684" xr:uid="{00000000-0005-0000-0000-000057630000}"/>
    <cellStyle name="Normal 310 2 2 2" xfId="25685" xr:uid="{00000000-0005-0000-0000-000058630000}"/>
    <cellStyle name="Normal 310 2 3" xfId="25686" xr:uid="{00000000-0005-0000-0000-000059630000}"/>
    <cellStyle name="Normal 310 2 3 2" xfId="25687" xr:uid="{00000000-0005-0000-0000-00005A630000}"/>
    <cellStyle name="Normal 310 2 3 2 2" xfId="25688" xr:uid="{00000000-0005-0000-0000-00005B630000}"/>
    <cellStyle name="Normal 310 2 3 3" xfId="25689" xr:uid="{00000000-0005-0000-0000-00005C630000}"/>
    <cellStyle name="Normal 310 2 4" xfId="25690" xr:uid="{00000000-0005-0000-0000-00005D630000}"/>
    <cellStyle name="Normal 310 2 4 2" xfId="25691" xr:uid="{00000000-0005-0000-0000-00005E630000}"/>
    <cellStyle name="Normal 310 2 4 2 2" xfId="25692" xr:uid="{00000000-0005-0000-0000-00005F630000}"/>
    <cellStyle name="Normal 310 2 4 3" xfId="25693" xr:uid="{00000000-0005-0000-0000-000060630000}"/>
    <cellStyle name="Normal 310 2 5" xfId="25694" xr:uid="{00000000-0005-0000-0000-000061630000}"/>
    <cellStyle name="Normal 310 3" xfId="25695" xr:uid="{00000000-0005-0000-0000-000062630000}"/>
    <cellStyle name="Normal 310 3 2" xfId="25696" xr:uid="{00000000-0005-0000-0000-000063630000}"/>
    <cellStyle name="Normal 310 3 2 2" xfId="25697" xr:uid="{00000000-0005-0000-0000-000064630000}"/>
    <cellStyle name="Normal 310 3 2 2 2" xfId="25698" xr:uid="{00000000-0005-0000-0000-000065630000}"/>
    <cellStyle name="Normal 310 3 2 3" xfId="25699" xr:uid="{00000000-0005-0000-0000-000066630000}"/>
    <cellStyle name="Normal 310 3 2 3 2" xfId="25700" xr:uid="{00000000-0005-0000-0000-000067630000}"/>
    <cellStyle name="Normal 310 3 2 3 2 2" xfId="25701" xr:uid="{00000000-0005-0000-0000-000068630000}"/>
    <cellStyle name="Normal 310 3 2 3 3" xfId="25702" xr:uid="{00000000-0005-0000-0000-000069630000}"/>
    <cellStyle name="Normal 310 3 2 4" xfId="25703" xr:uid="{00000000-0005-0000-0000-00006A630000}"/>
    <cellStyle name="Normal 310 3 3" xfId="25704" xr:uid="{00000000-0005-0000-0000-00006B630000}"/>
    <cellStyle name="Normal 310 3 3 2" xfId="25705" xr:uid="{00000000-0005-0000-0000-00006C630000}"/>
    <cellStyle name="Normal 310 3 3 2 2" xfId="25706" xr:uid="{00000000-0005-0000-0000-00006D630000}"/>
    <cellStyle name="Normal 310 3 3 3" xfId="25707" xr:uid="{00000000-0005-0000-0000-00006E630000}"/>
    <cellStyle name="Normal 310 3 4" xfId="25708" xr:uid="{00000000-0005-0000-0000-00006F630000}"/>
    <cellStyle name="Normal 310 3 4 2" xfId="25709" xr:uid="{00000000-0005-0000-0000-000070630000}"/>
    <cellStyle name="Normal 310 3 4 2 2" xfId="25710" xr:uid="{00000000-0005-0000-0000-000071630000}"/>
    <cellStyle name="Normal 310 3 4 3" xfId="25711" xr:uid="{00000000-0005-0000-0000-000072630000}"/>
    <cellStyle name="Normal 310 3 5" xfId="25712" xr:uid="{00000000-0005-0000-0000-000073630000}"/>
    <cellStyle name="Normal 310 3 5 2" xfId="25713" xr:uid="{00000000-0005-0000-0000-000074630000}"/>
    <cellStyle name="Normal 310 3 5 2 2" xfId="25714" xr:uid="{00000000-0005-0000-0000-000075630000}"/>
    <cellStyle name="Normal 310 3 5 3" xfId="25715" xr:uid="{00000000-0005-0000-0000-000076630000}"/>
    <cellStyle name="Normal 310 3 6" xfId="25716" xr:uid="{00000000-0005-0000-0000-000077630000}"/>
    <cellStyle name="Normal 310 4" xfId="25717" xr:uid="{00000000-0005-0000-0000-000078630000}"/>
    <cellStyle name="Normal 310 4 2" xfId="25718" xr:uid="{00000000-0005-0000-0000-000079630000}"/>
    <cellStyle name="Normal 310 4 2 2" xfId="25719" xr:uid="{00000000-0005-0000-0000-00007A630000}"/>
    <cellStyle name="Normal 310 4 3" xfId="25720" xr:uid="{00000000-0005-0000-0000-00007B630000}"/>
    <cellStyle name="Normal 310 5" xfId="25721" xr:uid="{00000000-0005-0000-0000-00007C630000}"/>
    <cellStyle name="Normal 310 5 2" xfId="25722" xr:uid="{00000000-0005-0000-0000-00007D630000}"/>
    <cellStyle name="Normal 310 5 2 2" xfId="25723" xr:uid="{00000000-0005-0000-0000-00007E630000}"/>
    <cellStyle name="Normal 310 5 3" xfId="25724" xr:uid="{00000000-0005-0000-0000-00007F630000}"/>
    <cellStyle name="Normal 310 6" xfId="25725" xr:uid="{00000000-0005-0000-0000-000080630000}"/>
    <cellStyle name="Normal 310 6 2" xfId="25726" xr:uid="{00000000-0005-0000-0000-000081630000}"/>
    <cellStyle name="Normal 310 6 2 2" xfId="25727" xr:uid="{00000000-0005-0000-0000-000082630000}"/>
    <cellStyle name="Normal 310 6 3" xfId="25728" xr:uid="{00000000-0005-0000-0000-000083630000}"/>
    <cellStyle name="Normal 310 7" xfId="25729" xr:uid="{00000000-0005-0000-0000-000084630000}"/>
    <cellStyle name="Normal 311" xfId="25730" xr:uid="{00000000-0005-0000-0000-000085630000}"/>
    <cellStyle name="Normal 311 2" xfId="25731" xr:uid="{00000000-0005-0000-0000-000086630000}"/>
    <cellStyle name="Normal 311 2 2" xfId="25732" xr:uid="{00000000-0005-0000-0000-000087630000}"/>
    <cellStyle name="Normal 311 2 2 2" xfId="25733" xr:uid="{00000000-0005-0000-0000-000088630000}"/>
    <cellStyle name="Normal 311 2 3" xfId="25734" xr:uid="{00000000-0005-0000-0000-000089630000}"/>
    <cellStyle name="Normal 311 2 3 2" xfId="25735" xr:uid="{00000000-0005-0000-0000-00008A630000}"/>
    <cellStyle name="Normal 311 2 3 2 2" xfId="25736" xr:uid="{00000000-0005-0000-0000-00008B630000}"/>
    <cellStyle name="Normal 311 2 3 3" xfId="25737" xr:uid="{00000000-0005-0000-0000-00008C630000}"/>
    <cellStyle name="Normal 311 2 4" xfId="25738" xr:uid="{00000000-0005-0000-0000-00008D630000}"/>
    <cellStyle name="Normal 311 2 4 2" xfId="25739" xr:uid="{00000000-0005-0000-0000-00008E630000}"/>
    <cellStyle name="Normal 311 2 4 2 2" xfId="25740" xr:uid="{00000000-0005-0000-0000-00008F630000}"/>
    <cellStyle name="Normal 311 2 4 3" xfId="25741" xr:uid="{00000000-0005-0000-0000-000090630000}"/>
    <cellStyle name="Normal 311 2 5" xfId="25742" xr:uid="{00000000-0005-0000-0000-000091630000}"/>
    <cellStyle name="Normal 311 3" xfId="25743" xr:uid="{00000000-0005-0000-0000-000092630000}"/>
    <cellStyle name="Normal 311 3 2" xfId="25744" xr:uid="{00000000-0005-0000-0000-000093630000}"/>
    <cellStyle name="Normal 311 3 2 2" xfId="25745" xr:uid="{00000000-0005-0000-0000-000094630000}"/>
    <cellStyle name="Normal 311 3 2 2 2" xfId="25746" xr:uid="{00000000-0005-0000-0000-000095630000}"/>
    <cellStyle name="Normal 311 3 2 3" xfId="25747" xr:uid="{00000000-0005-0000-0000-000096630000}"/>
    <cellStyle name="Normal 311 3 2 3 2" xfId="25748" xr:uid="{00000000-0005-0000-0000-000097630000}"/>
    <cellStyle name="Normal 311 3 2 3 2 2" xfId="25749" xr:uid="{00000000-0005-0000-0000-000098630000}"/>
    <cellStyle name="Normal 311 3 2 3 3" xfId="25750" xr:uid="{00000000-0005-0000-0000-000099630000}"/>
    <cellStyle name="Normal 311 3 2 4" xfId="25751" xr:uid="{00000000-0005-0000-0000-00009A630000}"/>
    <cellStyle name="Normal 311 3 3" xfId="25752" xr:uid="{00000000-0005-0000-0000-00009B630000}"/>
    <cellStyle name="Normal 311 3 3 2" xfId="25753" xr:uid="{00000000-0005-0000-0000-00009C630000}"/>
    <cellStyle name="Normal 311 3 3 2 2" xfId="25754" xr:uid="{00000000-0005-0000-0000-00009D630000}"/>
    <cellStyle name="Normal 311 3 3 3" xfId="25755" xr:uid="{00000000-0005-0000-0000-00009E630000}"/>
    <cellStyle name="Normal 311 3 4" xfId="25756" xr:uid="{00000000-0005-0000-0000-00009F630000}"/>
    <cellStyle name="Normal 311 3 4 2" xfId="25757" xr:uid="{00000000-0005-0000-0000-0000A0630000}"/>
    <cellStyle name="Normal 311 3 4 2 2" xfId="25758" xr:uid="{00000000-0005-0000-0000-0000A1630000}"/>
    <cellStyle name="Normal 311 3 4 3" xfId="25759" xr:uid="{00000000-0005-0000-0000-0000A2630000}"/>
    <cellStyle name="Normal 311 3 5" xfId="25760" xr:uid="{00000000-0005-0000-0000-0000A3630000}"/>
    <cellStyle name="Normal 311 3 5 2" xfId="25761" xr:uid="{00000000-0005-0000-0000-0000A4630000}"/>
    <cellStyle name="Normal 311 3 5 2 2" xfId="25762" xr:uid="{00000000-0005-0000-0000-0000A5630000}"/>
    <cellStyle name="Normal 311 3 5 3" xfId="25763" xr:uid="{00000000-0005-0000-0000-0000A6630000}"/>
    <cellStyle name="Normal 311 3 6" xfId="25764" xr:uid="{00000000-0005-0000-0000-0000A7630000}"/>
    <cellStyle name="Normal 311 4" xfId="25765" xr:uid="{00000000-0005-0000-0000-0000A8630000}"/>
    <cellStyle name="Normal 311 4 2" xfId="25766" xr:uid="{00000000-0005-0000-0000-0000A9630000}"/>
    <cellStyle name="Normal 311 4 2 2" xfId="25767" xr:uid="{00000000-0005-0000-0000-0000AA630000}"/>
    <cellStyle name="Normal 311 4 3" xfId="25768" xr:uid="{00000000-0005-0000-0000-0000AB630000}"/>
    <cellStyle name="Normal 311 5" xfId="25769" xr:uid="{00000000-0005-0000-0000-0000AC630000}"/>
    <cellStyle name="Normal 311 5 2" xfId="25770" xr:uid="{00000000-0005-0000-0000-0000AD630000}"/>
    <cellStyle name="Normal 311 5 2 2" xfId="25771" xr:uid="{00000000-0005-0000-0000-0000AE630000}"/>
    <cellStyle name="Normal 311 5 3" xfId="25772" xr:uid="{00000000-0005-0000-0000-0000AF630000}"/>
    <cellStyle name="Normal 311 6" xfId="25773" xr:uid="{00000000-0005-0000-0000-0000B0630000}"/>
    <cellStyle name="Normal 311 6 2" xfId="25774" xr:uid="{00000000-0005-0000-0000-0000B1630000}"/>
    <cellStyle name="Normal 311 6 2 2" xfId="25775" xr:uid="{00000000-0005-0000-0000-0000B2630000}"/>
    <cellStyle name="Normal 311 6 3" xfId="25776" xr:uid="{00000000-0005-0000-0000-0000B3630000}"/>
    <cellStyle name="Normal 311 7" xfId="25777" xr:uid="{00000000-0005-0000-0000-0000B4630000}"/>
    <cellStyle name="Normal 312" xfId="25778" xr:uid="{00000000-0005-0000-0000-0000B5630000}"/>
    <cellStyle name="Normal 312 2" xfId="25779" xr:uid="{00000000-0005-0000-0000-0000B6630000}"/>
    <cellStyle name="Normal 312 2 2" xfId="25780" xr:uid="{00000000-0005-0000-0000-0000B7630000}"/>
    <cellStyle name="Normal 312 2 2 2" xfId="25781" xr:uid="{00000000-0005-0000-0000-0000B8630000}"/>
    <cellStyle name="Normal 312 2 3" xfId="25782" xr:uid="{00000000-0005-0000-0000-0000B9630000}"/>
    <cellStyle name="Normal 312 2 3 2" xfId="25783" xr:uid="{00000000-0005-0000-0000-0000BA630000}"/>
    <cellStyle name="Normal 312 2 3 2 2" xfId="25784" xr:uid="{00000000-0005-0000-0000-0000BB630000}"/>
    <cellStyle name="Normal 312 2 3 3" xfId="25785" xr:uid="{00000000-0005-0000-0000-0000BC630000}"/>
    <cellStyle name="Normal 312 2 4" xfId="25786" xr:uid="{00000000-0005-0000-0000-0000BD630000}"/>
    <cellStyle name="Normal 312 2 4 2" xfId="25787" xr:uid="{00000000-0005-0000-0000-0000BE630000}"/>
    <cellStyle name="Normal 312 2 4 2 2" xfId="25788" xr:uid="{00000000-0005-0000-0000-0000BF630000}"/>
    <cellStyle name="Normal 312 2 4 3" xfId="25789" xr:uid="{00000000-0005-0000-0000-0000C0630000}"/>
    <cellStyle name="Normal 312 2 5" xfId="25790" xr:uid="{00000000-0005-0000-0000-0000C1630000}"/>
    <cellStyle name="Normal 312 3" xfId="25791" xr:uid="{00000000-0005-0000-0000-0000C2630000}"/>
    <cellStyle name="Normal 312 3 2" xfId="25792" xr:uid="{00000000-0005-0000-0000-0000C3630000}"/>
    <cellStyle name="Normal 312 3 2 2" xfId="25793" xr:uid="{00000000-0005-0000-0000-0000C4630000}"/>
    <cellStyle name="Normal 312 3 2 2 2" xfId="25794" xr:uid="{00000000-0005-0000-0000-0000C5630000}"/>
    <cellStyle name="Normal 312 3 2 3" xfId="25795" xr:uid="{00000000-0005-0000-0000-0000C6630000}"/>
    <cellStyle name="Normal 312 3 2 3 2" xfId="25796" xr:uid="{00000000-0005-0000-0000-0000C7630000}"/>
    <cellStyle name="Normal 312 3 2 3 2 2" xfId="25797" xr:uid="{00000000-0005-0000-0000-0000C8630000}"/>
    <cellStyle name="Normal 312 3 2 3 3" xfId="25798" xr:uid="{00000000-0005-0000-0000-0000C9630000}"/>
    <cellStyle name="Normal 312 3 2 4" xfId="25799" xr:uid="{00000000-0005-0000-0000-0000CA630000}"/>
    <cellStyle name="Normal 312 3 3" xfId="25800" xr:uid="{00000000-0005-0000-0000-0000CB630000}"/>
    <cellStyle name="Normal 312 3 3 2" xfId="25801" xr:uid="{00000000-0005-0000-0000-0000CC630000}"/>
    <cellStyle name="Normal 312 3 3 2 2" xfId="25802" xr:uid="{00000000-0005-0000-0000-0000CD630000}"/>
    <cellStyle name="Normal 312 3 3 3" xfId="25803" xr:uid="{00000000-0005-0000-0000-0000CE630000}"/>
    <cellStyle name="Normal 312 3 4" xfId="25804" xr:uid="{00000000-0005-0000-0000-0000CF630000}"/>
    <cellStyle name="Normal 312 3 4 2" xfId="25805" xr:uid="{00000000-0005-0000-0000-0000D0630000}"/>
    <cellStyle name="Normal 312 3 4 2 2" xfId="25806" xr:uid="{00000000-0005-0000-0000-0000D1630000}"/>
    <cellStyle name="Normal 312 3 4 3" xfId="25807" xr:uid="{00000000-0005-0000-0000-0000D2630000}"/>
    <cellStyle name="Normal 312 3 5" xfId="25808" xr:uid="{00000000-0005-0000-0000-0000D3630000}"/>
    <cellStyle name="Normal 312 3 5 2" xfId="25809" xr:uid="{00000000-0005-0000-0000-0000D4630000}"/>
    <cellStyle name="Normal 312 3 5 2 2" xfId="25810" xr:uid="{00000000-0005-0000-0000-0000D5630000}"/>
    <cellStyle name="Normal 312 3 5 3" xfId="25811" xr:uid="{00000000-0005-0000-0000-0000D6630000}"/>
    <cellStyle name="Normal 312 3 6" xfId="25812" xr:uid="{00000000-0005-0000-0000-0000D7630000}"/>
    <cellStyle name="Normal 312 4" xfId="25813" xr:uid="{00000000-0005-0000-0000-0000D8630000}"/>
    <cellStyle name="Normal 312 4 2" xfId="25814" xr:uid="{00000000-0005-0000-0000-0000D9630000}"/>
    <cellStyle name="Normal 312 4 2 2" xfId="25815" xr:uid="{00000000-0005-0000-0000-0000DA630000}"/>
    <cellStyle name="Normal 312 4 3" xfId="25816" xr:uid="{00000000-0005-0000-0000-0000DB630000}"/>
    <cellStyle name="Normal 312 5" xfId="25817" xr:uid="{00000000-0005-0000-0000-0000DC630000}"/>
    <cellStyle name="Normal 312 5 2" xfId="25818" xr:uid="{00000000-0005-0000-0000-0000DD630000}"/>
    <cellStyle name="Normal 312 5 2 2" xfId="25819" xr:uid="{00000000-0005-0000-0000-0000DE630000}"/>
    <cellStyle name="Normal 312 5 3" xfId="25820" xr:uid="{00000000-0005-0000-0000-0000DF630000}"/>
    <cellStyle name="Normal 312 6" xfId="25821" xr:uid="{00000000-0005-0000-0000-0000E0630000}"/>
    <cellStyle name="Normal 312 6 2" xfId="25822" xr:uid="{00000000-0005-0000-0000-0000E1630000}"/>
    <cellStyle name="Normal 312 6 2 2" xfId="25823" xr:uid="{00000000-0005-0000-0000-0000E2630000}"/>
    <cellStyle name="Normal 312 6 3" xfId="25824" xr:uid="{00000000-0005-0000-0000-0000E3630000}"/>
    <cellStyle name="Normal 312 7" xfId="25825" xr:uid="{00000000-0005-0000-0000-0000E4630000}"/>
    <cellStyle name="Normal 313" xfId="25826" xr:uid="{00000000-0005-0000-0000-0000E5630000}"/>
    <cellStyle name="Normal 313 2" xfId="25827" xr:uid="{00000000-0005-0000-0000-0000E6630000}"/>
    <cellStyle name="Normal 313 2 2" xfId="25828" xr:uid="{00000000-0005-0000-0000-0000E7630000}"/>
    <cellStyle name="Normal 313 2 2 2" xfId="25829" xr:uid="{00000000-0005-0000-0000-0000E8630000}"/>
    <cellStyle name="Normal 313 2 3" xfId="25830" xr:uid="{00000000-0005-0000-0000-0000E9630000}"/>
    <cellStyle name="Normal 313 2 3 2" xfId="25831" xr:uid="{00000000-0005-0000-0000-0000EA630000}"/>
    <cellStyle name="Normal 313 2 3 2 2" xfId="25832" xr:uid="{00000000-0005-0000-0000-0000EB630000}"/>
    <cellStyle name="Normal 313 2 3 3" xfId="25833" xr:uid="{00000000-0005-0000-0000-0000EC630000}"/>
    <cellStyle name="Normal 313 2 4" xfId="25834" xr:uid="{00000000-0005-0000-0000-0000ED630000}"/>
    <cellStyle name="Normal 313 2 4 2" xfId="25835" xr:uid="{00000000-0005-0000-0000-0000EE630000}"/>
    <cellStyle name="Normal 313 2 4 2 2" xfId="25836" xr:uid="{00000000-0005-0000-0000-0000EF630000}"/>
    <cellStyle name="Normal 313 2 4 3" xfId="25837" xr:uid="{00000000-0005-0000-0000-0000F0630000}"/>
    <cellStyle name="Normal 313 2 5" xfId="25838" xr:uid="{00000000-0005-0000-0000-0000F1630000}"/>
    <cellStyle name="Normal 313 3" xfId="25839" xr:uid="{00000000-0005-0000-0000-0000F2630000}"/>
    <cellStyle name="Normal 313 3 2" xfId="25840" xr:uid="{00000000-0005-0000-0000-0000F3630000}"/>
    <cellStyle name="Normal 313 3 2 2" xfId="25841" xr:uid="{00000000-0005-0000-0000-0000F4630000}"/>
    <cellStyle name="Normal 313 3 2 2 2" xfId="25842" xr:uid="{00000000-0005-0000-0000-0000F5630000}"/>
    <cellStyle name="Normal 313 3 2 3" xfId="25843" xr:uid="{00000000-0005-0000-0000-0000F6630000}"/>
    <cellStyle name="Normal 313 3 2 3 2" xfId="25844" xr:uid="{00000000-0005-0000-0000-0000F7630000}"/>
    <cellStyle name="Normal 313 3 2 3 2 2" xfId="25845" xr:uid="{00000000-0005-0000-0000-0000F8630000}"/>
    <cellStyle name="Normal 313 3 2 3 3" xfId="25846" xr:uid="{00000000-0005-0000-0000-0000F9630000}"/>
    <cellStyle name="Normal 313 3 2 4" xfId="25847" xr:uid="{00000000-0005-0000-0000-0000FA630000}"/>
    <cellStyle name="Normal 313 3 3" xfId="25848" xr:uid="{00000000-0005-0000-0000-0000FB630000}"/>
    <cellStyle name="Normal 313 3 3 2" xfId="25849" xr:uid="{00000000-0005-0000-0000-0000FC630000}"/>
    <cellStyle name="Normal 313 3 3 2 2" xfId="25850" xr:uid="{00000000-0005-0000-0000-0000FD630000}"/>
    <cellStyle name="Normal 313 3 3 3" xfId="25851" xr:uid="{00000000-0005-0000-0000-0000FE630000}"/>
    <cellStyle name="Normal 313 3 4" xfId="25852" xr:uid="{00000000-0005-0000-0000-0000FF630000}"/>
    <cellStyle name="Normal 313 3 4 2" xfId="25853" xr:uid="{00000000-0005-0000-0000-000000640000}"/>
    <cellStyle name="Normal 313 3 4 2 2" xfId="25854" xr:uid="{00000000-0005-0000-0000-000001640000}"/>
    <cellStyle name="Normal 313 3 4 3" xfId="25855" xr:uid="{00000000-0005-0000-0000-000002640000}"/>
    <cellStyle name="Normal 313 3 5" xfId="25856" xr:uid="{00000000-0005-0000-0000-000003640000}"/>
    <cellStyle name="Normal 313 3 5 2" xfId="25857" xr:uid="{00000000-0005-0000-0000-000004640000}"/>
    <cellStyle name="Normal 313 3 5 2 2" xfId="25858" xr:uid="{00000000-0005-0000-0000-000005640000}"/>
    <cellStyle name="Normal 313 3 5 3" xfId="25859" xr:uid="{00000000-0005-0000-0000-000006640000}"/>
    <cellStyle name="Normal 313 3 6" xfId="25860" xr:uid="{00000000-0005-0000-0000-000007640000}"/>
    <cellStyle name="Normal 313 4" xfId="25861" xr:uid="{00000000-0005-0000-0000-000008640000}"/>
    <cellStyle name="Normal 313 4 2" xfId="25862" xr:uid="{00000000-0005-0000-0000-000009640000}"/>
    <cellStyle name="Normal 313 4 2 2" xfId="25863" xr:uid="{00000000-0005-0000-0000-00000A640000}"/>
    <cellStyle name="Normal 313 4 3" xfId="25864" xr:uid="{00000000-0005-0000-0000-00000B640000}"/>
    <cellStyle name="Normal 313 5" xfId="25865" xr:uid="{00000000-0005-0000-0000-00000C640000}"/>
    <cellStyle name="Normal 313 5 2" xfId="25866" xr:uid="{00000000-0005-0000-0000-00000D640000}"/>
    <cellStyle name="Normal 313 5 2 2" xfId="25867" xr:uid="{00000000-0005-0000-0000-00000E640000}"/>
    <cellStyle name="Normal 313 5 3" xfId="25868" xr:uid="{00000000-0005-0000-0000-00000F640000}"/>
    <cellStyle name="Normal 313 6" xfId="25869" xr:uid="{00000000-0005-0000-0000-000010640000}"/>
    <cellStyle name="Normal 313 6 2" xfId="25870" xr:uid="{00000000-0005-0000-0000-000011640000}"/>
    <cellStyle name="Normal 313 6 2 2" xfId="25871" xr:uid="{00000000-0005-0000-0000-000012640000}"/>
    <cellStyle name="Normal 313 6 3" xfId="25872" xr:uid="{00000000-0005-0000-0000-000013640000}"/>
    <cellStyle name="Normal 313 7" xfId="25873" xr:uid="{00000000-0005-0000-0000-000014640000}"/>
    <cellStyle name="Normal 314" xfId="25874" xr:uid="{00000000-0005-0000-0000-000015640000}"/>
    <cellStyle name="Normal 314 2" xfId="25875" xr:uid="{00000000-0005-0000-0000-000016640000}"/>
    <cellStyle name="Normal 314 2 2" xfId="25876" xr:uid="{00000000-0005-0000-0000-000017640000}"/>
    <cellStyle name="Normal 314 2 2 2" xfId="25877" xr:uid="{00000000-0005-0000-0000-000018640000}"/>
    <cellStyle name="Normal 314 2 3" xfId="25878" xr:uid="{00000000-0005-0000-0000-000019640000}"/>
    <cellStyle name="Normal 314 2 3 2" xfId="25879" xr:uid="{00000000-0005-0000-0000-00001A640000}"/>
    <cellStyle name="Normal 314 2 3 2 2" xfId="25880" xr:uid="{00000000-0005-0000-0000-00001B640000}"/>
    <cellStyle name="Normal 314 2 3 3" xfId="25881" xr:uid="{00000000-0005-0000-0000-00001C640000}"/>
    <cellStyle name="Normal 314 2 4" xfId="25882" xr:uid="{00000000-0005-0000-0000-00001D640000}"/>
    <cellStyle name="Normal 314 2 4 2" xfId="25883" xr:uid="{00000000-0005-0000-0000-00001E640000}"/>
    <cellStyle name="Normal 314 2 4 2 2" xfId="25884" xr:uid="{00000000-0005-0000-0000-00001F640000}"/>
    <cellStyle name="Normal 314 2 4 3" xfId="25885" xr:uid="{00000000-0005-0000-0000-000020640000}"/>
    <cellStyle name="Normal 314 2 5" xfId="25886" xr:uid="{00000000-0005-0000-0000-000021640000}"/>
    <cellStyle name="Normal 314 3" xfId="25887" xr:uid="{00000000-0005-0000-0000-000022640000}"/>
    <cellStyle name="Normal 314 3 2" xfId="25888" xr:uid="{00000000-0005-0000-0000-000023640000}"/>
    <cellStyle name="Normal 314 3 2 2" xfId="25889" xr:uid="{00000000-0005-0000-0000-000024640000}"/>
    <cellStyle name="Normal 314 3 2 2 2" xfId="25890" xr:uid="{00000000-0005-0000-0000-000025640000}"/>
    <cellStyle name="Normal 314 3 2 3" xfId="25891" xr:uid="{00000000-0005-0000-0000-000026640000}"/>
    <cellStyle name="Normal 314 3 2 3 2" xfId="25892" xr:uid="{00000000-0005-0000-0000-000027640000}"/>
    <cellStyle name="Normal 314 3 2 3 2 2" xfId="25893" xr:uid="{00000000-0005-0000-0000-000028640000}"/>
    <cellStyle name="Normal 314 3 2 3 3" xfId="25894" xr:uid="{00000000-0005-0000-0000-000029640000}"/>
    <cellStyle name="Normal 314 3 2 4" xfId="25895" xr:uid="{00000000-0005-0000-0000-00002A640000}"/>
    <cellStyle name="Normal 314 3 3" xfId="25896" xr:uid="{00000000-0005-0000-0000-00002B640000}"/>
    <cellStyle name="Normal 314 3 3 2" xfId="25897" xr:uid="{00000000-0005-0000-0000-00002C640000}"/>
    <cellStyle name="Normal 314 3 3 2 2" xfId="25898" xr:uid="{00000000-0005-0000-0000-00002D640000}"/>
    <cellStyle name="Normal 314 3 3 3" xfId="25899" xr:uid="{00000000-0005-0000-0000-00002E640000}"/>
    <cellStyle name="Normal 314 3 4" xfId="25900" xr:uid="{00000000-0005-0000-0000-00002F640000}"/>
    <cellStyle name="Normal 314 3 4 2" xfId="25901" xr:uid="{00000000-0005-0000-0000-000030640000}"/>
    <cellStyle name="Normal 314 3 4 2 2" xfId="25902" xr:uid="{00000000-0005-0000-0000-000031640000}"/>
    <cellStyle name="Normal 314 3 4 3" xfId="25903" xr:uid="{00000000-0005-0000-0000-000032640000}"/>
    <cellStyle name="Normal 314 3 5" xfId="25904" xr:uid="{00000000-0005-0000-0000-000033640000}"/>
    <cellStyle name="Normal 314 3 5 2" xfId="25905" xr:uid="{00000000-0005-0000-0000-000034640000}"/>
    <cellStyle name="Normal 314 3 5 2 2" xfId="25906" xr:uid="{00000000-0005-0000-0000-000035640000}"/>
    <cellStyle name="Normal 314 3 5 3" xfId="25907" xr:uid="{00000000-0005-0000-0000-000036640000}"/>
    <cellStyle name="Normal 314 3 6" xfId="25908" xr:uid="{00000000-0005-0000-0000-000037640000}"/>
    <cellStyle name="Normal 314 4" xfId="25909" xr:uid="{00000000-0005-0000-0000-000038640000}"/>
    <cellStyle name="Normal 314 4 2" xfId="25910" xr:uid="{00000000-0005-0000-0000-000039640000}"/>
    <cellStyle name="Normal 314 4 2 2" xfId="25911" xr:uid="{00000000-0005-0000-0000-00003A640000}"/>
    <cellStyle name="Normal 314 4 3" xfId="25912" xr:uid="{00000000-0005-0000-0000-00003B640000}"/>
    <cellStyle name="Normal 314 5" xfId="25913" xr:uid="{00000000-0005-0000-0000-00003C640000}"/>
    <cellStyle name="Normal 314 5 2" xfId="25914" xr:uid="{00000000-0005-0000-0000-00003D640000}"/>
    <cellStyle name="Normal 314 5 2 2" xfId="25915" xr:uid="{00000000-0005-0000-0000-00003E640000}"/>
    <cellStyle name="Normal 314 5 3" xfId="25916" xr:uid="{00000000-0005-0000-0000-00003F640000}"/>
    <cellStyle name="Normal 314 6" xfId="25917" xr:uid="{00000000-0005-0000-0000-000040640000}"/>
    <cellStyle name="Normal 314 6 2" xfId="25918" xr:uid="{00000000-0005-0000-0000-000041640000}"/>
    <cellStyle name="Normal 314 6 2 2" xfId="25919" xr:uid="{00000000-0005-0000-0000-000042640000}"/>
    <cellStyle name="Normal 314 6 3" xfId="25920" xr:uid="{00000000-0005-0000-0000-000043640000}"/>
    <cellStyle name="Normal 314 7" xfId="25921" xr:uid="{00000000-0005-0000-0000-000044640000}"/>
    <cellStyle name="Normal 315" xfId="25922" xr:uid="{00000000-0005-0000-0000-000045640000}"/>
    <cellStyle name="Normal 315 2" xfId="25923" xr:uid="{00000000-0005-0000-0000-000046640000}"/>
    <cellStyle name="Normal 315 2 2" xfId="25924" xr:uid="{00000000-0005-0000-0000-000047640000}"/>
    <cellStyle name="Normal 315 2 2 2" xfId="25925" xr:uid="{00000000-0005-0000-0000-000048640000}"/>
    <cellStyle name="Normal 315 2 3" xfId="25926" xr:uid="{00000000-0005-0000-0000-000049640000}"/>
    <cellStyle name="Normal 315 2 3 2" xfId="25927" xr:uid="{00000000-0005-0000-0000-00004A640000}"/>
    <cellStyle name="Normal 315 2 3 2 2" xfId="25928" xr:uid="{00000000-0005-0000-0000-00004B640000}"/>
    <cellStyle name="Normal 315 2 3 3" xfId="25929" xr:uid="{00000000-0005-0000-0000-00004C640000}"/>
    <cellStyle name="Normal 315 2 4" xfId="25930" xr:uid="{00000000-0005-0000-0000-00004D640000}"/>
    <cellStyle name="Normal 315 2 4 2" xfId="25931" xr:uid="{00000000-0005-0000-0000-00004E640000}"/>
    <cellStyle name="Normal 315 2 4 2 2" xfId="25932" xr:uid="{00000000-0005-0000-0000-00004F640000}"/>
    <cellStyle name="Normal 315 2 4 3" xfId="25933" xr:uid="{00000000-0005-0000-0000-000050640000}"/>
    <cellStyle name="Normal 315 2 5" xfId="25934" xr:uid="{00000000-0005-0000-0000-000051640000}"/>
    <cellStyle name="Normal 315 3" xfId="25935" xr:uid="{00000000-0005-0000-0000-000052640000}"/>
    <cellStyle name="Normal 315 3 2" xfId="25936" xr:uid="{00000000-0005-0000-0000-000053640000}"/>
    <cellStyle name="Normal 315 3 2 2" xfId="25937" xr:uid="{00000000-0005-0000-0000-000054640000}"/>
    <cellStyle name="Normal 315 3 2 2 2" xfId="25938" xr:uid="{00000000-0005-0000-0000-000055640000}"/>
    <cellStyle name="Normal 315 3 2 3" xfId="25939" xr:uid="{00000000-0005-0000-0000-000056640000}"/>
    <cellStyle name="Normal 315 3 2 3 2" xfId="25940" xr:uid="{00000000-0005-0000-0000-000057640000}"/>
    <cellStyle name="Normal 315 3 2 3 2 2" xfId="25941" xr:uid="{00000000-0005-0000-0000-000058640000}"/>
    <cellStyle name="Normal 315 3 2 3 3" xfId="25942" xr:uid="{00000000-0005-0000-0000-000059640000}"/>
    <cellStyle name="Normal 315 3 2 4" xfId="25943" xr:uid="{00000000-0005-0000-0000-00005A640000}"/>
    <cellStyle name="Normal 315 3 3" xfId="25944" xr:uid="{00000000-0005-0000-0000-00005B640000}"/>
    <cellStyle name="Normal 315 3 3 2" xfId="25945" xr:uid="{00000000-0005-0000-0000-00005C640000}"/>
    <cellStyle name="Normal 315 3 3 2 2" xfId="25946" xr:uid="{00000000-0005-0000-0000-00005D640000}"/>
    <cellStyle name="Normal 315 3 3 3" xfId="25947" xr:uid="{00000000-0005-0000-0000-00005E640000}"/>
    <cellStyle name="Normal 315 3 4" xfId="25948" xr:uid="{00000000-0005-0000-0000-00005F640000}"/>
    <cellStyle name="Normal 315 3 4 2" xfId="25949" xr:uid="{00000000-0005-0000-0000-000060640000}"/>
    <cellStyle name="Normal 315 3 4 2 2" xfId="25950" xr:uid="{00000000-0005-0000-0000-000061640000}"/>
    <cellStyle name="Normal 315 3 4 3" xfId="25951" xr:uid="{00000000-0005-0000-0000-000062640000}"/>
    <cellStyle name="Normal 315 3 5" xfId="25952" xr:uid="{00000000-0005-0000-0000-000063640000}"/>
    <cellStyle name="Normal 315 3 5 2" xfId="25953" xr:uid="{00000000-0005-0000-0000-000064640000}"/>
    <cellStyle name="Normal 315 3 5 2 2" xfId="25954" xr:uid="{00000000-0005-0000-0000-000065640000}"/>
    <cellStyle name="Normal 315 3 5 3" xfId="25955" xr:uid="{00000000-0005-0000-0000-000066640000}"/>
    <cellStyle name="Normal 315 3 6" xfId="25956" xr:uid="{00000000-0005-0000-0000-000067640000}"/>
    <cellStyle name="Normal 315 4" xfId="25957" xr:uid="{00000000-0005-0000-0000-000068640000}"/>
    <cellStyle name="Normal 315 4 2" xfId="25958" xr:uid="{00000000-0005-0000-0000-000069640000}"/>
    <cellStyle name="Normal 315 4 2 2" xfId="25959" xr:uid="{00000000-0005-0000-0000-00006A640000}"/>
    <cellStyle name="Normal 315 4 3" xfId="25960" xr:uid="{00000000-0005-0000-0000-00006B640000}"/>
    <cellStyle name="Normal 315 5" xfId="25961" xr:uid="{00000000-0005-0000-0000-00006C640000}"/>
    <cellStyle name="Normal 315 5 2" xfId="25962" xr:uid="{00000000-0005-0000-0000-00006D640000}"/>
    <cellStyle name="Normal 315 5 2 2" xfId="25963" xr:uid="{00000000-0005-0000-0000-00006E640000}"/>
    <cellStyle name="Normal 315 5 3" xfId="25964" xr:uid="{00000000-0005-0000-0000-00006F640000}"/>
    <cellStyle name="Normal 315 6" xfId="25965" xr:uid="{00000000-0005-0000-0000-000070640000}"/>
    <cellStyle name="Normal 315 6 2" xfId="25966" xr:uid="{00000000-0005-0000-0000-000071640000}"/>
    <cellStyle name="Normal 315 6 2 2" xfId="25967" xr:uid="{00000000-0005-0000-0000-000072640000}"/>
    <cellStyle name="Normal 315 6 3" xfId="25968" xr:uid="{00000000-0005-0000-0000-000073640000}"/>
    <cellStyle name="Normal 315 7" xfId="25969" xr:uid="{00000000-0005-0000-0000-000074640000}"/>
    <cellStyle name="Normal 316" xfId="25970" xr:uid="{00000000-0005-0000-0000-000075640000}"/>
    <cellStyle name="Normal 316 2" xfId="25971" xr:uid="{00000000-0005-0000-0000-000076640000}"/>
    <cellStyle name="Normal 316 2 2" xfId="25972" xr:uid="{00000000-0005-0000-0000-000077640000}"/>
    <cellStyle name="Normal 316 2 2 2" xfId="25973" xr:uid="{00000000-0005-0000-0000-000078640000}"/>
    <cellStyle name="Normal 316 2 3" xfId="25974" xr:uid="{00000000-0005-0000-0000-000079640000}"/>
    <cellStyle name="Normal 316 2 3 2" xfId="25975" xr:uid="{00000000-0005-0000-0000-00007A640000}"/>
    <cellStyle name="Normal 316 2 3 2 2" xfId="25976" xr:uid="{00000000-0005-0000-0000-00007B640000}"/>
    <cellStyle name="Normal 316 2 3 3" xfId="25977" xr:uid="{00000000-0005-0000-0000-00007C640000}"/>
    <cellStyle name="Normal 316 2 4" xfId="25978" xr:uid="{00000000-0005-0000-0000-00007D640000}"/>
    <cellStyle name="Normal 316 2 4 2" xfId="25979" xr:uid="{00000000-0005-0000-0000-00007E640000}"/>
    <cellStyle name="Normal 316 2 4 2 2" xfId="25980" xr:uid="{00000000-0005-0000-0000-00007F640000}"/>
    <cellStyle name="Normal 316 2 4 3" xfId="25981" xr:uid="{00000000-0005-0000-0000-000080640000}"/>
    <cellStyle name="Normal 316 2 5" xfId="25982" xr:uid="{00000000-0005-0000-0000-000081640000}"/>
    <cellStyle name="Normal 316 3" xfId="25983" xr:uid="{00000000-0005-0000-0000-000082640000}"/>
    <cellStyle name="Normal 316 3 2" xfId="25984" xr:uid="{00000000-0005-0000-0000-000083640000}"/>
    <cellStyle name="Normal 316 3 2 2" xfId="25985" xr:uid="{00000000-0005-0000-0000-000084640000}"/>
    <cellStyle name="Normal 316 3 2 2 2" xfId="25986" xr:uid="{00000000-0005-0000-0000-000085640000}"/>
    <cellStyle name="Normal 316 3 2 3" xfId="25987" xr:uid="{00000000-0005-0000-0000-000086640000}"/>
    <cellStyle name="Normal 316 3 2 3 2" xfId="25988" xr:uid="{00000000-0005-0000-0000-000087640000}"/>
    <cellStyle name="Normal 316 3 2 3 2 2" xfId="25989" xr:uid="{00000000-0005-0000-0000-000088640000}"/>
    <cellStyle name="Normal 316 3 2 3 3" xfId="25990" xr:uid="{00000000-0005-0000-0000-000089640000}"/>
    <cellStyle name="Normal 316 3 2 4" xfId="25991" xr:uid="{00000000-0005-0000-0000-00008A640000}"/>
    <cellStyle name="Normal 316 3 3" xfId="25992" xr:uid="{00000000-0005-0000-0000-00008B640000}"/>
    <cellStyle name="Normal 316 3 3 2" xfId="25993" xr:uid="{00000000-0005-0000-0000-00008C640000}"/>
    <cellStyle name="Normal 316 3 3 2 2" xfId="25994" xr:uid="{00000000-0005-0000-0000-00008D640000}"/>
    <cellStyle name="Normal 316 3 3 3" xfId="25995" xr:uid="{00000000-0005-0000-0000-00008E640000}"/>
    <cellStyle name="Normal 316 3 4" xfId="25996" xr:uid="{00000000-0005-0000-0000-00008F640000}"/>
    <cellStyle name="Normal 316 3 4 2" xfId="25997" xr:uid="{00000000-0005-0000-0000-000090640000}"/>
    <cellStyle name="Normal 316 3 4 2 2" xfId="25998" xr:uid="{00000000-0005-0000-0000-000091640000}"/>
    <cellStyle name="Normal 316 3 4 3" xfId="25999" xr:uid="{00000000-0005-0000-0000-000092640000}"/>
    <cellStyle name="Normal 316 3 5" xfId="26000" xr:uid="{00000000-0005-0000-0000-000093640000}"/>
    <cellStyle name="Normal 316 3 5 2" xfId="26001" xr:uid="{00000000-0005-0000-0000-000094640000}"/>
    <cellStyle name="Normal 316 3 5 2 2" xfId="26002" xr:uid="{00000000-0005-0000-0000-000095640000}"/>
    <cellStyle name="Normal 316 3 5 3" xfId="26003" xr:uid="{00000000-0005-0000-0000-000096640000}"/>
    <cellStyle name="Normal 316 3 6" xfId="26004" xr:uid="{00000000-0005-0000-0000-000097640000}"/>
    <cellStyle name="Normal 316 4" xfId="26005" xr:uid="{00000000-0005-0000-0000-000098640000}"/>
    <cellStyle name="Normal 316 4 2" xfId="26006" xr:uid="{00000000-0005-0000-0000-000099640000}"/>
    <cellStyle name="Normal 316 4 2 2" xfId="26007" xr:uid="{00000000-0005-0000-0000-00009A640000}"/>
    <cellStyle name="Normal 316 4 3" xfId="26008" xr:uid="{00000000-0005-0000-0000-00009B640000}"/>
    <cellStyle name="Normal 316 5" xfId="26009" xr:uid="{00000000-0005-0000-0000-00009C640000}"/>
    <cellStyle name="Normal 316 5 2" xfId="26010" xr:uid="{00000000-0005-0000-0000-00009D640000}"/>
    <cellStyle name="Normal 316 5 2 2" xfId="26011" xr:uid="{00000000-0005-0000-0000-00009E640000}"/>
    <cellStyle name="Normal 316 5 3" xfId="26012" xr:uid="{00000000-0005-0000-0000-00009F640000}"/>
    <cellStyle name="Normal 316 6" xfId="26013" xr:uid="{00000000-0005-0000-0000-0000A0640000}"/>
    <cellStyle name="Normal 316 6 2" xfId="26014" xr:uid="{00000000-0005-0000-0000-0000A1640000}"/>
    <cellStyle name="Normal 316 6 2 2" xfId="26015" xr:uid="{00000000-0005-0000-0000-0000A2640000}"/>
    <cellStyle name="Normal 316 6 3" xfId="26016" xr:uid="{00000000-0005-0000-0000-0000A3640000}"/>
    <cellStyle name="Normal 316 7" xfId="26017" xr:uid="{00000000-0005-0000-0000-0000A4640000}"/>
    <cellStyle name="Normal 317" xfId="26018" xr:uid="{00000000-0005-0000-0000-0000A5640000}"/>
    <cellStyle name="Normal 317 2" xfId="26019" xr:uid="{00000000-0005-0000-0000-0000A6640000}"/>
    <cellStyle name="Normal 317 2 2" xfId="26020" xr:uid="{00000000-0005-0000-0000-0000A7640000}"/>
    <cellStyle name="Normal 317 2 2 2" xfId="26021" xr:uid="{00000000-0005-0000-0000-0000A8640000}"/>
    <cellStyle name="Normal 317 2 3" xfId="26022" xr:uid="{00000000-0005-0000-0000-0000A9640000}"/>
    <cellStyle name="Normal 317 2 3 2" xfId="26023" xr:uid="{00000000-0005-0000-0000-0000AA640000}"/>
    <cellStyle name="Normal 317 2 3 2 2" xfId="26024" xr:uid="{00000000-0005-0000-0000-0000AB640000}"/>
    <cellStyle name="Normal 317 2 3 3" xfId="26025" xr:uid="{00000000-0005-0000-0000-0000AC640000}"/>
    <cellStyle name="Normal 317 2 4" xfId="26026" xr:uid="{00000000-0005-0000-0000-0000AD640000}"/>
    <cellStyle name="Normal 317 2 4 2" xfId="26027" xr:uid="{00000000-0005-0000-0000-0000AE640000}"/>
    <cellStyle name="Normal 317 2 4 2 2" xfId="26028" xr:uid="{00000000-0005-0000-0000-0000AF640000}"/>
    <cellStyle name="Normal 317 2 4 3" xfId="26029" xr:uid="{00000000-0005-0000-0000-0000B0640000}"/>
    <cellStyle name="Normal 317 2 5" xfId="26030" xr:uid="{00000000-0005-0000-0000-0000B1640000}"/>
    <cellStyle name="Normal 317 3" xfId="26031" xr:uid="{00000000-0005-0000-0000-0000B2640000}"/>
    <cellStyle name="Normal 317 3 2" xfId="26032" xr:uid="{00000000-0005-0000-0000-0000B3640000}"/>
    <cellStyle name="Normal 317 3 2 2" xfId="26033" xr:uid="{00000000-0005-0000-0000-0000B4640000}"/>
    <cellStyle name="Normal 317 3 2 2 2" xfId="26034" xr:uid="{00000000-0005-0000-0000-0000B5640000}"/>
    <cellStyle name="Normal 317 3 2 3" xfId="26035" xr:uid="{00000000-0005-0000-0000-0000B6640000}"/>
    <cellStyle name="Normal 317 3 2 3 2" xfId="26036" xr:uid="{00000000-0005-0000-0000-0000B7640000}"/>
    <cellStyle name="Normal 317 3 2 3 2 2" xfId="26037" xr:uid="{00000000-0005-0000-0000-0000B8640000}"/>
    <cellStyle name="Normal 317 3 2 3 3" xfId="26038" xr:uid="{00000000-0005-0000-0000-0000B9640000}"/>
    <cellStyle name="Normal 317 3 2 4" xfId="26039" xr:uid="{00000000-0005-0000-0000-0000BA640000}"/>
    <cellStyle name="Normal 317 3 3" xfId="26040" xr:uid="{00000000-0005-0000-0000-0000BB640000}"/>
    <cellStyle name="Normal 317 3 3 2" xfId="26041" xr:uid="{00000000-0005-0000-0000-0000BC640000}"/>
    <cellStyle name="Normal 317 3 3 2 2" xfId="26042" xr:uid="{00000000-0005-0000-0000-0000BD640000}"/>
    <cellStyle name="Normal 317 3 3 3" xfId="26043" xr:uid="{00000000-0005-0000-0000-0000BE640000}"/>
    <cellStyle name="Normal 317 3 4" xfId="26044" xr:uid="{00000000-0005-0000-0000-0000BF640000}"/>
    <cellStyle name="Normal 317 3 4 2" xfId="26045" xr:uid="{00000000-0005-0000-0000-0000C0640000}"/>
    <cellStyle name="Normal 317 3 4 2 2" xfId="26046" xr:uid="{00000000-0005-0000-0000-0000C1640000}"/>
    <cellStyle name="Normal 317 3 4 3" xfId="26047" xr:uid="{00000000-0005-0000-0000-0000C2640000}"/>
    <cellStyle name="Normal 317 3 5" xfId="26048" xr:uid="{00000000-0005-0000-0000-0000C3640000}"/>
    <cellStyle name="Normal 317 3 5 2" xfId="26049" xr:uid="{00000000-0005-0000-0000-0000C4640000}"/>
    <cellStyle name="Normal 317 3 5 2 2" xfId="26050" xr:uid="{00000000-0005-0000-0000-0000C5640000}"/>
    <cellStyle name="Normal 317 3 5 3" xfId="26051" xr:uid="{00000000-0005-0000-0000-0000C6640000}"/>
    <cellStyle name="Normal 317 3 6" xfId="26052" xr:uid="{00000000-0005-0000-0000-0000C7640000}"/>
    <cellStyle name="Normal 317 4" xfId="26053" xr:uid="{00000000-0005-0000-0000-0000C8640000}"/>
    <cellStyle name="Normal 317 4 2" xfId="26054" xr:uid="{00000000-0005-0000-0000-0000C9640000}"/>
    <cellStyle name="Normal 317 4 2 2" xfId="26055" xr:uid="{00000000-0005-0000-0000-0000CA640000}"/>
    <cellStyle name="Normal 317 4 3" xfId="26056" xr:uid="{00000000-0005-0000-0000-0000CB640000}"/>
    <cellStyle name="Normal 317 5" xfId="26057" xr:uid="{00000000-0005-0000-0000-0000CC640000}"/>
    <cellStyle name="Normal 317 5 2" xfId="26058" xr:uid="{00000000-0005-0000-0000-0000CD640000}"/>
    <cellStyle name="Normal 317 5 2 2" xfId="26059" xr:uid="{00000000-0005-0000-0000-0000CE640000}"/>
    <cellStyle name="Normal 317 5 3" xfId="26060" xr:uid="{00000000-0005-0000-0000-0000CF640000}"/>
    <cellStyle name="Normal 317 6" xfId="26061" xr:uid="{00000000-0005-0000-0000-0000D0640000}"/>
    <cellStyle name="Normal 317 6 2" xfId="26062" xr:uid="{00000000-0005-0000-0000-0000D1640000}"/>
    <cellStyle name="Normal 317 6 2 2" xfId="26063" xr:uid="{00000000-0005-0000-0000-0000D2640000}"/>
    <cellStyle name="Normal 317 6 3" xfId="26064" xr:uid="{00000000-0005-0000-0000-0000D3640000}"/>
    <cellStyle name="Normal 317 7" xfId="26065" xr:uid="{00000000-0005-0000-0000-0000D4640000}"/>
    <cellStyle name="Normal 318" xfId="26066" xr:uid="{00000000-0005-0000-0000-0000D5640000}"/>
    <cellStyle name="Normal 318 2" xfId="26067" xr:uid="{00000000-0005-0000-0000-0000D6640000}"/>
    <cellStyle name="Normal 318 2 2" xfId="26068" xr:uid="{00000000-0005-0000-0000-0000D7640000}"/>
    <cellStyle name="Normal 318 2 2 2" xfId="26069" xr:uid="{00000000-0005-0000-0000-0000D8640000}"/>
    <cellStyle name="Normal 318 2 3" xfId="26070" xr:uid="{00000000-0005-0000-0000-0000D9640000}"/>
    <cellStyle name="Normal 318 2 3 2" xfId="26071" xr:uid="{00000000-0005-0000-0000-0000DA640000}"/>
    <cellStyle name="Normal 318 2 3 2 2" xfId="26072" xr:uid="{00000000-0005-0000-0000-0000DB640000}"/>
    <cellStyle name="Normal 318 2 3 3" xfId="26073" xr:uid="{00000000-0005-0000-0000-0000DC640000}"/>
    <cellStyle name="Normal 318 2 4" xfId="26074" xr:uid="{00000000-0005-0000-0000-0000DD640000}"/>
    <cellStyle name="Normal 318 2 4 2" xfId="26075" xr:uid="{00000000-0005-0000-0000-0000DE640000}"/>
    <cellStyle name="Normal 318 2 4 2 2" xfId="26076" xr:uid="{00000000-0005-0000-0000-0000DF640000}"/>
    <cellStyle name="Normal 318 2 4 3" xfId="26077" xr:uid="{00000000-0005-0000-0000-0000E0640000}"/>
    <cellStyle name="Normal 318 2 5" xfId="26078" xr:uid="{00000000-0005-0000-0000-0000E1640000}"/>
    <cellStyle name="Normal 318 3" xfId="26079" xr:uid="{00000000-0005-0000-0000-0000E2640000}"/>
    <cellStyle name="Normal 318 3 2" xfId="26080" xr:uid="{00000000-0005-0000-0000-0000E3640000}"/>
    <cellStyle name="Normal 318 3 2 2" xfId="26081" xr:uid="{00000000-0005-0000-0000-0000E4640000}"/>
    <cellStyle name="Normal 318 3 2 2 2" xfId="26082" xr:uid="{00000000-0005-0000-0000-0000E5640000}"/>
    <cellStyle name="Normal 318 3 2 3" xfId="26083" xr:uid="{00000000-0005-0000-0000-0000E6640000}"/>
    <cellStyle name="Normal 318 3 2 3 2" xfId="26084" xr:uid="{00000000-0005-0000-0000-0000E7640000}"/>
    <cellStyle name="Normal 318 3 2 3 2 2" xfId="26085" xr:uid="{00000000-0005-0000-0000-0000E8640000}"/>
    <cellStyle name="Normal 318 3 2 3 3" xfId="26086" xr:uid="{00000000-0005-0000-0000-0000E9640000}"/>
    <cellStyle name="Normal 318 3 2 4" xfId="26087" xr:uid="{00000000-0005-0000-0000-0000EA640000}"/>
    <cellStyle name="Normal 318 3 3" xfId="26088" xr:uid="{00000000-0005-0000-0000-0000EB640000}"/>
    <cellStyle name="Normal 318 3 3 2" xfId="26089" xr:uid="{00000000-0005-0000-0000-0000EC640000}"/>
    <cellStyle name="Normal 318 3 3 2 2" xfId="26090" xr:uid="{00000000-0005-0000-0000-0000ED640000}"/>
    <cellStyle name="Normal 318 3 3 3" xfId="26091" xr:uid="{00000000-0005-0000-0000-0000EE640000}"/>
    <cellStyle name="Normal 318 3 4" xfId="26092" xr:uid="{00000000-0005-0000-0000-0000EF640000}"/>
    <cellStyle name="Normal 318 3 4 2" xfId="26093" xr:uid="{00000000-0005-0000-0000-0000F0640000}"/>
    <cellStyle name="Normal 318 3 4 2 2" xfId="26094" xr:uid="{00000000-0005-0000-0000-0000F1640000}"/>
    <cellStyle name="Normal 318 3 4 3" xfId="26095" xr:uid="{00000000-0005-0000-0000-0000F2640000}"/>
    <cellStyle name="Normal 318 3 5" xfId="26096" xr:uid="{00000000-0005-0000-0000-0000F3640000}"/>
    <cellStyle name="Normal 318 3 5 2" xfId="26097" xr:uid="{00000000-0005-0000-0000-0000F4640000}"/>
    <cellStyle name="Normal 318 3 5 2 2" xfId="26098" xr:uid="{00000000-0005-0000-0000-0000F5640000}"/>
    <cellStyle name="Normal 318 3 5 3" xfId="26099" xr:uid="{00000000-0005-0000-0000-0000F6640000}"/>
    <cellStyle name="Normal 318 3 6" xfId="26100" xr:uid="{00000000-0005-0000-0000-0000F7640000}"/>
    <cellStyle name="Normal 318 4" xfId="26101" xr:uid="{00000000-0005-0000-0000-0000F8640000}"/>
    <cellStyle name="Normal 318 4 2" xfId="26102" xr:uid="{00000000-0005-0000-0000-0000F9640000}"/>
    <cellStyle name="Normal 318 4 2 2" xfId="26103" xr:uid="{00000000-0005-0000-0000-0000FA640000}"/>
    <cellStyle name="Normal 318 4 3" xfId="26104" xr:uid="{00000000-0005-0000-0000-0000FB640000}"/>
    <cellStyle name="Normal 318 5" xfId="26105" xr:uid="{00000000-0005-0000-0000-0000FC640000}"/>
    <cellStyle name="Normal 318 5 2" xfId="26106" xr:uid="{00000000-0005-0000-0000-0000FD640000}"/>
    <cellStyle name="Normal 318 5 2 2" xfId="26107" xr:uid="{00000000-0005-0000-0000-0000FE640000}"/>
    <cellStyle name="Normal 318 5 3" xfId="26108" xr:uid="{00000000-0005-0000-0000-0000FF640000}"/>
    <cellStyle name="Normal 318 6" xfId="26109" xr:uid="{00000000-0005-0000-0000-000000650000}"/>
    <cellStyle name="Normal 318 6 2" xfId="26110" xr:uid="{00000000-0005-0000-0000-000001650000}"/>
    <cellStyle name="Normal 318 6 2 2" xfId="26111" xr:uid="{00000000-0005-0000-0000-000002650000}"/>
    <cellStyle name="Normal 318 6 3" xfId="26112" xr:uid="{00000000-0005-0000-0000-000003650000}"/>
    <cellStyle name="Normal 318 7" xfId="26113" xr:uid="{00000000-0005-0000-0000-000004650000}"/>
    <cellStyle name="Normal 319" xfId="26114" xr:uid="{00000000-0005-0000-0000-000005650000}"/>
    <cellStyle name="Normal 319 2" xfId="26115" xr:uid="{00000000-0005-0000-0000-000006650000}"/>
    <cellStyle name="Normal 319 2 2" xfId="26116" xr:uid="{00000000-0005-0000-0000-000007650000}"/>
    <cellStyle name="Normal 319 2 2 2" xfId="26117" xr:uid="{00000000-0005-0000-0000-000008650000}"/>
    <cellStyle name="Normal 319 2 3" xfId="26118" xr:uid="{00000000-0005-0000-0000-000009650000}"/>
    <cellStyle name="Normal 319 2 3 2" xfId="26119" xr:uid="{00000000-0005-0000-0000-00000A650000}"/>
    <cellStyle name="Normal 319 2 3 2 2" xfId="26120" xr:uid="{00000000-0005-0000-0000-00000B650000}"/>
    <cellStyle name="Normal 319 2 3 3" xfId="26121" xr:uid="{00000000-0005-0000-0000-00000C650000}"/>
    <cellStyle name="Normal 319 2 4" xfId="26122" xr:uid="{00000000-0005-0000-0000-00000D650000}"/>
    <cellStyle name="Normal 319 2 4 2" xfId="26123" xr:uid="{00000000-0005-0000-0000-00000E650000}"/>
    <cellStyle name="Normal 319 2 4 2 2" xfId="26124" xr:uid="{00000000-0005-0000-0000-00000F650000}"/>
    <cellStyle name="Normal 319 2 4 3" xfId="26125" xr:uid="{00000000-0005-0000-0000-000010650000}"/>
    <cellStyle name="Normal 319 2 5" xfId="26126" xr:uid="{00000000-0005-0000-0000-000011650000}"/>
    <cellStyle name="Normal 319 3" xfId="26127" xr:uid="{00000000-0005-0000-0000-000012650000}"/>
    <cellStyle name="Normal 319 3 2" xfId="26128" xr:uid="{00000000-0005-0000-0000-000013650000}"/>
    <cellStyle name="Normal 319 3 2 2" xfId="26129" xr:uid="{00000000-0005-0000-0000-000014650000}"/>
    <cellStyle name="Normal 319 3 2 2 2" xfId="26130" xr:uid="{00000000-0005-0000-0000-000015650000}"/>
    <cellStyle name="Normal 319 3 2 3" xfId="26131" xr:uid="{00000000-0005-0000-0000-000016650000}"/>
    <cellStyle name="Normal 319 3 2 3 2" xfId="26132" xr:uid="{00000000-0005-0000-0000-000017650000}"/>
    <cellStyle name="Normal 319 3 2 3 2 2" xfId="26133" xr:uid="{00000000-0005-0000-0000-000018650000}"/>
    <cellStyle name="Normal 319 3 2 3 3" xfId="26134" xr:uid="{00000000-0005-0000-0000-000019650000}"/>
    <cellStyle name="Normal 319 3 2 4" xfId="26135" xr:uid="{00000000-0005-0000-0000-00001A650000}"/>
    <cellStyle name="Normal 319 3 3" xfId="26136" xr:uid="{00000000-0005-0000-0000-00001B650000}"/>
    <cellStyle name="Normal 319 3 3 2" xfId="26137" xr:uid="{00000000-0005-0000-0000-00001C650000}"/>
    <cellStyle name="Normal 319 3 3 2 2" xfId="26138" xr:uid="{00000000-0005-0000-0000-00001D650000}"/>
    <cellStyle name="Normal 319 3 3 3" xfId="26139" xr:uid="{00000000-0005-0000-0000-00001E650000}"/>
    <cellStyle name="Normal 319 3 4" xfId="26140" xr:uid="{00000000-0005-0000-0000-00001F650000}"/>
    <cellStyle name="Normal 319 3 4 2" xfId="26141" xr:uid="{00000000-0005-0000-0000-000020650000}"/>
    <cellStyle name="Normal 319 3 4 2 2" xfId="26142" xr:uid="{00000000-0005-0000-0000-000021650000}"/>
    <cellStyle name="Normal 319 3 4 3" xfId="26143" xr:uid="{00000000-0005-0000-0000-000022650000}"/>
    <cellStyle name="Normal 319 3 5" xfId="26144" xr:uid="{00000000-0005-0000-0000-000023650000}"/>
    <cellStyle name="Normal 319 3 5 2" xfId="26145" xr:uid="{00000000-0005-0000-0000-000024650000}"/>
    <cellStyle name="Normal 319 3 5 2 2" xfId="26146" xr:uid="{00000000-0005-0000-0000-000025650000}"/>
    <cellStyle name="Normal 319 3 5 3" xfId="26147" xr:uid="{00000000-0005-0000-0000-000026650000}"/>
    <cellStyle name="Normal 319 3 6" xfId="26148" xr:uid="{00000000-0005-0000-0000-000027650000}"/>
    <cellStyle name="Normal 319 4" xfId="26149" xr:uid="{00000000-0005-0000-0000-000028650000}"/>
    <cellStyle name="Normal 319 4 2" xfId="26150" xr:uid="{00000000-0005-0000-0000-000029650000}"/>
    <cellStyle name="Normal 319 4 2 2" xfId="26151" xr:uid="{00000000-0005-0000-0000-00002A650000}"/>
    <cellStyle name="Normal 319 4 3" xfId="26152" xr:uid="{00000000-0005-0000-0000-00002B650000}"/>
    <cellStyle name="Normal 319 5" xfId="26153" xr:uid="{00000000-0005-0000-0000-00002C650000}"/>
    <cellStyle name="Normal 319 5 2" xfId="26154" xr:uid="{00000000-0005-0000-0000-00002D650000}"/>
    <cellStyle name="Normal 319 5 2 2" xfId="26155" xr:uid="{00000000-0005-0000-0000-00002E650000}"/>
    <cellStyle name="Normal 319 5 3" xfId="26156" xr:uid="{00000000-0005-0000-0000-00002F650000}"/>
    <cellStyle name="Normal 319 6" xfId="26157" xr:uid="{00000000-0005-0000-0000-000030650000}"/>
    <cellStyle name="Normal 319 6 2" xfId="26158" xr:uid="{00000000-0005-0000-0000-000031650000}"/>
    <cellStyle name="Normal 319 6 2 2" xfId="26159" xr:uid="{00000000-0005-0000-0000-000032650000}"/>
    <cellStyle name="Normal 319 6 3" xfId="26160" xr:uid="{00000000-0005-0000-0000-000033650000}"/>
    <cellStyle name="Normal 319 7" xfId="26161" xr:uid="{00000000-0005-0000-0000-000034650000}"/>
    <cellStyle name="Normal 32" xfId="26162" xr:uid="{00000000-0005-0000-0000-000035650000}"/>
    <cellStyle name="Normal 32 2" xfId="26163" xr:uid="{00000000-0005-0000-0000-000036650000}"/>
    <cellStyle name="Normal 32 2 2" xfId="26164" xr:uid="{00000000-0005-0000-0000-000037650000}"/>
    <cellStyle name="Normal 32 2 2 2" xfId="26165" xr:uid="{00000000-0005-0000-0000-000038650000}"/>
    <cellStyle name="Normal 32 2 2 2 2" xfId="26166" xr:uid="{00000000-0005-0000-0000-000039650000}"/>
    <cellStyle name="Normal 32 2 2 3" xfId="26167" xr:uid="{00000000-0005-0000-0000-00003A650000}"/>
    <cellStyle name="Normal 32 2 2 3 2" xfId="26168" xr:uid="{00000000-0005-0000-0000-00003B650000}"/>
    <cellStyle name="Normal 32 2 2 3 2 2" xfId="26169" xr:uid="{00000000-0005-0000-0000-00003C650000}"/>
    <cellStyle name="Normal 32 2 2 3 3" xfId="26170" xr:uid="{00000000-0005-0000-0000-00003D650000}"/>
    <cellStyle name="Normal 32 2 2 4" xfId="26171" xr:uid="{00000000-0005-0000-0000-00003E650000}"/>
    <cellStyle name="Normal 32 2 2 4 2" xfId="26172" xr:uid="{00000000-0005-0000-0000-00003F650000}"/>
    <cellStyle name="Normal 32 2 2 4 2 2" xfId="26173" xr:uid="{00000000-0005-0000-0000-000040650000}"/>
    <cellStyle name="Normal 32 2 2 4 3" xfId="26174" xr:uid="{00000000-0005-0000-0000-000041650000}"/>
    <cellStyle name="Normal 32 2 2 5" xfId="26175" xr:uid="{00000000-0005-0000-0000-000042650000}"/>
    <cellStyle name="Normal 32 2 3" xfId="26176" xr:uid="{00000000-0005-0000-0000-000043650000}"/>
    <cellStyle name="Normal 32 2 3 2" xfId="26177" xr:uid="{00000000-0005-0000-0000-000044650000}"/>
    <cellStyle name="Normal 32 2 3 2 2" xfId="26178" xr:uid="{00000000-0005-0000-0000-000045650000}"/>
    <cellStyle name="Normal 32 2 3 3" xfId="26179" xr:uid="{00000000-0005-0000-0000-000046650000}"/>
    <cellStyle name="Normal 32 2 4" xfId="26180" xr:uid="{00000000-0005-0000-0000-000047650000}"/>
    <cellStyle name="Normal 32 2 4 2" xfId="26181" xr:uid="{00000000-0005-0000-0000-000048650000}"/>
    <cellStyle name="Normal 32 2 4 2 2" xfId="26182" xr:uid="{00000000-0005-0000-0000-000049650000}"/>
    <cellStyle name="Normal 32 2 4 3" xfId="26183" xr:uid="{00000000-0005-0000-0000-00004A650000}"/>
    <cellStyle name="Normal 32 2 5" xfId="26184" xr:uid="{00000000-0005-0000-0000-00004B650000}"/>
    <cellStyle name="Normal 32 2 5 2" xfId="26185" xr:uid="{00000000-0005-0000-0000-00004C650000}"/>
    <cellStyle name="Normal 32 2 5 2 2" xfId="26186" xr:uid="{00000000-0005-0000-0000-00004D650000}"/>
    <cellStyle name="Normal 32 2 5 3" xfId="26187" xr:uid="{00000000-0005-0000-0000-00004E650000}"/>
    <cellStyle name="Normal 32 2 6" xfId="26188" xr:uid="{00000000-0005-0000-0000-00004F650000}"/>
    <cellStyle name="Normal 32 3" xfId="26189" xr:uid="{00000000-0005-0000-0000-000050650000}"/>
    <cellStyle name="Normal 32 3 2" xfId="26190" xr:uid="{00000000-0005-0000-0000-000051650000}"/>
    <cellStyle name="Normal 32 3 2 2" xfId="26191" xr:uid="{00000000-0005-0000-0000-000052650000}"/>
    <cellStyle name="Normal 32 3 3" xfId="26192" xr:uid="{00000000-0005-0000-0000-000053650000}"/>
    <cellStyle name="Normal 32 3 3 2" xfId="26193" xr:uid="{00000000-0005-0000-0000-000054650000}"/>
    <cellStyle name="Normal 32 3 3 2 2" xfId="26194" xr:uid="{00000000-0005-0000-0000-000055650000}"/>
    <cellStyle name="Normal 32 3 3 3" xfId="26195" xr:uid="{00000000-0005-0000-0000-000056650000}"/>
    <cellStyle name="Normal 32 3 4" xfId="26196" xr:uid="{00000000-0005-0000-0000-000057650000}"/>
    <cellStyle name="Normal 32 3 4 2" xfId="26197" xr:uid="{00000000-0005-0000-0000-000058650000}"/>
    <cellStyle name="Normal 32 3 4 2 2" xfId="26198" xr:uid="{00000000-0005-0000-0000-000059650000}"/>
    <cellStyle name="Normal 32 3 4 3" xfId="26199" xr:uid="{00000000-0005-0000-0000-00005A650000}"/>
    <cellStyle name="Normal 32 3 5" xfId="26200" xr:uid="{00000000-0005-0000-0000-00005B650000}"/>
    <cellStyle name="Normal 32 4" xfId="26201" xr:uid="{00000000-0005-0000-0000-00005C650000}"/>
    <cellStyle name="Normal 32 4 2" xfId="26202" xr:uid="{00000000-0005-0000-0000-00005D650000}"/>
    <cellStyle name="Normal 32 4 2 2" xfId="26203" xr:uid="{00000000-0005-0000-0000-00005E650000}"/>
    <cellStyle name="Normal 32 4 3" xfId="26204" xr:uid="{00000000-0005-0000-0000-00005F650000}"/>
    <cellStyle name="Normal 32 5" xfId="26205" xr:uid="{00000000-0005-0000-0000-000060650000}"/>
    <cellStyle name="Normal 32 5 2" xfId="26206" xr:uid="{00000000-0005-0000-0000-000061650000}"/>
    <cellStyle name="Normal 32 5 2 2" xfId="26207" xr:uid="{00000000-0005-0000-0000-000062650000}"/>
    <cellStyle name="Normal 32 5 3" xfId="26208" xr:uid="{00000000-0005-0000-0000-000063650000}"/>
    <cellStyle name="Normal 32 6" xfId="26209" xr:uid="{00000000-0005-0000-0000-000064650000}"/>
    <cellStyle name="Normal 32 6 2" xfId="26210" xr:uid="{00000000-0005-0000-0000-000065650000}"/>
    <cellStyle name="Normal 32 6 2 2" xfId="26211" xr:uid="{00000000-0005-0000-0000-000066650000}"/>
    <cellStyle name="Normal 32 6 3" xfId="26212" xr:uid="{00000000-0005-0000-0000-000067650000}"/>
    <cellStyle name="Normal 32 7" xfId="26213" xr:uid="{00000000-0005-0000-0000-000068650000}"/>
    <cellStyle name="Normal 320" xfId="26214" xr:uid="{00000000-0005-0000-0000-000069650000}"/>
    <cellStyle name="Normal 320 2" xfId="26215" xr:uid="{00000000-0005-0000-0000-00006A650000}"/>
    <cellStyle name="Normal 320 2 2" xfId="26216" xr:uid="{00000000-0005-0000-0000-00006B650000}"/>
    <cellStyle name="Normal 320 2 2 2" xfId="26217" xr:uid="{00000000-0005-0000-0000-00006C650000}"/>
    <cellStyle name="Normal 320 2 3" xfId="26218" xr:uid="{00000000-0005-0000-0000-00006D650000}"/>
    <cellStyle name="Normal 320 2 3 2" xfId="26219" xr:uid="{00000000-0005-0000-0000-00006E650000}"/>
    <cellStyle name="Normal 320 2 3 2 2" xfId="26220" xr:uid="{00000000-0005-0000-0000-00006F650000}"/>
    <cellStyle name="Normal 320 2 3 3" xfId="26221" xr:uid="{00000000-0005-0000-0000-000070650000}"/>
    <cellStyle name="Normal 320 2 4" xfId="26222" xr:uid="{00000000-0005-0000-0000-000071650000}"/>
    <cellStyle name="Normal 320 2 4 2" xfId="26223" xr:uid="{00000000-0005-0000-0000-000072650000}"/>
    <cellStyle name="Normal 320 2 4 2 2" xfId="26224" xr:uid="{00000000-0005-0000-0000-000073650000}"/>
    <cellStyle name="Normal 320 2 4 3" xfId="26225" xr:uid="{00000000-0005-0000-0000-000074650000}"/>
    <cellStyle name="Normal 320 2 5" xfId="26226" xr:uid="{00000000-0005-0000-0000-000075650000}"/>
    <cellStyle name="Normal 320 3" xfId="26227" xr:uid="{00000000-0005-0000-0000-000076650000}"/>
    <cellStyle name="Normal 320 3 2" xfId="26228" xr:uid="{00000000-0005-0000-0000-000077650000}"/>
    <cellStyle name="Normal 320 3 2 2" xfId="26229" xr:uid="{00000000-0005-0000-0000-000078650000}"/>
    <cellStyle name="Normal 320 3 2 2 2" xfId="26230" xr:uid="{00000000-0005-0000-0000-000079650000}"/>
    <cellStyle name="Normal 320 3 2 3" xfId="26231" xr:uid="{00000000-0005-0000-0000-00007A650000}"/>
    <cellStyle name="Normal 320 3 2 3 2" xfId="26232" xr:uid="{00000000-0005-0000-0000-00007B650000}"/>
    <cellStyle name="Normal 320 3 2 3 2 2" xfId="26233" xr:uid="{00000000-0005-0000-0000-00007C650000}"/>
    <cellStyle name="Normal 320 3 2 3 3" xfId="26234" xr:uid="{00000000-0005-0000-0000-00007D650000}"/>
    <cellStyle name="Normal 320 3 2 4" xfId="26235" xr:uid="{00000000-0005-0000-0000-00007E650000}"/>
    <cellStyle name="Normal 320 3 3" xfId="26236" xr:uid="{00000000-0005-0000-0000-00007F650000}"/>
    <cellStyle name="Normal 320 3 3 2" xfId="26237" xr:uid="{00000000-0005-0000-0000-000080650000}"/>
    <cellStyle name="Normal 320 3 3 2 2" xfId="26238" xr:uid="{00000000-0005-0000-0000-000081650000}"/>
    <cellStyle name="Normal 320 3 3 3" xfId="26239" xr:uid="{00000000-0005-0000-0000-000082650000}"/>
    <cellStyle name="Normal 320 3 4" xfId="26240" xr:uid="{00000000-0005-0000-0000-000083650000}"/>
    <cellStyle name="Normal 320 3 4 2" xfId="26241" xr:uid="{00000000-0005-0000-0000-000084650000}"/>
    <cellStyle name="Normal 320 3 4 2 2" xfId="26242" xr:uid="{00000000-0005-0000-0000-000085650000}"/>
    <cellStyle name="Normal 320 3 4 3" xfId="26243" xr:uid="{00000000-0005-0000-0000-000086650000}"/>
    <cellStyle name="Normal 320 3 5" xfId="26244" xr:uid="{00000000-0005-0000-0000-000087650000}"/>
    <cellStyle name="Normal 320 3 5 2" xfId="26245" xr:uid="{00000000-0005-0000-0000-000088650000}"/>
    <cellStyle name="Normal 320 3 5 2 2" xfId="26246" xr:uid="{00000000-0005-0000-0000-000089650000}"/>
    <cellStyle name="Normal 320 3 5 3" xfId="26247" xr:uid="{00000000-0005-0000-0000-00008A650000}"/>
    <cellStyle name="Normal 320 3 6" xfId="26248" xr:uid="{00000000-0005-0000-0000-00008B650000}"/>
    <cellStyle name="Normal 320 4" xfId="26249" xr:uid="{00000000-0005-0000-0000-00008C650000}"/>
    <cellStyle name="Normal 320 4 2" xfId="26250" xr:uid="{00000000-0005-0000-0000-00008D650000}"/>
    <cellStyle name="Normal 320 4 2 2" xfId="26251" xr:uid="{00000000-0005-0000-0000-00008E650000}"/>
    <cellStyle name="Normal 320 4 3" xfId="26252" xr:uid="{00000000-0005-0000-0000-00008F650000}"/>
    <cellStyle name="Normal 320 5" xfId="26253" xr:uid="{00000000-0005-0000-0000-000090650000}"/>
    <cellStyle name="Normal 320 5 2" xfId="26254" xr:uid="{00000000-0005-0000-0000-000091650000}"/>
    <cellStyle name="Normal 320 5 2 2" xfId="26255" xr:uid="{00000000-0005-0000-0000-000092650000}"/>
    <cellStyle name="Normal 320 5 3" xfId="26256" xr:uid="{00000000-0005-0000-0000-000093650000}"/>
    <cellStyle name="Normal 320 6" xfId="26257" xr:uid="{00000000-0005-0000-0000-000094650000}"/>
    <cellStyle name="Normal 320 6 2" xfId="26258" xr:uid="{00000000-0005-0000-0000-000095650000}"/>
    <cellStyle name="Normal 320 6 2 2" xfId="26259" xr:uid="{00000000-0005-0000-0000-000096650000}"/>
    <cellStyle name="Normal 320 6 3" xfId="26260" xr:uid="{00000000-0005-0000-0000-000097650000}"/>
    <cellStyle name="Normal 320 7" xfId="26261" xr:uid="{00000000-0005-0000-0000-000098650000}"/>
    <cellStyle name="Normal 321" xfId="26262" xr:uid="{00000000-0005-0000-0000-000099650000}"/>
    <cellStyle name="Normal 321 2" xfId="26263" xr:uid="{00000000-0005-0000-0000-00009A650000}"/>
    <cellStyle name="Normal 321 2 2" xfId="26264" xr:uid="{00000000-0005-0000-0000-00009B650000}"/>
    <cellStyle name="Normal 321 2 2 2" xfId="26265" xr:uid="{00000000-0005-0000-0000-00009C650000}"/>
    <cellStyle name="Normal 321 2 3" xfId="26266" xr:uid="{00000000-0005-0000-0000-00009D650000}"/>
    <cellStyle name="Normal 321 2 3 2" xfId="26267" xr:uid="{00000000-0005-0000-0000-00009E650000}"/>
    <cellStyle name="Normal 321 2 3 2 2" xfId="26268" xr:uid="{00000000-0005-0000-0000-00009F650000}"/>
    <cellStyle name="Normal 321 2 3 3" xfId="26269" xr:uid="{00000000-0005-0000-0000-0000A0650000}"/>
    <cellStyle name="Normal 321 2 4" xfId="26270" xr:uid="{00000000-0005-0000-0000-0000A1650000}"/>
    <cellStyle name="Normal 321 2 4 2" xfId="26271" xr:uid="{00000000-0005-0000-0000-0000A2650000}"/>
    <cellStyle name="Normal 321 2 4 2 2" xfId="26272" xr:uid="{00000000-0005-0000-0000-0000A3650000}"/>
    <cellStyle name="Normal 321 2 4 3" xfId="26273" xr:uid="{00000000-0005-0000-0000-0000A4650000}"/>
    <cellStyle name="Normal 321 2 5" xfId="26274" xr:uid="{00000000-0005-0000-0000-0000A5650000}"/>
    <cellStyle name="Normal 321 3" xfId="26275" xr:uid="{00000000-0005-0000-0000-0000A6650000}"/>
    <cellStyle name="Normal 321 3 2" xfId="26276" xr:uid="{00000000-0005-0000-0000-0000A7650000}"/>
    <cellStyle name="Normal 321 3 2 2" xfId="26277" xr:uid="{00000000-0005-0000-0000-0000A8650000}"/>
    <cellStyle name="Normal 321 3 2 2 2" xfId="26278" xr:uid="{00000000-0005-0000-0000-0000A9650000}"/>
    <cellStyle name="Normal 321 3 2 3" xfId="26279" xr:uid="{00000000-0005-0000-0000-0000AA650000}"/>
    <cellStyle name="Normal 321 3 2 3 2" xfId="26280" xr:uid="{00000000-0005-0000-0000-0000AB650000}"/>
    <cellStyle name="Normal 321 3 2 3 2 2" xfId="26281" xr:uid="{00000000-0005-0000-0000-0000AC650000}"/>
    <cellStyle name="Normal 321 3 2 3 3" xfId="26282" xr:uid="{00000000-0005-0000-0000-0000AD650000}"/>
    <cellStyle name="Normal 321 3 2 4" xfId="26283" xr:uid="{00000000-0005-0000-0000-0000AE650000}"/>
    <cellStyle name="Normal 321 3 3" xfId="26284" xr:uid="{00000000-0005-0000-0000-0000AF650000}"/>
    <cellStyle name="Normal 321 3 3 2" xfId="26285" xr:uid="{00000000-0005-0000-0000-0000B0650000}"/>
    <cellStyle name="Normal 321 3 3 2 2" xfId="26286" xr:uid="{00000000-0005-0000-0000-0000B1650000}"/>
    <cellStyle name="Normal 321 3 3 3" xfId="26287" xr:uid="{00000000-0005-0000-0000-0000B2650000}"/>
    <cellStyle name="Normal 321 3 4" xfId="26288" xr:uid="{00000000-0005-0000-0000-0000B3650000}"/>
    <cellStyle name="Normal 321 3 4 2" xfId="26289" xr:uid="{00000000-0005-0000-0000-0000B4650000}"/>
    <cellStyle name="Normal 321 3 4 2 2" xfId="26290" xr:uid="{00000000-0005-0000-0000-0000B5650000}"/>
    <cellStyle name="Normal 321 3 4 3" xfId="26291" xr:uid="{00000000-0005-0000-0000-0000B6650000}"/>
    <cellStyle name="Normal 321 3 5" xfId="26292" xr:uid="{00000000-0005-0000-0000-0000B7650000}"/>
    <cellStyle name="Normal 321 3 5 2" xfId="26293" xr:uid="{00000000-0005-0000-0000-0000B8650000}"/>
    <cellStyle name="Normal 321 3 5 2 2" xfId="26294" xr:uid="{00000000-0005-0000-0000-0000B9650000}"/>
    <cellStyle name="Normal 321 3 5 3" xfId="26295" xr:uid="{00000000-0005-0000-0000-0000BA650000}"/>
    <cellStyle name="Normal 321 3 6" xfId="26296" xr:uid="{00000000-0005-0000-0000-0000BB650000}"/>
    <cellStyle name="Normal 321 4" xfId="26297" xr:uid="{00000000-0005-0000-0000-0000BC650000}"/>
    <cellStyle name="Normal 321 4 2" xfId="26298" xr:uid="{00000000-0005-0000-0000-0000BD650000}"/>
    <cellStyle name="Normal 321 4 2 2" xfId="26299" xr:uid="{00000000-0005-0000-0000-0000BE650000}"/>
    <cellStyle name="Normal 321 4 3" xfId="26300" xr:uid="{00000000-0005-0000-0000-0000BF650000}"/>
    <cellStyle name="Normal 321 5" xfId="26301" xr:uid="{00000000-0005-0000-0000-0000C0650000}"/>
    <cellStyle name="Normal 321 5 2" xfId="26302" xr:uid="{00000000-0005-0000-0000-0000C1650000}"/>
    <cellStyle name="Normal 321 5 2 2" xfId="26303" xr:uid="{00000000-0005-0000-0000-0000C2650000}"/>
    <cellStyle name="Normal 321 5 3" xfId="26304" xr:uid="{00000000-0005-0000-0000-0000C3650000}"/>
    <cellStyle name="Normal 321 6" xfId="26305" xr:uid="{00000000-0005-0000-0000-0000C4650000}"/>
    <cellStyle name="Normal 321 6 2" xfId="26306" xr:uid="{00000000-0005-0000-0000-0000C5650000}"/>
    <cellStyle name="Normal 321 6 2 2" xfId="26307" xr:uid="{00000000-0005-0000-0000-0000C6650000}"/>
    <cellStyle name="Normal 321 6 3" xfId="26308" xr:uid="{00000000-0005-0000-0000-0000C7650000}"/>
    <cellStyle name="Normal 321 7" xfId="26309" xr:uid="{00000000-0005-0000-0000-0000C8650000}"/>
    <cellStyle name="Normal 322" xfId="26310" xr:uid="{00000000-0005-0000-0000-0000C9650000}"/>
    <cellStyle name="Normal 322 2" xfId="26311" xr:uid="{00000000-0005-0000-0000-0000CA650000}"/>
    <cellStyle name="Normal 322 2 2" xfId="26312" xr:uid="{00000000-0005-0000-0000-0000CB650000}"/>
    <cellStyle name="Normal 322 2 2 2" xfId="26313" xr:uid="{00000000-0005-0000-0000-0000CC650000}"/>
    <cellStyle name="Normal 322 2 3" xfId="26314" xr:uid="{00000000-0005-0000-0000-0000CD650000}"/>
    <cellStyle name="Normal 322 2 3 2" xfId="26315" xr:uid="{00000000-0005-0000-0000-0000CE650000}"/>
    <cellStyle name="Normal 322 2 3 2 2" xfId="26316" xr:uid="{00000000-0005-0000-0000-0000CF650000}"/>
    <cellStyle name="Normal 322 2 3 3" xfId="26317" xr:uid="{00000000-0005-0000-0000-0000D0650000}"/>
    <cellStyle name="Normal 322 2 4" xfId="26318" xr:uid="{00000000-0005-0000-0000-0000D1650000}"/>
    <cellStyle name="Normal 322 2 4 2" xfId="26319" xr:uid="{00000000-0005-0000-0000-0000D2650000}"/>
    <cellStyle name="Normal 322 2 4 2 2" xfId="26320" xr:uid="{00000000-0005-0000-0000-0000D3650000}"/>
    <cellStyle name="Normal 322 2 4 3" xfId="26321" xr:uid="{00000000-0005-0000-0000-0000D4650000}"/>
    <cellStyle name="Normal 322 2 5" xfId="26322" xr:uid="{00000000-0005-0000-0000-0000D5650000}"/>
    <cellStyle name="Normal 322 3" xfId="26323" xr:uid="{00000000-0005-0000-0000-0000D6650000}"/>
    <cellStyle name="Normal 322 3 2" xfId="26324" xr:uid="{00000000-0005-0000-0000-0000D7650000}"/>
    <cellStyle name="Normal 322 3 2 2" xfId="26325" xr:uid="{00000000-0005-0000-0000-0000D8650000}"/>
    <cellStyle name="Normal 322 3 2 2 2" xfId="26326" xr:uid="{00000000-0005-0000-0000-0000D9650000}"/>
    <cellStyle name="Normal 322 3 2 3" xfId="26327" xr:uid="{00000000-0005-0000-0000-0000DA650000}"/>
    <cellStyle name="Normal 322 3 2 3 2" xfId="26328" xr:uid="{00000000-0005-0000-0000-0000DB650000}"/>
    <cellStyle name="Normal 322 3 2 3 2 2" xfId="26329" xr:uid="{00000000-0005-0000-0000-0000DC650000}"/>
    <cellStyle name="Normal 322 3 2 3 3" xfId="26330" xr:uid="{00000000-0005-0000-0000-0000DD650000}"/>
    <cellStyle name="Normal 322 3 2 4" xfId="26331" xr:uid="{00000000-0005-0000-0000-0000DE650000}"/>
    <cellStyle name="Normal 322 3 3" xfId="26332" xr:uid="{00000000-0005-0000-0000-0000DF650000}"/>
    <cellStyle name="Normal 322 3 3 2" xfId="26333" xr:uid="{00000000-0005-0000-0000-0000E0650000}"/>
    <cellStyle name="Normal 322 3 3 2 2" xfId="26334" xr:uid="{00000000-0005-0000-0000-0000E1650000}"/>
    <cellStyle name="Normal 322 3 3 3" xfId="26335" xr:uid="{00000000-0005-0000-0000-0000E2650000}"/>
    <cellStyle name="Normal 322 3 4" xfId="26336" xr:uid="{00000000-0005-0000-0000-0000E3650000}"/>
    <cellStyle name="Normal 322 3 4 2" xfId="26337" xr:uid="{00000000-0005-0000-0000-0000E4650000}"/>
    <cellStyle name="Normal 322 3 4 2 2" xfId="26338" xr:uid="{00000000-0005-0000-0000-0000E5650000}"/>
    <cellStyle name="Normal 322 3 4 3" xfId="26339" xr:uid="{00000000-0005-0000-0000-0000E6650000}"/>
    <cellStyle name="Normal 322 3 5" xfId="26340" xr:uid="{00000000-0005-0000-0000-0000E7650000}"/>
    <cellStyle name="Normal 322 3 5 2" xfId="26341" xr:uid="{00000000-0005-0000-0000-0000E8650000}"/>
    <cellStyle name="Normal 322 3 5 2 2" xfId="26342" xr:uid="{00000000-0005-0000-0000-0000E9650000}"/>
    <cellStyle name="Normal 322 3 5 3" xfId="26343" xr:uid="{00000000-0005-0000-0000-0000EA650000}"/>
    <cellStyle name="Normal 322 3 6" xfId="26344" xr:uid="{00000000-0005-0000-0000-0000EB650000}"/>
    <cellStyle name="Normal 322 4" xfId="26345" xr:uid="{00000000-0005-0000-0000-0000EC650000}"/>
    <cellStyle name="Normal 322 4 2" xfId="26346" xr:uid="{00000000-0005-0000-0000-0000ED650000}"/>
    <cellStyle name="Normal 322 4 2 2" xfId="26347" xr:uid="{00000000-0005-0000-0000-0000EE650000}"/>
    <cellStyle name="Normal 322 4 3" xfId="26348" xr:uid="{00000000-0005-0000-0000-0000EF650000}"/>
    <cellStyle name="Normal 322 5" xfId="26349" xr:uid="{00000000-0005-0000-0000-0000F0650000}"/>
    <cellStyle name="Normal 322 5 2" xfId="26350" xr:uid="{00000000-0005-0000-0000-0000F1650000}"/>
    <cellStyle name="Normal 322 5 2 2" xfId="26351" xr:uid="{00000000-0005-0000-0000-0000F2650000}"/>
    <cellStyle name="Normal 322 5 3" xfId="26352" xr:uid="{00000000-0005-0000-0000-0000F3650000}"/>
    <cellStyle name="Normal 322 6" xfId="26353" xr:uid="{00000000-0005-0000-0000-0000F4650000}"/>
    <cellStyle name="Normal 322 6 2" xfId="26354" xr:uid="{00000000-0005-0000-0000-0000F5650000}"/>
    <cellStyle name="Normal 322 6 2 2" xfId="26355" xr:uid="{00000000-0005-0000-0000-0000F6650000}"/>
    <cellStyle name="Normal 322 6 3" xfId="26356" xr:uid="{00000000-0005-0000-0000-0000F7650000}"/>
    <cellStyle name="Normal 322 7" xfId="26357" xr:uid="{00000000-0005-0000-0000-0000F8650000}"/>
    <cellStyle name="Normal 323" xfId="26358" xr:uid="{00000000-0005-0000-0000-0000F9650000}"/>
    <cellStyle name="Normal 323 2" xfId="26359" xr:uid="{00000000-0005-0000-0000-0000FA650000}"/>
    <cellStyle name="Normal 323 2 2" xfId="26360" xr:uid="{00000000-0005-0000-0000-0000FB650000}"/>
    <cellStyle name="Normal 323 2 2 2" xfId="26361" xr:uid="{00000000-0005-0000-0000-0000FC650000}"/>
    <cellStyle name="Normal 323 2 3" xfId="26362" xr:uid="{00000000-0005-0000-0000-0000FD650000}"/>
    <cellStyle name="Normal 323 2 3 2" xfId="26363" xr:uid="{00000000-0005-0000-0000-0000FE650000}"/>
    <cellStyle name="Normal 323 2 3 2 2" xfId="26364" xr:uid="{00000000-0005-0000-0000-0000FF650000}"/>
    <cellStyle name="Normal 323 2 3 3" xfId="26365" xr:uid="{00000000-0005-0000-0000-000000660000}"/>
    <cellStyle name="Normal 323 2 4" xfId="26366" xr:uid="{00000000-0005-0000-0000-000001660000}"/>
    <cellStyle name="Normal 323 2 4 2" xfId="26367" xr:uid="{00000000-0005-0000-0000-000002660000}"/>
    <cellStyle name="Normal 323 2 4 2 2" xfId="26368" xr:uid="{00000000-0005-0000-0000-000003660000}"/>
    <cellStyle name="Normal 323 2 4 3" xfId="26369" xr:uid="{00000000-0005-0000-0000-000004660000}"/>
    <cellStyle name="Normal 323 2 5" xfId="26370" xr:uid="{00000000-0005-0000-0000-000005660000}"/>
    <cellStyle name="Normal 323 3" xfId="26371" xr:uid="{00000000-0005-0000-0000-000006660000}"/>
    <cellStyle name="Normal 323 3 2" xfId="26372" xr:uid="{00000000-0005-0000-0000-000007660000}"/>
    <cellStyle name="Normal 323 3 2 2" xfId="26373" xr:uid="{00000000-0005-0000-0000-000008660000}"/>
    <cellStyle name="Normal 323 3 2 2 2" xfId="26374" xr:uid="{00000000-0005-0000-0000-000009660000}"/>
    <cellStyle name="Normal 323 3 2 3" xfId="26375" xr:uid="{00000000-0005-0000-0000-00000A660000}"/>
    <cellStyle name="Normal 323 3 2 3 2" xfId="26376" xr:uid="{00000000-0005-0000-0000-00000B660000}"/>
    <cellStyle name="Normal 323 3 2 3 2 2" xfId="26377" xr:uid="{00000000-0005-0000-0000-00000C660000}"/>
    <cellStyle name="Normal 323 3 2 3 3" xfId="26378" xr:uid="{00000000-0005-0000-0000-00000D660000}"/>
    <cellStyle name="Normal 323 3 2 4" xfId="26379" xr:uid="{00000000-0005-0000-0000-00000E660000}"/>
    <cellStyle name="Normal 323 3 3" xfId="26380" xr:uid="{00000000-0005-0000-0000-00000F660000}"/>
    <cellStyle name="Normal 323 3 3 2" xfId="26381" xr:uid="{00000000-0005-0000-0000-000010660000}"/>
    <cellStyle name="Normal 323 3 3 2 2" xfId="26382" xr:uid="{00000000-0005-0000-0000-000011660000}"/>
    <cellStyle name="Normal 323 3 3 3" xfId="26383" xr:uid="{00000000-0005-0000-0000-000012660000}"/>
    <cellStyle name="Normal 323 3 4" xfId="26384" xr:uid="{00000000-0005-0000-0000-000013660000}"/>
    <cellStyle name="Normal 323 3 4 2" xfId="26385" xr:uid="{00000000-0005-0000-0000-000014660000}"/>
    <cellStyle name="Normal 323 3 4 2 2" xfId="26386" xr:uid="{00000000-0005-0000-0000-000015660000}"/>
    <cellStyle name="Normal 323 3 4 3" xfId="26387" xr:uid="{00000000-0005-0000-0000-000016660000}"/>
    <cellStyle name="Normal 323 3 5" xfId="26388" xr:uid="{00000000-0005-0000-0000-000017660000}"/>
    <cellStyle name="Normal 323 3 5 2" xfId="26389" xr:uid="{00000000-0005-0000-0000-000018660000}"/>
    <cellStyle name="Normal 323 3 5 2 2" xfId="26390" xr:uid="{00000000-0005-0000-0000-000019660000}"/>
    <cellStyle name="Normal 323 3 5 3" xfId="26391" xr:uid="{00000000-0005-0000-0000-00001A660000}"/>
    <cellStyle name="Normal 323 3 6" xfId="26392" xr:uid="{00000000-0005-0000-0000-00001B660000}"/>
    <cellStyle name="Normal 323 4" xfId="26393" xr:uid="{00000000-0005-0000-0000-00001C660000}"/>
    <cellStyle name="Normal 323 4 2" xfId="26394" xr:uid="{00000000-0005-0000-0000-00001D660000}"/>
    <cellStyle name="Normal 323 4 2 2" xfId="26395" xr:uid="{00000000-0005-0000-0000-00001E660000}"/>
    <cellStyle name="Normal 323 4 3" xfId="26396" xr:uid="{00000000-0005-0000-0000-00001F660000}"/>
    <cellStyle name="Normal 323 5" xfId="26397" xr:uid="{00000000-0005-0000-0000-000020660000}"/>
    <cellStyle name="Normal 323 5 2" xfId="26398" xr:uid="{00000000-0005-0000-0000-000021660000}"/>
    <cellStyle name="Normal 323 5 2 2" xfId="26399" xr:uid="{00000000-0005-0000-0000-000022660000}"/>
    <cellStyle name="Normal 323 5 3" xfId="26400" xr:uid="{00000000-0005-0000-0000-000023660000}"/>
    <cellStyle name="Normal 323 6" xfId="26401" xr:uid="{00000000-0005-0000-0000-000024660000}"/>
    <cellStyle name="Normal 323 6 2" xfId="26402" xr:uid="{00000000-0005-0000-0000-000025660000}"/>
    <cellStyle name="Normal 323 6 2 2" xfId="26403" xr:uid="{00000000-0005-0000-0000-000026660000}"/>
    <cellStyle name="Normal 323 6 3" xfId="26404" xr:uid="{00000000-0005-0000-0000-000027660000}"/>
    <cellStyle name="Normal 323 7" xfId="26405" xr:uid="{00000000-0005-0000-0000-000028660000}"/>
    <cellStyle name="Normal 324" xfId="26406" xr:uid="{00000000-0005-0000-0000-000029660000}"/>
    <cellStyle name="Normal 324 2" xfId="26407" xr:uid="{00000000-0005-0000-0000-00002A660000}"/>
    <cellStyle name="Normal 324 2 2" xfId="26408" xr:uid="{00000000-0005-0000-0000-00002B660000}"/>
    <cellStyle name="Normal 324 2 2 2" xfId="26409" xr:uid="{00000000-0005-0000-0000-00002C660000}"/>
    <cellStyle name="Normal 324 2 3" xfId="26410" xr:uid="{00000000-0005-0000-0000-00002D660000}"/>
    <cellStyle name="Normal 324 2 3 2" xfId="26411" xr:uid="{00000000-0005-0000-0000-00002E660000}"/>
    <cellStyle name="Normal 324 2 3 2 2" xfId="26412" xr:uid="{00000000-0005-0000-0000-00002F660000}"/>
    <cellStyle name="Normal 324 2 3 3" xfId="26413" xr:uid="{00000000-0005-0000-0000-000030660000}"/>
    <cellStyle name="Normal 324 2 4" xfId="26414" xr:uid="{00000000-0005-0000-0000-000031660000}"/>
    <cellStyle name="Normal 324 2 4 2" xfId="26415" xr:uid="{00000000-0005-0000-0000-000032660000}"/>
    <cellStyle name="Normal 324 2 4 2 2" xfId="26416" xr:uid="{00000000-0005-0000-0000-000033660000}"/>
    <cellStyle name="Normal 324 2 4 3" xfId="26417" xr:uid="{00000000-0005-0000-0000-000034660000}"/>
    <cellStyle name="Normal 324 2 5" xfId="26418" xr:uid="{00000000-0005-0000-0000-000035660000}"/>
    <cellStyle name="Normal 324 3" xfId="26419" xr:uid="{00000000-0005-0000-0000-000036660000}"/>
    <cellStyle name="Normal 324 3 2" xfId="26420" xr:uid="{00000000-0005-0000-0000-000037660000}"/>
    <cellStyle name="Normal 324 3 2 2" xfId="26421" xr:uid="{00000000-0005-0000-0000-000038660000}"/>
    <cellStyle name="Normal 324 3 2 2 2" xfId="26422" xr:uid="{00000000-0005-0000-0000-000039660000}"/>
    <cellStyle name="Normal 324 3 2 3" xfId="26423" xr:uid="{00000000-0005-0000-0000-00003A660000}"/>
    <cellStyle name="Normal 324 3 2 3 2" xfId="26424" xr:uid="{00000000-0005-0000-0000-00003B660000}"/>
    <cellStyle name="Normal 324 3 2 3 2 2" xfId="26425" xr:uid="{00000000-0005-0000-0000-00003C660000}"/>
    <cellStyle name="Normal 324 3 2 3 3" xfId="26426" xr:uid="{00000000-0005-0000-0000-00003D660000}"/>
    <cellStyle name="Normal 324 3 2 4" xfId="26427" xr:uid="{00000000-0005-0000-0000-00003E660000}"/>
    <cellStyle name="Normal 324 3 3" xfId="26428" xr:uid="{00000000-0005-0000-0000-00003F660000}"/>
    <cellStyle name="Normal 324 3 3 2" xfId="26429" xr:uid="{00000000-0005-0000-0000-000040660000}"/>
    <cellStyle name="Normal 324 3 3 2 2" xfId="26430" xr:uid="{00000000-0005-0000-0000-000041660000}"/>
    <cellStyle name="Normal 324 3 3 3" xfId="26431" xr:uid="{00000000-0005-0000-0000-000042660000}"/>
    <cellStyle name="Normal 324 3 4" xfId="26432" xr:uid="{00000000-0005-0000-0000-000043660000}"/>
    <cellStyle name="Normal 324 3 4 2" xfId="26433" xr:uid="{00000000-0005-0000-0000-000044660000}"/>
    <cellStyle name="Normal 324 3 4 2 2" xfId="26434" xr:uid="{00000000-0005-0000-0000-000045660000}"/>
    <cellStyle name="Normal 324 3 4 3" xfId="26435" xr:uid="{00000000-0005-0000-0000-000046660000}"/>
    <cellStyle name="Normal 324 3 5" xfId="26436" xr:uid="{00000000-0005-0000-0000-000047660000}"/>
    <cellStyle name="Normal 324 3 5 2" xfId="26437" xr:uid="{00000000-0005-0000-0000-000048660000}"/>
    <cellStyle name="Normal 324 3 5 2 2" xfId="26438" xr:uid="{00000000-0005-0000-0000-000049660000}"/>
    <cellStyle name="Normal 324 3 5 3" xfId="26439" xr:uid="{00000000-0005-0000-0000-00004A660000}"/>
    <cellStyle name="Normal 324 3 6" xfId="26440" xr:uid="{00000000-0005-0000-0000-00004B660000}"/>
    <cellStyle name="Normal 324 4" xfId="26441" xr:uid="{00000000-0005-0000-0000-00004C660000}"/>
    <cellStyle name="Normal 324 4 2" xfId="26442" xr:uid="{00000000-0005-0000-0000-00004D660000}"/>
    <cellStyle name="Normal 324 4 2 2" xfId="26443" xr:uid="{00000000-0005-0000-0000-00004E660000}"/>
    <cellStyle name="Normal 324 4 3" xfId="26444" xr:uid="{00000000-0005-0000-0000-00004F660000}"/>
    <cellStyle name="Normal 324 5" xfId="26445" xr:uid="{00000000-0005-0000-0000-000050660000}"/>
    <cellStyle name="Normal 324 5 2" xfId="26446" xr:uid="{00000000-0005-0000-0000-000051660000}"/>
    <cellStyle name="Normal 324 5 2 2" xfId="26447" xr:uid="{00000000-0005-0000-0000-000052660000}"/>
    <cellStyle name="Normal 324 5 3" xfId="26448" xr:uid="{00000000-0005-0000-0000-000053660000}"/>
    <cellStyle name="Normal 324 6" xfId="26449" xr:uid="{00000000-0005-0000-0000-000054660000}"/>
    <cellStyle name="Normal 324 6 2" xfId="26450" xr:uid="{00000000-0005-0000-0000-000055660000}"/>
    <cellStyle name="Normal 324 6 2 2" xfId="26451" xr:uid="{00000000-0005-0000-0000-000056660000}"/>
    <cellStyle name="Normal 324 6 3" xfId="26452" xr:uid="{00000000-0005-0000-0000-000057660000}"/>
    <cellStyle name="Normal 324 7" xfId="26453" xr:uid="{00000000-0005-0000-0000-000058660000}"/>
    <cellStyle name="Normal 325" xfId="26454" xr:uid="{00000000-0005-0000-0000-000059660000}"/>
    <cellStyle name="Normal 325 2" xfId="26455" xr:uid="{00000000-0005-0000-0000-00005A660000}"/>
    <cellStyle name="Normal 325 2 2" xfId="26456" xr:uid="{00000000-0005-0000-0000-00005B660000}"/>
    <cellStyle name="Normal 325 2 2 2" xfId="26457" xr:uid="{00000000-0005-0000-0000-00005C660000}"/>
    <cellStyle name="Normal 325 2 3" xfId="26458" xr:uid="{00000000-0005-0000-0000-00005D660000}"/>
    <cellStyle name="Normal 325 2 3 2" xfId="26459" xr:uid="{00000000-0005-0000-0000-00005E660000}"/>
    <cellStyle name="Normal 325 2 3 2 2" xfId="26460" xr:uid="{00000000-0005-0000-0000-00005F660000}"/>
    <cellStyle name="Normal 325 2 3 3" xfId="26461" xr:uid="{00000000-0005-0000-0000-000060660000}"/>
    <cellStyle name="Normal 325 2 4" xfId="26462" xr:uid="{00000000-0005-0000-0000-000061660000}"/>
    <cellStyle name="Normal 325 2 4 2" xfId="26463" xr:uid="{00000000-0005-0000-0000-000062660000}"/>
    <cellStyle name="Normal 325 2 4 2 2" xfId="26464" xr:uid="{00000000-0005-0000-0000-000063660000}"/>
    <cellStyle name="Normal 325 2 4 3" xfId="26465" xr:uid="{00000000-0005-0000-0000-000064660000}"/>
    <cellStyle name="Normal 325 2 5" xfId="26466" xr:uid="{00000000-0005-0000-0000-000065660000}"/>
    <cellStyle name="Normal 325 3" xfId="26467" xr:uid="{00000000-0005-0000-0000-000066660000}"/>
    <cellStyle name="Normal 325 3 2" xfId="26468" xr:uid="{00000000-0005-0000-0000-000067660000}"/>
    <cellStyle name="Normal 325 3 2 2" xfId="26469" xr:uid="{00000000-0005-0000-0000-000068660000}"/>
    <cellStyle name="Normal 325 3 2 2 2" xfId="26470" xr:uid="{00000000-0005-0000-0000-000069660000}"/>
    <cellStyle name="Normal 325 3 2 3" xfId="26471" xr:uid="{00000000-0005-0000-0000-00006A660000}"/>
    <cellStyle name="Normal 325 3 2 3 2" xfId="26472" xr:uid="{00000000-0005-0000-0000-00006B660000}"/>
    <cellStyle name="Normal 325 3 2 3 2 2" xfId="26473" xr:uid="{00000000-0005-0000-0000-00006C660000}"/>
    <cellStyle name="Normal 325 3 2 3 3" xfId="26474" xr:uid="{00000000-0005-0000-0000-00006D660000}"/>
    <cellStyle name="Normal 325 3 2 4" xfId="26475" xr:uid="{00000000-0005-0000-0000-00006E660000}"/>
    <cellStyle name="Normal 325 3 3" xfId="26476" xr:uid="{00000000-0005-0000-0000-00006F660000}"/>
    <cellStyle name="Normal 325 3 3 2" xfId="26477" xr:uid="{00000000-0005-0000-0000-000070660000}"/>
    <cellStyle name="Normal 325 3 3 2 2" xfId="26478" xr:uid="{00000000-0005-0000-0000-000071660000}"/>
    <cellStyle name="Normal 325 3 3 3" xfId="26479" xr:uid="{00000000-0005-0000-0000-000072660000}"/>
    <cellStyle name="Normal 325 3 4" xfId="26480" xr:uid="{00000000-0005-0000-0000-000073660000}"/>
    <cellStyle name="Normal 325 3 4 2" xfId="26481" xr:uid="{00000000-0005-0000-0000-000074660000}"/>
    <cellStyle name="Normal 325 3 4 2 2" xfId="26482" xr:uid="{00000000-0005-0000-0000-000075660000}"/>
    <cellStyle name="Normal 325 3 4 3" xfId="26483" xr:uid="{00000000-0005-0000-0000-000076660000}"/>
    <cellStyle name="Normal 325 3 5" xfId="26484" xr:uid="{00000000-0005-0000-0000-000077660000}"/>
    <cellStyle name="Normal 325 3 5 2" xfId="26485" xr:uid="{00000000-0005-0000-0000-000078660000}"/>
    <cellStyle name="Normal 325 3 5 2 2" xfId="26486" xr:uid="{00000000-0005-0000-0000-000079660000}"/>
    <cellStyle name="Normal 325 3 5 3" xfId="26487" xr:uid="{00000000-0005-0000-0000-00007A660000}"/>
    <cellStyle name="Normal 325 3 6" xfId="26488" xr:uid="{00000000-0005-0000-0000-00007B660000}"/>
    <cellStyle name="Normal 325 4" xfId="26489" xr:uid="{00000000-0005-0000-0000-00007C660000}"/>
    <cellStyle name="Normal 325 4 2" xfId="26490" xr:uid="{00000000-0005-0000-0000-00007D660000}"/>
    <cellStyle name="Normal 325 4 2 2" xfId="26491" xr:uid="{00000000-0005-0000-0000-00007E660000}"/>
    <cellStyle name="Normal 325 4 3" xfId="26492" xr:uid="{00000000-0005-0000-0000-00007F660000}"/>
    <cellStyle name="Normal 325 5" xfId="26493" xr:uid="{00000000-0005-0000-0000-000080660000}"/>
    <cellStyle name="Normal 325 5 2" xfId="26494" xr:uid="{00000000-0005-0000-0000-000081660000}"/>
    <cellStyle name="Normal 325 5 2 2" xfId="26495" xr:uid="{00000000-0005-0000-0000-000082660000}"/>
    <cellStyle name="Normal 325 5 3" xfId="26496" xr:uid="{00000000-0005-0000-0000-000083660000}"/>
    <cellStyle name="Normal 325 6" xfId="26497" xr:uid="{00000000-0005-0000-0000-000084660000}"/>
    <cellStyle name="Normal 325 6 2" xfId="26498" xr:uid="{00000000-0005-0000-0000-000085660000}"/>
    <cellStyle name="Normal 325 6 2 2" xfId="26499" xr:uid="{00000000-0005-0000-0000-000086660000}"/>
    <cellStyle name="Normal 325 6 3" xfId="26500" xr:uid="{00000000-0005-0000-0000-000087660000}"/>
    <cellStyle name="Normal 325 7" xfId="26501" xr:uid="{00000000-0005-0000-0000-000088660000}"/>
    <cellStyle name="Normal 326" xfId="26502" xr:uid="{00000000-0005-0000-0000-000089660000}"/>
    <cellStyle name="Normal 326 2" xfId="26503" xr:uid="{00000000-0005-0000-0000-00008A660000}"/>
    <cellStyle name="Normal 326 2 2" xfId="26504" xr:uid="{00000000-0005-0000-0000-00008B660000}"/>
    <cellStyle name="Normal 326 2 2 2" xfId="26505" xr:uid="{00000000-0005-0000-0000-00008C660000}"/>
    <cellStyle name="Normal 326 2 3" xfId="26506" xr:uid="{00000000-0005-0000-0000-00008D660000}"/>
    <cellStyle name="Normal 326 2 3 2" xfId="26507" xr:uid="{00000000-0005-0000-0000-00008E660000}"/>
    <cellStyle name="Normal 326 2 3 2 2" xfId="26508" xr:uid="{00000000-0005-0000-0000-00008F660000}"/>
    <cellStyle name="Normal 326 2 3 3" xfId="26509" xr:uid="{00000000-0005-0000-0000-000090660000}"/>
    <cellStyle name="Normal 326 2 4" xfId="26510" xr:uid="{00000000-0005-0000-0000-000091660000}"/>
    <cellStyle name="Normal 326 2 4 2" xfId="26511" xr:uid="{00000000-0005-0000-0000-000092660000}"/>
    <cellStyle name="Normal 326 2 4 2 2" xfId="26512" xr:uid="{00000000-0005-0000-0000-000093660000}"/>
    <cellStyle name="Normal 326 2 4 3" xfId="26513" xr:uid="{00000000-0005-0000-0000-000094660000}"/>
    <cellStyle name="Normal 326 2 5" xfId="26514" xr:uid="{00000000-0005-0000-0000-000095660000}"/>
    <cellStyle name="Normal 326 3" xfId="26515" xr:uid="{00000000-0005-0000-0000-000096660000}"/>
    <cellStyle name="Normal 326 3 2" xfId="26516" xr:uid="{00000000-0005-0000-0000-000097660000}"/>
    <cellStyle name="Normal 326 3 2 2" xfId="26517" xr:uid="{00000000-0005-0000-0000-000098660000}"/>
    <cellStyle name="Normal 326 3 2 2 2" xfId="26518" xr:uid="{00000000-0005-0000-0000-000099660000}"/>
    <cellStyle name="Normal 326 3 2 3" xfId="26519" xr:uid="{00000000-0005-0000-0000-00009A660000}"/>
    <cellStyle name="Normal 326 3 2 3 2" xfId="26520" xr:uid="{00000000-0005-0000-0000-00009B660000}"/>
    <cellStyle name="Normal 326 3 2 3 2 2" xfId="26521" xr:uid="{00000000-0005-0000-0000-00009C660000}"/>
    <cellStyle name="Normal 326 3 2 3 3" xfId="26522" xr:uid="{00000000-0005-0000-0000-00009D660000}"/>
    <cellStyle name="Normal 326 3 2 4" xfId="26523" xr:uid="{00000000-0005-0000-0000-00009E660000}"/>
    <cellStyle name="Normal 326 3 3" xfId="26524" xr:uid="{00000000-0005-0000-0000-00009F660000}"/>
    <cellStyle name="Normal 326 3 3 2" xfId="26525" xr:uid="{00000000-0005-0000-0000-0000A0660000}"/>
    <cellStyle name="Normal 326 3 3 2 2" xfId="26526" xr:uid="{00000000-0005-0000-0000-0000A1660000}"/>
    <cellStyle name="Normal 326 3 3 3" xfId="26527" xr:uid="{00000000-0005-0000-0000-0000A2660000}"/>
    <cellStyle name="Normal 326 3 4" xfId="26528" xr:uid="{00000000-0005-0000-0000-0000A3660000}"/>
    <cellStyle name="Normal 326 3 4 2" xfId="26529" xr:uid="{00000000-0005-0000-0000-0000A4660000}"/>
    <cellStyle name="Normal 326 3 4 2 2" xfId="26530" xr:uid="{00000000-0005-0000-0000-0000A5660000}"/>
    <cellStyle name="Normal 326 3 4 3" xfId="26531" xr:uid="{00000000-0005-0000-0000-0000A6660000}"/>
    <cellStyle name="Normal 326 3 5" xfId="26532" xr:uid="{00000000-0005-0000-0000-0000A7660000}"/>
    <cellStyle name="Normal 326 3 5 2" xfId="26533" xr:uid="{00000000-0005-0000-0000-0000A8660000}"/>
    <cellStyle name="Normal 326 3 5 2 2" xfId="26534" xr:uid="{00000000-0005-0000-0000-0000A9660000}"/>
    <cellStyle name="Normal 326 3 5 3" xfId="26535" xr:uid="{00000000-0005-0000-0000-0000AA660000}"/>
    <cellStyle name="Normal 326 3 6" xfId="26536" xr:uid="{00000000-0005-0000-0000-0000AB660000}"/>
    <cellStyle name="Normal 326 4" xfId="26537" xr:uid="{00000000-0005-0000-0000-0000AC660000}"/>
    <cellStyle name="Normal 326 4 2" xfId="26538" xr:uid="{00000000-0005-0000-0000-0000AD660000}"/>
    <cellStyle name="Normal 326 4 2 2" xfId="26539" xr:uid="{00000000-0005-0000-0000-0000AE660000}"/>
    <cellStyle name="Normal 326 4 3" xfId="26540" xr:uid="{00000000-0005-0000-0000-0000AF660000}"/>
    <cellStyle name="Normal 326 5" xfId="26541" xr:uid="{00000000-0005-0000-0000-0000B0660000}"/>
    <cellStyle name="Normal 326 5 2" xfId="26542" xr:uid="{00000000-0005-0000-0000-0000B1660000}"/>
    <cellStyle name="Normal 326 5 2 2" xfId="26543" xr:uid="{00000000-0005-0000-0000-0000B2660000}"/>
    <cellStyle name="Normal 326 5 3" xfId="26544" xr:uid="{00000000-0005-0000-0000-0000B3660000}"/>
    <cellStyle name="Normal 326 6" xfId="26545" xr:uid="{00000000-0005-0000-0000-0000B4660000}"/>
    <cellStyle name="Normal 326 6 2" xfId="26546" xr:uid="{00000000-0005-0000-0000-0000B5660000}"/>
    <cellStyle name="Normal 326 6 2 2" xfId="26547" xr:uid="{00000000-0005-0000-0000-0000B6660000}"/>
    <cellStyle name="Normal 326 6 3" xfId="26548" xr:uid="{00000000-0005-0000-0000-0000B7660000}"/>
    <cellStyle name="Normal 326 7" xfId="26549" xr:uid="{00000000-0005-0000-0000-0000B8660000}"/>
    <cellStyle name="Normal 327" xfId="26550" xr:uid="{00000000-0005-0000-0000-0000B9660000}"/>
    <cellStyle name="Normal 327 2" xfId="26551" xr:uid="{00000000-0005-0000-0000-0000BA660000}"/>
    <cellStyle name="Normal 327 2 2" xfId="26552" xr:uid="{00000000-0005-0000-0000-0000BB660000}"/>
    <cellStyle name="Normal 327 2 2 2" xfId="26553" xr:uid="{00000000-0005-0000-0000-0000BC660000}"/>
    <cellStyle name="Normal 327 2 3" xfId="26554" xr:uid="{00000000-0005-0000-0000-0000BD660000}"/>
    <cellStyle name="Normal 327 2 3 2" xfId="26555" xr:uid="{00000000-0005-0000-0000-0000BE660000}"/>
    <cellStyle name="Normal 327 2 3 2 2" xfId="26556" xr:uid="{00000000-0005-0000-0000-0000BF660000}"/>
    <cellStyle name="Normal 327 2 3 3" xfId="26557" xr:uid="{00000000-0005-0000-0000-0000C0660000}"/>
    <cellStyle name="Normal 327 2 4" xfId="26558" xr:uid="{00000000-0005-0000-0000-0000C1660000}"/>
    <cellStyle name="Normal 327 2 4 2" xfId="26559" xr:uid="{00000000-0005-0000-0000-0000C2660000}"/>
    <cellStyle name="Normal 327 2 4 2 2" xfId="26560" xr:uid="{00000000-0005-0000-0000-0000C3660000}"/>
    <cellStyle name="Normal 327 2 4 3" xfId="26561" xr:uid="{00000000-0005-0000-0000-0000C4660000}"/>
    <cellStyle name="Normal 327 2 5" xfId="26562" xr:uid="{00000000-0005-0000-0000-0000C5660000}"/>
    <cellStyle name="Normal 327 3" xfId="26563" xr:uid="{00000000-0005-0000-0000-0000C6660000}"/>
    <cellStyle name="Normal 327 3 2" xfId="26564" xr:uid="{00000000-0005-0000-0000-0000C7660000}"/>
    <cellStyle name="Normal 327 3 2 2" xfId="26565" xr:uid="{00000000-0005-0000-0000-0000C8660000}"/>
    <cellStyle name="Normal 327 3 2 2 2" xfId="26566" xr:uid="{00000000-0005-0000-0000-0000C9660000}"/>
    <cellStyle name="Normal 327 3 2 3" xfId="26567" xr:uid="{00000000-0005-0000-0000-0000CA660000}"/>
    <cellStyle name="Normal 327 3 2 3 2" xfId="26568" xr:uid="{00000000-0005-0000-0000-0000CB660000}"/>
    <cellStyle name="Normal 327 3 2 3 2 2" xfId="26569" xr:uid="{00000000-0005-0000-0000-0000CC660000}"/>
    <cellStyle name="Normal 327 3 2 3 3" xfId="26570" xr:uid="{00000000-0005-0000-0000-0000CD660000}"/>
    <cellStyle name="Normal 327 3 2 4" xfId="26571" xr:uid="{00000000-0005-0000-0000-0000CE660000}"/>
    <cellStyle name="Normal 327 3 3" xfId="26572" xr:uid="{00000000-0005-0000-0000-0000CF660000}"/>
    <cellStyle name="Normal 327 3 3 2" xfId="26573" xr:uid="{00000000-0005-0000-0000-0000D0660000}"/>
    <cellStyle name="Normal 327 3 3 2 2" xfId="26574" xr:uid="{00000000-0005-0000-0000-0000D1660000}"/>
    <cellStyle name="Normal 327 3 3 3" xfId="26575" xr:uid="{00000000-0005-0000-0000-0000D2660000}"/>
    <cellStyle name="Normal 327 3 4" xfId="26576" xr:uid="{00000000-0005-0000-0000-0000D3660000}"/>
    <cellStyle name="Normal 327 3 4 2" xfId="26577" xr:uid="{00000000-0005-0000-0000-0000D4660000}"/>
    <cellStyle name="Normal 327 3 4 2 2" xfId="26578" xr:uid="{00000000-0005-0000-0000-0000D5660000}"/>
    <cellStyle name="Normal 327 3 4 3" xfId="26579" xr:uid="{00000000-0005-0000-0000-0000D6660000}"/>
    <cellStyle name="Normal 327 3 5" xfId="26580" xr:uid="{00000000-0005-0000-0000-0000D7660000}"/>
    <cellStyle name="Normal 327 3 5 2" xfId="26581" xr:uid="{00000000-0005-0000-0000-0000D8660000}"/>
    <cellStyle name="Normal 327 3 5 2 2" xfId="26582" xr:uid="{00000000-0005-0000-0000-0000D9660000}"/>
    <cellStyle name="Normal 327 3 5 3" xfId="26583" xr:uid="{00000000-0005-0000-0000-0000DA660000}"/>
    <cellStyle name="Normal 327 3 6" xfId="26584" xr:uid="{00000000-0005-0000-0000-0000DB660000}"/>
    <cellStyle name="Normal 327 4" xfId="26585" xr:uid="{00000000-0005-0000-0000-0000DC660000}"/>
    <cellStyle name="Normal 327 4 2" xfId="26586" xr:uid="{00000000-0005-0000-0000-0000DD660000}"/>
    <cellStyle name="Normal 327 4 2 2" xfId="26587" xr:uid="{00000000-0005-0000-0000-0000DE660000}"/>
    <cellStyle name="Normal 327 4 3" xfId="26588" xr:uid="{00000000-0005-0000-0000-0000DF660000}"/>
    <cellStyle name="Normal 327 5" xfId="26589" xr:uid="{00000000-0005-0000-0000-0000E0660000}"/>
    <cellStyle name="Normal 327 5 2" xfId="26590" xr:uid="{00000000-0005-0000-0000-0000E1660000}"/>
    <cellStyle name="Normal 327 5 2 2" xfId="26591" xr:uid="{00000000-0005-0000-0000-0000E2660000}"/>
    <cellStyle name="Normal 327 5 3" xfId="26592" xr:uid="{00000000-0005-0000-0000-0000E3660000}"/>
    <cellStyle name="Normal 327 6" xfId="26593" xr:uid="{00000000-0005-0000-0000-0000E4660000}"/>
    <cellStyle name="Normal 327 6 2" xfId="26594" xr:uid="{00000000-0005-0000-0000-0000E5660000}"/>
    <cellStyle name="Normal 327 6 2 2" xfId="26595" xr:uid="{00000000-0005-0000-0000-0000E6660000}"/>
    <cellStyle name="Normal 327 6 3" xfId="26596" xr:uid="{00000000-0005-0000-0000-0000E7660000}"/>
    <cellStyle name="Normal 327 7" xfId="26597" xr:uid="{00000000-0005-0000-0000-0000E8660000}"/>
    <cellStyle name="Normal 328" xfId="26598" xr:uid="{00000000-0005-0000-0000-0000E9660000}"/>
    <cellStyle name="Normal 328 2" xfId="26599" xr:uid="{00000000-0005-0000-0000-0000EA660000}"/>
    <cellStyle name="Normal 328 2 2" xfId="26600" xr:uid="{00000000-0005-0000-0000-0000EB660000}"/>
    <cellStyle name="Normal 328 2 2 2" xfId="26601" xr:uid="{00000000-0005-0000-0000-0000EC660000}"/>
    <cellStyle name="Normal 328 2 3" xfId="26602" xr:uid="{00000000-0005-0000-0000-0000ED660000}"/>
    <cellStyle name="Normal 328 2 3 2" xfId="26603" xr:uid="{00000000-0005-0000-0000-0000EE660000}"/>
    <cellStyle name="Normal 328 2 3 2 2" xfId="26604" xr:uid="{00000000-0005-0000-0000-0000EF660000}"/>
    <cellStyle name="Normal 328 2 3 3" xfId="26605" xr:uid="{00000000-0005-0000-0000-0000F0660000}"/>
    <cellStyle name="Normal 328 2 4" xfId="26606" xr:uid="{00000000-0005-0000-0000-0000F1660000}"/>
    <cellStyle name="Normal 328 2 4 2" xfId="26607" xr:uid="{00000000-0005-0000-0000-0000F2660000}"/>
    <cellStyle name="Normal 328 2 4 2 2" xfId="26608" xr:uid="{00000000-0005-0000-0000-0000F3660000}"/>
    <cellStyle name="Normal 328 2 4 3" xfId="26609" xr:uid="{00000000-0005-0000-0000-0000F4660000}"/>
    <cellStyle name="Normal 328 2 5" xfId="26610" xr:uid="{00000000-0005-0000-0000-0000F5660000}"/>
    <cellStyle name="Normal 328 3" xfId="26611" xr:uid="{00000000-0005-0000-0000-0000F6660000}"/>
    <cellStyle name="Normal 328 3 2" xfId="26612" xr:uid="{00000000-0005-0000-0000-0000F7660000}"/>
    <cellStyle name="Normal 328 3 2 2" xfId="26613" xr:uid="{00000000-0005-0000-0000-0000F8660000}"/>
    <cellStyle name="Normal 328 3 2 2 2" xfId="26614" xr:uid="{00000000-0005-0000-0000-0000F9660000}"/>
    <cellStyle name="Normal 328 3 2 3" xfId="26615" xr:uid="{00000000-0005-0000-0000-0000FA660000}"/>
    <cellStyle name="Normal 328 3 2 3 2" xfId="26616" xr:uid="{00000000-0005-0000-0000-0000FB660000}"/>
    <cellStyle name="Normal 328 3 2 3 2 2" xfId="26617" xr:uid="{00000000-0005-0000-0000-0000FC660000}"/>
    <cellStyle name="Normal 328 3 2 3 3" xfId="26618" xr:uid="{00000000-0005-0000-0000-0000FD660000}"/>
    <cellStyle name="Normal 328 3 2 4" xfId="26619" xr:uid="{00000000-0005-0000-0000-0000FE660000}"/>
    <cellStyle name="Normal 328 3 3" xfId="26620" xr:uid="{00000000-0005-0000-0000-0000FF660000}"/>
    <cellStyle name="Normal 328 3 3 2" xfId="26621" xr:uid="{00000000-0005-0000-0000-000000670000}"/>
    <cellStyle name="Normal 328 3 3 2 2" xfId="26622" xr:uid="{00000000-0005-0000-0000-000001670000}"/>
    <cellStyle name="Normal 328 3 3 3" xfId="26623" xr:uid="{00000000-0005-0000-0000-000002670000}"/>
    <cellStyle name="Normal 328 3 4" xfId="26624" xr:uid="{00000000-0005-0000-0000-000003670000}"/>
    <cellStyle name="Normal 328 3 4 2" xfId="26625" xr:uid="{00000000-0005-0000-0000-000004670000}"/>
    <cellStyle name="Normal 328 3 4 2 2" xfId="26626" xr:uid="{00000000-0005-0000-0000-000005670000}"/>
    <cellStyle name="Normal 328 3 4 3" xfId="26627" xr:uid="{00000000-0005-0000-0000-000006670000}"/>
    <cellStyle name="Normal 328 3 5" xfId="26628" xr:uid="{00000000-0005-0000-0000-000007670000}"/>
    <cellStyle name="Normal 328 3 5 2" xfId="26629" xr:uid="{00000000-0005-0000-0000-000008670000}"/>
    <cellStyle name="Normal 328 3 5 2 2" xfId="26630" xr:uid="{00000000-0005-0000-0000-000009670000}"/>
    <cellStyle name="Normal 328 3 5 3" xfId="26631" xr:uid="{00000000-0005-0000-0000-00000A670000}"/>
    <cellStyle name="Normal 328 3 6" xfId="26632" xr:uid="{00000000-0005-0000-0000-00000B670000}"/>
    <cellStyle name="Normal 328 4" xfId="26633" xr:uid="{00000000-0005-0000-0000-00000C670000}"/>
    <cellStyle name="Normal 328 4 2" xfId="26634" xr:uid="{00000000-0005-0000-0000-00000D670000}"/>
    <cellStyle name="Normal 328 4 2 2" xfId="26635" xr:uid="{00000000-0005-0000-0000-00000E670000}"/>
    <cellStyle name="Normal 328 4 3" xfId="26636" xr:uid="{00000000-0005-0000-0000-00000F670000}"/>
    <cellStyle name="Normal 328 5" xfId="26637" xr:uid="{00000000-0005-0000-0000-000010670000}"/>
    <cellStyle name="Normal 328 5 2" xfId="26638" xr:uid="{00000000-0005-0000-0000-000011670000}"/>
    <cellStyle name="Normal 328 5 2 2" xfId="26639" xr:uid="{00000000-0005-0000-0000-000012670000}"/>
    <cellStyle name="Normal 328 5 3" xfId="26640" xr:uid="{00000000-0005-0000-0000-000013670000}"/>
    <cellStyle name="Normal 328 6" xfId="26641" xr:uid="{00000000-0005-0000-0000-000014670000}"/>
    <cellStyle name="Normal 328 6 2" xfId="26642" xr:uid="{00000000-0005-0000-0000-000015670000}"/>
    <cellStyle name="Normal 328 6 2 2" xfId="26643" xr:uid="{00000000-0005-0000-0000-000016670000}"/>
    <cellStyle name="Normal 328 6 3" xfId="26644" xr:uid="{00000000-0005-0000-0000-000017670000}"/>
    <cellStyle name="Normal 328 7" xfId="26645" xr:uid="{00000000-0005-0000-0000-000018670000}"/>
    <cellStyle name="Normal 329" xfId="26646" xr:uid="{00000000-0005-0000-0000-000019670000}"/>
    <cellStyle name="Normal 329 2" xfId="26647" xr:uid="{00000000-0005-0000-0000-00001A670000}"/>
    <cellStyle name="Normal 329 2 2" xfId="26648" xr:uid="{00000000-0005-0000-0000-00001B670000}"/>
    <cellStyle name="Normal 329 2 2 2" xfId="26649" xr:uid="{00000000-0005-0000-0000-00001C670000}"/>
    <cellStyle name="Normal 329 2 3" xfId="26650" xr:uid="{00000000-0005-0000-0000-00001D670000}"/>
    <cellStyle name="Normal 329 2 3 2" xfId="26651" xr:uid="{00000000-0005-0000-0000-00001E670000}"/>
    <cellStyle name="Normal 329 2 3 2 2" xfId="26652" xr:uid="{00000000-0005-0000-0000-00001F670000}"/>
    <cellStyle name="Normal 329 2 3 3" xfId="26653" xr:uid="{00000000-0005-0000-0000-000020670000}"/>
    <cellStyle name="Normal 329 2 4" xfId="26654" xr:uid="{00000000-0005-0000-0000-000021670000}"/>
    <cellStyle name="Normal 329 2 4 2" xfId="26655" xr:uid="{00000000-0005-0000-0000-000022670000}"/>
    <cellStyle name="Normal 329 2 4 2 2" xfId="26656" xr:uid="{00000000-0005-0000-0000-000023670000}"/>
    <cellStyle name="Normal 329 2 4 3" xfId="26657" xr:uid="{00000000-0005-0000-0000-000024670000}"/>
    <cellStyle name="Normal 329 2 5" xfId="26658" xr:uid="{00000000-0005-0000-0000-000025670000}"/>
    <cellStyle name="Normal 329 3" xfId="26659" xr:uid="{00000000-0005-0000-0000-000026670000}"/>
    <cellStyle name="Normal 329 3 2" xfId="26660" xr:uid="{00000000-0005-0000-0000-000027670000}"/>
    <cellStyle name="Normal 329 3 2 2" xfId="26661" xr:uid="{00000000-0005-0000-0000-000028670000}"/>
    <cellStyle name="Normal 329 3 2 2 2" xfId="26662" xr:uid="{00000000-0005-0000-0000-000029670000}"/>
    <cellStyle name="Normal 329 3 2 3" xfId="26663" xr:uid="{00000000-0005-0000-0000-00002A670000}"/>
    <cellStyle name="Normal 329 3 2 3 2" xfId="26664" xr:uid="{00000000-0005-0000-0000-00002B670000}"/>
    <cellStyle name="Normal 329 3 2 3 2 2" xfId="26665" xr:uid="{00000000-0005-0000-0000-00002C670000}"/>
    <cellStyle name="Normal 329 3 2 3 3" xfId="26666" xr:uid="{00000000-0005-0000-0000-00002D670000}"/>
    <cellStyle name="Normal 329 3 2 4" xfId="26667" xr:uid="{00000000-0005-0000-0000-00002E670000}"/>
    <cellStyle name="Normal 329 3 3" xfId="26668" xr:uid="{00000000-0005-0000-0000-00002F670000}"/>
    <cellStyle name="Normal 329 3 3 2" xfId="26669" xr:uid="{00000000-0005-0000-0000-000030670000}"/>
    <cellStyle name="Normal 329 3 3 2 2" xfId="26670" xr:uid="{00000000-0005-0000-0000-000031670000}"/>
    <cellStyle name="Normal 329 3 3 3" xfId="26671" xr:uid="{00000000-0005-0000-0000-000032670000}"/>
    <cellStyle name="Normal 329 3 4" xfId="26672" xr:uid="{00000000-0005-0000-0000-000033670000}"/>
    <cellStyle name="Normal 329 3 4 2" xfId="26673" xr:uid="{00000000-0005-0000-0000-000034670000}"/>
    <cellStyle name="Normal 329 3 4 2 2" xfId="26674" xr:uid="{00000000-0005-0000-0000-000035670000}"/>
    <cellStyle name="Normal 329 3 4 3" xfId="26675" xr:uid="{00000000-0005-0000-0000-000036670000}"/>
    <cellStyle name="Normal 329 3 5" xfId="26676" xr:uid="{00000000-0005-0000-0000-000037670000}"/>
    <cellStyle name="Normal 329 3 5 2" xfId="26677" xr:uid="{00000000-0005-0000-0000-000038670000}"/>
    <cellStyle name="Normal 329 3 5 2 2" xfId="26678" xr:uid="{00000000-0005-0000-0000-000039670000}"/>
    <cellStyle name="Normal 329 3 5 3" xfId="26679" xr:uid="{00000000-0005-0000-0000-00003A670000}"/>
    <cellStyle name="Normal 329 3 6" xfId="26680" xr:uid="{00000000-0005-0000-0000-00003B670000}"/>
    <cellStyle name="Normal 329 4" xfId="26681" xr:uid="{00000000-0005-0000-0000-00003C670000}"/>
    <cellStyle name="Normal 329 4 2" xfId="26682" xr:uid="{00000000-0005-0000-0000-00003D670000}"/>
    <cellStyle name="Normal 329 4 2 2" xfId="26683" xr:uid="{00000000-0005-0000-0000-00003E670000}"/>
    <cellStyle name="Normal 329 4 3" xfId="26684" xr:uid="{00000000-0005-0000-0000-00003F670000}"/>
    <cellStyle name="Normal 329 5" xfId="26685" xr:uid="{00000000-0005-0000-0000-000040670000}"/>
    <cellStyle name="Normal 329 5 2" xfId="26686" xr:uid="{00000000-0005-0000-0000-000041670000}"/>
    <cellStyle name="Normal 329 5 2 2" xfId="26687" xr:uid="{00000000-0005-0000-0000-000042670000}"/>
    <cellStyle name="Normal 329 5 3" xfId="26688" xr:uid="{00000000-0005-0000-0000-000043670000}"/>
    <cellStyle name="Normal 329 6" xfId="26689" xr:uid="{00000000-0005-0000-0000-000044670000}"/>
    <cellStyle name="Normal 329 6 2" xfId="26690" xr:uid="{00000000-0005-0000-0000-000045670000}"/>
    <cellStyle name="Normal 329 6 2 2" xfId="26691" xr:uid="{00000000-0005-0000-0000-000046670000}"/>
    <cellStyle name="Normal 329 6 3" xfId="26692" xr:uid="{00000000-0005-0000-0000-000047670000}"/>
    <cellStyle name="Normal 329 7" xfId="26693" xr:uid="{00000000-0005-0000-0000-000048670000}"/>
    <cellStyle name="Normal 33" xfId="26694" xr:uid="{00000000-0005-0000-0000-000049670000}"/>
    <cellStyle name="Normal 33 2" xfId="26695" xr:uid="{00000000-0005-0000-0000-00004A670000}"/>
    <cellStyle name="Normal 33 2 2" xfId="26696" xr:uid="{00000000-0005-0000-0000-00004B670000}"/>
    <cellStyle name="Normal 33 2 2 2" xfId="26697" xr:uid="{00000000-0005-0000-0000-00004C670000}"/>
    <cellStyle name="Normal 33 2 2 2 2" xfId="26698" xr:uid="{00000000-0005-0000-0000-00004D670000}"/>
    <cellStyle name="Normal 33 2 2 3" xfId="26699" xr:uid="{00000000-0005-0000-0000-00004E670000}"/>
    <cellStyle name="Normal 33 2 2 3 2" xfId="26700" xr:uid="{00000000-0005-0000-0000-00004F670000}"/>
    <cellStyle name="Normal 33 2 2 3 2 2" xfId="26701" xr:uid="{00000000-0005-0000-0000-000050670000}"/>
    <cellStyle name="Normal 33 2 2 3 3" xfId="26702" xr:uid="{00000000-0005-0000-0000-000051670000}"/>
    <cellStyle name="Normal 33 2 2 4" xfId="26703" xr:uid="{00000000-0005-0000-0000-000052670000}"/>
    <cellStyle name="Normal 33 2 2 4 2" xfId="26704" xr:uid="{00000000-0005-0000-0000-000053670000}"/>
    <cellStyle name="Normal 33 2 2 4 2 2" xfId="26705" xr:uid="{00000000-0005-0000-0000-000054670000}"/>
    <cellStyle name="Normal 33 2 2 4 3" xfId="26706" xr:uid="{00000000-0005-0000-0000-000055670000}"/>
    <cellStyle name="Normal 33 2 2 5" xfId="26707" xr:uid="{00000000-0005-0000-0000-000056670000}"/>
    <cellStyle name="Normal 33 2 3" xfId="26708" xr:uid="{00000000-0005-0000-0000-000057670000}"/>
    <cellStyle name="Normal 33 2 3 2" xfId="26709" xr:uid="{00000000-0005-0000-0000-000058670000}"/>
    <cellStyle name="Normal 33 2 3 2 2" xfId="26710" xr:uid="{00000000-0005-0000-0000-000059670000}"/>
    <cellStyle name="Normal 33 2 3 2 2 2" xfId="26711" xr:uid="{00000000-0005-0000-0000-00005A670000}"/>
    <cellStyle name="Normal 33 2 3 2 3" xfId="26712" xr:uid="{00000000-0005-0000-0000-00005B670000}"/>
    <cellStyle name="Normal 33 2 3 2 3 2" xfId="26713" xr:uid="{00000000-0005-0000-0000-00005C670000}"/>
    <cellStyle name="Normal 33 2 3 2 3 2 2" xfId="26714" xr:uid="{00000000-0005-0000-0000-00005D670000}"/>
    <cellStyle name="Normal 33 2 3 2 3 3" xfId="26715" xr:uid="{00000000-0005-0000-0000-00005E670000}"/>
    <cellStyle name="Normal 33 2 3 2 4" xfId="26716" xr:uid="{00000000-0005-0000-0000-00005F670000}"/>
    <cellStyle name="Normal 33 2 3 3" xfId="26717" xr:uid="{00000000-0005-0000-0000-000060670000}"/>
    <cellStyle name="Normal 33 2 3 3 2" xfId="26718" xr:uid="{00000000-0005-0000-0000-000061670000}"/>
    <cellStyle name="Normal 33 2 3 3 2 2" xfId="26719" xr:uid="{00000000-0005-0000-0000-000062670000}"/>
    <cellStyle name="Normal 33 2 3 3 3" xfId="26720" xr:uid="{00000000-0005-0000-0000-000063670000}"/>
    <cellStyle name="Normal 33 2 3 4" xfId="26721" xr:uid="{00000000-0005-0000-0000-000064670000}"/>
    <cellStyle name="Normal 33 2 3 4 2" xfId="26722" xr:uid="{00000000-0005-0000-0000-000065670000}"/>
    <cellStyle name="Normal 33 2 3 4 2 2" xfId="26723" xr:uid="{00000000-0005-0000-0000-000066670000}"/>
    <cellStyle name="Normal 33 2 3 4 3" xfId="26724" xr:uid="{00000000-0005-0000-0000-000067670000}"/>
    <cellStyle name="Normal 33 2 3 5" xfId="26725" xr:uid="{00000000-0005-0000-0000-000068670000}"/>
    <cellStyle name="Normal 33 2 3 5 2" xfId="26726" xr:uid="{00000000-0005-0000-0000-000069670000}"/>
    <cellStyle name="Normal 33 2 3 5 2 2" xfId="26727" xr:uid="{00000000-0005-0000-0000-00006A670000}"/>
    <cellStyle name="Normal 33 2 3 5 3" xfId="26728" xr:uid="{00000000-0005-0000-0000-00006B670000}"/>
    <cellStyle name="Normal 33 2 3 6" xfId="26729" xr:uid="{00000000-0005-0000-0000-00006C670000}"/>
    <cellStyle name="Normal 33 2 4" xfId="26730" xr:uid="{00000000-0005-0000-0000-00006D670000}"/>
    <cellStyle name="Normal 33 3" xfId="26731" xr:uid="{00000000-0005-0000-0000-00006E670000}"/>
    <cellStyle name="Normal 33 3 2" xfId="26732" xr:uid="{00000000-0005-0000-0000-00006F670000}"/>
    <cellStyle name="Normal 33 3 2 2" xfId="26733" xr:uid="{00000000-0005-0000-0000-000070670000}"/>
    <cellStyle name="Normal 33 3 2 2 2" xfId="26734" xr:uid="{00000000-0005-0000-0000-000071670000}"/>
    <cellStyle name="Normal 33 3 2 3" xfId="26735" xr:uid="{00000000-0005-0000-0000-000072670000}"/>
    <cellStyle name="Normal 33 3 2 3 2" xfId="26736" xr:uid="{00000000-0005-0000-0000-000073670000}"/>
    <cellStyle name="Normal 33 3 2 3 2 2" xfId="26737" xr:uid="{00000000-0005-0000-0000-000074670000}"/>
    <cellStyle name="Normal 33 3 2 3 3" xfId="26738" xr:uid="{00000000-0005-0000-0000-000075670000}"/>
    <cellStyle name="Normal 33 3 2 4" xfId="26739" xr:uid="{00000000-0005-0000-0000-000076670000}"/>
    <cellStyle name="Normal 33 3 2 4 2" xfId="26740" xr:uid="{00000000-0005-0000-0000-000077670000}"/>
    <cellStyle name="Normal 33 3 2 4 2 2" xfId="26741" xr:uid="{00000000-0005-0000-0000-000078670000}"/>
    <cellStyle name="Normal 33 3 2 4 3" xfId="26742" xr:uid="{00000000-0005-0000-0000-000079670000}"/>
    <cellStyle name="Normal 33 3 2 5" xfId="26743" xr:uid="{00000000-0005-0000-0000-00007A670000}"/>
    <cellStyle name="Normal 33 3 3" xfId="26744" xr:uid="{00000000-0005-0000-0000-00007B670000}"/>
    <cellStyle name="Normal 33 3 3 2" xfId="26745" xr:uid="{00000000-0005-0000-0000-00007C670000}"/>
    <cellStyle name="Normal 33 3 3 2 2" xfId="26746" xr:uid="{00000000-0005-0000-0000-00007D670000}"/>
    <cellStyle name="Normal 33 3 3 3" xfId="26747" xr:uid="{00000000-0005-0000-0000-00007E670000}"/>
    <cellStyle name="Normal 33 3 4" xfId="26748" xr:uid="{00000000-0005-0000-0000-00007F670000}"/>
    <cellStyle name="Normal 33 3 4 2" xfId="26749" xr:uid="{00000000-0005-0000-0000-000080670000}"/>
    <cellStyle name="Normal 33 3 4 2 2" xfId="26750" xr:uid="{00000000-0005-0000-0000-000081670000}"/>
    <cellStyle name="Normal 33 3 4 3" xfId="26751" xr:uid="{00000000-0005-0000-0000-000082670000}"/>
    <cellStyle name="Normal 33 3 5" xfId="26752" xr:uid="{00000000-0005-0000-0000-000083670000}"/>
    <cellStyle name="Normal 33 3 5 2" xfId="26753" xr:uid="{00000000-0005-0000-0000-000084670000}"/>
    <cellStyle name="Normal 33 3 5 2 2" xfId="26754" xr:uid="{00000000-0005-0000-0000-000085670000}"/>
    <cellStyle name="Normal 33 3 5 3" xfId="26755" xr:uid="{00000000-0005-0000-0000-000086670000}"/>
    <cellStyle name="Normal 33 3 6" xfId="26756" xr:uid="{00000000-0005-0000-0000-000087670000}"/>
    <cellStyle name="Normal 33 4" xfId="26757" xr:uid="{00000000-0005-0000-0000-000088670000}"/>
    <cellStyle name="Normal 33 4 2" xfId="26758" xr:uid="{00000000-0005-0000-0000-000089670000}"/>
    <cellStyle name="Normal 33 4 2 2" xfId="26759" xr:uid="{00000000-0005-0000-0000-00008A670000}"/>
    <cellStyle name="Normal 33 4 3" xfId="26760" xr:uid="{00000000-0005-0000-0000-00008B670000}"/>
    <cellStyle name="Normal 33 4 3 2" xfId="26761" xr:uid="{00000000-0005-0000-0000-00008C670000}"/>
    <cellStyle name="Normal 33 4 3 2 2" xfId="26762" xr:uid="{00000000-0005-0000-0000-00008D670000}"/>
    <cellStyle name="Normal 33 4 3 3" xfId="26763" xr:uid="{00000000-0005-0000-0000-00008E670000}"/>
    <cellStyle name="Normal 33 4 4" xfId="26764" xr:uid="{00000000-0005-0000-0000-00008F670000}"/>
    <cellStyle name="Normal 33 4 4 2" xfId="26765" xr:uid="{00000000-0005-0000-0000-000090670000}"/>
    <cellStyle name="Normal 33 4 4 2 2" xfId="26766" xr:uid="{00000000-0005-0000-0000-000091670000}"/>
    <cellStyle name="Normal 33 4 4 3" xfId="26767" xr:uid="{00000000-0005-0000-0000-000092670000}"/>
    <cellStyle name="Normal 33 4 5" xfId="26768" xr:uid="{00000000-0005-0000-0000-000093670000}"/>
    <cellStyle name="Normal 33 5" xfId="26769" xr:uid="{00000000-0005-0000-0000-000094670000}"/>
    <cellStyle name="Normal 33 5 2" xfId="26770" xr:uid="{00000000-0005-0000-0000-000095670000}"/>
    <cellStyle name="Normal 33 5 2 2" xfId="26771" xr:uid="{00000000-0005-0000-0000-000096670000}"/>
    <cellStyle name="Normal 33 5 3" xfId="26772" xr:uid="{00000000-0005-0000-0000-000097670000}"/>
    <cellStyle name="Normal 33 6" xfId="26773" xr:uid="{00000000-0005-0000-0000-000098670000}"/>
    <cellStyle name="Normal 330" xfId="26774" xr:uid="{00000000-0005-0000-0000-000099670000}"/>
    <cellStyle name="Normal 330 2" xfId="26775" xr:uid="{00000000-0005-0000-0000-00009A670000}"/>
    <cellStyle name="Normal 330 2 2" xfId="26776" xr:uid="{00000000-0005-0000-0000-00009B670000}"/>
    <cellStyle name="Normal 330 2 2 2" xfId="26777" xr:uid="{00000000-0005-0000-0000-00009C670000}"/>
    <cellStyle name="Normal 330 2 3" xfId="26778" xr:uid="{00000000-0005-0000-0000-00009D670000}"/>
    <cellStyle name="Normal 330 2 3 2" xfId="26779" xr:uid="{00000000-0005-0000-0000-00009E670000}"/>
    <cellStyle name="Normal 330 2 3 2 2" xfId="26780" xr:uid="{00000000-0005-0000-0000-00009F670000}"/>
    <cellStyle name="Normal 330 2 3 3" xfId="26781" xr:uid="{00000000-0005-0000-0000-0000A0670000}"/>
    <cellStyle name="Normal 330 2 4" xfId="26782" xr:uid="{00000000-0005-0000-0000-0000A1670000}"/>
    <cellStyle name="Normal 330 2 4 2" xfId="26783" xr:uid="{00000000-0005-0000-0000-0000A2670000}"/>
    <cellStyle name="Normal 330 2 4 2 2" xfId="26784" xr:uid="{00000000-0005-0000-0000-0000A3670000}"/>
    <cellStyle name="Normal 330 2 4 3" xfId="26785" xr:uid="{00000000-0005-0000-0000-0000A4670000}"/>
    <cellStyle name="Normal 330 2 5" xfId="26786" xr:uid="{00000000-0005-0000-0000-0000A5670000}"/>
    <cellStyle name="Normal 330 3" xfId="26787" xr:uid="{00000000-0005-0000-0000-0000A6670000}"/>
    <cellStyle name="Normal 330 3 2" xfId="26788" xr:uid="{00000000-0005-0000-0000-0000A7670000}"/>
    <cellStyle name="Normal 330 3 2 2" xfId="26789" xr:uid="{00000000-0005-0000-0000-0000A8670000}"/>
    <cellStyle name="Normal 330 3 2 2 2" xfId="26790" xr:uid="{00000000-0005-0000-0000-0000A9670000}"/>
    <cellStyle name="Normal 330 3 2 3" xfId="26791" xr:uid="{00000000-0005-0000-0000-0000AA670000}"/>
    <cellStyle name="Normal 330 3 2 3 2" xfId="26792" xr:uid="{00000000-0005-0000-0000-0000AB670000}"/>
    <cellStyle name="Normal 330 3 2 3 2 2" xfId="26793" xr:uid="{00000000-0005-0000-0000-0000AC670000}"/>
    <cellStyle name="Normal 330 3 2 3 3" xfId="26794" xr:uid="{00000000-0005-0000-0000-0000AD670000}"/>
    <cellStyle name="Normal 330 3 2 4" xfId="26795" xr:uid="{00000000-0005-0000-0000-0000AE670000}"/>
    <cellStyle name="Normal 330 3 3" xfId="26796" xr:uid="{00000000-0005-0000-0000-0000AF670000}"/>
    <cellStyle name="Normal 330 3 3 2" xfId="26797" xr:uid="{00000000-0005-0000-0000-0000B0670000}"/>
    <cellStyle name="Normal 330 3 3 2 2" xfId="26798" xr:uid="{00000000-0005-0000-0000-0000B1670000}"/>
    <cellStyle name="Normal 330 3 3 3" xfId="26799" xr:uid="{00000000-0005-0000-0000-0000B2670000}"/>
    <cellStyle name="Normal 330 3 4" xfId="26800" xr:uid="{00000000-0005-0000-0000-0000B3670000}"/>
    <cellStyle name="Normal 330 3 4 2" xfId="26801" xr:uid="{00000000-0005-0000-0000-0000B4670000}"/>
    <cellStyle name="Normal 330 3 4 2 2" xfId="26802" xr:uid="{00000000-0005-0000-0000-0000B5670000}"/>
    <cellStyle name="Normal 330 3 4 3" xfId="26803" xr:uid="{00000000-0005-0000-0000-0000B6670000}"/>
    <cellStyle name="Normal 330 3 5" xfId="26804" xr:uid="{00000000-0005-0000-0000-0000B7670000}"/>
    <cellStyle name="Normal 330 3 5 2" xfId="26805" xr:uid="{00000000-0005-0000-0000-0000B8670000}"/>
    <cellStyle name="Normal 330 3 5 2 2" xfId="26806" xr:uid="{00000000-0005-0000-0000-0000B9670000}"/>
    <cellStyle name="Normal 330 3 5 3" xfId="26807" xr:uid="{00000000-0005-0000-0000-0000BA670000}"/>
    <cellStyle name="Normal 330 3 6" xfId="26808" xr:uid="{00000000-0005-0000-0000-0000BB670000}"/>
    <cellStyle name="Normal 330 4" xfId="26809" xr:uid="{00000000-0005-0000-0000-0000BC670000}"/>
    <cellStyle name="Normal 330 4 2" xfId="26810" xr:uid="{00000000-0005-0000-0000-0000BD670000}"/>
    <cellStyle name="Normal 330 4 2 2" xfId="26811" xr:uid="{00000000-0005-0000-0000-0000BE670000}"/>
    <cellStyle name="Normal 330 4 3" xfId="26812" xr:uid="{00000000-0005-0000-0000-0000BF670000}"/>
    <cellStyle name="Normal 330 5" xfId="26813" xr:uid="{00000000-0005-0000-0000-0000C0670000}"/>
    <cellStyle name="Normal 330 5 2" xfId="26814" xr:uid="{00000000-0005-0000-0000-0000C1670000}"/>
    <cellStyle name="Normal 330 5 2 2" xfId="26815" xr:uid="{00000000-0005-0000-0000-0000C2670000}"/>
    <cellStyle name="Normal 330 5 3" xfId="26816" xr:uid="{00000000-0005-0000-0000-0000C3670000}"/>
    <cellStyle name="Normal 330 6" xfId="26817" xr:uid="{00000000-0005-0000-0000-0000C4670000}"/>
    <cellStyle name="Normal 330 6 2" xfId="26818" xr:uid="{00000000-0005-0000-0000-0000C5670000}"/>
    <cellStyle name="Normal 330 6 2 2" xfId="26819" xr:uid="{00000000-0005-0000-0000-0000C6670000}"/>
    <cellStyle name="Normal 330 6 3" xfId="26820" xr:uid="{00000000-0005-0000-0000-0000C7670000}"/>
    <cellStyle name="Normal 330 7" xfId="26821" xr:uid="{00000000-0005-0000-0000-0000C8670000}"/>
    <cellStyle name="Normal 331" xfId="26822" xr:uid="{00000000-0005-0000-0000-0000C9670000}"/>
    <cellStyle name="Normal 331 2" xfId="26823" xr:uid="{00000000-0005-0000-0000-0000CA670000}"/>
    <cellStyle name="Normal 331 2 2" xfId="26824" xr:uid="{00000000-0005-0000-0000-0000CB670000}"/>
    <cellStyle name="Normal 331 2 2 2" xfId="26825" xr:uid="{00000000-0005-0000-0000-0000CC670000}"/>
    <cellStyle name="Normal 331 2 3" xfId="26826" xr:uid="{00000000-0005-0000-0000-0000CD670000}"/>
    <cellStyle name="Normal 331 2 3 2" xfId="26827" xr:uid="{00000000-0005-0000-0000-0000CE670000}"/>
    <cellStyle name="Normal 331 2 3 2 2" xfId="26828" xr:uid="{00000000-0005-0000-0000-0000CF670000}"/>
    <cellStyle name="Normal 331 2 3 3" xfId="26829" xr:uid="{00000000-0005-0000-0000-0000D0670000}"/>
    <cellStyle name="Normal 331 2 4" xfId="26830" xr:uid="{00000000-0005-0000-0000-0000D1670000}"/>
    <cellStyle name="Normal 331 2 4 2" xfId="26831" xr:uid="{00000000-0005-0000-0000-0000D2670000}"/>
    <cellStyle name="Normal 331 2 4 2 2" xfId="26832" xr:uid="{00000000-0005-0000-0000-0000D3670000}"/>
    <cellStyle name="Normal 331 2 4 3" xfId="26833" xr:uid="{00000000-0005-0000-0000-0000D4670000}"/>
    <cellStyle name="Normal 331 2 5" xfId="26834" xr:uid="{00000000-0005-0000-0000-0000D5670000}"/>
    <cellStyle name="Normal 331 3" xfId="26835" xr:uid="{00000000-0005-0000-0000-0000D6670000}"/>
    <cellStyle name="Normal 331 3 2" xfId="26836" xr:uid="{00000000-0005-0000-0000-0000D7670000}"/>
    <cellStyle name="Normal 331 3 2 2" xfId="26837" xr:uid="{00000000-0005-0000-0000-0000D8670000}"/>
    <cellStyle name="Normal 331 3 2 2 2" xfId="26838" xr:uid="{00000000-0005-0000-0000-0000D9670000}"/>
    <cellStyle name="Normal 331 3 2 3" xfId="26839" xr:uid="{00000000-0005-0000-0000-0000DA670000}"/>
    <cellStyle name="Normal 331 3 2 3 2" xfId="26840" xr:uid="{00000000-0005-0000-0000-0000DB670000}"/>
    <cellStyle name="Normal 331 3 2 3 2 2" xfId="26841" xr:uid="{00000000-0005-0000-0000-0000DC670000}"/>
    <cellStyle name="Normal 331 3 2 3 3" xfId="26842" xr:uid="{00000000-0005-0000-0000-0000DD670000}"/>
    <cellStyle name="Normal 331 3 2 4" xfId="26843" xr:uid="{00000000-0005-0000-0000-0000DE670000}"/>
    <cellStyle name="Normal 331 3 3" xfId="26844" xr:uid="{00000000-0005-0000-0000-0000DF670000}"/>
    <cellStyle name="Normal 331 3 3 2" xfId="26845" xr:uid="{00000000-0005-0000-0000-0000E0670000}"/>
    <cellStyle name="Normal 331 3 3 2 2" xfId="26846" xr:uid="{00000000-0005-0000-0000-0000E1670000}"/>
    <cellStyle name="Normal 331 3 3 3" xfId="26847" xr:uid="{00000000-0005-0000-0000-0000E2670000}"/>
    <cellStyle name="Normal 331 3 4" xfId="26848" xr:uid="{00000000-0005-0000-0000-0000E3670000}"/>
    <cellStyle name="Normal 331 3 4 2" xfId="26849" xr:uid="{00000000-0005-0000-0000-0000E4670000}"/>
    <cellStyle name="Normal 331 3 4 2 2" xfId="26850" xr:uid="{00000000-0005-0000-0000-0000E5670000}"/>
    <cellStyle name="Normal 331 3 4 3" xfId="26851" xr:uid="{00000000-0005-0000-0000-0000E6670000}"/>
    <cellStyle name="Normal 331 3 5" xfId="26852" xr:uid="{00000000-0005-0000-0000-0000E7670000}"/>
    <cellStyle name="Normal 331 3 5 2" xfId="26853" xr:uid="{00000000-0005-0000-0000-0000E8670000}"/>
    <cellStyle name="Normal 331 3 5 2 2" xfId="26854" xr:uid="{00000000-0005-0000-0000-0000E9670000}"/>
    <cellStyle name="Normal 331 3 5 3" xfId="26855" xr:uid="{00000000-0005-0000-0000-0000EA670000}"/>
    <cellStyle name="Normal 331 3 6" xfId="26856" xr:uid="{00000000-0005-0000-0000-0000EB670000}"/>
    <cellStyle name="Normal 331 4" xfId="26857" xr:uid="{00000000-0005-0000-0000-0000EC670000}"/>
    <cellStyle name="Normal 331 4 2" xfId="26858" xr:uid="{00000000-0005-0000-0000-0000ED670000}"/>
    <cellStyle name="Normal 331 4 2 2" xfId="26859" xr:uid="{00000000-0005-0000-0000-0000EE670000}"/>
    <cellStyle name="Normal 331 4 3" xfId="26860" xr:uid="{00000000-0005-0000-0000-0000EF670000}"/>
    <cellStyle name="Normal 331 5" xfId="26861" xr:uid="{00000000-0005-0000-0000-0000F0670000}"/>
    <cellStyle name="Normal 331 5 2" xfId="26862" xr:uid="{00000000-0005-0000-0000-0000F1670000}"/>
    <cellStyle name="Normal 331 5 2 2" xfId="26863" xr:uid="{00000000-0005-0000-0000-0000F2670000}"/>
    <cellStyle name="Normal 331 5 3" xfId="26864" xr:uid="{00000000-0005-0000-0000-0000F3670000}"/>
    <cellStyle name="Normal 331 6" xfId="26865" xr:uid="{00000000-0005-0000-0000-0000F4670000}"/>
    <cellStyle name="Normal 331 6 2" xfId="26866" xr:uid="{00000000-0005-0000-0000-0000F5670000}"/>
    <cellStyle name="Normal 331 6 2 2" xfId="26867" xr:uid="{00000000-0005-0000-0000-0000F6670000}"/>
    <cellStyle name="Normal 331 6 3" xfId="26868" xr:uid="{00000000-0005-0000-0000-0000F7670000}"/>
    <cellStyle name="Normal 331 7" xfId="26869" xr:uid="{00000000-0005-0000-0000-0000F8670000}"/>
    <cellStyle name="Normal 332" xfId="26870" xr:uid="{00000000-0005-0000-0000-0000F9670000}"/>
    <cellStyle name="Normal 332 2" xfId="26871" xr:uid="{00000000-0005-0000-0000-0000FA670000}"/>
    <cellStyle name="Normal 332 2 2" xfId="26872" xr:uid="{00000000-0005-0000-0000-0000FB670000}"/>
    <cellStyle name="Normal 332 2 2 2" xfId="26873" xr:uid="{00000000-0005-0000-0000-0000FC670000}"/>
    <cellStyle name="Normal 332 2 3" xfId="26874" xr:uid="{00000000-0005-0000-0000-0000FD670000}"/>
    <cellStyle name="Normal 332 2 3 2" xfId="26875" xr:uid="{00000000-0005-0000-0000-0000FE670000}"/>
    <cellStyle name="Normal 332 2 3 2 2" xfId="26876" xr:uid="{00000000-0005-0000-0000-0000FF670000}"/>
    <cellStyle name="Normal 332 2 3 3" xfId="26877" xr:uid="{00000000-0005-0000-0000-000000680000}"/>
    <cellStyle name="Normal 332 2 4" xfId="26878" xr:uid="{00000000-0005-0000-0000-000001680000}"/>
    <cellStyle name="Normal 332 2 4 2" xfId="26879" xr:uid="{00000000-0005-0000-0000-000002680000}"/>
    <cellStyle name="Normal 332 2 4 2 2" xfId="26880" xr:uid="{00000000-0005-0000-0000-000003680000}"/>
    <cellStyle name="Normal 332 2 4 3" xfId="26881" xr:uid="{00000000-0005-0000-0000-000004680000}"/>
    <cellStyle name="Normal 332 2 5" xfId="26882" xr:uid="{00000000-0005-0000-0000-000005680000}"/>
    <cellStyle name="Normal 332 3" xfId="26883" xr:uid="{00000000-0005-0000-0000-000006680000}"/>
    <cellStyle name="Normal 332 3 2" xfId="26884" xr:uid="{00000000-0005-0000-0000-000007680000}"/>
    <cellStyle name="Normal 332 3 2 2" xfId="26885" xr:uid="{00000000-0005-0000-0000-000008680000}"/>
    <cellStyle name="Normal 332 3 2 2 2" xfId="26886" xr:uid="{00000000-0005-0000-0000-000009680000}"/>
    <cellStyle name="Normal 332 3 2 3" xfId="26887" xr:uid="{00000000-0005-0000-0000-00000A680000}"/>
    <cellStyle name="Normal 332 3 2 3 2" xfId="26888" xr:uid="{00000000-0005-0000-0000-00000B680000}"/>
    <cellStyle name="Normal 332 3 2 3 2 2" xfId="26889" xr:uid="{00000000-0005-0000-0000-00000C680000}"/>
    <cellStyle name="Normal 332 3 2 3 3" xfId="26890" xr:uid="{00000000-0005-0000-0000-00000D680000}"/>
    <cellStyle name="Normal 332 3 2 4" xfId="26891" xr:uid="{00000000-0005-0000-0000-00000E680000}"/>
    <cellStyle name="Normal 332 3 3" xfId="26892" xr:uid="{00000000-0005-0000-0000-00000F680000}"/>
    <cellStyle name="Normal 332 3 3 2" xfId="26893" xr:uid="{00000000-0005-0000-0000-000010680000}"/>
    <cellStyle name="Normal 332 3 3 2 2" xfId="26894" xr:uid="{00000000-0005-0000-0000-000011680000}"/>
    <cellStyle name="Normal 332 3 3 3" xfId="26895" xr:uid="{00000000-0005-0000-0000-000012680000}"/>
    <cellStyle name="Normal 332 3 4" xfId="26896" xr:uid="{00000000-0005-0000-0000-000013680000}"/>
    <cellStyle name="Normal 332 3 4 2" xfId="26897" xr:uid="{00000000-0005-0000-0000-000014680000}"/>
    <cellStyle name="Normal 332 3 4 2 2" xfId="26898" xr:uid="{00000000-0005-0000-0000-000015680000}"/>
    <cellStyle name="Normal 332 3 4 3" xfId="26899" xr:uid="{00000000-0005-0000-0000-000016680000}"/>
    <cellStyle name="Normal 332 3 5" xfId="26900" xr:uid="{00000000-0005-0000-0000-000017680000}"/>
    <cellStyle name="Normal 332 3 5 2" xfId="26901" xr:uid="{00000000-0005-0000-0000-000018680000}"/>
    <cellStyle name="Normal 332 3 5 2 2" xfId="26902" xr:uid="{00000000-0005-0000-0000-000019680000}"/>
    <cellStyle name="Normal 332 3 5 3" xfId="26903" xr:uid="{00000000-0005-0000-0000-00001A680000}"/>
    <cellStyle name="Normal 332 3 6" xfId="26904" xr:uid="{00000000-0005-0000-0000-00001B680000}"/>
    <cellStyle name="Normal 332 4" xfId="26905" xr:uid="{00000000-0005-0000-0000-00001C680000}"/>
    <cellStyle name="Normal 332 4 2" xfId="26906" xr:uid="{00000000-0005-0000-0000-00001D680000}"/>
    <cellStyle name="Normal 332 4 2 2" xfId="26907" xr:uid="{00000000-0005-0000-0000-00001E680000}"/>
    <cellStyle name="Normal 332 4 3" xfId="26908" xr:uid="{00000000-0005-0000-0000-00001F680000}"/>
    <cellStyle name="Normal 332 5" xfId="26909" xr:uid="{00000000-0005-0000-0000-000020680000}"/>
    <cellStyle name="Normal 332 5 2" xfId="26910" xr:uid="{00000000-0005-0000-0000-000021680000}"/>
    <cellStyle name="Normal 332 5 2 2" xfId="26911" xr:uid="{00000000-0005-0000-0000-000022680000}"/>
    <cellStyle name="Normal 332 5 3" xfId="26912" xr:uid="{00000000-0005-0000-0000-000023680000}"/>
    <cellStyle name="Normal 332 6" xfId="26913" xr:uid="{00000000-0005-0000-0000-000024680000}"/>
    <cellStyle name="Normal 332 6 2" xfId="26914" xr:uid="{00000000-0005-0000-0000-000025680000}"/>
    <cellStyle name="Normal 332 6 2 2" xfId="26915" xr:uid="{00000000-0005-0000-0000-000026680000}"/>
    <cellStyle name="Normal 332 6 3" xfId="26916" xr:uid="{00000000-0005-0000-0000-000027680000}"/>
    <cellStyle name="Normal 332 7" xfId="26917" xr:uid="{00000000-0005-0000-0000-000028680000}"/>
    <cellStyle name="Normal 333" xfId="26918" xr:uid="{00000000-0005-0000-0000-000029680000}"/>
    <cellStyle name="Normal 333 2" xfId="26919" xr:uid="{00000000-0005-0000-0000-00002A680000}"/>
    <cellStyle name="Normal 333 2 2" xfId="26920" xr:uid="{00000000-0005-0000-0000-00002B680000}"/>
    <cellStyle name="Normal 333 2 2 2" xfId="26921" xr:uid="{00000000-0005-0000-0000-00002C680000}"/>
    <cellStyle name="Normal 333 2 3" xfId="26922" xr:uid="{00000000-0005-0000-0000-00002D680000}"/>
    <cellStyle name="Normal 333 2 3 2" xfId="26923" xr:uid="{00000000-0005-0000-0000-00002E680000}"/>
    <cellStyle name="Normal 333 2 3 2 2" xfId="26924" xr:uid="{00000000-0005-0000-0000-00002F680000}"/>
    <cellStyle name="Normal 333 2 3 3" xfId="26925" xr:uid="{00000000-0005-0000-0000-000030680000}"/>
    <cellStyle name="Normal 333 2 4" xfId="26926" xr:uid="{00000000-0005-0000-0000-000031680000}"/>
    <cellStyle name="Normal 333 2 4 2" xfId="26927" xr:uid="{00000000-0005-0000-0000-000032680000}"/>
    <cellStyle name="Normal 333 2 4 2 2" xfId="26928" xr:uid="{00000000-0005-0000-0000-000033680000}"/>
    <cellStyle name="Normal 333 2 4 3" xfId="26929" xr:uid="{00000000-0005-0000-0000-000034680000}"/>
    <cellStyle name="Normal 333 2 5" xfId="26930" xr:uid="{00000000-0005-0000-0000-000035680000}"/>
    <cellStyle name="Normal 333 3" xfId="26931" xr:uid="{00000000-0005-0000-0000-000036680000}"/>
    <cellStyle name="Normal 333 3 2" xfId="26932" xr:uid="{00000000-0005-0000-0000-000037680000}"/>
    <cellStyle name="Normal 333 3 2 2" xfId="26933" xr:uid="{00000000-0005-0000-0000-000038680000}"/>
    <cellStyle name="Normal 333 3 2 2 2" xfId="26934" xr:uid="{00000000-0005-0000-0000-000039680000}"/>
    <cellStyle name="Normal 333 3 2 3" xfId="26935" xr:uid="{00000000-0005-0000-0000-00003A680000}"/>
    <cellStyle name="Normal 333 3 2 3 2" xfId="26936" xr:uid="{00000000-0005-0000-0000-00003B680000}"/>
    <cellStyle name="Normal 333 3 2 3 2 2" xfId="26937" xr:uid="{00000000-0005-0000-0000-00003C680000}"/>
    <cellStyle name="Normal 333 3 2 3 3" xfId="26938" xr:uid="{00000000-0005-0000-0000-00003D680000}"/>
    <cellStyle name="Normal 333 3 2 4" xfId="26939" xr:uid="{00000000-0005-0000-0000-00003E680000}"/>
    <cellStyle name="Normal 333 3 3" xfId="26940" xr:uid="{00000000-0005-0000-0000-00003F680000}"/>
    <cellStyle name="Normal 333 3 3 2" xfId="26941" xr:uid="{00000000-0005-0000-0000-000040680000}"/>
    <cellStyle name="Normal 333 3 3 2 2" xfId="26942" xr:uid="{00000000-0005-0000-0000-000041680000}"/>
    <cellStyle name="Normal 333 3 3 3" xfId="26943" xr:uid="{00000000-0005-0000-0000-000042680000}"/>
    <cellStyle name="Normal 333 3 4" xfId="26944" xr:uid="{00000000-0005-0000-0000-000043680000}"/>
    <cellStyle name="Normal 333 3 4 2" xfId="26945" xr:uid="{00000000-0005-0000-0000-000044680000}"/>
    <cellStyle name="Normal 333 3 4 2 2" xfId="26946" xr:uid="{00000000-0005-0000-0000-000045680000}"/>
    <cellStyle name="Normal 333 3 4 3" xfId="26947" xr:uid="{00000000-0005-0000-0000-000046680000}"/>
    <cellStyle name="Normal 333 3 5" xfId="26948" xr:uid="{00000000-0005-0000-0000-000047680000}"/>
    <cellStyle name="Normal 333 3 5 2" xfId="26949" xr:uid="{00000000-0005-0000-0000-000048680000}"/>
    <cellStyle name="Normal 333 3 5 2 2" xfId="26950" xr:uid="{00000000-0005-0000-0000-000049680000}"/>
    <cellStyle name="Normal 333 3 5 3" xfId="26951" xr:uid="{00000000-0005-0000-0000-00004A680000}"/>
    <cellStyle name="Normal 333 3 6" xfId="26952" xr:uid="{00000000-0005-0000-0000-00004B680000}"/>
    <cellStyle name="Normal 333 4" xfId="26953" xr:uid="{00000000-0005-0000-0000-00004C680000}"/>
    <cellStyle name="Normal 333 4 2" xfId="26954" xr:uid="{00000000-0005-0000-0000-00004D680000}"/>
    <cellStyle name="Normal 333 4 2 2" xfId="26955" xr:uid="{00000000-0005-0000-0000-00004E680000}"/>
    <cellStyle name="Normal 333 4 3" xfId="26956" xr:uid="{00000000-0005-0000-0000-00004F680000}"/>
    <cellStyle name="Normal 333 5" xfId="26957" xr:uid="{00000000-0005-0000-0000-000050680000}"/>
    <cellStyle name="Normal 333 5 2" xfId="26958" xr:uid="{00000000-0005-0000-0000-000051680000}"/>
    <cellStyle name="Normal 333 5 2 2" xfId="26959" xr:uid="{00000000-0005-0000-0000-000052680000}"/>
    <cellStyle name="Normal 333 5 3" xfId="26960" xr:uid="{00000000-0005-0000-0000-000053680000}"/>
    <cellStyle name="Normal 333 6" xfId="26961" xr:uid="{00000000-0005-0000-0000-000054680000}"/>
    <cellStyle name="Normal 333 6 2" xfId="26962" xr:uid="{00000000-0005-0000-0000-000055680000}"/>
    <cellStyle name="Normal 333 6 2 2" xfId="26963" xr:uid="{00000000-0005-0000-0000-000056680000}"/>
    <cellStyle name="Normal 333 6 3" xfId="26964" xr:uid="{00000000-0005-0000-0000-000057680000}"/>
    <cellStyle name="Normal 333 7" xfId="26965" xr:uid="{00000000-0005-0000-0000-000058680000}"/>
    <cellStyle name="Normal 334" xfId="26966" xr:uid="{00000000-0005-0000-0000-000059680000}"/>
    <cellStyle name="Normal 334 2" xfId="26967" xr:uid="{00000000-0005-0000-0000-00005A680000}"/>
    <cellStyle name="Normal 334 2 2" xfId="26968" xr:uid="{00000000-0005-0000-0000-00005B680000}"/>
    <cellStyle name="Normal 334 2 2 2" xfId="26969" xr:uid="{00000000-0005-0000-0000-00005C680000}"/>
    <cellStyle name="Normal 334 2 3" xfId="26970" xr:uid="{00000000-0005-0000-0000-00005D680000}"/>
    <cellStyle name="Normal 334 2 3 2" xfId="26971" xr:uid="{00000000-0005-0000-0000-00005E680000}"/>
    <cellStyle name="Normal 334 2 3 2 2" xfId="26972" xr:uid="{00000000-0005-0000-0000-00005F680000}"/>
    <cellStyle name="Normal 334 2 3 3" xfId="26973" xr:uid="{00000000-0005-0000-0000-000060680000}"/>
    <cellStyle name="Normal 334 2 4" xfId="26974" xr:uid="{00000000-0005-0000-0000-000061680000}"/>
    <cellStyle name="Normal 334 2 4 2" xfId="26975" xr:uid="{00000000-0005-0000-0000-000062680000}"/>
    <cellStyle name="Normal 334 2 4 2 2" xfId="26976" xr:uid="{00000000-0005-0000-0000-000063680000}"/>
    <cellStyle name="Normal 334 2 4 3" xfId="26977" xr:uid="{00000000-0005-0000-0000-000064680000}"/>
    <cellStyle name="Normal 334 2 5" xfId="26978" xr:uid="{00000000-0005-0000-0000-000065680000}"/>
    <cellStyle name="Normal 334 3" xfId="26979" xr:uid="{00000000-0005-0000-0000-000066680000}"/>
    <cellStyle name="Normal 334 3 2" xfId="26980" xr:uid="{00000000-0005-0000-0000-000067680000}"/>
    <cellStyle name="Normal 334 3 2 2" xfId="26981" xr:uid="{00000000-0005-0000-0000-000068680000}"/>
    <cellStyle name="Normal 334 3 2 2 2" xfId="26982" xr:uid="{00000000-0005-0000-0000-000069680000}"/>
    <cellStyle name="Normal 334 3 2 3" xfId="26983" xr:uid="{00000000-0005-0000-0000-00006A680000}"/>
    <cellStyle name="Normal 334 3 2 3 2" xfId="26984" xr:uid="{00000000-0005-0000-0000-00006B680000}"/>
    <cellStyle name="Normal 334 3 2 3 2 2" xfId="26985" xr:uid="{00000000-0005-0000-0000-00006C680000}"/>
    <cellStyle name="Normal 334 3 2 3 3" xfId="26986" xr:uid="{00000000-0005-0000-0000-00006D680000}"/>
    <cellStyle name="Normal 334 3 2 4" xfId="26987" xr:uid="{00000000-0005-0000-0000-00006E680000}"/>
    <cellStyle name="Normal 334 3 3" xfId="26988" xr:uid="{00000000-0005-0000-0000-00006F680000}"/>
    <cellStyle name="Normal 334 3 3 2" xfId="26989" xr:uid="{00000000-0005-0000-0000-000070680000}"/>
    <cellStyle name="Normal 334 3 3 2 2" xfId="26990" xr:uid="{00000000-0005-0000-0000-000071680000}"/>
    <cellStyle name="Normal 334 3 3 3" xfId="26991" xr:uid="{00000000-0005-0000-0000-000072680000}"/>
    <cellStyle name="Normal 334 3 4" xfId="26992" xr:uid="{00000000-0005-0000-0000-000073680000}"/>
    <cellStyle name="Normal 334 3 4 2" xfId="26993" xr:uid="{00000000-0005-0000-0000-000074680000}"/>
    <cellStyle name="Normal 334 3 4 2 2" xfId="26994" xr:uid="{00000000-0005-0000-0000-000075680000}"/>
    <cellStyle name="Normal 334 3 4 3" xfId="26995" xr:uid="{00000000-0005-0000-0000-000076680000}"/>
    <cellStyle name="Normal 334 3 5" xfId="26996" xr:uid="{00000000-0005-0000-0000-000077680000}"/>
    <cellStyle name="Normal 334 3 5 2" xfId="26997" xr:uid="{00000000-0005-0000-0000-000078680000}"/>
    <cellStyle name="Normal 334 3 5 2 2" xfId="26998" xr:uid="{00000000-0005-0000-0000-000079680000}"/>
    <cellStyle name="Normal 334 3 5 3" xfId="26999" xr:uid="{00000000-0005-0000-0000-00007A680000}"/>
    <cellStyle name="Normal 334 3 6" xfId="27000" xr:uid="{00000000-0005-0000-0000-00007B680000}"/>
    <cellStyle name="Normal 334 4" xfId="27001" xr:uid="{00000000-0005-0000-0000-00007C680000}"/>
    <cellStyle name="Normal 334 4 2" xfId="27002" xr:uid="{00000000-0005-0000-0000-00007D680000}"/>
    <cellStyle name="Normal 334 4 2 2" xfId="27003" xr:uid="{00000000-0005-0000-0000-00007E680000}"/>
    <cellStyle name="Normal 334 4 3" xfId="27004" xr:uid="{00000000-0005-0000-0000-00007F680000}"/>
    <cellStyle name="Normal 334 5" xfId="27005" xr:uid="{00000000-0005-0000-0000-000080680000}"/>
    <cellStyle name="Normal 334 5 2" xfId="27006" xr:uid="{00000000-0005-0000-0000-000081680000}"/>
    <cellStyle name="Normal 334 5 2 2" xfId="27007" xr:uid="{00000000-0005-0000-0000-000082680000}"/>
    <cellStyle name="Normal 334 5 3" xfId="27008" xr:uid="{00000000-0005-0000-0000-000083680000}"/>
    <cellStyle name="Normal 334 6" xfId="27009" xr:uid="{00000000-0005-0000-0000-000084680000}"/>
    <cellStyle name="Normal 334 6 2" xfId="27010" xr:uid="{00000000-0005-0000-0000-000085680000}"/>
    <cellStyle name="Normal 334 6 2 2" xfId="27011" xr:uid="{00000000-0005-0000-0000-000086680000}"/>
    <cellStyle name="Normal 334 6 3" xfId="27012" xr:uid="{00000000-0005-0000-0000-000087680000}"/>
    <cellStyle name="Normal 334 7" xfId="27013" xr:uid="{00000000-0005-0000-0000-000088680000}"/>
    <cellStyle name="Normal 335" xfId="27014" xr:uid="{00000000-0005-0000-0000-000089680000}"/>
    <cellStyle name="Normal 335 2" xfId="27015" xr:uid="{00000000-0005-0000-0000-00008A680000}"/>
    <cellStyle name="Normal 335 2 2" xfId="27016" xr:uid="{00000000-0005-0000-0000-00008B680000}"/>
    <cellStyle name="Normal 335 2 2 2" xfId="27017" xr:uid="{00000000-0005-0000-0000-00008C680000}"/>
    <cellStyle name="Normal 335 2 3" xfId="27018" xr:uid="{00000000-0005-0000-0000-00008D680000}"/>
    <cellStyle name="Normal 335 2 3 2" xfId="27019" xr:uid="{00000000-0005-0000-0000-00008E680000}"/>
    <cellStyle name="Normal 335 2 3 2 2" xfId="27020" xr:uid="{00000000-0005-0000-0000-00008F680000}"/>
    <cellStyle name="Normal 335 2 3 3" xfId="27021" xr:uid="{00000000-0005-0000-0000-000090680000}"/>
    <cellStyle name="Normal 335 2 4" xfId="27022" xr:uid="{00000000-0005-0000-0000-000091680000}"/>
    <cellStyle name="Normal 335 2 4 2" xfId="27023" xr:uid="{00000000-0005-0000-0000-000092680000}"/>
    <cellStyle name="Normal 335 2 4 2 2" xfId="27024" xr:uid="{00000000-0005-0000-0000-000093680000}"/>
    <cellStyle name="Normal 335 2 4 3" xfId="27025" xr:uid="{00000000-0005-0000-0000-000094680000}"/>
    <cellStyle name="Normal 335 2 5" xfId="27026" xr:uid="{00000000-0005-0000-0000-000095680000}"/>
    <cellStyle name="Normal 335 3" xfId="27027" xr:uid="{00000000-0005-0000-0000-000096680000}"/>
    <cellStyle name="Normal 335 3 2" xfId="27028" xr:uid="{00000000-0005-0000-0000-000097680000}"/>
    <cellStyle name="Normal 335 3 2 2" xfId="27029" xr:uid="{00000000-0005-0000-0000-000098680000}"/>
    <cellStyle name="Normal 335 3 2 2 2" xfId="27030" xr:uid="{00000000-0005-0000-0000-000099680000}"/>
    <cellStyle name="Normal 335 3 2 3" xfId="27031" xr:uid="{00000000-0005-0000-0000-00009A680000}"/>
    <cellStyle name="Normal 335 3 2 3 2" xfId="27032" xr:uid="{00000000-0005-0000-0000-00009B680000}"/>
    <cellStyle name="Normal 335 3 2 3 2 2" xfId="27033" xr:uid="{00000000-0005-0000-0000-00009C680000}"/>
    <cellStyle name="Normal 335 3 2 3 3" xfId="27034" xr:uid="{00000000-0005-0000-0000-00009D680000}"/>
    <cellStyle name="Normal 335 3 2 4" xfId="27035" xr:uid="{00000000-0005-0000-0000-00009E680000}"/>
    <cellStyle name="Normal 335 3 3" xfId="27036" xr:uid="{00000000-0005-0000-0000-00009F680000}"/>
    <cellStyle name="Normal 335 3 3 2" xfId="27037" xr:uid="{00000000-0005-0000-0000-0000A0680000}"/>
    <cellStyle name="Normal 335 3 3 2 2" xfId="27038" xr:uid="{00000000-0005-0000-0000-0000A1680000}"/>
    <cellStyle name="Normal 335 3 3 3" xfId="27039" xr:uid="{00000000-0005-0000-0000-0000A2680000}"/>
    <cellStyle name="Normal 335 3 4" xfId="27040" xr:uid="{00000000-0005-0000-0000-0000A3680000}"/>
    <cellStyle name="Normal 335 3 4 2" xfId="27041" xr:uid="{00000000-0005-0000-0000-0000A4680000}"/>
    <cellStyle name="Normal 335 3 4 2 2" xfId="27042" xr:uid="{00000000-0005-0000-0000-0000A5680000}"/>
    <cellStyle name="Normal 335 3 4 3" xfId="27043" xr:uid="{00000000-0005-0000-0000-0000A6680000}"/>
    <cellStyle name="Normal 335 3 5" xfId="27044" xr:uid="{00000000-0005-0000-0000-0000A7680000}"/>
    <cellStyle name="Normal 335 3 5 2" xfId="27045" xr:uid="{00000000-0005-0000-0000-0000A8680000}"/>
    <cellStyle name="Normal 335 3 5 2 2" xfId="27046" xr:uid="{00000000-0005-0000-0000-0000A9680000}"/>
    <cellStyle name="Normal 335 3 5 3" xfId="27047" xr:uid="{00000000-0005-0000-0000-0000AA680000}"/>
    <cellStyle name="Normal 335 3 6" xfId="27048" xr:uid="{00000000-0005-0000-0000-0000AB680000}"/>
    <cellStyle name="Normal 335 4" xfId="27049" xr:uid="{00000000-0005-0000-0000-0000AC680000}"/>
    <cellStyle name="Normal 335 4 2" xfId="27050" xr:uid="{00000000-0005-0000-0000-0000AD680000}"/>
    <cellStyle name="Normal 335 4 2 2" xfId="27051" xr:uid="{00000000-0005-0000-0000-0000AE680000}"/>
    <cellStyle name="Normal 335 4 3" xfId="27052" xr:uid="{00000000-0005-0000-0000-0000AF680000}"/>
    <cellStyle name="Normal 335 5" xfId="27053" xr:uid="{00000000-0005-0000-0000-0000B0680000}"/>
    <cellStyle name="Normal 335 5 2" xfId="27054" xr:uid="{00000000-0005-0000-0000-0000B1680000}"/>
    <cellStyle name="Normal 335 5 2 2" xfId="27055" xr:uid="{00000000-0005-0000-0000-0000B2680000}"/>
    <cellStyle name="Normal 335 5 3" xfId="27056" xr:uid="{00000000-0005-0000-0000-0000B3680000}"/>
    <cellStyle name="Normal 335 6" xfId="27057" xr:uid="{00000000-0005-0000-0000-0000B4680000}"/>
    <cellStyle name="Normal 335 6 2" xfId="27058" xr:uid="{00000000-0005-0000-0000-0000B5680000}"/>
    <cellStyle name="Normal 335 6 2 2" xfId="27059" xr:uid="{00000000-0005-0000-0000-0000B6680000}"/>
    <cellStyle name="Normal 335 6 3" xfId="27060" xr:uid="{00000000-0005-0000-0000-0000B7680000}"/>
    <cellStyle name="Normal 335 7" xfId="27061" xr:uid="{00000000-0005-0000-0000-0000B8680000}"/>
    <cellStyle name="Normal 336" xfId="27062" xr:uid="{00000000-0005-0000-0000-0000B9680000}"/>
    <cellStyle name="Normal 336 2" xfId="27063" xr:uid="{00000000-0005-0000-0000-0000BA680000}"/>
    <cellStyle name="Normal 336 2 2" xfId="27064" xr:uid="{00000000-0005-0000-0000-0000BB680000}"/>
    <cellStyle name="Normal 336 2 2 2" xfId="27065" xr:uid="{00000000-0005-0000-0000-0000BC680000}"/>
    <cellStyle name="Normal 336 2 3" xfId="27066" xr:uid="{00000000-0005-0000-0000-0000BD680000}"/>
    <cellStyle name="Normal 336 2 3 2" xfId="27067" xr:uid="{00000000-0005-0000-0000-0000BE680000}"/>
    <cellStyle name="Normal 336 2 3 2 2" xfId="27068" xr:uid="{00000000-0005-0000-0000-0000BF680000}"/>
    <cellStyle name="Normal 336 2 3 3" xfId="27069" xr:uid="{00000000-0005-0000-0000-0000C0680000}"/>
    <cellStyle name="Normal 336 2 4" xfId="27070" xr:uid="{00000000-0005-0000-0000-0000C1680000}"/>
    <cellStyle name="Normal 336 2 4 2" xfId="27071" xr:uid="{00000000-0005-0000-0000-0000C2680000}"/>
    <cellStyle name="Normal 336 2 4 2 2" xfId="27072" xr:uid="{00000000-0005-0000-0000-0000C3680000}"/>
    <cellStyle name="Normal 336 2 4 3" xfId="27073" xr:uid="{00000000-0005-0000-0000-0000C4680000}"/>
    <cellStyle name="Normal 336 2 5" xfId="27074" xr:uid="{00000000-0005-0000-0000-0000C5680000}"/>
    <cellStyle name="Normal 336 3" xfId="27075" xr:uid="{00000000-0005-0000-0000-0000C6680000}"/>
    <cellStyle name="Normal 336 3 2" xfId="27076" xr:uid="{00000000-0005-0000-0000-0000C7680000}"/>
    <cellStyle name="Normal 336 3 2 2" xfId="27077" xr:uid="{00000000-0005-0000-0000-0000C8680000}"/>
    <cellStyle name="Normal 336 3 2 2 2" xfId="27078" xr:uid="{00000000-0005-0000-0000-0000C9680000}"/>
    <cellStyle name="Normal 336 3 2 3" xfId="27079" xr:uid="{00000000-0005-0000-0000-0000CA680000}"/>
    <cellStyle name="Normal 336 3 2 3 2" xfId="27080" xr:uid="{00000000-0005-0000-0000-0000CB680000}"/>
    <cellStyle name="Normal 336 3 2 3 2 2" xfId="27081" xr:uid="{00000000-0005-0000-0000-0000CC680000}"/>
    <cellStyle name="Normal 336 3 2 3 3" xfId="27082" xr:uid="{00000000-0005-0000-0000-0000CD680000}"/>
    <cellStyle name="Normal 336 3 2 4" xfId="27083" xr:uid="{00000000-0005-0000-0000-0000CE680000}"/>
    <cellStyle name="Normal 336 3 3" xfId="27084" xr:uid="{00000000-0005-0000-0000-0000CF680000}"/>
    <cellStyle name="Normal 336 3 3 2" xfId="27085" xr:uid="{00000000-0005-0000-0000-0000D0680000}"/>
    <cellStyle name="Normal 336 3 3 2 2" xfId="27086" xr:uid="{00000000-0005-0000-0000-0000D1680000}"/>
    <cellStyle name="Normal 336 3 3 3" xfId="27087" xr:uid="{00000000-0005-0000-0000-0000D2680000}"/>
    <cellStyle name="Normal 336 3 4" xfId="27088" xr:uid="{00000000-0005-0000-0000-0000D3680000}"/>
    <cellStyle name="Normal 336 3 4 2" xfId="27089" xr:uid="{00000000-0005-0000-0000-0000D4680000}"/>
    <cellStyle name="Normal 336 3 4 2 2" xfId="27090" xr:uid="{00000000-0005-0000-0000-0000D5680000}"/>
    <cellStyle name="Normal 336 3 4 3" xfId="27091" xr:uid="{00000000-0005-0000-0000-0000D6680000}"/>
    <cellStyle name="Normal 336 3 5" xfId="27092" xr:uid="{00000000-0005-0000-0000-0000D7680000}"/>
    <cellStyle name="Normal 336 3 5 2" xfId="27093" xr:uid="{00000000-0005-0000-0000-0000D8680000}"/>
    <cellStyle name="Normal 336 3 5 2 2" xfId="27094" xr:uid="{00000000-0005-0000-0000-0000D9680000}"/>
    <cellStyle name="Normal 336 3 5 3" xfId="27095" xr:uid="{00000000-0005-0000-0000-0000DA680000}"/>
    <cellStyle name="Normal 336 3 6" xfId="27096" xr:uid="{00000000-0005-0000-0000-0000DB680000}"/>
    <cellStyle name="Normal 336 4" xfId="27097" xr:uid="{00000000-0005-0000-0000-0000DC680000}"/>
    <cellStyle name="Normal 336 4 2" xfId="27098" xr:uid="{00000000-0005-0000-0000-0000DD680000}"/>
    <cellStyle name="Normal 336 4 2 2" xfId="27099" xr:uid="{00000000-0005-0000-0000-0000DE680000}"/>
    <cellStyle name="Normal 336 4 3" xfId="27100" xr:uid="{00000000-0005-0000-0000-0000DF680000}"/>
    <cellStyle name="Normal 336 5" xfId="27101" xr:uid="{00000000-0005-0000-0000-0000E0680000}"/>
    <cellStyle name="Normal 336 5 2" xfId="27102" xr:uid="{00000000-0005-0000-0000-0000E1680000}"/>
    <cellStyle name="Normal 336 5 2 2" xfId="27103" xr:uid="{00000000-0005-0000-0000-0000E2680000}"/>
    <cellStyle name="Normal 336 5 3" xfId="27104" xr:uid="{00000000-0005-0000-0000-0000E3680000}"/>
    <cellStyle name="Normal 336 6" xfId="27105" xr:uid="{00000000-0005-0000-0000-0000E4680000}"/>
    <cellStyle name="Normal 336 6 2" xfId="27106" xr:uid="{00000000-0005-0000-0000-0000E5680000}"/>
    <cellStyle name="Normal 336 6 2 2" xfId="27107" xr:uid="{00000000-0005-0000-0000-0000E6680000}"/>
    <cellStyle name="Normal 336 6 3" xfId="27108" xr:uid="{00000000-0005-0000-0000-0000E7680000}"/>
    <cellStyle name="Normal 336 7" xfId="27109" xr:uid="{00000000-0005-0000-0000-0000E8680000}"/>
    <cellStyle name="Normal 337" xfId="27110" xr:uid="{00000000-0005-0000-0000-0000E9680000}"/>
    <cellStyle name="Normal 337 2" xfId="27111" xr:uid="{00000000-0005-0000-0000-0000EA680000}"/>
    <cellStyle name="Normal 337 2 2" xfId="27112" xr:uid="{00000000-0005-0000-0000-0000EB680000}"/>
    <cellStyle name="Normal 337 2 2 2" xfId="27113" xr:uid="{00000000-0005-0000-0000-0000EC680000}"/>
    <cellStyle name="Normal 337 2 3" xfId="27114" xr:uid="{00000000-0005-0000-0000-0000ED680000}"/>
    <cellStyle name="Normal 337 2 3 2" xfId="27115" xr:uid="{00000000-0005-0000-0000-0000EE680000}"/>
    <cellStyle name="Normal 337 2 3 2 2" xfId="27116" xr:uid="{00000000-0005-0000-0000-0000EF680000}"/>
    <cellStyle name="Normal 337 2 3 3" xfId="27117" xr:uid="{00000000-0005-0000-0000-0000F0680000}"/>
    <cellStyle name="Normal 337 2 4" xfId="27118" xr:uid="{00000000-0005-0000-0000-0000F1680000}"/>
    <cellStyle name="Normal 337 2 4 2" xfId="27119" xr:uid="{00000000-0005-0000-0000-0000F2680000}"/>
    <cellStyle name="Normal 337 2 4 2 2" xfId="27120" xr:uid="{00000000-0005-0000-0000-0000F3680000}"/>
    <cellStyle name="Normal 337 2 4 3" xfId="27121" xr:uid="{00000000-0005-0000-0000-0000F4680000}"/>
    <cellStyle name="Normal 337 2 5" xfId="27122" xr:uid="{00000000-0005-0000-0000-0000F5680000}"/>
    <cellStyle name="Normal 337 3" xfId="27123" xr:uid="{00000000-0005-0000-0000-0000F6680000}"/>
    <cellStyle name="Normal 337 3 2" xfId="27124" xr:uid="{00000000-0005-0000-0000-0000F7680000}"/>
    <cellStyle name="Normal 337 3 2 2" xfId="27125" xr:uid="{00000000-0005-0000-0000-0000F8680000}"/>
    <cellStyle name="Normal 337 3 2 2 2" xfId="27126" xr:uid="{00000000-0005-0000-0000-0000F9680000}"/>
    <cellStyle name="Normal 337 3 2 3" xfId="27127" xr:uid="{00000000-0005-0000-0000-0000FA680000}"/>
    <cellStyle name="Normal 337 3 2 3 2" xfId="27128" xr:uid="{00000000-0005-0000-0000-0000FB680000}"/>
    <cellStyle name="Normal 337 3 2 3 2 2" xfId="27129" xr:uid="{00000000-0005-0000-0000-0000FC680000}"/>
    <cellStyle name="Normal 337 3 2 3 3" xfId="27130" xr:uid="{00000000-0005-0000-0000-0000FD680000}"/>
    <cellStyle name="Normal 337 3 2 4" xfId="27131" xr:uid="{00000000-0005-0000-0000-0000FE680000}"/>
    <cellStyle name="Normal 337 3 3" xfId="27132" xr:uid="{00000000-0005-0000-0000-0000FF680000}"/>
    <cellStyle name="Normal 337 3 3 2" xfId="27133" xr:uid="{00000000-0005-0000-0000-000000690000}"/>
    <cellStyle name="Normal 337 3 3 2 2" xfId="27134" xr:uid="{00000000-0005-0000-0000-000001690000}"/>
    <cellStyle name="Normal 337 3 3 3" xfId="27135" xr:uid="{00000000-0005-0000-0000-000002690000}"/>
    <cellStyle name="Normal 337 3 4" xfId="27136" xr:uid="{00000000-0005-0000-0000-000003690000}"/>
    <cellStyle name="Normal 337 3 4 2" xfId="27137" xr:uid="{00000000-0005-0000-0000-000004690000}"/>
    <cellStyle name="Normal 337 3 4 2 2" xfId="27138" xr:uid="{00000000-0005-0000-0000-000005690000}"/>
    <cellStyle name="Normal 337 3 4 3" xfId="27139" xr:uid="{00000000-0005-0000-0000-000006690000}"/>
    <cellStyle name="Normal 337 3 5" xfId="27140" xr:uid="{00000000-0005-0000-0000-000007690000}"/>
    <cellStyle name="Normal 337 3 5 2" xfId="27141" xr:uid="{00000000-0005-0000-0000-000008690000}"/>
    <cellStyle name="Normal 337 3 5 2 2" xfId="27142" xr:uid="{00000000-0005-0000-0000-000009690000}"/>
    <cellStyle name="Normal 337 3 5 3" xfId="27143" xr:uid="{00000000-0005-0000-0000-00000A690000}"/>
    <cellStyle name="Normal 337 3 6" xfId="27144" xr:uid="{00000000-0005-0000-0000-00000B690000}"/>
    <cellStyle name="Normal 337 4" xfId="27145" xr:uid="{00000000-0005-0000-0000-00000C690000}"/>
    <cellStyle name="Normal 337 4 2" xfId="27146" xr:uid="{00000000-0005-0000-0000-00000D690000}"/>
    <cellStyle name="Normal 337 4 2 2" xfId="27147" xr:uid="{00000000-0005-0000-0000-00000E690000}"/>
    <cellStyle name="Normal 337 4 3" xfId="27148" xr:uid="{00000000-0005-0000-0000-00000F690000}"/>
    <cellStyle name="Normal 337 5" xfId="27149" xr:uid="{00000000-0005-0000-0000-000010690000}"/>
    <cellStyle name="Normal 337 5 2" xfId="27150" xr:uid="{00000000-0005-0000-0000-000011690000}"/>
    <cellStyle name="Normal 337 5 2 2" xfId="27151" xr:uid="{00000000-0005-0000-0000-000012690000}"/>
    <cellStyle name="Normal 337 5 3" xfId="27152" xr:uid="{00000000-0005-0000-0000-000013690000}"/>
    <cellStyle name="Normal 337 6" xfId="27153" xr:uid="{00000000-0005-0000-0000-000014690000}"/>
    <cellStyle name="Normal 337 6 2" xfId="27154" xr:uid="{00000000-0005-0000-0000-000015690000}"/>
    <cellStyle name="Normal 337 6 2 2" xfId="27155" xr:uid="{00000000-0005-0000-0000-000016690000}"/>
    <cellStyle name="Normal 337 6 3" xfId="27156" xr:uid="{00000000-0005-0000-0000-000017690000}"/>
    <cellStyle name="Normal 337 7" xfId="27157" xr:uid="{00000000-0005-0000-0000-000018690000}"/>
    <cellStyle name="Normal 338" xfId="27158" xr:uid="{00000000-0005-0000-0000-000019690000}"/>
    <cellStyle name="Normal 338 2" xfId="27159" xr:uid="{00000000-0005-0000-0000-00001A690000}"/>
    <cellStyle name="Normal 338 2 2" xfId="27160" xr:uid="{00000000-0005-0000-0000-00001B690000}"/>
    <cellStyle name="Normal 338 2 2 2" xfId="27161" xr:uid="{00000000-0005-0000-0000-00001C690000}"/>
    <cellStyle name="Normal 338 2 3" xfId="27162" xr:uid="{00000000-0005-0000-0000-00001D690000}"/>
    <cellStyle name="Normal 338 2 3 2" xfId="27163" xr:uid="{00000000-0005-0000-0000-00001E690000}"/>
    <cellStyle name="Normal 338 2 3 2 2" xfId="27164" xr:uid="{00000000-0005-0000-0000-00001F690000}"/>
    <cellStyle name="Normal 338 2 3 3" xfId="27165" xr:uid="{00000000-0005-0000-0000-000020690000}"/>
    <cellStyle name="Normal 338 2 4" xfId="27166" xr:uid="{00000000-0005-0000-0000-000021690000}"/>
    <cellStyle name="Normal 338 2 4 2" xfId="27167" xr:uid="{00000000-0005-0000-0000-000022690000}"/>
    <cellStyle name="Normal 338 2 4 2 2" xfId="27168" xr:uid="{00000000-0005-0000-0000-000023690000}"/>
    <cellStyle name="Normal 338 2 4 3" xfId="27169" xr:uid="{00000000-0005-0000-0000-000024690000}"/>
    <cellStyle name="Normal 338 2 5" xfId="27170" xr:uid="{00000000-0005-0000-0000-000025690000}"/>
    <cellStyle name="Normal 338 3" xfId="27171" xr:uid="{00000000-0005-0000-0000-000026690000}"/>
    <cellStyle name="Normal 338 3 2" xfId="27172" xr:uid="{00000000-0005-0000-0000-000027690000}"/>
    <cellStyle name="Normal 338 3 2 2" xfId="27173" xr:uid="{00000000-0005-0000-0000-000028690000}"/>
    <cellStyle name="Normal 338 3 2 2 2" xfId="27174" xr:uid="{00000000-0005-0000-0000-000029690000}"/>
    <cellStyle name="Normal 338 3 2 3" xfId="27175" xr:uid="{00000000-0005-0000-0000-00002A690000}"/>
    <cellStyle name="Normal 338 3 2 3 2" xfId="27176" xr:uid="{00000000-0005-0000-0000-00002B690000}"/>
    <cellStyle name="Normal 338 3 2 3 2 2" xfId="27177" xr:uid="{00000000-0005-0000-0000-00002C690000}"/>
    <cellStyle name="Normal 338 3 2 3 3" xfId="27178" xr:uid="{00000000-0005-0000-0000-00002D690000}"/>
    <cellStyle name="Normal 338 3 2 4" xfId="27179" xr:uid="{00000000-0005-0000-0000-00002E690000}"/>
    <cellStyle name="Normal 338 3 3" xfId="27180" xr:uid="{00000000-0005-0000-0000-00002F690000}"/>
    <cellStyle name="Normal 338 3 3 2" xfId="27181" xr:uid="{00000000-0005-0000-0000-000030690000}"/>
    <cellStyle name="Normal 338 3 3 2 2" xfId="27182" xr:uid="{00000000-0005-0000-0000-000031690000}"/>
    <cellStyle name="Normal 338 3 3 3" xfId="27183" xr:uid="{00000000-0005-0000-0000-000032690000}"/>
    <cellStyle name="Normal 338 3 4" xfId="27184" xr:uid="{00000000-0005-0000-0000-000033690000}"/>
    <cellStyle name="Normal 338 3 4 2" xfId="27185" xr:uid="{00000000-0005-0000-0000-000034690000}"/>
    <cellStyle name="Normal 338 3 4 2 2" xfId="27186" xr:uid="{00000000-0005-0000-0000-000035690000}"/>
    <cellStyle name="Normal 338 3 4 3" xfId="27187" xr:uid="{00000000-0005-0000-0000-000036690000}"/>
    <cellStyle name="Normal 338 3 5" xfId="27188" xr:uid="{00000000-0005-0000-0000-000037690000}"/>
    <cellStyle name="Normal 338 3 5 2" xfId="27189" xr:uid="{00000000-0005-0000-0000-000038690000}"/>
    <cellStyle name="Normal 338 3 5 2 2" xfId="27190" xr:uid="{00000000-0005-0000-0000-000039690000}"/>
    <cellStyle name="Normal 338 3 5 3" xfId="27191" xr:uid="{00000000-0005-0000-0000-00003A690000}"/>
    <cellStyle name="Normal 338 3 6" xfId="27192" xr:uid="{00000000-0005-0000-0000-00003B690000}"/>
    <cellStyle name="Normal 338 4" xfId="27193" xr:uid="{00000000-0005-0000-0000-00003C690000}"/>
    <cellStyle name="Normal 338 4 2" xfId="27194" xr:uid="{00000000-0005-0000-0000-00003D690000}"/>
    <cellStyle name="Normal 338 4 2 2" xfId="27195" xr:uid="{00000000-0005-0000-0000-00003E690000}"/>
    <cellStyle name="Normal 338 4 3" xfId="27196" xr:uid="{00000000-0005-0000-0000-00003F690000}"/>
    <cellStyle name="Normal 338 5" xfId="27197" xr:uid="{00000000-0005-0000-0000-000040690000}"/>
    <cellStyle name="Normal 338 5 2" xfId="27198" xr:uid="{00000000-0005-0000-0000-000041690000}"/>
    <cellStyle name="Normal 338 5 2 2" xfId="27199" xr:uid="{00000000-0005-0000-0000-000042690000}"/>
    <cellStyle name="Normal 338 5 3" xfId="27200" xr:uid="{00000000-0005-0000-0000-000043690000}"/>
    <cellStyle name="Normal 338 6" xfId="27201" xr:uid="{00000000-0005-0000-0000-000044690000}"/>
    <cellStyle name="Normal 338 6 2" xfId="27202" xr:uid="{00000000-0005-0000-0000-000045690000}"/>
    <cellStyle name="Normal 338 6 2 2" xfId="27203" xr:uid="{00000000-0005-0000-0000-000046690000}"/>
    <cellStyle name="Normal 338 6 3" xfId="27204" xr:uid="{00000000-0005-0000-0000-000047690000}"/>
    <cellStyle name="Normal 338 7" xfId="27205" xr:uid="{00000000-0005-0000-0000-000048690000}"/>
    <cellStyle name="Normal 339" xfId="27206" xr:uid="{00000000-0005-0000-0000-000049690000}"/>
    <cellStyle name="Normal 339 2" xfId="27207" xr:uid="{00000000-0005-0000-0000-00004A690000}"/>
    <cellStyle name="Normal 339 2 2" xfId="27208" xr:uid="{00000000-0005-0000-0000-00004B690000}"/>
    <cellStyle name="Normal 339 2 2 2" xfId="27209" xr:uid="{00000000-0005-0000-0000-00004C690000}"/>
    <cellStyle name="Normal 339 2 3" xfId="27210" xr:uid="{00000000-0005-0000-0000-00004D690000}"/>
    <cellStyle name="Normal 339 2 3 2" xfId="27211" xr:uid="{00000000-0005-0000-0000-00004E690000}"/>
    <cellStyle name="Normal 339 2 3 2 2" xfId="27212" xr:uid="{00000000-0005-0000-0000-00004F690000}"/>
    <cellStyle name="Normal 339 2 3 3" xfId="27213" xr:uid="{00000000-0005-0000-0000-000050690000}"/>
    <cellStyle name="Normal 339 2 4" xfId="27214" xr:uid="{00000000-0005-0000-0000-000051690000}"/>
    <cellStyle name="Normal 339 2 4 2" xfId="27215" xr:uid="{00000000-0005-0000-0000-000052690000}"/>
    <cellStyle name="Normal 339 2 4 2 2" xfId="27216" xr:uid="{00000000-0005-0000-0000-000053690000}"/>
    <cellStyle name="Normal 339 2 4 3" xfId="27217" xr:uid="{00000000-0005-0000-0000-000054690000}"/>
    <cellStyle name="Normal 339 2 5" xfId="27218" xr:uid="{00000000-0005-0000-0000-000055690000}"/>
    <cellStyle name="Normal 339 3" xfId="27219" xr:uid="{00000000-0005-0000-0000-000056690000}"/>
    <cellStyle name="Normal 339 3 2" xfId="27220" xr:uid="{00000000-0005-0000-0000-000057690000}"/>
    <cellStyle name="Normal 339 3 2 2" xfId="27221" xr:uid="{00000000-0005-0000-0000-000058690000}"/>
    <cellStyle name="Normal 339 3 2 2 2" xfId="27222" xr:uid="{00000000-0005-0000-0000-000059690000}"/>
    <cellStyle name="Normal 339 3 2 3" xfId="27223" xr:uid="{00000000-0005-0000-0000-00005A690000}"/>
    <cellStyle name="Normal 339 3 2 3 2" xfId="27224" xr:uid="{00000000-0005-0000-0000-00005B690000}"/>
    <cellStyle name="Normal 339 3 2 3 2 2" xfId="27225" xr:uid="{00000000-0005-0000-0000-00005C690000}"/>
    <cellStyle name="Normal 339 3 2 3 3" xfId="27226" xr:uid="{00000000-0005-0000-0000-00005D690000}"/>
    <cellStyle name="Normal 339 3 2 4" xfId="27227" xr:uid="{00000000-0005-0000-0000-00005E690000}"/>
    <cellStyle name="Normal 339 3 3" xfId="27228" xr:uid="{00000000-0005-0000-0000-00005F690000}"/>
    <cellStyle name="Normal 339 3 3 2" xfId="27229" xr:uid="{00000000-0005-0000-0000-000060690000}"/>
    <cellStyle name="Normal 339 3 3 2 2" xfId="27230" xr:uid="{00000000-0005-0000-0000-000061690000}"/>
    <cellStyle name="Normal 339 3 3 3" xfId="27231" xr:uid="{00000000-0005-0000-0000-000062690000}"/>
    <cellStyle name="Normal 339 3 4" xfId="27232" xr:uid="{00000000-0005-0000-0000-000063690000}"/>
    <cellStyle name="Normal 339 3 4 2" xfId="27233" xr:uid="{00000000-0005-0000-0000-000064690000}"/>
    <cellStyle name="Normal 339 3 4 2 2" xfId="27234" xr:uid="{00000000-0005-0000-0000-000065690000}"/>
    <cellStyle name="Normal 339 3 4 3" xfId="27235" xr:uid="{00000000-0005-0000-0000-000066690000}"/>
    <cellStyle name="Normal 339 3 5" xfId="27236" xr:uid="{00000000-0005-0000-0000-000067690000}"/>
    <cellStyle name="Normal 339 3 5 2" xfId="27237" xr:uid="{00000000-0005-0000-0000-000068690000}"/>
    <cellStyle name="Normal 339 3 5 2 2" xfId="27238" xr:uid="{00000000-0005-0000-0000-000069690000}"/>
    <cellStyle name="Normal 339 3 5 3" xfId="27239" xr:uid="{00000000-0005-0000-0000-00006A690000}"/>
    <cellStyle name="Normal 339 3 6" xfId="27240" xr:uid="{00000000-0005-0000-0000-00006B690000}"/>
    <cellStyle name="Normal 339 4" xfId="27241" xr:uid="{00000000-0005-0000-0000-00006C690000}"/>
    <cellStyle name="Normal 339 4 2" xfId="27242" xr:uid="{00000000-0005-0000-0000-00006D690000}"/>
    <cellStyle name="Normal 339 4 2 2" xfId="27243" xr:uid="{00000000-0005-0000-0000-00006E690000}"/>
    <cellStyle name="Normal 339 4 3" xfId="27244" xr:uid="{00000000-0005-0000-0000-00006F690000}"/>
    <cellStyle name="Normal 339 5" xfId="27245" xr:uid="{00000000-0005-0000-0000-000070690000}"/>
    <cellStyle name="Normal 339 5 2" xfId="27246" xr:uid="{00000000-0005-0000-0000-000071690000}"/>
    <cellStyle name="Normal 339 5 2 2" xfId="27247" xr:uid="{00000000-0005-0000-0000-000072690000}"/>
    <cellStyle name="Normal 339 5 3" xfId="27248" xr:uid="{00000000-0005-0000-0000-000073690000}"/>
    <cellStyle name="Normal 339 6" xfId="27249" xr:uid="{00000000-0005-0000-0000-000074690000}"/>
    <cellStyle name="Normal 339 6 2" xfId="27250" xr:uid="{00000000-0005-0000-0000-000075690000}"/>
    <cellStyle name="Normal 339 6 2 2" xfId="27251" xr:uid="{00000000-0005-0000-0000-000076690000}"/>
    <cellStyle name="Normal 339 6 3" xfId="27252" xr:uid="{00000000-0005-0000-0000-000077690000}"/>
    <cellStyle name="Normal 339 7" xfId="27253" xr:uid="{00000000-0005-0000-0000-000078690000}"/>
    <cellStyle name="Normal 34" xfId="27254" xr:uid="{00000000-0005-0000-0000-000079690000}"/>
    <cellStyle name="Normal 34 2" xfId="27255" xr:uid="{00000000-0005-0000-0000-00007A690000}"/>
    <cellStyle name="Normal 34 2 2" xfId="27256" xr:uid="{00000000-0005-0000-0000-00007B690000}"/>
    <cellStyle name="Normal 34 2 2 2" xfId="27257" xr:uid="{00000000-0005-0000-0000-00007C690000}"/>
    <cellStyle name="Normal 34 2 2 2 2" xfId="27258" xr:uid="{00000000-0005-0000-0000-00007D690000}"/>
    <cellStyle name="Normal 34 2 2 3" xfId="27259" xr:uid="{00000000-0005-0000-0000-00007E690000}"/>
    <cellStyle name="Normal 34 2 2 3 2" xfId="27260" xr:uid="{00000000-0005-0000-0000-00007F690000}"/>
    <cellStyle name="Normal 34 2 2 3 2 2" xfId="27261" xr:uid="{00000000-0005-0000-0000-000080690000}"/>
    <cellStyle name="Normal 34 2 2 3 3" xfId="27262" xr:uid="{00000000-0005-0000-0000-000081690000}"/>
    <cellStyle name="Normal 34 2 2 4" xfId="27263" xr:uid="{00000000-0005-0000-0000-000082690000}"/>
    <cellStyle name="Normal 34 2 2 4 2" xfId="27264" xr:uid="{00000000-0005-0000-0000-000083690000}"/>
    <cellStyle name="Normal 34 2 2 4 2 2" xfId="27265" xr:uid="{00000000-0005-0000-0000-000084690000}"/>
    <cellStyle name="Normal 34 2 2 4 3" xfId="27266" xr:uid="{00000000-0005-0000-0000-000085690000}"/>
    <cellStyle name="Normal 34 2 2 5" xfId="27267" xr:uid="{00000000-0005-0000-0000-000086690000}"/>
    <cellStyle name="Normal 34 2 3" xfId="27268" xr:uid="{00000000-0005-0000-0000-000087690000}"/>
    <cellStyle name="Normal 34 2 3 2" xfId="27269" xr:uid="{00000000-0005-0000-0000-000088690000}"/>
    <cellStyle name="Normal 34 2 3 2 2" xfId="27270" xr:uid="{00000000-0005-0000-0000-000089690000}"/>
    <cellStyle name="Normal 34 2 3 3" xfId="27271" xr:uid="{00000000-0005-0000-0000-00008A690000}"/>
    <cellStyle name="Normal 34 2 4" xfId="27272" xr:uid="{00000000-0005-0000-0000-00008B690000}"/>
    <cellStyle name="Normal 34 2 4 2" xfId="27273" xr:uid="{00000000-0005-0000-0000-00008C690000}"/>
    <cellStyle name="Normal 34 2 4 2 2" xfId="27274" xr:uid="{00000000-0005-0000-0000-00008D690000}"/>
    <cellStyle name="Normal 34 2 4 3" xfId="27275" xr:uid="{00000000-0005-0000-0000-00008E690000}"/>
    <cellStyle name="Normal 34 2 5" xfId="27276" xr:uid="{00000000-0005-0000-0000-00008F690000}"/>
    <cellStyle name="Normal 34 2 5 2" xfId="27277" xr:uid="{00000000-0005-0000-0000-000090690000}"/>
    <cellStyle name="Normal 34 2 5 2 2" xfId="27278" xr:uid="{00000000-0005-0000-0000-000091690000}"/>
    <cellStyle name="Normal 34 2 5 3" xfId="27279" xr:uid="{00000000-0005-0000-0000-000092690000}"/>
    <cellStyle name="Normal 34 2 6" xfId="27280" xr:uid="{00000000-0005-0000-0000-000093690000}"/>
    <cellStyle name="Normal 34 3" xfId="27281" xr:uid="{00000000-0005-0000-0000-000094690000}"/>
    <cellStyle name="Normal 34 3 2" xfId="27282" xr:uid="{00000000-0005-0000-0000-000095690000}"/>
    <cellStyle name="Normal 34 3 2 2" xfId="27283" xr:uid="{00000000-0005-0000-0000-000096690000}"/>
    <cellStyle name="Normal 34 3 3" xfId="27284" xr:uid="{00000000-0005-0000-0000-000097690000}"/>
    <cellStyle name="Normal 34 3 3 2" xfId="27285" xr:uid="{00000000-0005-0000-0000-000098690000}"/>
    <cellStyle name="Normal 34 3 3 2 2" xfId="27286" xr:uid="{00000000-0005-0000-0000-000099690000}"/>
    <cellStyle name="Normal 34 3 3 3" xfId="27287" xr:uid="{00000000-0005-0000-0000-00009A690000}"/>
    <cellStyle name="Normal 34 3 4" xfId="27288" xr:uid="{00000000-0005-0000-0000-00009B690000}"/>
    <cellStyle name="Normal 34 3 4 2" xfId="27289" xr:uid="{00000000-0005-0000-0000-00009C690000}"/>
    <cellStyle name="Normal 34 3 4 2 2" xfId="27290" xr:uid="{00000000-0005-0000-0000-00009D690000}"/>
    <cellStyle name="Normal 34 3 4 3" xfId="27291" xr:uid="{00000000-0005-0000-0000-00009E690000}"/>
    <cellStyle name="Normal 34 3 5" xfId="27292" xr:uid="{00000000-0005-0000-0000-00009F690000}"/>
    <cellStyle name="Normal 34 4" xfId="27293" xr:uid="{00000000-0005-0000-0000-0000A0690000}"/>
    <cellStyle name="Normal 34 4 2" xfId="27294" xr:uid="{00000000-0005-0000-0000-0000A1690000}"/>
    <cellStyle name="Normal 34 4 2 2" xfId="27295" xr:uid="{00000000-0005-0000-0000-0000A2690000}"/>
    <cellStyle name="Normal 34 4 3" xfId="27296" xr:uid="{00000000-0005-0000-0000-0000A3690000}"/>
    <cellStyle name="Normal 34 5" xfId="27297" xr:uid="{00000000-0005-0000-0000-0000A4690000}"/>
    <cellStyle name="Normal 34 5 2" xfId="27298" xr:uid="{00000000-0005-0000-0000-0000A5690000}"/>
    <cellStyle name="Normal 34 5 2 2" xfId="27299" xr:uid="{00000000-0005-0000-0000-0000A6690000}"/>
    <cellStyle name="Normal 34 5 3" xfId="27300" xr:uid="{00000000-0005-0000-0000-0000A7690000}"/>
    <cellStyle name="Normal 34 6" xfId="27301" xr:uid="{00000000-0005-0000-0000-0000A8690000}"/>
    <cellStyle name="Normal 34 6 2" xfId="27302" xr:uid="{00000000-0005-0000-0000-0000A9690000}"/>
    <cellStyle name="Normal 34 6 2 2" xfId="27303" xr:uid="{00000000-0005-0000-0000-0000AA690000}"/>
    <cellStyle name="Normal 34 6 3" xfId="27304" xr:uid="{00000000-0005-0000-0000-0000AB690000}"/>
    <cellStyle name="Normal 34 7" xfId="27305" xr:uid="{00000000-0005-0000-0000-0000AC690000}"/>
    <cellStyle name="Normal 340" xfId="27306" xr:uid="{00000000-0005-0000-0000-0000AD690000}"/>
    <cellStyle name="Normal 340 2" xfId="27307" xr:uid="{00000000-0005-0000-0000-0000AE690000}"/>
    <cellStyle name="Normal 340 2 2" xfId="27308" xr:uid="{00000000-0005-0000-0000-0000AF690000}"/>
    <cellStyle name="Normal 340 2 2 2" xfId="27309" xr:uid="{00000000-0005-0000-0000-0000B0690000}"/>
    <cellStyle name="Normal 340 2 3" xfId="27310" xr:uid="{00000000-0005-0000-0000-0000B1690000}"/>
    <cellStyle name="Normal 340 2 3 2" xfId="27311" xr:uid="{00000000-0005-0000-0000-0000B2690000}"/>
    <cellStyle name="Normal 340 2 3 2 2" xfId="27312" xr:uid="{00000000-0005-0000-0000-0000B3690000}"/>
    <cellStyle name="Normal 340 2 3 3" xfId="27313" xr:uid="{00000000-0005-0000-0000-0000B4690000}"/>
    <cellStyle name="Normal 340 2 4" xfId="27314" xr:uid="{00000000-0005-0000-0000-0000B5690000}"/>
    <cellStyle name="Normal 340 2 4 2" xfId="27315" xr:uid="{00000000-0005-0000-0000-0000B6690000}"/>
    <cellStyle name="Normal 340 2 4 2 2" xfId="27316" xr:uid="{00000000-0005-0000-0000-0000B7690000}"/>
    <cellStyle name="Normal 340 2 4 3" xfId="27317" xr:uid="{00000000-0005-0000-0000-0000B8690000}"/>
    <cellStyle name="Normal 340 2 5" xfId="27318" xr:uid="{00000000-0005-0000-0000-0000B9690000}"/>
    <cellStyle name="Normal 340 3" xfId="27319" xr:uid="{00000000-0005-0000-0000-0000BA690000}"/>
    <cellStyle name="Normal 340 3 2" xfId="27320" xr:uid="{00000000-0005-0000-0000-0000BB690000}"/>
    <cellStyle name="Normal 340 3 2 2" xfId="27321" xr:uid="{00000000-0005-0000-0000-0000BC690000}"/>
    <cellStyle name="Normal 340 3 2 2 2" xfId="27322" xr:uid="{00000000-0005-0000-0000-0000BD690000}"/>
    <cellStyle name="Normal 340 3 2 3" xfId="27323" xr:uid="{00000000-0005-0000-0000-0000BE690000}"/>
    <cellStyle name="Normal 340 3 2 3 2" xfId="27324" xr:uid="{00000000-0005-0000-0000-0000BF690000}"/>
    <cellStyle name="Normal 340 3 2 3 2 2" xfId="27325" xr:uid="{00000000-0005-0000-0000-0000C0690000}"/>
    <cellStyle name="Normal 340 3 2 3 3" xfId="27326" xr:uid="{00000000-0005-0000-0000-0000C1690000}"/>
    <cellStyle name="Normal 340 3 2 4" xfId="27327" xr:uid="{00000000-0005-0000-0000-0000C2690000}"/>
    <cellStyle name="Normal 340 3 3" xfId="27328" xr:uid="{00000000-0005-0000-0000-0000C3690000}"/>
    <cellStyle name="Normal 340 3 3 2" xfId="27329" xr:uid="{00000000-0005-0000-0000-0000C4690000}"/>
    <cellStyle name="Normal 340 3 3 2 2" xfId="27330" xr:uid="{00000000-0005-0000-0000-0000C5690000}"/>
    <cellStyle name="Normal 340 3 3 3" xfId="27331" xr:uid="{00000000-0005-0000-0000-0000C6690000}"/>
    <cellStyle name="Normal 340 3 4" xfId="27332" xr:uid="{00000000-0005-0000-0000-0000C7690000}"/>
    <cellStyle name="Normal 340 3 4 2" xfId="27333" xr:uid="{00000000-0005-0000-0000-0000C8690000}"/>
    <cellStyle name="Normal 340 3 4 2 2" xfId="27334" xr:uid="{00000000-0005-0000-0000-0000C9690000}"/>
    <cellStyle name="Normal 340 3 4 3" xfId="27335" xr:uid="{00000000-0005-0000-0000-0000CA690000}"/>
    <cellStyle name="Normal 340 3 5" xfId="27336" xr:uid="{00000000-0005-0000-0000-0000CB690000}"/>
    <cellStyle name="Normal 340 3 5 2" xfId="27337" xr:uid="{00000000-0005-0000-0000-0000CC690000}"/>
    <cellStyle name="Normal 340 3 5 2 2" xfId="27338" xr:uid="{00000000-0005-0000-0000-0000CD690000}"/>
    <cellStyle name="Normal 340 3 5 3" xfId="27339" xr:uid="{00000000-0005-0000-0000-0000CE690000}"/>
    <cellStyle name="Normal 340 3 6" xfId="27340" xr:uid="{00000000-0005-0000-0000-0000CF690000}"/>
    <cellStyle name="Normal 340 4" xfId="27341" xr:uid="{00000000-0005-0000-0000-0000D0690000}"/>
    <cellStyle name="Normal 340 4 2" xfId="27342" xr:uid="{00000000-0005-0000-0000-0000D1690000}"/>
    <cellStyle name="Normal 340 4 2 2" xfId="27343" xr:uid="{00000000-0005-0000-0000-0000D2690000}"/>
    <cellStyle name="Normal 340 4 3" xfId="27344" xr:uid="{00000000-0005-0000-0000-0000D3690000}"/>
    <cellStyle name="Normal 340 5" xfId="27345" xr:uid="{00000000-0005-0000-0000-0000D4690000}"/>
    <cellStyle name="Normal 340 5 2" xfId="27346" xr:uid="{00000000-0005-0000-0000-0000D5690000}"/>
    <cellStyle name="Normal 340 5 2 2" xfId="27347" xr:uid="{00000000-0005-0000-0000-0000D6690000}"/>
    <cellStyle name="Normal 340 5 3" xfId="27348" xr:uid="{00000000-0005-0000-0000-0000D7690000}"/>
    <cellStyle name="Normal 340 6" xfId="27349" xr:uid="{00000000-0005-0000-0000-0000D8690000}"/>
    <cellStyle name="Normal 340 6 2" xfId="27350" xr:uid="{00000000-0005-0000-0000-0000D9690000}"/>
    <cellStyle name="Normal 340 6 2 2" xfId="27351" xr:uid="{00000000-0005-0000-0000-0000DA690000}"/>
    <cellStyle name="Normal 340 6 3" xfId="27352" xr:uid="{00000000-0005-0000-0000-0000DB690000}"/>
    <cellStyle name="Normal 340 7" xfId="27353" xr:uid="{00000000-0005-0000-0000-0000DC690000}"/>
    <cellStyle name="Normal 341" xfId="27354" xr:uid="{00000000-0005-0000-0000-0000DD690000}"/>
    <cellStyle name="Normal 341 2" xfId="27355" xr:uid="{00000000-0005-0000-0000-0000DE690000}"/>
    <cellStyle name="Normal 341 2 2" xfId="27356" xr:uid="{00000000-0005-0000-0000-0000DF690000}"/>
    <cellStyle name="Normal 341 2 2 2" xfId="27357" xr:uid="{00000000-0005-0000-0000-0000E0690000}"/>
    <cellStyle name="Normal 341 2 3" xfId="27358" xr:uid="{00000000-0005-0000-0000-0000E1690000}"/>
    <cellStyle name="Normal 341 2 3 2" xfId="27359" xr:uid="{00000000-0005-0000-0000-0000E2690000}"/>
    <cellStyle name="Normal 341 2 3 2 2" xfId="27360" xr:uid="{00000000-0005-0000-0000-0000E3690000}"/>
    <cellStyle name="Normal 341 2 3 3" xfId="27361" xr:uid="{00000000-0005-0000-0000-0000E4690000}"/>
    <cellStyle name="Normal 341 2 4" xfId="27362" xr:uid="{00000000-0005-0000-0000-0000E5690000}"/>
    <cellStyle name="Normal 341 2 4 2" xfId="27363" xr:uid="{00000000-0005-0000-0000-0000E6690000}"/>
    <cellStyle name="Normal 341 2 4 2 2" xfId="27364" xr:uid="{00000000-0005-0000-0000-0000E7690000}"/>
    <cellStyle name="Normal 341 2 4 3" xfId="27365" xr:uid="{00000000-0005-0000-0000-0000E8690000}"/>
    <cellStyle name="Normal 341 2 5" xfId="27366" xr:uid="{00000000-0005-0000-0000-0000E9690000}"/>
    <cellStyle name="Normal 341 3" xfId="27367" xr:uid="{00000000-0005-0000-0000-0000EA690000}"/>
    <cellStyle name="Normal 341 3 2" xfId="27368" xr:uid="{00000000-0005-0000-0000-0000EB690000}"/>
    <cellStyle name="Normal 341 3 2 2" xfId="27369" xr:uid="{00000000-0005-0000-0000-0000EC690000}"/>
    <cellStyle name="Normal 341 3 2 2 2" xfId="27370" xr:uid="{00000000-0005-0000-0000-0000ED690000}"/>
    <cellStyle name="Normal 341 3 2 3" xfId="27371" xr:uid="{00000000-0005-0000-0000-0000EE690000}"/>
    <cellStyle name="Normal 341 3 2 3 2" xfId="27372" xr:uid="{00000000-0005-0000-0000-0000EF690000}"/>
    <cellStyle name="Normal 341 3 2 3 2 2" xfId="27373" xr:uid="{00000000-0005-0000-0000-0000F0690000}"/>
    <cellStyle name="Normal 341 3 2 3 3" xfId="27374" xr:uid="{00000000-0005-0000-0000-0000F1690000}"/>
    <cellStyle name="Normal 341 3 2 4" xfId="27375" xr:uid="{00000000-0005-0000-0000-0000F2690000}"/>
    <cellStyle name="Normal 341 3 3" xfId="27376" xr:uid="{00000000-0005-0000-0000-0000F3690000}"/>
    <cellStyle name="Normal 341 3 3 2" xfId="27377" xr:uid="{00000000-0005-0000-0000-0000F4690000}"/>
    <cellStyle name="Normal 341 3 3 2 2" xfId="27378" xr:uid="{00000000-0005-0000-0000-0000F5690000}"/>
    <cellStyle name="Normal 341 3 3 3" xfId="27379" xr:uid="{00000000-0005-0000-0000-0000F6690000}"/>
    <cellStyle name="Normal 341 3 4" xfId="27380" xr:uid="{00000000-0005-0000-0000-0000F7690000}"/>
    <cellStyle name="Normal 341 3 4 2" xfId="27381" xr:uid="{00000000-0005-0000-0000-0000F8690000}"/>
    <cellStyle name="Normal 341 3 4 2 2" xfId="27382" xr:uid="{00000000-0005-0000-0000-0000F9690000}"/>
    <cellStyle name="Normal 341 3 4 3" xfId="27383" xr:uid="{00000000-0005-0000-0000-0000FA690000}"/>
    <cellStyle name="Normal 341 3 5" xfId="27384" xr:uid="{00000000-0005-0000-0000-0000FB690000}"/>
    <cellStyle name="Normal 341 3 5 2" xfId="27385" xr:uid="{00000000-0005-0000-0000-0000FC690000}"/>
    <cellStyle name="Normal 341 3 5 2 2" xfId="27386" xr:uid="{00000000-0005-0000-0000-0000FD690000}"/>
    <cellStyle name="Normal 341 3 5 3" xfId="27387" xr:uid="{00000000-0005-0000-0000-0000FE690000}"/>
    <cellStyle name="Normal 341 3 6" xfId="27388" xr:uid="{00000000-0005-0000-0000-0000FF690000}"/>
    <cellStyle name="Normal 341 4" xfId="27389" xr:uid="{00000000-0005-0000-0000-0000006A0000}"/>
    <cellStyle name="Normal 341 4 2" xfId="27390" xr:uid="{00000000-0005-0000-0000-0000016A0000}"/>
    <cellStyle name="Normal 341 4 2 2" xfId="27391" xr:uid="{00000000-0005-0000-0000-0000026A0000}"/>
    <cellStyle name="Normal 341 4 3" xfId="27392" xr:uid="{00000000-0005-0000-0000-0000036A0000}"/>
    <cellStyle name="Normal 341 5" xfId="27393" xr:uid="{00000000-0005-0000-0000-0000046A0000}"/>
    <cellStyle name="Normal 341 5 2" xfId="27394" xr:uid="{00000000-0005-0000-0000-0000056A0000}"/>
    <cellStyle name="Normal 341 5 2 2" xfId="27395" xr:uid="{00000000-0005-0000-0000-0000066A0000}"/>
    <cellStyle name="Normal 341 5 3" xfId="27396" xr:uid="{00000000-0005-0000-0000-0000076A0000}"/>
    <cellStyle name="Normal 341 6" xfId="27397" xr:uid="{00000000-0005-0000-0000-0000086A0000}"/>
    <cellStyle name="Normal 341 6 2" xfId="27398" xr:uid="{00000000-0005-0000-0000-0000096A0000}"/>
    <cellStyle name="Normal 341 6 2 2" xfId="27399" xr:uid="{00000000-0005-0000-0000-00000A6A0000}"/>
    <cellStyle name="Normal 341 6 3" xfId="27400" xr:uid="{00000000-0005-0000-0000-00000B6A0000}"/>
    <cellStyle name="Normal 341 7" xfId="27401" xr:uid="{00000000-0005-0000-0000-00000C6A0000}"/>
    <cellStyle name="Normal 342" xfId="27402" xr:uid="{00000000-0005-0000-0000-00000D6A0000}"/>
    <cellStyle name="Normal 342 2" xfId="27403" xr:uid="{00000000-0005-0000-0000-00000E6A0000}"/>
    <cellStyle name="Normal 342 2 2" xfId="27404" xr:uid="{00000000-0005-0000-0000-00000F6A0000}"/>
    <cellStyle name="Normal 342 2 2 2" xfId="27405" xr:uid="{00000000-0005-0000-0000-0000106A0000}"/>
    <cellStyle name="Normal 342 2 3" xfId="27406" xr:uid="{00000000-0005-0000-0000-0000116A0000}"/>
    <cellStyle name="Normal 342 2 3 2" xfId="27407" xr:uid="{00000000-0005-0000-0000-0000126A0000}"/>
    <cellStyle name="Normal 342 2 3 2 2" xfId="27408" xr:uid="{00000000-0005-0000-0000-0000136A0000}"/>
    <cellStyle name="Normal 342 2 3 3" xfId="27409" xr:uid="{00000000-0005-0000-0000-0000146A0000}"/>
    <cellStyle name="Normal 342 2 4" xfId="27410" xr:uid="{00000000-0005-0000-0000-0000156A0000}"/>
    <cellStyle name="Normal 342 2 4 2" xfId="27411" xr:uid="{00000000-0005-0000-0000-0000166A0000}"/>
    <cellStyle name="Normal 342 2 4 2 2" xfId="27412" xr:uid="{00000000-0005-0000-0000-0000176A0000}"/>
    <cellStyle name="Normal 342 2 4 3" xfId="27413" xr:uid="{00000000-0005-0000-0000-0000186A0000}"/>
    <cellStyle name="Normal 342 2 5" xfId="27414" xr:uid="{00000000-0005-0000-0000-0000196A0000}"/>
    <cellStyle name="Normal 342 3" xfId="27415" xr:uid="{00000000-0005-0000-0000-00001A6A0000}"/>
    <cellStyle name="Normal 342 3 2" xfId="27416" xr:uid="{00000000-0005-0000-0000-00001B6A0000}"/>
    <cellStyle name="Normal 342 3 2 2" xfId="27417" xr:uid="{00000000-0005-0000-0000-00001C6A0000}"/>
    <cellStyle name="Normal 342 3 2 2 2" xfId="27418" xr:uid="{00000000-0005-0000-0000-00001D6A0000}"/>
    <cellStyle name="Normal 342 3 2 3" xfId="27419" xr:uid="{00000000-0005-0000-0000-00001E6A0000}"/>
    <cellStyle name="Normal 342 3 2 3 2" xfId="27420" xr:uid="{00000000-0005-0000-0000-00001F6A0000}"/>
    <cellStyle name="Normal 342 3 2 3 2 2" xfId="27421" xr:uid="{00000000-0005-0000-0000-0000206A0000}"/>
    <cellStyle name="Normal 342 3 2 3 3" xfId="27422" xr:uid="{00000000-0005-0000-0000-0000216A0000}"/>
    <cellStyle name="Normal 342 3 2 4" xfId="27423" xr:uid="{00000000-0005-0000-0000-0000226A0000}"/>
    <cellStyle name="Normal 342 3 3" xfId="27424" xr:uid="{00000000-0005-0000-0000-0000236A0000}"/>
    <cellStyle name="Normal 342 3 3 2" xfId="27425" xr:uid="{00000000-0005-0000-0000-0000246A0000}"/>
    <cellStyle name="Normal 342 3 3 2 2" xfId="27426" xr:uid="{00000000-0005-0000-0000-0000256A0000}"/>
    <cellStyle name="Normal 342 3 3 3" xfId="27427" xr:uid="{00000000-0005-0000-0000-0000266A0000}"/>
    <cellStyle name="Normal 342 3 4" xfId="27428" xr:uid="{00000000-0005-0000-0000-0000276A0000}"/>
    <cellStyle name="Normal 342 3 4 2" xfId="27429" xr:uid="{00000000-0005-0000-0000-0000286A0000}"/>
    <cellStyle name="Normal 342 3 4 2 2" xfId="27430" xr:uid="{00000000-0005-0000-0000-0000296A0000}"/>
    <cellStyle name="Normal 342 3 4 3" xfId="27431" xr:uid="{00000000-0005-0000-0000-00002A6A0000}"/>
    <cellStyle name="Normal 342 3 5" xfId="27432" xr:uid="{00000000-0005-0000-0000-00002B6A0000}"/>
    <cellStyle name="Normal 342 3 5 2" xfId="27433" xr:uid="{00000000-0005-0000-0000-00002C6A0000}"/>
    <cellStyle name="Normal 342 3 5 2 2" xfId="27434" xr:uid="{00000000-0005-0000-0000-00002D6A0000}"/>
    <cellStyle name="Normal 342 3 5 3" xfId="27435" xr:uid="{00000000-0005-0000-0000-00002E6A0000}"/>
    <cellStyle name="Normal 342 3 6" xfId="27436" xr:uid="{00000000-0005-0000-0000-00002F6A0000}"/>
    <cellStyle name="Normal 342 4" xfId="27437" xr:uid="{00000000-0005-0000-0000-0000306A0000}"/>
    <cellStyle name="Normal 342 4 2" xfId="27438" xr:uid="{00000000-0005-0000-0000-0000316A0000}"/>
    <cellStyle name="Normal 342 4 2 2" xfId="27439" xr:uid="{00000000-0005-0000-0000-0000326A0000}"/>
    <cellStyle name="Normal 342 4 3" xfId="27440" xr:uid="{00000000-0005-0000-0000-0000336A0000}"/>
    <cellStyle name="Normal 342 5" xfId="27441" xr:uid="{00000000-0005-0000-0000-0000346A0000}"/>
    <cellStyle name="Normal 342 5 2" xfId="27442" xr:uid="{00000000-0005-0000-0000-0000356A0000}"/>
    <cellStyle name="Normal 342 5 2 2" xfId="27443" xr:uid="{00000000-0005-0000-0000-0000366A0000}"/>
    <cellStyle name="Normal 342 5 3" xfId="27444" xr:uid="{00000000-0005-0000-0000-0000376A0000}"/>
    <cellStyle name="Normal 342 6" xfId="27445" xr:uid="{00000000-0005-0000-0000-0000386A0000}"/>
    <cellStyle name="Normal 342 6 2" xfId="27446" xr:uid="{00000000-0005-0000-0000-0000396A0000}"/>
    <cellStyle name="Normal 342 6 2 2" xfId="27447" xr:uid="{00000000-0005-0000-0000-00003A6A0000}"/>
    <cellStyle name="Normal 342 6 3" xfId="27448" xr:uid="{00000000-0005-0000-0000-00003B6A0000}"/>
    <cellStyle name="Normal 342 7" xfId="27449" xr:uid="{00000000-0005-0000-0000-00003C6A0000}"/>
    <cellStyle name="Normal 343" xfId="27450" xr:uid="{00000000-0005-0000-0000-00003D6A0000}"/>
    <cellStyle name="Normal 343 2" xfId="27451" xr:uid="{00000000-0005-0000-0000-00003E6A0000}"/>
    <cellStyle name="Normal 343 2 2" xfId="27452" xr:uid="{00000000-0005-0000-0000-00003F6A0000}"/>
    <cellStyle name="Normal 343 2 2 2" xfId="27453" xr:uid="{00000000-0005-0000-0000-0000406A0000}"/>
    <cellStyle name="Normal 343 2 3" xfId="27454" xr:uid="{00000000-0005-0000-0000-0000416A0000}"/>
    <cellStyle name="Normal 343 2 3 2" xfId="27455" xr:uid="{00000000-0005-0000-0000-0000426A0000}"/>
    <cellStyle name="Normal 343 2 3 2 2" xfId="27456" xr:uid="{00000000-0005-0000-0000-0000436A0000}"/>
    <cellStyle name="Normal 343 2 3 3" xfId="27457" xr:uid="{00000000-0005-0000-0000-0000446A0000}"/>
    <cellStyle name="Normal 343 2 4" xfId="27458" xr:uid="{00000000-0005-0000-0000-0000456A0000}"/>
    <cellStyle name="Normal 343 2 4 2" xfId="27459" xr:uid="{00000000-0005-0000-0000-0000466A0000}"/>
    <cellStyle name="Normal 343 2 4 2 2" xfId="27460" xr:uid="{00000000-0005-0000-0000-0000476A0000}"/>
    <cellStyle name="Normal 343 2 4 3" xfId="27461" xr:uid="{00000000-0005-0000-0000-0000486A0000}"/>
    <cellStyle name="Normal 343 2 5" xfId="27462" xr:uid="{00000000-0005-0000-0000-0000496A0000}"/>
    <cellStyle name="Normal 343 3" xfId="27463" xr:uid="{00000000-0005-0000-0000-00004A6A0000}"/>
    <cellStyle name="Normal 343 3 2" xfId="27464" xr:uid="{00000000-0005-0000-0000-00004B6A0000}"/>
    <cellStyle name="Normal 343 3 2 2" xfId="27465" xr:uid="{00000000-0005-0000-0000-00004C6A0000}"/>
    <cellStyle name="Normal 343 3 2 2 2" xfId="27466" xr:uid="{00000000-0005-0000-0000-00004D6A0000}"/>
    <cellStyle name="Normal 343 3 2 3" xfId="27467" xr:uid="{00000000-0005-0000-0000-00004E6A0000}"/>
    <cellStyle name="Normal 343 3 2 3 2" xfId="27468" xr:uid="{00000000-0005-0000-0000-00004F6A0000}"/>
    <cellStyle name="Normal 343 3 2 3 2 2" xfId="27469" xr:uid="{00000000-0005-0000-0000-0000506A0000}"/>
    <cellStyle name="Normal 343 3 2 3 3" xfId="27470" xr:uid="{00000000-0005-0000-0000-0000516A0000}"/>
    <cellStyle name="Normal 343 3 2 4" xfId="27471" xr:uid="{00000000-0005-0000-0000-0000526A0000}"/>
    <cellStyle name="Normal 343 3 3" xfId="27472" xr:uid="{00000000-0005-0000-0000-0000536A0000}"/>
    <cellStyle name="Normal 343 3 3 2" xfId="27473" xr:uid="{00000000-0005-0000-0000-0000546A0000}"/>
    <cellStyle name="Normal 343 3 3 2 2" xfId="27474" xr:uid="{00000000-0005-0000-0000-0000556A0000}"/>
    <cellStyle name="Normal 343 3 3 3" xfId="27475" xr:uid="{00000000-0005-0000-0000-0000566A0000}"/>
    <cellStyle name="Normal 343 3 4" xfId="27476" xr:uid="{00000000-0005-0000-0000-0000576A0000}"/>
    <cellStyle name="Normal 343 3 4 2" xfId="27477" xr:uid="{00000000-0005-0000-0000-0000586A0000}"/>
    <cellStyle name="Normal 343 3 4 2 2" xfId="27478" xr:uid="{00000000-0005-0000-0000-0000596A0000}"/>
    <cellStyle name="Normal 343 3 4 3" xfId="27479" xr:uid="{00000000-0005-0000-0000-00005A6A0000}"/>
    <cellStyle name="Normal 343 3 5" xfId="27480" xr:uid="{00000000-0005-0000-0000-00005B6A0000}"/>
    <cellStyle name="Normal 343 3 5 2" xfId="27481" xr:uid="{00000000-0005-0000-0000-00005C6A0000}"/>
    <cellStyle name="Normal 343 3 5 2 2" xfId="27482" xr:uid="{00000000-0005-0000-0000-00005D6A0000}"/>
    <cellStyle name="Normal 343 3 5 3" xfId="27483" xr:uid="{00000000-0005-0000-0000-00005E6A0000}"/>
    <cellStyle name="Normal 343 3 6" xfId="27484" xr:uid="{00000000-0005-0000-0000-00005F6A0000}"/>
    <cellStyle name="Normal 343 4" xfId="27485" xr:uid="{00000000-0005-0000-0000-0000606A0000}"/>
    <cellStyle name="Normal 343 4 2" xfId="27486" xr:uid="{00000000-0005-0000-0000-0000616A0000}"/>
    <cellStyle name="Normal 343 4 2 2" xfId="27487" xr:uid="{00000000-0005-0000-0000-0000626A0000}"/>
    <cellStyle name="Normal 343 4 3" xfId="27488" xr:uid="{00000000-0005-0000-0000-0000636A0000}"/>
    <cellStyle name="Normal 343 5" xfId="27489" xr:uid="{00000000-0005-0000-0000-0000646A0000}"/>
    <cellStyle name="Normal 343 5 2" xfId="27490" xr:uid="{00000000-0005-0000-0000-0000656A0000}"/>
    <cellStyle name="Normal 343 5 2 2" xfId="27491" xr:uid="{00000000-0005-0000-0000-0000666A0000}"/>
    <cellStyle name="Normal 343 5 3" xfId="27492" xr:uid="{00000000-0005-0000-0000-0000676A0000}"/>
    <cellStyle name="Normal 343 6" xfId="27493" xr:uid="{00000000-0005-0000-0000-0000686A0000}"/>
    <cellStyle name="Normal 343 6 2" xfId="27494" xr:uid="{00000000-0005-0000-0000-0000696A0000}"/>
    <cellStyle name="Normal 343 6 2 2" xfId="27495" xr:uid="{00000000-0005-0000-0000-00006A6A0000}"/>
    <cellStyle name="Normal 343 6 3" xfId="27496" xr:uid="{00000000-0005-0000-0000-00006B6A0000}"/>
    <cellStyle name="Normal 343 7" xfId="27497" xr:uid="{00000000-0005-0000-0000-00006C6A0000}"/>
    <cellStyle name="Normal 344" xfId="27498" xr:uid="{00000000-0005-0000-0000-00006D6A0000}"/>
    <cellStyle name="Normal 344 2" xfId="27499" xr:uid="{00000000-0005-0000-0000-00006E6A0000}"/>
    <cellStyle name="Normal 344 2 2" xfId="27500" xr:uid="{00000000-0005-0000-0000-00006F6A0000}"/>
    <cellStyle name="Normal 344 2 2 2" xfId="27501" xr:uid="{00000000-0005-0000-0000-0000706A0000}"/>
    <cellStyle name="Normal 344 2 3" xfId="27502" xr:uid="{00000000-0005-0000-0000-0000716A0000}"/>
    <cellStyle name="Normal 344 2 3 2" xfId="27503" xr:uid="{00000000-0005-0000-0000-0000726A0000}"/>
    <cellStyle name="Normal 344 2 3 2 2" xfId="27504" xr:uid="{00000000-0005-0000-0000-0000736A0000}"/>
    <cellStyle name="Normal 344 2 3 3" xfId="27505" xr:uid="{00000000-0005-0000-0000-0000746A0000}"/>
    <cellStyle name="Normal 344 2 4" xfId="27506" xr:uid="{00000000-0005-0000-0000-0000756A0000}"/>
    <cellStyle name="Normal 344 2 4 2" xfId="27507" xr:uid="{00000000-0005-0000-0000-0000766A0000}"/>
    <cellStyle name="Normal 344 2 4 2 2" xfId="27508" xr:uid="{00000000-0005-0000-0000-0000776A0000}"/>
    <cellStyle name="Normal 344 2 4 3" xfId="27509" xr:uid="{00000000-0005-0000-0000-0000786A0000}"/>
    <cellStyle name="Normal 344 2 5" xfId="27510" xr:uid="{00000000-0005-0000-0000-0000796A0000}"/>
    <cellStyle name="Normal 344 3" xfId="27511" xr:uid="{00000000-0005-0000-0000-00007A6A0000}"/>
    <cellStyle name="Normal 344 3 2" xfId="27512" xr:uid="{00000000-0005-0000-0000-00007B6A0000}"/>
    <cellStyle name="Normal 344 3 2 2" xfId="27513" xr:uid="{00000000-0005-0000-0000-00007C6A0000}"/>
    <cellStyle name="Normal 344 3 2 2 2" xfId="27514" xr:uid="{00000000-0005-0000-0000-00007D6A0000}"/>
    <cellStyle name="Normal 344 3 2 3" xfId="27515" xr:uid="{00000000-0005-0000-0000-00007E6A0000}"/>
    <cellStyle name="Normal 344 3 2 3 2" xfId="27516" xr:uid="{00000000-0005-0000-0000-00007F6A0000}"/>
    <cellStyle name="Normal 344 3 2 3 2 2" xfId="27517" xr:uid="{00000000-0005-0000-0000-0000806A0000}"/>
    <cellStyle name="Normal 344 3 2 3 3" xfId="27518" xr:uid="{00000000-0005-0000-0000-0000816A0000}"/>
    <cellStyle name="Normal 344 3 2 4" xfId="27519" xr:uid="{00000000-0005-0000-0000-0000826A0000}"/>
    <cellStyle name="Normal 344 3 3" xfId="27520" xr:uid="{00000000-0005-0000-0000-0000836A0000}"/>
    <cellStyle name="Normal 344 3 3 2" xfId="27521" xr:uid="{00000000-0005-0000-0000-0000846A0000}"/>
    <cellStyle name="Normal 344 3 3 2 2" xfId="27522" xr:uid="{00000000-0005-0000-0000-0000856A0000}"/>
    <cellStyle name="Normal 344 3 3 3" xfId="27523" xr:uid="{00000000-0005-0000-0000-0000866A0000}"/>
    <cellStyle name="Normal 344 3 4" xfId="27524" xr:uid="{00000000-0005-0000-0000-0000876A0000}"/>
    <cellStyle name="Normal 344 3 4 2" xfId="27525" xr:uid="{00000000-0005-0000-0000-0000886A0000}"/>
    <cellStyle name="Normal 344 3 4 2 2" xfId="27526" xr:uid="{00000000-0005-0000-0000-0000896A0000}"/>
    <cellStyle name="Normal 344 3 4 3" xfId="27527" xr:uid="{00000000-0005-0000-0000-00008A6A0000}"/>
    <cellStyle name="Normal 344 3 5" xfId="27528" xr:uid="{00000000-0005-0000-0000-00008B6A0000}"/>
    <cellStyle name="Normal 344 3 5 2" xfId="27529" xr:uid="{00000000-0005-0000-0000-00008C6A0000}"/>
    <cellStyle name="Normal 344 3 5 2 2" xfId="27530" xr:uid="{00000000-0005-0000-0000-00008D6A0000}"/>
    <cellStyle name="Normal 344 3 5 3" xfId="27531" xr:uid="{00000000-0005-0000-0000-00008E6A0000}"/>
    <cellStyle name="Normal 344 3 6" xfId="27532" xr:uid="{00000000-0005-0000-0000-00008F6A0000}"/>
    <cellStyle name="Normal 344 4" xfId="27533" xr:uid="{00000000-0005-0000-0000-0000906A0000}"/>
    <cellStyle name="Normal 344 4 2" xfId="27534" xr:uid="{00000000-0005-0000-0000-0000916A0000}"/>
    <cellStyle name="Normal 344 4 2 2" xfId="27535" xr:uid="{00000000-0005-0000-0000-0000926A0000}"/>
    <cellStyle name="Normal 344 4 3" xfId="27536" xr:uid="{00000000-0005-0000-0000-0000936A0000}"/>
    <cellStyle name="Normal 344 5" xfId="27537" xr:uid="{00000000-0005-0000-0000-0000946A0000}"/>
    <cellStyle name="Normal 344 5 2" xfId="27538" xr:uid="{00000000-0005-0000-0000-0000956A0000}"/>
    <cellStyle name="Normal 344 5 2 2" xfId="27539" xr:uid="{00000000-0005-0000-0000-0000966A0000}"/>
    <cellStyle name="Normal 344 5 3" xfId="27540" xr:uid="{00000000-0005-0000-0000-0000976A0000}"/>
    <cellStyle name="Normal 344 6" xfId="27541" xr:uid="{00000000-0005-0000-0000-0000986A0000}"/>
    <cellStyle name="Normal 344 6 2" xfId="27542" xr:uid="{00000000-0005-0000-0000-0000996A0000}"/>
    <cellStyle name="Normal 344 6 2 2" xfId="27543" xr:uid="{00000000-0005-0000-0000-00009A6A0000}"/>
    <cellStyle name="Normal 344 6 3" xfId="27544" xr:uid="{00000000-0005-0000-0000-00009B6A0000}"/>
    <cellStyle name="Normal 344 7" xfId="27545" xr:uid="{00000000-0005-0000-0000-00009C6A0000}"/>
    <cellStyle name="Normal 345" xfId="27546" xr:uid="{00000000-0005-0000-0000-00009D6A0000}"/>
    <cellStyle name="Normal 345 2" xfId="27547" xr:uid="{00000000-0005-0000-0000-00009E6A0000}"/>
    <cellStyle name="Normal 345 2 2" xfId="27548" xr:uid="{00000000-0005-0000-0000-00009F6A0000}"/>
    <cellStyle name="Normal 345 2 2 2" xfId="27549" xr:uid="{00000000-0005-0000-0000-0000A06A0000}"/>
    <cellStyle name="Normal 345 2 3" xfId="27550" xr:uid="{00000000-0005-0000-0000-0000A16A0000}"/>
    <cellStyle name="Normal 345 2 3 2" xfId="27551" xr:uid="{00000000-0005-0000-0000-0000A26A0000}"/>
    <cellStyle name="Normal 345 2 3 2 2" xfId="27552" xr:uid="{00000000-0005-0000-0000-0000A36A0000}"/>
    <cellStyle name="Normal 345 2 3 3" xfId="27553" xr:uid="{00000000-0005-0000-0000-0000A46A0000}"/>
    <cellStyle name="Normal 345 2 4" xfId="27554" xr:uid="{00000000-0005-0000-0000-0000A56A0000}"/>
    <cellStyle name="Normal 345 2 4 2" xfId="27555" xr:uid="{00000000-0005-0000-0000-0000A66A0000}"/>
    <cellStyle name="Normal 345 2 4 2 2" xfId="27556" xr:uid="{00000000-0005-0000-0000-0000A76A0000}"/>
    <cellStyle name="Normal 345 2 4 3" xfId="27557" xr:uid="{00000000-0005-0000-0000-0000A86A0000}"/>
    <cellStyle name="Normal 345 2 5" xfId="27558" xr:uid="{00000000-0005-0000-0000-0000A96A0000}"/>
    <cellStyle name="Normal 345 3" xfId="27559" xr:uid="{00000000-0005-0000-0000-0000AA6A0000}"/>
    <cellStyle name="Normal 345 3 2" xfId="27560" xr:uid="{00000000-0005-0000-0000-0000AB6A0000}"/>
    <cellStyle name="Normal 345 3 2 2" xfId="27561" xr:uid="{00000000-0005-0000-0000-0000AC6A0000}"/>
    <cellStyle name="Normal 345 3 2 2 2" xfId="27562" xr:uid="{00000000-0005-0000-0000-0000AD6A0000}"/>
    <cellStyle name="Normal 345 3 2 3" xfId="27563" xr:uid="{00000000-0005-0000-0000-0000AE6A0000}"/>
    <cellStyle name="Normal 345 3 2 3 2" xfId="27564" xr:uid="{00000000-0005-0000-0000-0000AF6A0000}"/>
    <cellStyle name="Normal 345 3 2 3 2 2" xfId="27565" xr:uid="{00000000-0005-0000-0000-0000B06A0000}"/>
    <cellStyle name="Normal 345 3 2 3 3" xfId="27566" xr:uid="{00000000-0005-0000-0000-0000B16A0000}"/>
    <cellStyle name="Normal 345 3 2 4" xfId="27567" xr:uid="{00000000-0005-0000-0000-0000B26A0000}"/>
    <cellStyle name="Normal 345 3 3" xfId="27568" xr:uid="{00000000-0005-0000-0000-0000B36A0000}"/>
    <cellStyle name="Normal 345 3 3 2" xfId="27569" xr:uid="{00000000-0005-0000-0000-0000B46A0000}"/>
    <cellStyle name="Normal 345 3 3 2 2" xfId="27570" xr:uid="{00000000-0005-0000-0000-0000B56A0000}"/>
    <cellStyle name="Normal 345 3 3 3" xfId="27571" xr:uid="{00000000-0005-0000-0000-0000B66A0000}"/>
    <cellStyle name="Normal 345 3 4" xfId="27572" xr:uid="{00000000-0005-0000-0000-0000B76A0000}"/>
    <cellStyle name="Normal 345 3 4 2" xfId="27573" xr:uid="{00000000-0005-0000-0000-0000B86A0000}"/>
    <cellStyle name="Normal 345 3 4 2 2" xfId="27574" xr:uid="{00000000-0005-0000-0000-0000B96A0000}"/>
    <cellStyle name="Normal 345 3 4 3" xfId="27575" xr:uid="{00000000-0005-0000-0000-0000BA6A0000}"/>
    <cellStyle name="Normal 345 3 5" xfId="27576" xr:uid="{00000000-0005-0000-0000-0000BB6A0000}"/>
    <cellStyle name="Normal 345 3 5 2" xfId="27577" xr:uid="{00000000-0005-0000-0000-0000BC6A0000}"/>
    <cellStyle name="Normal 345 3 5 2 2" xfId="27578" xr:uid="{00000000-0005-0000-0000-0000BD6A0000}"/>
    <cellStyle name="Normal 345 3 5 3" xfId="27579" xr:uid="{00000000-0005-0000-0000-0000BE6A0000}"/>
    <cellStyle name="Normal 345 3 6" xfId="27580" xr:uid="{00000000-0005-0000-0000-0000BF6A0000}"/>
    <cellStyle name="Normal 345 4" xfId="27581" xr:uid="{00000000-0005-0000-0000-0000C06A0000}"/>
    <cellStyle name="Normal 345 4 2" xfId="27582" xr:uid="{00000000-0005-0000-0000-0000C16A0000}"/>
    <cellStyle name="Normal 345 4 2 2" xfId="27583" xr:uid="{00000000-0005-0000-0000-0000C26A0000}"/>
    <cellStyle name="Normal 345 4 3" xfId="27584" xr:uid="{00000000-0005-0000-0000-0000C36A0000}"/>
    <cellStyle name="Normal 345 5" xfId="27585" xr:uid="{00000000-0005-0000-0000-0000C46A0000}"/>
    <cellStyle name="Normal 345 5 2" xfId="27586" xr:uid="{00000000-0005-0000-0000-0000C56A0000}"/>
    <cellStyle name="Normal 345 5 2 2" xfId="27587" xr:uid="{00000000-0005-0000-0000-0000C66A0000}"/>
    <cellStyle name="Normal 345 5 3" xfId="27588" xr:uid="{00000000-0005-0000-0000-0000C76A0000}"/>
    <cellStyle name="Normal 345 6" xfId="27589" xr:uid="{00000000-0005-0000-0000-0000C86A0000}"/>
    <cellStyle name="Normal 345 6 2" xfId="27590" xr:uid="{00000000-0005-0000-0000-0000C96A0000}"/>
    <cellStyle name="Normal 345 6 2 2" xfId="27591" xr:uid="{00000000-0005-0000-0000-0000CA6A0000}"/>
    <cellStyle name="Normal 345 6 3" xfId="27592" xr:uid="{00000000-0005-0000-0000-0000CB6A0000}"/>
    <cellStyle name="Normal 345 7" xfId="27593" xr:uid="{00000000-0005-0000-0000-0000CC6A0000}"/>
    <cellStyle name="Normal 346" xfId="27594" xr:uid="{00000000-0005-0000-0000-0000CD6A0000}"/>
    <cellStyle name="Normal 346 2" xfId="27595" xr:uid="{00000000-0005-0000-0000-0000CE6A0000}"/>
    <cellStyle name="Normal 346 2 2" xfId="27596" xr:uid="{00000000-0005-0000-0000-0000CF6A0000}"/>
    <cellStyle name="Normal 346 2 2 2" xfId="27597" xr:uid="{00000000-0005-0000-0000-0000D06A0000}"/>
    <cellStyle name="Normal 346 2 3" xfId="27598" xr:uid="{00000000-0005-0000-0000-0000D16A0000}"/>
    <cellStyle name="Normal 346 2 3 2" xfId="27599" xr:uid="{00000000-0005-0000-0000-0000D26A0000}"/>
    <cellStyle name="Normal 346 2 3 2 2" xfId="27600" xr:uid="{00000000-0005-0000-0000-0000D36A0000}"/>
    <cellStyle name="Normal 346 2 3 3" xfId="27601" xr:uid="{00000000-0005-0000-0000-0000D46A0000}"/>
    <cellStyle name="Normal 346 2 4" xfId="27602" xr:uid="{00000000-0005-0000-0000-0000D56A0000}"/>
    <cellStyle name="Normal 346 2 4 2" xfId="27603" xr:uid="{00000000-0005-0000-0000-0000D66A0000}"/>
    <cellStyle name="Normal 346 2 4 2 2" xfId="27604" xr:uid="{00000000-0005-0000-0000-0000D76A0000}"/>
    <cellStyle name="Normal 346 2 4 3" xfId="27605" xr:uid="{00000000-0005-0000-0000-0000D86A0000}"/>
    <cellStyle name="Normal 346 2 5" xfId="27606" xr:uid="{00000000-0005-0000-0000-0000D96A0000}"/>
    <cellStyle name="Normal 346 3" xfId="27607" xr:uid="{00000000-0005-0000-0000-0000DA6A0000}"/>
    <cellStyle name="Normal 346 3 2" xfId="27608" xr:uid="{00000000-0005-0000-0000-0000DB6A0000}"/>
    <cellStyle name="Normal 346 3 2 2" xfId="27609" xr:uid="{00000000-0005-0000-0000-0000DC6A0000}"/>
    <cellStyle name="Normal 346 3 2 2 2" xfId="27610" xr:uid="{00000000-0005-0000-0000-0000DD6A0000}"/>
    <cellStyle name="Normal 346 3 2 3" xfId="27611" xr:uid="{00000000-0005-0000-0000-0000DE6A0000}"/>
    <cellStyle name="Normal 346 3 2 3 2" xfId="27612" xr:uid="{00000000-0005-0000-0000-0000DF6A0000}"/>
    <cellStyle name="Normal 346 3 2 3 2 2" xfId="27613" xr:uid="{00000000-0005-0000-0000-0000E06A0000}"/>
    <cellStyle name="Normal 346 3 2 3 3" xfId="27614" xr:uid="{00000000-0005-0000-0000-0000E16A0000}"/>
    <cellStyle name="Normal 346 3 2 4" xfId="27615" xr:uid="{00000000-0005-0000-0000-0000E26A0000}"/>
    <cellStyle name="Normal 346 3 3" xfId="27616" xr:uid="{00000000-0005-0000-0000-0000E36A0000}"/>
    <cellStyle name="Normal 346 3 3 2" xfId="27617" xr:uid="{00000000-0005-0000-0000-0000E46A0000}"/>
    <cellStyle name="Normal 346 3 3 2 2" xfId="27618" xr:uid="{00000000-0005-0000-0000-0000E56A0000}"/>
    <cellStyle name="Normal 346 3 3 3" xfId="27619" xr:uid="{00000000-0005-0000-0000-0000E66A0000}"/>
    <cellStyle name="Normal 346 3 4" xfId="27620" xr:uid="{00000000-0005-0000-0000-0000E76A0000}"/>
    <cellStyle name="Normal 346 3 4 2" xfId="27621" xr:uid="{00000000-0005-0000-0000-0000E86A0000}"/>
    <cellStyle name="Normal 346 3 4 2 2" xfId="27622" xr:uid="{00000000-0005-0000-0000-0000E96A0000}"/>
    <cellStyle name="Normal 346 3 4 3" xfId="27623" xr:uid="{00000000-0005-0000-0000-0000EA6A0000}"/>
    <cellStyle name="Normal 346 3 5" xfId="27624" xr:uid="{00000000-0005-0000-0000-0000EB6A0000}"/>
    <cellStyle name="Normal 346 3 5 2" xfId="27625" xr:uid="{00000000-0005-0000-0000-0000EC6A0000}"/>
    <cellStyle name="Normal 346 3 5 2 2" xfId="27626" xr:uid="{00000000-0005-0000-0000-0000ED6A0000}"/>
    <cellStyle name="Normal 346 3 5 3" xfId="27627" xr:uid="{00000000-0005-0000-0000-0000EE6A0000}"/>
    <cellStyle name="Normal 346 3 6" xfId="27628" xr:uid="{00000000-0005-0000-0000-0000EF6A0000}"/>
    <cellStyle name="Normal 346 4" xfId="27629" xr:uid="{00000000-0005-0000-0000-0000F06A0000}"/>
    <cellStyle name="Normal 346 4 2" xfId="27630" xr:uid="{00000000-0005-0000-0000-0000F16A0000}"/>
    <cellStyle name="Normal 346 4 2 2" xfId="27631" xr:uid="{00000000-0005-0000-0000-0000F26A0000}"/>
    <cellStyle name="Normal 346 4 3" xfId="27632" xr:uid="{00000000-0005-0000-0000-0000F36A0000}"/>
    <cellStyle name="Normal 346 5" xfId="27633" xr:uid="{00000000-0005-0000-0000-0000F46A0000}"/>
    <cellStyle name="Normal 346 5 2" xfId="27634" xr:uid="{00000000-0005-0000-0000-0000F56A0000}"/>
    <cellStyle name="Normal 346 5 2 2" xfId="27635" xr:uid="{00000000-0005-0000-0000-0000F66A0000}"/>
    <cellStyle name="Normal 346 5 3" xfId="27636" xr:uid="{00000000-0005-0000-0000-0000F76A0000}"/>
    <cellStyle name="Normal 346 6" xfId="27637" xr:uid="{00000000-0005-0000-0000-0000F86A0000}"/>
    <cellStyle name="Normal 346 6 2" xfId="27638" xr:uid="{00000000-0005-0000-0000-0000F96A0000}"/>
    <cellStyle name="Normal 346 6 2 2" xfId="27639" xr:uid="{00000000-0005-0000-0000-0000FA6A0000}"/>
    <cellStyle name="Normal 346 6 3" xfId="27640" xr:uid="{00000000-0005-0000-0000-0000FB6A0000}"/>
    <cellStyle name="Normal 346 7" xfId="27641" xr:uid="{00000000-0005-0000-0000-0000FC6A0000}"/>
    <cellStyle name="Normal 347" xfId="27642" xr:uid="{00000000-0005-0000-0000-0000FD6A0000}"/>
    <cellStyle name="Normal 347 2" xfId="27643" xr:uid="{00000000-0005-0000-0000-0000FE6A0000}"/>
    <cellStyle name="Normal 347 2 2" xfId="27644" xr:uid="{00000000-0005-0000-0000-0000FF6A0000}"/>
    <cellStyle name="Normal 347 2 2 2" xfId="27645" xr:uid="{00000000-0005-0000-0000-0000006B0000}"/>
    <cellStyle name="Normal 347 2 3" xfId="27646" xr:uid="{00000000-0005-0000-0000-0000016B0000}"/>
    <cellStyle name="Normal 347 2 3 2" xfId="27647" xr:uid="{00000000-0005-0000-0000-0000026B0000}"/>
    <cellStyle name="Normal 347 2 3 2 2" xfId="27648" xr:uid="{00000000-0005-0000-0000-0000036B0000}"/>
    <cellStyle name="Normal 347 2 3 3" xfId="27649" xr:uid="{00000000-0005-0000-0000-0000046B0000}"/>
    <cellStyle name="Normal 347 2 4" xfId="27650" xr:uid="{00000000-0005-0000-0000-0000056B0000}"/>
    <cellStyle name="Normal 347 2 4 2" xfId="27651" xr:uid="{00000000-0005-0000-0000-0000066B0000}"/>
    <cellStyle name="Normal 347 2 4 2 2" xfId="27652" xr:uid="{00000000-0005-0000-0000-0000076B0000}"/>
    <cellStyle name="Normal 347 2 4 3" xfId="27653" xr:uid="{00000000-0005-0000-0000-0000086B0000}"/>
    <cellStyle name="Normal 347 2 5" xfId="27654" xr:uid="{00000000-0005-0000-0000-0000096B0000}"/>
    <cellStyle name="Normal 347 3" xfId="27655" xr:uid="{00000000-0005-0000-0000-00000A6B0000}"/>
    <cellStyle name="Normal 347 3 2" xfId="27656" xr:uid="{00000000-0005-0000-0000-00000B6B0000}"/>
    <cellStyle name="Normal 347 3 2 2" xfId="27657" xr:uid="{00000000-0005-0000-0000-00000C6B0000}"/>
    <cellStyle name="Normal 347 3 2 2 2" xfId="27658" xr:uid="{00000000-0005-0000-0000-00000D6B0000}"/>
    <cellStyle name="Normal 347 3 2 3" xfId="27659" xr:uid="{00000000-0005-0000-0000-00000E6B0000}"/>
    <cellStyle name="Normal 347 3 2 3 2" xfId="27660" xr:uid="{00000000-0005-0000-0000-00000F6B0000}"/>
    <cellStyle name="Normal 347 3 2 3 2 2" xfId="27661" xr:uid="{00000000-0005-0000-0000-0000106B0000}"/>
    <cellStyle name="Normal 347 3 2 3 3" xfId="27662" xr:uid="{00000000-0005-0000-0000-0000116B0000}"/>
    <cellStyle name="Normal 347 3 2 4" xfId="27663" xr:uid="{00000000-0005-0000-0000-0000126B0000}"/>
    <cellStyle name="Normal 347 3 3" xfId="27664" xr:uid="{00000000-0005-0000-0000-0000136B0000}"/>
    <cellStyle name="Normal 347 3 3 2" xfId="27665" xr:uid="{00000000-0005-0000-0000-0000146B0000}"/>
    <cellStyle name="Normal 347 3 3 2 2" xfId="27666" xr:uid="{00000000-0005-0000-0000-0000156B0000}"/>
    <cellStyle name="Normal 347 3 3 3" xfId="27667" xr:uid="{00000000-0005-0000-0000-0000166B0000}"/>
    <cellStyle name="Normal 347 3 4" xfId="27668" xr:uid="{00000000-0005-0000-0000-0000176B0000}"/>
    <cellStyle name="Normal 347 3 4 2" xfId="27669" xr:uid="{00000000-0005-0000-0000-0000186B0000}"/>
    <cellStyle name="Normal 347 3 4 2 2" xfId="27670" xr:uid="{00000000-0005-0000-0000-0000196B0000}"/>
    <cellStyle name="Normal 347 3 4 3" xfId="27671" xr:uid="{00000000-0005-0000-0000-00001A6B0000}"/>
    <cellStyle name="Normal 347 3 5" xfId="27672" xr:uid="{00000000-0005-0000-0000-00001B6B0000}"/>
    <cellStyle name="Normal 347 3 5 2" xfId="27673" xr:uid="{00000000-0005-0000-0000-00001C6B0000}"/>
    <cellStyle name="Normal 347 3 5 2 2" xfId="27674" xr:uid="{00000000-0005-0000-0000-00001D6B0000}"/>
    <cellStyle name="Normal 347 3 5 3" xfId="27675" xr:uid="{00000000-0005-0000-0000-00001E6B0000}"/>
    <cellStyle name="Normal 347 3 6" xfId="27676" xr:uid="{00000000-0005-0000-0000-00001F6B0000}"/>
    <cellStyle name="Normal 347 4" xfId="27677" xr:uid="{00000000-0005-0000-0000-0000206B0000}"/>
    <cellStyle name="Normal 347 4 2" xfId="27678" xr:uid="{00000000-0005-0000-0000-0000216B0000}"/>
    <cellStyle name="Normal 347 4 2 2" xfId="27679" xr:uid="{00000000-0005-0000-0000-0000226B0000}"/>
    <cellStyle name="Normal 347 4 3" xfId="27680" xr:uid="{00000000-0005-0000-0000-0000236B0000}"/>
    <cellStyle name="Normal 347 5" xfId="27681" xr:uid="{00000000-0005-0000-0000-0000246B0000}"/>
    <cellStyle name="Normal 347 5 2" xfId="27682" xr:uid="{00000000-0005-0000-0000-0000256B0000}"/>
    <cellStyle name="Normal 347 5 2 2" xfId="27683" xr:uid="{00000000-0005-0000-0000-0000266B0000}"/>
    <cellStyle name="Normal 347 5 3" xfId="27684" xr:uid="{00000000-0005-0000-0000-0000276B0000}"/>
    <cellStyle name="Normal 347 6" xfId="27685" xr:uid="{00000000-0005-0000-0000-0000286B0000}"/>
    <cellStyle name="Normal 347 6 2" xfId="27686" xr:uid="{00000000-0005-0000-0000-0000296B0000}"/>
    <cellStyle name="Normal 347 6 2 2" xfId="27687" xr:uid="{00000000-0005-0000-0000-00002A6B0000}"/>
    <cellStyle name="Normal 347 6 3" xfId="27688" xr:uid="{00000000-0005-0000-0000-00002B6B0000}"/>
    <cellStyle name="Normal 347 7" xfId="27689" xr:uid="{00000000-0005-0000-0000-00002C6B0000}"/>
    <cellStyle name="Normal 348" xfId="27690" xr:uid="{00000000-0005-0000-0000-00002D6B0000}"/>
    <cellStyle name="Normal 348 2" xfId="27691" xr:uid="{00000000-0005-0000-0000-00002E6B0000}"/>
    <cellStyle name="Normal 348 2 2" xfId="27692" xr:uid="{00000000-0005-0000-0000-00002F6B0000}"/>
    <cellStyle name="Normal 348 2 2 2" xfId="27693" xr:uid="{00000000-0005-0000-0000-0000306B0000}"/>
    <cellStyle name="Normal 348 2 3" xfId="27694" xr:uid="{00000000-0005-0000-0000-0000316B0000}"/>
    <cellStyle name="Normal 348 2 3 2" xfId="27695" xr:uid="{00000000-0005-0000-0000-0000326B0000}"/>
    <cellStyle name="Normal 348 2 3 2 2" xfId="27696" xr:uid="{00000000-0005-0000-0000-0000336B0000}"/>
    <cellStyle name="Normal 348 2 3 3" xfId="27697" xr:uid="{00000000-0005-0000-0000-0000346B0000}"/>
    <cellStyle name="Normal 348 2 4" xfId="27698" xr:uid="{00000000-0005-0000-0000-0000356B0000}"/>
    <cellStyle name="Normal 348 2 4 2" xfId="27699" xr:uid="{00000000-0005-0000-0000-0000366B0000}"/>
    <cellStyle name="Normal 348 2 4 2 2" xfId="27700" xr:uid="{00000000-0005-0000-0000-0000376B0000}"/>
    <cellStyle name="Normal 348 2 4 3" xfId="27701" xr:uid="{00000000-0005-0000-0000-0000386B0000}"/>
    <cellStyle name="Normal 348 2 5" xfId="27702" xr:uid="{00000000-0005-0000-0000-0000396B0000}"/>
    <cellStyle name="Normal 348 3" xfId="27703" xr:uid="{00000000-0005-0000-0000-00003A6B0000}"/>
    <cellStyle name="Normal 348 3 2" xfId="27704" xr:uid="{00000000-0005-0000-0000-00003B6B0000}"/>
    <cellStyle name="Normal 348 3 2 2" xfId="27705" xr:uid="{00000000-0005-0000-0000-00003C6B0000}"/>
    <cellStyle name="Normal 348 3 2 2 2" xfId="27706" xr:uid="{00000000-0005-0000-0000-00003D6B0000}"/>
    <cellStyle name="Normal 348 3 2 3" xfId="27707" xr:uid="{00000000-0005-0000-0000-00003E6B0000}"/>
    <cellStyle name="Normal 348 3 2 3 2" xfId="27708" xr:uid="{00000000-0005-0000-0000-00003F6B0000}"/>
    <cellStyle name="Normal 348 3 2 3 2 2" xfId="27709" xr:uid="{00000000-0005-0000-0000-0000406B0000}"/>
    <cellStyle name="Normal 348 3 2 3 3" xfId="27710" xr:uid="{00000000-0005-0000-0000-0000416B0000}"/>
    <cellStyle name="Normal 348 3 2 4" xfId="27711" xr:uid="{00000000-0005-0000-0000-0000426B0000}"/>
    <cellStyle name="Normal 348 3 3" xfId="27712" xr:uid="{00000000-0005-0000-0000-0000436B0000}"/>
    <cellStyle name="Normal 348 3 3 2" xfId="27713" xr:uid="{00000000-0005-0000-0000-0000446B0000}"/>
    <cellStyle name="Normal 348 3 3 2 2" xfId="27714" xr:uid="{00000000-0005-0000-0000-0000456B0000}"/>
    <cellStyle name="Normal 348 3 3 3" xfId="27715" xr:uid="{00000000-0005-0000-0000-0000466B0000}"/>
    <cellStyle name="Normal 348 3 4" xfId="27716" xr:uid="{00000000-0005-0000-0000-0000476B0000}"/>
    <cellStyle name="Normal 348 3 4 2" xfId="27717" xr:uid="{00000000-0005-0000-0000-0000486B0000}"/>
    <cellStyle name="Normal 348 3 4 2 2" xfId="27718" xr:uid="{00000000-0005-0000-0000-0000496B0000}"/>
    <cellStyle name="Normal 348 3 4 3" xfId="27719" xr:uid="{00000000-0005-0000-0000-00004A6B0000}"/>
    <cellStyle name="Normal 348 3 5" xfId="27720" xr:uid="{00000000-0005-0000-0000-00004B6B0000}"/>
    <cellStyle name="Normal 348 3 5 2" xfId="27721" xr:uid="{00000000-0005-0000-0000-00004C6B0000}"/>
    <cellStyle name="Normal 348 3 5 2 2" xfId="27722" xr:uid="{00000000-0005-0000-0000-00004D6B0000}"/>
    <cellStyle name="Normal 348 3 5 3" xfId="27723" xr:uid="{00000000-0005-0000-0000-00004E6B0000}"/>
    <cellStyle name="Normal 348 3 6" xfId="27724" xr:uid="{00000000-0005-0000-0000-00004F6B0000}"/>
    <cellStyle name="Normal 348 4" xfId="27725" xr:uid="{00000000-0005-0000-0000-0000506B0000}"/>
    <cellStyle name="Normal 348 4 2" xfId="27726" xr:uid="{00000000-0005-0000-0000-0000516B0000}"/>
    <cellStyle name="Normal 348 4 2 2" xfId="27727" xr:uid="{00000000-0005-0000-0000-0000526B0000}"/>
    <cellStyle name="Normal 348 4 3" xfId="27728" xr:uid="{00000000-0005-0000-0000-0000536B0000}"/>
    <cellStyle name="Normal 348 5" xfId="27729" xr:uid="{00000000-0005-0000-0000-0000546B0000}"/>
    <cellStyle name="Normal 348 5 2" xfId="27730" xr:uid="{00000000-0005-0000-0000-0000556B0000}"/>
    <cellStyle name="Normal 348 5 2 2" xfId="27731" xr:uid="{00000000-0005-0000-0000-0000566B0000}"/>
    <cellStyle name="Normal 348 5 3" xfId="27732" xr:uid="{00000000-0005-0000-0000-0000576B0000}"/>
    <cellStyle name="Normal 348 6" xfId="27733" xr:uid="{00000000-0005-0000-0000-0000586B0000}"/>
    <cellStyle name="Normal 348 6 2" xfId="27734" xr:uid="{00000000-0005-0000-0000-0000596B0000}"/>
    <cellStyle name="Normal 348 6 2 2" xfId="27735" xr:uid="{00000000-0005-0000-0000-00005A6B0000}"/>
    <cellStyle name="Normal 348 6 3" xfId="27736" xr:uid="{00000000-0005-0000-0000-00005B6B0000}"/>
    <cellStyle name="Normal 348 7" xfId="27737" xr:uid="{00000000-0005-0000-0000-00005C6B0000}"/>
    <cellStyle name="Normal 349" xfId="27738" xr:uid="{00000000-0005-0000-0000-00005D6B0000}"/>
    <cellStyle name="Normal 349 2" xfId="27739" xr:uid="{00000000-0005-0000-0000-00005E6B0000}"/>
    <cellStyle name="Normal 349 2 2" xfId="27740" xr:uid="{00000000-0005-0000-0000-00005F6B0000}"/>
    <cellStyle name="Normal 349 2 2 2" xfId="27741" xr:uid="{00000000-0005-0000-0000-0000606B0000}"/>
    <cellStyle name="Normal 349 2 3" xfId="27742" xr:uid="{00000000-0005-0000-0000-0000616B0000}"/>
    <cellStyle name="Normal 349 2 3 2" xfId="27743" xr:uid="{00000000-0005-0000-0000-0000626B0000}"/>
    <cellStyle name="Normal 349 2 3 2 2" xfId="27744" xr:uid="{00000000-0005-0000-0000-0000636B0000}"/>
    <cellStyle name="Normal 349 2 3 3" xfId="27745" xr:uid="{00000000-0005-0000-0000-0000646B0000}"/>
    <cellStyle name="Normal 349 2 4" xfId="27746" xr:uid="{00000000-0005-0000-0000-0000656B0000}"/>
    <cellStyle name="Normal 349 2 4 2" xfId="27747" xr:uid="{00000000-0005-0000-0000-0000666B0000}"/>
    <cellStyle name="Normal 349 2 4 2 2" xfId="27748" xr:uid="{00000000-0005-0000-0000-0000676B0000}"/>
    <cellStyle name="Normal 349 2 4 3" xfId="27749" xr:uid="{00000000-0005-0000-0000-0000686B0000}"/>
    <cellStyle name="Normal 349 2 5" xfId="27750" xr:uid="{00000000-0005-0000-0000-0000696B0000}"/>
    <cellStyle name="Normal 349 3" xfId="27751" xr:uid="{00000000-0005-0000-0000-00006A6B0000}"/>
    <cellStyle name="Normal 349 3 2" xfId="27752" xr:uid="{00000000-0005-0000-0000-00006B6B0000}"/>
    <cellStyle name="Normal 349 3 2 2" xfId="27753" xr:uid="{00000000-0005-0000-0000-00006C6B0000}"/>
    <cellStyle name="Normal 349 3 2 2 2" xfId="27754" xr:uid="{00000000-0005-0000-0000-00006D6B0000}"/>
    <cellStyle name="Normal 349 3 2 3" xfId="27755" xr:uid="{00000000-0005-0000-0000-00006E6B0000}"/>
    <cellStyle name="Normal 349 3 2 3 2" xfId="27756" xr:uid="{00000000-0005-0000-0000-00006F6B0000}"/>
    <cellStyle name="Normal 349 3 2 3 2 2" xfId="27757" xr:uid="{00000000-0005-0000-0000-0000706B0000}"/>
    <cellStyle name="Normal 349 3 2 3 3" xfId="27758" xr:uid="{00000000-0005-0000-0000-0000716B0000}"/>
    <cellStyle name="Normal 349 3 2 4" xfId="27759" xr:uid="{00000000-0005-0000-0000-0000726B0000}"/>
    <cellStyle name="Normal 349 3 3" xfId="27760" xr:uid="{00000000-0005-0000-0000-0000736B0000}"/>
    <cellStyle name="Normal 349 3 3 2" xfId="27761" xr:uid="{00000000-0005-0000-0000-0000746B0000}"/>
    <cellStyle name="Normal 349 3 3 2 2" xfId="27762" xr:uid="{00000000-0005-0000-0000-0000756B0000}"/>
    <cellStyle name="Normal 349 3 3 3" xfId="27763" xr:uid="{00000000-0005-0000-0000-0000766B0000}"/>
    <cellStyle name="Normal 349 3 4" xfId="27764" xr:uid="{00000000-0005-0000-0000-0000776B0000}"/>
    <cellStyle name="Normal 349 3 4 2" xfId="27765" xr:uid="{00000000-0005-0000-0000-0000786B0000}"/>
    <cellStyle name="Normal 349 3 4 2 2" xfId="27766" xr:uid="{00000000-0005-0000-0000-0000796B0000}"/>
    <cellStyle name="Normal 349 3 4 3" xfId="27767" xr:uid="{00000000-0005-0000-0000-00007A6B0000}"/>
    <cellStyle name="Normal 349 3 5" xfId="27768" xr:uid="{00000000-0005-0000-0000-00007B6B0000}"/>
    <cellStyle name="Normal 349 3 5 2" xfId="27769" xr:uid="{00000000-0005-0000-0000-00007C6B0000}"/>
    <cellStyle name="Normal 349 3 5 2 2" xfId="27770" xr:uid="{00000000-0005-0000-0000-00007D6B0000}"/>
    <cellStyle name="Normal 349 3 5 3" xfId="27771" xr:uid="{00000000-0005-0000-0000-00007E6B0000}"/>
    <cellStyle name="Normal 349 3 6" xfId="27772" xr:uid="{00000000-0005-0000-0000-00007F6B0000}"/>
    <cellStyle name="Normal 349 4" xfId="27773" xr:uid="{00000000-0005-0000-0000-0000806B0000}"/>
    <cellStyle name="Normal 349 4 2" xfId="27774" xr:uid="{00000000-0005-0000-0000-0000816B0000}"/>
    <cellStyle name="Normal 349 4 2 2" xfId="27775" xr:uid="{00000000-0005-0000-0000-0000826B0000}"/>
    <cellStyle name="Normal 349 4 3" xfId="27776" xr:uid="{00000000-0005-0000-0000-0000836B0000}"/>
    <cellStyle name="Normal 349 5" xfId="27777" xr:uid="{00000000-0005-0000-0000-0000846B0000}"/>
    <cellStyle name="Normal 349 5 2" xfId="27778" xr:uid="{00000000-0005-0000-0000-0000856B0000}"/>
    <cellStyle name="Normal 349 5 2 2" xfId="27779" xr:uid="{00000000-0005-0000-0000-0000866B0000}"/>
    <cellStyle name="Normal 349 5 3" xfId="27780" xr:uid="{00000000-0005-0000-0000-0000876B0000}"/>
    <cellStyle name="Normal 349 6" xfId="27781" xr:uid="{00000000-0005-0000-0000-0000886B0000}"/>
    <cellStyle name="Normal 349 6 2" xfId="27782" xr:uid="{00000000-0005-0000-0000-0000896B0000}"/>
    <cellStyle name="Normal 349 6 2 2" xfId="27783" xr:uid="{00000000-0005-0000-0000-00008A6B0000}"/>
    <cellStyle name="Normal 349 6 3" xfId="27784" xr:uid="{00000000-0005-0000-0000-00008B6B0000}"/>
    <cellStyle name="Normal 349 7" xfId="27785" xr:uid="{00000000-0005-0000-0000-00008C6B0000}"/>
    <cellStyle name="Normal 35" xfId="27786" xr:uid="{00000000-0005-0000-0000-00008D6B0000}"/>
    <cellStyle name="Normal 35 2" xfId="27787" xr:uid="{00000000-0005-0000-0000-00008E6B0000}"/>
    <cellStyle name="Normal 35 2 2" xfId="27788" xr:uid="{00000000-0005-0000-0000-00008F6B0000}"/>
    <cellStyle name="Normal 35 2 2 2" xfId="27789" xr:uid="{00000000-0005-0000-0000-0000906B0000}"/>
    <cellStyle name="Normal 35 2 2 2 2" xfId="27790" xr:uid="{00000000-0005-0000-0000-0000916B0000}"/>
    <cellStyle name="Normal 35 2 2 3" xfId="27791" xr:uid="{00000000-0005-0000-0000-0000926B0000}"/>
    <cellStyle name="Normal 35 2 2 3 2" xfId="27792" xr:uid="{00000000-0005-0000-0000-0000936B0000}"/>
    <cellStyle name="Normal 35 2 2 3 2 2" xfId="27793" xr:uid="{00000000-0005-0000-0000-0000946B0000}"/>
    <cellStyle name="Normal 35 2 2 3 3" xfId="27794" xr:uid="{00000000-0005-0000-0000-0000956B0000}"/>
    <cellStyle name="Normal 35 2 2 4" xfId="27795" xr:uid="{00000000-0005-0000-0000-0000966B0000}"/>
    <cellStyle name="Normal 35 2 2 4 2" xfId="27796" xr:uid="{00000000-0005-0000-0000-0000976B0000}"/>
    <cellStyle name="Normal 35 2 2 4 2 2" xfId="27797" xr:uid="{00000000-0005-0000-0000-0000986B0000}"/>
    <cellStyle name="Normal 35 2 2 4 3" xfId="27798" xr:uid="{00000000-0005-0000-0000-0000996B0000}"/>
    <cellStyle name="Normal 35 2 2 5" xfId="27799" xr:uid="{00000000-0005-0000-0000-00009A6B0000}"/>
    <cellStyle name="Normal 35 2 3" xfId="27800" xr:uid="{00000000-0005-0000-0000-00009B6B0000}"/>
    <cellStyle name="Normal 35 2 3 2" xfId="27801" xr:uid="{00000000-0005-0000-0000-00009C6B0000}"/>
    <cellStyle name="Normal 35 2 3 2 2" xfId="27802" xr:uid="{00000000-0005-0000-0000-00009D6B0000}"/>
    <cellStyle name="Normal 35 2 3 3" xfId="27803" xr:uid="{00000000-0005-0000-0000-00009E6B0000}"/>
    <cellStyle name="Normal 35 2 4" xfId="27804" xr:uid="{00000000-0005-0000-0000-00009F6B0000}"/>
    <cellStyle name="Normal 35 2 4 2" xfId="27805" xr:uid="{00000000-0005-0000-0000-0000A06B0000}"/>
    <cellStyle name="Normal 35 2 4 2 2" xfId="27806" xr:uid="{00000000-0005-0000-0000-0000A16B0000}"/>
    <cellStyle name="Normal 35 2 4 3" xfId="27807" xr:uid="{00000000-0005-0000-0000-0000A26B0000}"/>
    <cellStyle name="Normal 35 2 5" xfId="27808" xr:uid="{00000000-0005-0000-0000-0000A36B0000}"/>
    <cellStyle name="Normal 35 2 5 2" xfId="27809" xr:uid="{00000000-0005-0000-0000-0000A46B0000}"/>
    <cellStyle name="Normal 35 2 5 2 2" xfId="27810" xr:uid="{00000000-0005-0000-0000-0000A56B0000}"/>
    <cellStyle name="Normal 35 2 5 3" xfId="27811" xr:uid="{00000000-0005-0000-0000-0000A66B0000}"/>
    <cellStyle name="Normal 35 2 6" xfId="27812" xr:uid="{00000000-0005-0000-0000-0000A76B0000}"/>
    <cellStyle name="Normal 35 3" xfId="27813" xr:uid="{00000000-0005-0000-0000-0000A86B0000}"/>
    <cellStyle name="Normal 35 3 2" xfId="27814" xr:uid="{00000000-0005-0000-0000-0000A96B0000}"/>
    <cellStyle name="Normal 35 3 2 2" xfId="27815" xr:uid="{00000000-0005-0000-0000-0000AA6B0000}"/>
    <cellStyle name="Normal 35 3 3" xfId="27816" xr:uid="{00000000-0005-0000-0000-0000AB6B0000}"/>
    <cellStyle name="Normal 35 3 3 2" xfId="27817" xr:uid="{00000000-0005-0000-0000-0000AC6B0000}"/>
    <cellStyle name="Normal 35 3 3 2 2" xfId="27818" xr:uid="{00000000-0005-0000-0000-0000AD6B0000}"/>
    <cellStyle name="Normal 35 3 3 3" xfId="27819" xr:uid="{00000000-0005-0000-0000-0000AE6B0000}"/>
    <cellStyle name="Normal 35 3 4" xfId="27820" xr:uid="{00000000-0005-0000-0000-0000AF6B0000}"/>
    <cellStyle name="Normal 35 3 4 2" xfId="27821" xr:uid="{00000000-0005-0000-0000-0000B06B0000}"/>
    <cellStyle name="Normal 35 3 4 2 2" xfId="27822" xr:uid="{00000000-0005-0000-0000-0000B16B0000}"/>
    <cellStyle name="Normal 35 3 4 3" xfId="27823" xr:uid="{00000000-0005-0000-0000-0000B26B0000}"/>
    <cellStyle name="Normal 35 3 5" xfId="27824" xr:uid="{00000000-0005-0000-0000-0000B36B0000}"/>
    <cellStyle name="Normal 35 4" xfId="27825" xr:uid="{00000000-0005-0000-0000-0000B46B0000}"/>
    <cellStyle name="Normal 35 4 2" xfId="27826" xr:uid="{00000000-0005-0000-0000-0000B56B0000}"/>
    <cellStyle name="Normal 35 4 2 2" xfId="27827" xr:uid="{00000000-0005-0000-0000-0000B66B0000}"/>
    <cellStyle name="Normal 35 4 3" xfId="27828" xr:uid="{00000000-0005-0000-0000-0000B76B0000}"/>
    <cellStyle name="Normal 35 5" xfId="27829" xr:uid="{00000000-0005-0000-0000-0000B86B0000}"/>
    <cellStyle name="Normal 35 5 2" xfId="27830" xr:uid="{00000000-0005-0000-0000-0000B96B0000}"/>
    <cellStyle name="Normal 35 5 2 2" xfId="27831" xr:uid="{00000000-0005-0000-0000-0000BA6B0000}"/>
    <cellStyle name="Normal 35 5 3" xfId="27832" xr:uid="{00000000-0005-0000-0000-0000BB6B0000}"/>
    <cellStyle name="Normal 35 6" xfId="27833" xr:uid="{00000000-0005-0000-0000-0000BC6B0000}"/>
    <cellStyle name="Normal 35 6 2" xfId="27834" xr:uid="{00000000-0005-0000-0000-0000BD6B0000}"/>
    <cellStyle name="Normal 35 6 2 2" xfId="27835" xr:uid="{00000000-0005-0000-0000-0000BE6B0000}"/>
    <cellStyle name="Normal 35 6 3" xfId="27836" xr:uid="{00000000-0005-0000-0000-0000BF6B0000}"/>
    <cellStyle name="Normal 35 7" xfId="27837" xr:uid="{00000000-0005-0000-0000-0000C06B0000}"/>
    <cellStyle name="Normal 350" xfId="27838" xr:uid="{00000000-0005-0000-0000-0000C16B0000}"/>
    <cellStyle name="Normal 350 2" xfId="27839" xr:uid="{00000000-0005-0000-0000-0000C26B0000}"/>
    <cellStyle name="Normal 350 2 2" xfId="27840" xr:uid="{00000000-0005-0000-0000-0000C36B0000}"/>
    <cellStyle name="Normal 350 2 2 2" xfId="27841" xr:uid="{00000000-0005-0000-0000-0000C46B0000}"/>
    <cellStyle name="Normal 350 2 3" xfId="27842" xr:uid="{00000000-0005-0000-0000-0000C56B0000}"/>
    <cellStyle name="Normal 350 2 3 2" xfId="27843" xr:uid="{00000000-0005-0000-0000-0000C66B0000}"/>
    <cellStyle name="Normal 350 2 3 2 2" xfId="27844" xr:uid="{00000000-0005-0000-0000-0000C76B0000}"/>
    <cellStyle name="Normal 350 2 3 3" xfId="27845" xr:uid="{00000000-0005-0000-0000-0000C86B0000}"/>
    <cellStyle name="Normal 350 2 4" xfId="27846" xr:uid="{00000000-0005-0000-0000-0000C96B0000}"/>
    <cellStyle name="Normal 350 2 4 2" xfId="27847" xr:uid="{00000000-0005-0000-0000-0000CA6B0000}"/>
    <cellStyle name="Normal 350 2 4 2 2" xfId="27848" xr:uid="{00000000-0005-0000-0000-0000CB6B0000}"/>
    <cellStyle name="Normal 350 2 4 3" xfId="27849" xr:uid="{00000000-0005-0000-0000-0000CC6B0000}"/>
    <cellStyle name="Normal 350 2 5" xfId="27850" xr:uid="{00000000-0005-0000-0000-0000CD6B0000}"/>
    <cellStyle name="Normal 350 3" xfId="27851" xr:uid="{00000000-0005-0000-0000-0000CE6B0000}"/>
    <cellStyle name="Normal 350 3 2" xfId="27852" xr:uid="{00000000-0005-0000-0000-0000CF6B0000}"/>
    <cellStyle name="Normal 350 3 2 2" xfId="27853" xr:uid="{00000000-0005-0000-0000-0000D06B0000}"/>
    <cellStyle name="Normal 350 3 2 2 2" xfId="27854" xr:uid="{00000000-0005-0000-0000-0000D16B0000}"/>
    <cellStyle name="Normal 350 3 2 3" xfId="27855" xr:uid="{00000000-0005-0000-0000-0000D26B0000}"/>
    <cellStyle name="Normal 350 3 2 3 2" xfId="27856" xr:uid="{00000000-0005-0000-0000-0000D36B0000}"/>
    <cellStyle name="Normal 350 3 2 3 2 2" xfId="27857" xr:uid="{00000000-0005-0000-0000-0000D46B0000}"/>
    <cellStyle name="Normal 350 3 2 3 3" xfId="27858" xr:uid="{00000000-0005-0000-0000-0000D56B0000}"/>
    <cellStyle name="Normal 350 3 2 4" xfId="27859" xr:uid="{00000000-0005-0000-0000-0000D66B0000}"/>
    <cellStyle name="Normal 350 3 3" xfId="27860" xr:uid="{00000000-0005-0000-0000-0000D76B0000}"/>
    <cellStyle name="Normal 350 3 3 2" xfId="27861" xr:uid="{00000000-0005-0000-0000-0000D86B0000}"/>
    <cellStyle name="Normal 350 3 3 2 2" xfId="27862" xr:uid="{00000000-0005-0000-0000-0000D96B0000}"/>
    <cellStyle name="Normal 350 3 3 3" xfId="27863" xr:uid="{00000000-0005-0000-0000-0000DA6B0000}"/>
    <cellStyle name="Normal 350 3 4" xfId="27864" xr:uid="{00000000-0005-0000-0000-0000DB6B0000}"/>
    <cellStyle name="Normal 350 3 4 2" xfId="27865" xr:uid="{00000000-0005-0000-0000-0000DC6B0000}"/>
    <cellStyle name="Normal 350 3 4 2 2" xfId="27866" xr:uid="{00000000-0005-0000-0000-0000DD6B0000}"/>
    <cellStyle name="Normal 350 3 4 3" xfId="27867" xr:uid="{00000000-0005-0000-0000-0000DE6B0000}"/>
    <cellStyle name="Normal 350 3 5" xfId="27868" xr:uid="{00000000-0005-0000-0000-0000DF6B0000}"/>
    <cellStyle name="Normal 350 3 5 2" xfId="27869" xr:uid="{00000000-0005-0000-0000-0000E06B0000}"/>
    <cellStyle name="Normal 350 3 5 2 2" xfId="27870" xr:uid="{00000000-0005-0000-0000-0000E16B0000}"/>
    <cellStyle name="Normal 350 3 5 3" xfId="27871" xr:uid="{00000000-0005-0000-0000-0000E26B0000}"/>
    <cellStyle name="Normal 350 3 6" xfId="27872" xr:uid="{00000000-0005-0000-0000-0000E36B0000}"/>
    <cellStyle name="Normal 350 4" xfId="27873" xr:uid="{00000000-0005-0000-0000-0000E46B0000}"/>
    <cellStyle name="Normal 350 4 2" xfId="27874" xr:uid="{00000000-0005-0000-0000-0000E56B0000}"/>
    <cellStyle name="Normal 350 4 2 2" xfId="27875" xr:uid="{00000000-0005-0000-0000-0000E66B0000}"/>
    <cellStyle name="Normal 350 4 3" xfId="27876" xr:uid="{00000000-0005-0000-0000-0000E76B0000}"/>
    <cellStyle name="Normal 350 5" xfId="27877" xr:uid="{00000000-0005-0000-0000-0000E86B0000}"/>
    <cellStyle name="Normal 350 5 2" xfId="27878" xr:uid="{00000000-0005-0000-0000-0000E96B0000}"/>
    <cellStyle name="Normal 350 5 2 2" xfId="27879" xr:uid="{00000000-0005-0000-0000-0000EA6B0000}"/>
    <cellStyle name="Normal 350 5 3" xfId="27880" xr:uid="{00000000-0005-0000-0000-0000EB6B0000}"/>
    <cellStyle name="Normal 350 6" xfId="27881" xr:uid="{00000000-0005-0000-0000-0000EC6B0000}"/>
    <cellStyle name="Normal 350 6 2" xfId="27882" xr:uid="{00000000-0005-0000-0000-0000ED6B0000}"/>
    <cellStyle name="Normal 350 6 2 2" xfId="27883" xr:uid="{00000000-0005-0000-0000-0000EE6B0000}"/>
    <cellStyle name="Normal 350 6 3" xfId="27884" xr:uid="{00000000-0005-0000-0000-0000EF6B0000}"/>
    <cellStyle name="Normal 350 7" xfId="27885" xr:uid="{00000000-0005-0000-0000-0000F06B0000}"/>
    <cellStyle name="Normal 351" xfId="27886" xr:uid="{00000000-0005-0000-0000-0000F16B0000}"/>
    <cellStyle name="Normal 351 2" xfId="27887" xr:uid="{00000000-0005-0000-0000-0000F26B0000}"/>
    <cellStyle name="Normal 351 2 2" xfId="27888" xr:uid="{00000000-0005-0000-0000-0000F36B0000}"/>
    <cellStyle name="Normal 351 2 2 2" xfId="27889" xr:uid="{00000000-0005-0000-0000-0000F46B0000}"/>
    <cellStyle name="Normal 351 2 3" xfId="27890" xr:uid="{00000000-0005-0000-0000-0000F56B0000}"/>
    <cellStyle name="Normal 351 2 3 2" xfId="27891" xr:uid="{00000000-0005-0000-0000-0000F66B0000}"/>
    <cellStyle name="Normal 351 2 3 2 2" xfId="27892" xr:uid="{00000000-0005-0000-0000-0000F76B0000}"/>
    <cellStyle name="Normal 351 2 3 3" xfId="27893" xr:uid="{00000000-0005-0000-0000-0000F86B0000}"/>
    <cellStyle name="Normal 351 2 4" xfId="27894" xr:uid="{00000000-0005-0000-0000-0000F96B0000}"/>
    <cellStyle name="Normal 351 2 4 2" xfId="27895" xr:uid="{00000000-0005-0000-0000-0000FA6B0000}"/>
    <cellStyle name="Normal 351 2 4 2 2" xfId="27896" xr:uid="{00000000-0005-0000-0000-0000FB6B0000}"/>
    <cellStyle name="Normal 351 2 4 3" xfId="27897" xr:uid="{00000000-0005-0000-0000-0000FC6B0000}"/>
    <cellStyle name="Normal 351 2 5" xfId="27898" xr:uid="{00000000-0005-0000-0000-0000FD6B0000}"/>
    <cellStyle name="Normal 351 3" xfId="27899" xr:uid="{00000000-0005-0000-0000-0000FE6B0000}"/>
    <cellStyle name="Normal 351 3 2" xfId="27900" xr:uid="{00000000-0005-0000-0000-0000FF6B0000}"/>
    <cellStyle name="Normal 351 3 2 2" xfId="27901" xr:uid="{00000000-0005-0000-0000-0000006C0000}"/>
    <cellStyle name="Normal 351 3 2 2 2" xfId="27902" xr:uid="{00000000-0005-0000-0000-0000016C0000}"/>
    <cellStyle name="Normal 351 3 2 3" xfId="27903" xr:uid="{00000000-0005-0000-0000-0000026C0000}"/>
    <cellStyle name="Normal 351 3 2 3 2" xfId="27904" xr:uid="{00000000-0005-0000-0000-0000036C0000}"/>
    <cellStyle name="Normal 351 3 2 3 2 2" xfId="27905" xr:uid="{00000000-0005-0000-0000-0000046C0000}"/>
    <cellStyle name="Normal 351 3 2 3 3" xfId="27906" xr:uid="{00000000-0005-0000-0000-0000056C0000}"/>
    <cellStyle name="Normal 351 3 2 4" xfId="27907" xr:uid="{00000000-0005-0000-0000-0000066C0000}"/>
    <cellStyle name="Normal 351 3 3" xfId="27908" xr:uid="{00000000-0005-0000-0000-0000076C0000}"/>
    <cellStyle name="Normal 351 3 3 2" xfId="27909" xr:uid="{00000000-0005-0000-0000-0000086C0000}"/>
    <cellStyle name="Normal 351 3 3 2 2" xfId="27910" xr:uid="{00000000-0005-0000-0000-0000096C0000}"/>
    <cellStyle name="Normal 351 3 3 3" xfId="27911" xr:uid="{00000000-0005-0000-0000-00000A6C0000}"/>
    <cellStyle name="Normal 351 3 4" xfId="27912" xr:uid="{00000000-0005-0000-0000-00000B6C0000}"/>
    <cellStyle name="Normal 351 3 4 2" xfId="27913" xr:uid="{00000000-0005-0000-0000-00000C6C0000}"/>
    <cellStyle name="Normal 351 3 4 2 2" xfId="27914" xr:uid="{00000000-0005-0000-0000-00000D6C0000}"/>
    <cellStyle name="Normal 351 3 4 3" xfId="27915" xr:uid="{00000000-0005-0000-0000-00000E6C0000}"/>
    <cellStyle name="Normal 351 3 5" xfId="27916" xr:uid="{00000000-0005-0000-0000-00000F6C0000}"/>
    <cellStyle name="Normal 351 3 5 2" xfId="27917" xr:uid="{00000000-0005-0000-0000-0000106C0000}"/>
    <cellStyle name="Normal 351 3 5 2 2" xfId="27918" xr:uid="{00000000-0005-0000-0000-0000116C0000}"/>
    <cellStyle name="Normal 351 3 5 3" xfId="27919" xr:uid="{00000000-0005-0000-0000-0000126C0000}"/>
    <cellStyle name="Normal 351 3 6" xfId="27920" xr:uid="{00000000-0005-0000-0000-0000136C0000}"/>
    <cellStyle name="Normal 351 4" xfId="27921" xr:uid="{00000000-0005-0000-0000-0000146C0000}"/>
    <cellStyle name="Normal 351 4 2" xfId="27922" xr:uid="{00000000-0005-0000-0000-0000156C0000}"/>
    <cellStyle name="Normal 351 4 2 2" xfId="27923" xr:uid="{00000000-0005-0000-0000-0000166C0000}"/>
    <cellStyle name="Normal 351 4 3" xfId="27924" xr:uid="{00000000-0005-0000-0000-0000176C0000}"/>
    <cellStyle name="Normal 351 5" xfId="27925" xr:uid="{00000000-0005-0000-0000-0000186C0000}"/>
    <cellStyle name="Normal 351 5 2" xfId="27926" xr:uid="{00000000-0005-0000-0000-0000196C0000}"/>
    <cellStyle name="Normal 351 5 2 2" xfId="27927" xr:uid="{00000000-0005-0000-0000-00001A6C0000}"/>
    <cellStyle name="Normal 351 5 3" xfId="27928" xr:uid="{00000000-0005-0000-0000-00001B6C0000}"/>
    <cellStyle name="Normal 351 6" xfId="27929" xr:uid="{00000000-0005-0000-0000-00001C6C0000}"/>
    <cellStyle name="Normal 351 6 2" xfId="27930" xr:uid="{00000000-0005-0000-0000-00001D6C0000}"/>
    <cellStyle name="Normal 351 6 2 2" xfId="27931" xr:uid="{00000000-0005-0000-0000-00001E6C0000}"/>
    <cellStyle name="Normal 351 6 3" xfId="27932" xr:uid="{00000000-0005-0000-0000-00001F6C0000}"/>
    <cellStyle name="Normal 351 7" xfId="27933" xr:uid="{00000000-0005-0000-0000-0000206C0000}"/>
    <cellStyle name="Normal 352" xfId="27934" xr:uid="{00000000-0005-0000-0000-0000216C0000}"/>
    <cellStyle name="Normal 352 2" xfId="27935" xr:uid="{00000000-0005-0000-0000-0000226C0000}"/>
    <cellStyle name="Normal 352 2 2" xfId="27936" xr:uid="{00000000-0005-0000-0000-0000236C0000}"/>
    <cellStyle name="Normal 352 2 2 2" xfId="27937" xr:uid="{00000000-0005-0000-0000-0000246C0000}"/>
    <cellStyle name="Normal 352 2 3" xfId="27938" xr:uid="{00000000-0005-0000-0000-0000256C0000}"/>
    <cellStyle name="Normal 352 2 3 2" xfId="27939" xr:uid="{00000000-0005-0000-0000-0000266C0000}"/>
    <cellStyle name="Normal 352 2 3 2 2" xfId="27940" xr:uid="{00000000-0005-0000-0000-0000276C0000}"/>
    <cellStyle name="Normal 352 2 3 3" xfId="27941" xr:uid="{00000000-0005-0000-0000-0000286C0000}"/>
    <cellStyle name="Normal 352 2 4" xfId="27942" xr:uid="{00000000-0005-0000-0000-0000296C0000}"/>
    <cellStyle name="Normal 352 2 4 2" xfId="27943" xr:uid="{00000000-0005-0000-0000-00002A6C0000}"/>
    <cellStyle name="Normal 352 2 4 2 2" xfId="27944" xr:uid="{00000000-0005-0000-0000-00002B6C0000}"/>
    <cellStyle name="Normal 352 2 4 3" xfId="27945" xr:uid="{00000000-0005-0000-0000-00002C6C0000}"/>
    <cellStyle name="Normal 352 2 5" xfId="27946" xr:uid="{00000000-0005-0000-0000-00002D6C0000}"/>
    <cellStyle name="Normal 352 3" xfId="27947" xr:uid="{00000000-0005-0000-0000-00002E6C0000}"/>
    <cellStyle name="Normal 352 3 2" xfId="27948" xr:uid="{00000000-0005-0000-0000-00002F6C0000}"/>
    <cellStyle name="Normal 352 3 2 2" xfId="27949" xr:uid="{00000000-0005-0000-0000-0000306C0000}"/>
    <cellStyle name="Normal 352 3 2 2 2" xfId="27950" xr:uid="{00000000-0005-0000-0000-0000316C0000}"/>
    <cellStyle name="Normal 352 3 2 3" xfId="27951" xr:uid="{00000000-0005-0000-0000-0000326C0000}"/>
    <cellStyle name="Normal 352 3 2 3 2" xfId="27952" xr:uid="{00000000-0005-0000-0000-0000336C0000}"/>
    <cellStyle name="Normal 352 3 2 3 2 2" xfId="27953" xr:uid="{00000000-0005-0000-0000-0000346C0000}"/>
    <cellStyle name="Normal 352 3 2 3 3" xfId="27954" xr:uid="{00000000-0005-0000-0000-0000356C0000}"/>
    <cellStyle name="Normal 352 3 2 4" xfId="27955" xr:uid="{00000000-0005-0000-0000-0000366C0000}"/>
    <cellStyle name="Normal 352 3 3" xfId="27956" xr:uid="{00000000-0005-0000-0000-0000376C0000}"/>
    <cellStyle name="Normal 352 3 3 2" xfId="27957" xr:uid="{00000000-0005-0000-0000-0000386C0000}"/>
    <cellStyle name="Normal 352 3 3 2 2" xfId="27958" xr:uid="{00000000-0005-0000-0000-0000396C0000}"/>
    <cellStyle name="Normal 352 3 3 3" xfId="27959" xr:uid="{00000000-0005-0000-0000-00003A6C0000}"/>
    <cellStyle name="Normal 352 3 4" xfId="27960" xr:uid="{00000000-0005-0000-0000-00003B6C0000}"/>
    <cellStyle name="Normal 352 3 4 2" xfId="27961" xr:uid="{00000000-0005-0000-0000-00003C6C0000}"/>
    <cellStyle name="Normal 352 3 4 2 2" xfId="27962" xr:uid="{00000000-0005-0000-0000-00003D6C0000}"/>
    <cellStyle name="Normal 352 3 4 3" xfId="27963" xr:uid="{00000000-0005-0000-0000-00003E6C0000}"/>
    <cellStyle name="Normal 352 3 5" xfId="27964" xr:uid="{00000000-0005-0000-0000-00003F6C0000}"/>
    <cellStyle name="Normal 352 3 5 2" xfId="27965" xr:uid="{00000000-0005-0000-0000-0000406C0000}"/>
    <cellStyle name="Normal 352 3 5 2 2" xfId="27966" xr:uid="{00000000-0005-0000-0000-0000416C0000}"/>
    <cellStyle name="Normal 352 3 5 3" xfId="27967" xr:uid="{00000000-0005-0000-0000-0000426C0000}"/>
    <cellStyle name="Normal 352 3 6" xfId="27968" xr:uid="{00000000-0005-0000-0000-0000436C0000}"/>
    <cellStyle name="Normal 352 4" xfId="27969" xr:uid="{00000000-0005-0000-0000-0000446C0000}"/>
    <cellStyle name="Normal 352 4 2" xfId="27970" xr:uid="{00000000-0005-0000-0000-0000456C0000}"/>
    <cellStyle name="Normal 352 4 2 2" xfId="27971" xr:uid="{00000000-0005-0000-0000-0000466C0000}"/>
    <cellStyle name="Normal 352 4 3" xfId="27972" xr:uid="{00000000-0005-0000-0000-0000476C0000}"/>
    <cellStyle name="Normal 352 5" xfId="27973" xr:uid="{00000000-0005-0000-0000-0000486C0000}"/>
    <cellStyle name="Normal 352 5 2" xfId="27974" xr:uid="{00000000-0005-0000-0000-0000496C0000}"/>
    <cellStyle name="Normal 352 5 2 2" xfId="27975" xr:uid="{00000000-0005-0000-0000-00004A6C0000}"/>
    <cellStyle name="Normal 352 5 3" xfId="27976" xr:uid="{00000000-0005-0000-0000-00004B6C0000}"/>
    <cellStyle name="Normal 352 6" xfId="27977" xr:uid="{00000000-0005-0000-0000-00004C6C0000}"/>
    <cellStyle name="Normal 352 6 2" xfId="27978" xr:uid="{00000000-0005-0000-0000-00004D6C0000}"/>
    <cellStyle name="Normal 352 6 2 2" xfId="27979" xr:uid="{00000000-0005-0000-0000-00004E6C0000}"/>
    <cellStyle name="Normal 352 6 3" xfId="27980" xr:uid="{00000000-0005-0000-0000-00004F6C0000}"/>
    <cellStyle name="Normal 352 7" xfId="27981" xr:uid="{00000000-0005-0000-0000-0000506C0000}"/>
    <cellStyle name="Normal 353" xfId="27982" xr:uid="{00000000-0005-0000-0000-0000516C0000}"/>
    <cellStyle name="Normal 353 2" xfId="27983" xr:uid="{00000000-0005-0000-0000-0000526C0000}"/>
    <cellStyle name="Normal 353 2 2" xfId="27984" xr:uid="{00000000-0005-0000-0000-0000536C0000}"/>
    <cellStyle name="Normal 353 2 2 2" xfId="27985" xr:uid="{00000000-0005-0000-0000-0000546C0000}"/>
    <cellStyle name="Normal 353 2 3" xfId="27986" xr:uid="{00000000-0005-0000-0000-0000556C0000}"/>
    <cellStyle name="Normal 353 2 3 2" xfId="27987" xr:uid="{00000000-0005-0000-0000-0000566C0000}"/>
    <cellStyle name="Normal 353 2 3 2 2" xfId="27988" xr:uid="{00000000-0005-0000-0000-0000576C0000}"/>
    <cellStyle name="Normal 353 2 3 3" xfId="27989" xr:uid="{00000000-0005-0000-0000-0000586C0000}"/>
    <cellStyle name="Normal 353 2 4" xfId="27990" xr:uid="{00000000-0005-0000-0000-0000596C0000}"/>
    <cellStyle name="Normal 353 2 4 2" xfId="27991" xr:uid="{00000000-0005-0000-0000-00005A6C0000}"/>
    <cellStyle name="Normal 353 2 4 2 2" xfId="27992" xr:uid="{00000000-0005-0000-0000-00005B6C0000}"/>
    <cellStyle name="Normal 353 2 4 3" xfId="27993" xr:uid="{00000000-0005-0000-0000-00005C6C0000}"/>
    <cellStyle name="Normal 353 2 5" xfId="27994" xr:uid="{00000000-0005-0000-0000-00005D6C0000}"/>
    <cellStyle name="Normal 353 3" xfId="27995" xr:uid="{00000000-0005-0000-0000-00005E6C0000}"/>
    <cellStyle name="Normal 353 3 2" xfId="27996" xr:uid="{00000000-0005-0000-0000-00005F6C0000}"/>
    <cellStyle name="Normal 353 3 2 2" xfId="27997" xr:uid="{00000000-0005-0000-0000-0000606C0000}"/>
    <cellStyle name="Normal 353 3 2 2 2" xfId="27998" xr:uid="{00000000-0005-0000-0000-0000616C0000}"/>
    <cellStyle name="Normal 353 3 2 3" xfId="27999" xr:uid="{00000000-0005-0000-0000-0000626C0000}"/>
    <cellStyle name="Normal 353 3 2 3 2" xfId="28000" xr:uid="{00000000-0005-0000-0000-0000636C0000}"/>
    <cellStyle name="Normal 353 3 2 3 2 2" xfId="28001" xr:uid="{00000000-0005-0000-0000-0000646C0000}"/>
    <cellStyle name="Normal 353 3 2 3 3" xfId="28002" xr:uid="{00000000-0005-0000-0000-0000656C0000}"/>
    <cellStyle name="Normal 353 3 2 4" xfId="28003" xr:uid="{00000000-0005-0000-0000-0000666C0000}"/>
    <cellStyle name="Normal 353 3 3" xfId="28004" xr:uid="{00000000-0005-0000-0000-0000676C0000}"/>
    <cellStyle name="Normal 353 3 3 2" xfId="28005" xr:uid="{00000000-0005-0000-0000-0000686C0000}"/>
    <cellStyle name="Normal 353 3 3 2 2" xfId="28006" xr:uid="{00000000-0005-0000-0000-0000696C0000}"/>
    <cellStyle name="Normal 353 3 3 3" xfId="28007" xr:uid="{00000000-0005-0000-0000-00006A6C0000}"/>
    <cellStyle name="Normal 353 3 4" xfId="28008" xr:uid="{00000000-0005-0000-0000-00006B6C0000}"/>
    <cellStyle name="Normal 353 3 4 2" xfId="28009" xr:uid="{00000000-0005-0000-0000-00006C6C0000}"/>
    <cellStyle name="Normal 353 3 4 2 2" xfId="28010" xr:uid="{00000000-0005-0000-0000-00006D6C0000}"/>
    <cellStyle name="Normal 353 3 4 3" xfId="28011" xr:uid="{00000000-0005-0000-0000-00006E6C0000}"/>
    <cellStyle name="Normal 353 3 5" xfId="28012" xr:uid="{00000000-0005-0000-0000-00006F6C0000}"/>
    <cellStyle name="Normal 353 3 5 2" xfId="28013" xr:uid="{00000000-0005-0000-0000-0000706C0000}"/>
    <cellStyle name="Normal 353 3 5 2 2" xfId="28014" xr:uid="{00000000-0005-0000-0000-0000716C0000}"/>
    <cellStyle name="Normal 353 3 5 3" xfId="28015" xr:uid="{00000000-0005-0000-0000-0000726C0000}"/>
    <cellStyle name="Normal 353 3 6" xfId="28016" xr:uid="{00000000-0005-0000-0000-0000736C0000}"/>
    <cellStyle name="Normal 353 4" xfId="28017" xr:uid="{00000000-0005-0000-0000-0000746C0000}"/>
    <cellStyle name="Normal 353 4 2" xfId="28018" xr:uid="{00000000-0005-0000-0000-0000756C0000}"/>
    <cellStyle name="Normal 353 4 2 2" xfId="28019" xr:uid="{00000000-0005-0000-0000-0000766C0000}"/>
    <cellStyle name="Normal 353 4 3" xfId="28020" xr:uid="{00000000-0005-0000-0000-0000776C0000}"/>
    <cellStyle name="Normal 353 5" xfId="28021" xr:uid="{00000000-0005-0000-0000-0000786C0000}"/>
    <cellStyle name="Normal 353 5 2" xfId="28022" xr:uid="{00000000-0005-0000-0000-0000796C0000}"/>
    <cellStyle name="Normal 353 5 2 2" xfId="28023" xr:uid="{00000000-0005-0000-0000-00007A6C0000}"/>
    <cellStyle name="Normal 353 5 3" xfId="28024" xr:uid="{00000000-0005-0000-0000-00007B6C0000}"/>
    <cellStyle name="Normal 353 6" xfId="28025" xr:uid="{00000000-0005-0000-0000-00007C6C0000}"/>
    <cellStyle name="Normal 353 6 2" xfId="28026" xr:uid="{00000000-0005-0000-0000-00007D6C0000}"/>
    <cellStyle name="Normal 353 6 2 2" xfId="28027" xr:uid="{00000000-0005-0000-0000-00007E6C0000}"/>
    <cellStyle name="Normal 353 6 3" xfId="28028" xr:uid="{00000000-0005-0000-0000-00007F6C0000}"/>
    <cellStyle name="Normal 353 7" xfId="28029" xr:uid="{00000000-0005-0000-0000-0000806C0000}"/>
    <cellStyle name="Normal 354" xfId="28030" xr:uid="{00000000-0005-0000-0000-0000816C0000}"/>
    <cellStyle name="Normal 354 2" xfId="28031" xr:uid="{00000000-0005-0000-0000-0000826C0000}"/>
    <cellStyle name="Normal 354 2 2" xfId="28032" xr:uid="{00000000-0005-0000-0000-0000836C0000}"/>
    <cellStyle name="Normal 354 2 2 2" xfId="28033" xr:uid="{00000000-0005-0000-0000-0000846C0000}"/>
    <cellStyle name="Normal 354 2 3" xfId="28034" xr:uid="{00000000-0005-0000-0000-0000856C0000}"/>
    <cellStyle name="Normal 354 2 3 2" xfId="28035" xr:uid="{00000000-0005-0000-0000-0000866C0000}"/>
    <cellStyle name="Normal 354 2 3 2 2" xfId="28036" xr:uid="{00000000-0005-0000-0000-0000876C0000}"/>
    <cellStyle name="Normal 354 2 3 3" xfId="28037" xr:uid="{00000000-0005-0000-0000-0000886C0000}"/>
    <cellStyle name="Normal 354 2 4" xfId="28038" xr:uid="{00000000-0005-0000-0000-0000896C0000}"/>
    <cellStyle name="Normal 354 2 4 2" xfId="28039" xr:uid="{00000000-0005-0000-0000-00008A6C0000}"/>
    <cellStyle name="Normal 354 2 4 2 2" xfId="28040" xr:uid="{00000000-0005-0000-0000-00008B6C0000}"/>
    <cellStyle name="Normal 354 2 4 3" xfId="28041" xr:uid="{00000000-0005-0000-0000-00008C6C0000}"/>
    <cellStyle name="Normal 354 2 5" xfId="28042" xr:uid="{00000000-0005-0000-0000-00008D6C0000}"/>
    <cellStyle name="Normal 354 3" xfId="28043" xr:uid="{00000000-0005-0000-0000-00008E6C0000}"/>
    <cellStyle name="Normal 354 3 2" xfId="28044" xr:uid="{00000000-0005-0000-0000-00008F6C0000}"/>
    <cellStyle name="Normal 354 3 2 2" xfId="28045" xr:uid="{00000000-0005-0000-0000-0000906C0000}"/>
    <cellStyle name="Normal 354 3 2 2 2" xfId="28046" xr:uid="{00000000-0005-0000-0000-0000916C0000}"/>
    <cellStyle name="Normal 354 3 2 3" xfId="28047" xr:uid="{00000000-0005-0000-0000-0000926C0000}"/>
    <cellStyle name="Normal 354 3 2 3 2" xfId="28048" xr:uid="{00000000-0005-0000-0000-0000936C0000}"/>
    <cellStyle name="Normal 354 3 2 3 2 2" xfId="28049" xr:uid="{00000000-0005-0000-0000-0000946C0000}"/>
    <cellStyle name="Normal 354 3 2 3 3" xfId="28050" xr:uid="{00000000-0005-0000-0000-0000956C0000}"/>
    <cellStyle name="Normal 354 3 2 4" xfId="28051" xr:uid="{00000000-0005-0000-0000-0000966C0000}"/>
    <cellStyle name="Normal 354 3 3" xfId="28052" xr:uid="{00000000-0005-0000-0000-0000976C0000}"/>
    <cellStyle name="Normal 354 3 3 2" xfId="28053" xr:uid="{00000000-0005-0000-0000-0000986C0000}"/>
    <cellStyle name="Normal 354 3 3 2 2" xfId="28054" xr:uid="{00000000-0005-0000-0000-0000996C0000}"/>
    <cellStyle name="Normal 354 3 3 3" xfId="28055" xr:uid="{00000000-0005-0000-0000-00009A6C0000}"/>
    <cellStyle name="Normal 354 3 4" xfId="28056" xr:uid="{00000000-0005-0000-0000-00009B6C0000}"/>
    <cellStyle name="Normal 354 3 4 2" xfId="28057" xr:uid="{00000000-0005-0000-0000-00009C6C0000}"/>
    <cellStyle name="Normal 354 3 4 2 2" xfId="28058" xr:uid="{00000000-0005-0000-0000-00009D6C0000}"/>
    <cellStyle name="Normal 354 3 4 3" xfId="28059" xr:uid="{00000000-0005-0000-0000-00009E6C0000}"/>
    <cellStyle name="Normal 354 3 5" xfId="28060" xr:uid="{00000000-0005-0000-0000-00009F6C0000}"/>
    <cellStyle name="Normal 354 3 5 2" xfId="28061" xr:uid="{00000000-0005-0000-0000-0000A06C0000}"/>
    <cellStyle name="Normal 354 3 5 2 2" xfId="28062" xr:uid="{00000000-0005-0000-0000-0000A16C0000}"/>
    <cellStyle name="Normal 354 3 5 3" xfId="28063" xr:uid="{00000000-0005-0000-0000-0000A26C0000}"/>
    <cellStyle name="Normal 354 3 6" xfId="28064" xr:uid="{00000000-0005-0000-0000-0000A36C0000}"/>
    <cellStyle name="Normal 354 4" xfId="28065" xr:uid="{00000000-0005-0000-0000-0000A46C0000}"/>
    <cellStyle name="Normal 354 4 2" xfId="28066" xr:uid="{00000000-0005-0000-0000-0000A56C0000}"/>
    <cellStyle name="Normal 354 4 2 2" xfId="28067" xr:uid="{00000000-0005-0000-0000-0000A66C0000}"/>
    <cellStyle name="Normal 354 4 3" xfId="28068" xr:uid="{00000000-0005-0000-0000-0000A76C0000}"/>
    <cellStyle name="Normal 354 5" xfId="28069" xr:uid="{00000000-0005-0000-0000-0000A86C0000}"/>
    <cellStyle name="Normal 354 5 2" xfId="28070" xr:uid="{00000000-0005-0000-0000-0000A96C0000}"/>
    <cellStyle name="Normal 354 5 2 2" xfId="28071" xr:uid="{00000000-0005-0000-0000-0000AA6C0000}"/>
    <cellStyle name="Normal 354 5 3" xfId="28072" xr:uid="{00000000-0005-0000-0000-0000AB6C0000}"/>
    <cellStyle name="Normal 354 6" xfId="28073" xr:uid="{00000000-0005-0000-0000-0000AC6C0000}"/>
    <cellStyle name="Normal 354 6 2" xfId="28074" xr:uid="{00000000-0005-0000-0000-0000AD6C0000}"/>
    <cellStyle name="Normal 354 6 2 2" xfId="28075" xr:uid="{00000000-0005-0000-0000-0000AE6C0000}"/>
    <cellStyle name="Normal 354 6 3" xfId="28076" xr:uid="{00000000-0005-0000-0000-0000AF6C0000}"/>
    <cellStyle name="Normal 354 7" xfId="28077" xr:uid="{00000000-0005-0000-0000-0000B06C0000}"/>
    <cellStyle name="Normal 355" xfId="28078" xr:uid="{00000000-0005-0000-0000-0000B16C0000}"/>
    <cellStyle name="Normal 355 2" xfId="28079" xr:uid="{00000000-0005-0000-0000-0000B26C0000}"/>
    <cellStyle name="Normal 355 2 2" xfId="28080" xr:uid="{00000000-0005-0000-0000-0000B36C0000}"/>
    <cellStyle name="Normal 355 2 2 2" xfId="28081" xr:uid="{00000000-0005-0000-0000-0000B46C0000}"/>
    <cellStyle name="Normal 355 2 3" xfId="28082" xr:uid="{00000000-0005-0000-0000-0000B56C0000}"/>
    <cellStyle name="Normal 355 2 3 2" xfId="28083" xr:uid="{00000000-0005-0000-0000-0000B66C0000}"/>
    <cellStyle name="Normal 355 2 3 2 2" xfId="28084" xr:uid="{00000000-0005-0000-0000-0000B76C0000}"/>
    <cellStyle name="Normal 355 2 3 3" xfId="28085" xr:uid="{00000000-0005-0000-0000-0000B86C0000}"/>
    <cellStyle name="Normal 355 2 4" xfId="28086" xr:uid="{00000000-0005-0000-0000-0000B96C0000}"/>
    <cellStyle name="Normal 355 2 4 2" xfId="28087" xr:uid="{00000000-0005-0000-0000-0000BA6C0000}"/>
    <cellStyle name="Normal 355 2 4 2 2" xfId="28088" xr:uid="{00000000-0005-0000-0000-0000BB6C0000}"/>
    <cellStyle name="Normal 355 2 4 3" xfId="28089" xr:uid="{00000000-0005-0000-0000-0000BC6C0000}"/>
    <cellStyle name="Normal 355 2 5" xfId="28090" xr:uid="{00000000-0005-0000-0000-0000BD6C0000}"/>
    <cellStyle name="Normal 355 3" xfId="28091" xr:uid="{00000000-0005-0000-0000-0000BE6C0000}"/>
    <cellStyle name="Normal 355 3 2" xfId="28092" xr:uid="{00000000-0005-0000-0000-0000BF6C0000}"/>
    <cellStyle name="Normal 355 3 2 2" xfId="28093" xr:uid="{00000000-0005-0000-0000-0000C06C0000}"/>
    <cellStyle name="Normal 355 3 2 2 2" xfId="28094" xr:uid="{00000000-0005-0000-0000-0000C16C0000}"/>
    <cellStyle name="Normal 355 3 2 3" xfId="28095" xr:uid="{00000000-0005-0000-0000-0000C26C0000}"/>
    <cellStyle name="Normal 355 3 2 3 2" xfId="28096" xr:uid="{00000000-0005-0000-0000-0000C36C0000}"/>
    <cellStyle name="Normal 355 3 2 3 2 2" xfId="28097" xr:uid="{00000000-0005-0000-0000-0000C46C0000}"/>
    <cellStyle name="Normal 355 3 2 3 3" xfId="28098" xr:uid="{00000000-0005-0000-0000-0000C56C0000}"/>
    <cellStyle name="Normal 355 3 2 4" xfId="28099" xr:uid="{00000000-0005-0000-0000-0000C66C0000}"/>
    <cellStyle name="Normal 355 3 3" xfId="28100" xr:uid="{00000000-0005-0000-0000-0000C76C0000}"/>
    <cellStyle name="Normal 355 3 3 2" xfId="28101" xr:uid="{00000000-0005-0000-0000-0000C86C0000}"/>
    <cellStyle name="Normal 355 3 3 2 2" xfId="28102" xr:uid="{00000000-0005-0000-0000-0000C96C0000}"/>
    <cellStyle name="Normal 355 3 3 3" xfId="28103" xr:uid="{00000000-0005-0000-0000-0000CA6C0000}"/>
    <cellStyle name="Normal 355 3 4" xfId="28104" xr:uid="{00000000-0005-0000-0000-0000CB6C0000}"/>
    <cellStyle name="Normal 355 3 4 2" xfId="28105" xr:uid="{00000000-0005-0000-0000-0000CC6C0000}"/>
    <cellStyle name="Normal 355 3 4 2 2" xfId="28106" xr:uid="{00000000-0005-0000-0000-0000CD6C0000}"/>
    <cellStyle name="Normal 355 3 4 3" xfId="28107" xr:uid="{00000000-0005-0000-0000-0000CE6C0000}"/>
    <cellStyle name="Normal 355 3 5" xfId="28108" xr:uid="{00000000-0005-0000-0000-0000CF6C0000}"/>
    <cellStyle name="Normal 355 3 5 2" xfId="28109" xr:uid="{00000000-0005-0000-0000-0000D06C0000}"/>
    <cellStyle name="Normal 355 3 5 2 2" xfId="28110" xr:uid="{00000000-0005-0000-0000-0000D16C0000}"/>
    <cellStyle name="Normal 355 3 5 3" xfId="28111" xr:uid="{00000000-0005-0000-0000-0000D26C0000}"/>
    <cellStyle name="Normal 355 3 6" xfId="28112" xr:uid="{00000000-0005-0000-0000-0000D36C0000}"/>
    <cellStyle name="Normal 355 4" xfId="28113" xr:uid="{00000000-0005-0000-0000-0000D46C0000}"/>
    <cellStyle name="Normal 355 4 2" xfId="28114" xr:uid="{00000000-0005-0000-0000-0000D56C0000}"/>
    <cellStyle name="Normal 355 4 2 2" xfId="28115" xr:uid="{00000000-0005-0000-0000-0000D66C0000}"/>
    <cellStyle name="Normal 355 4 3" xfId="28116" xr:uid="{00000000-0005-0000-0000-0000D76C0000}"/>
    <cellStyle name="Normal 355 5" xfId="28117" xr:uid="{00000000-0005-0000-0000-0000D86C0000}"/>
    <cellStyle name="Normal 355 5 2" xfId="28118" xr:uid="{00000000-0005-0000-0000-0000D96C0000}"/>
    <cellStyle name="Normal 355 5 2 2" xfId="28119" xr:uid="{00000000-0005-0000-0000-0000DA6C0000}"/>
    <cellStyle name="Normal 355 5 3" xfId="28120" xr:uid="{00000000-0005-0000-0000-0000DB6C0000}"/>
    <cellStyle name="Normal 355 6" xfId="28121" xr:uid="{00000000-0005-0000-0000-0000DC6C0000}"/>
    <cellStyle name="Normal 355 6 2" xfId="28122" xr:uid="{00000000-0005-0000-0000-0000DD6C0000}"/>
    <cellStyle name="Normal 355 6 2 2" xfId="28123" xr:uid="{00000000-0005-0000-0000-0000DE6C0000}"/>
    <cellStyle name="Normal 355 6 3" xfId="28124" xr:uid="{00000000-0005-0000-0000-0000DF6C0000}"/>
    <cellStyle name="Normal 355 7" xfId="28125" xr:uid="{00000000-0005-0000-0000-0000E06C0000}"/>
    <cellStyle name="Normal 356" xfId="28126" xr:uid="{00000000-0005-0000-0000-0000E16C0000}"/>
    <cellStyle name="Normal 356 2" xfId="28127" xr:uid="{00000000-0005-0000-0000-0000E26C0000}"/>
    <cellStyle name="Normal 356 2 2" xfId="28128" xr:uid="{00000000-0005-0000-0000-0000E36C0000}"/>
    <cellStyle name="Normal 356 2 2 2" xfId="28129" xr:uid="{00000000-0005-0000-0000-0000E46C0000}"/>
    <cellStyle name="Normal 356 2 3" xfId="28130" xr:uid="{00000000-0005-0000-0000-0000E56C0000}"/>
    <cellStyle name="Normal 356 2 3 2" xfId="28131" xr:uid="{00000000-0005-0000-0000-0000E66C0000}"/>
    <cellStyle name="Normal 356 2 3 2 2" xfId="28132" xr:uid="{00000000-0005-0000-0000-0000E76C0000}"/>
    <cellStyle name="Normal 356 2 3 3" xfId="28133" xr:uid="{00000000-0005-0000-0000-0000E86C0000}"/>
    <cellStyle name="Normal 356 2 4" xfId="28134" xr:uid="{00000000-0005-0000-0000-0000E96C0000}"/>
    <cellStyle name="Normal 356 2 4 2" xfId="28135" xr:uid="{00000000-0005-0000-0000-0000EA6C0000}"/>
    <cellStyle name="Normal 356 2 4 2 2" xfId="28136" xr:uid="{00000000-0005-0000-0000-0000EB6C0000}"/>
    <cellStyle name="Normal 356 2 4 3" xfId="28137" xr:uid="{00000000-0005-0000-0000-0000EC6C0000}"/>
    <cellStyle name="Normal 356 2 5" xfId="28138" xr:uid="{00000000-0005-0000-0000-0000ED6C0000}"/>
    <cellStyle name="Normal 356 3" xfId="28139" xr:uid="{00000000-0005-0000-0000-0000EE6C0000}"/>
    <cellStyle name="Normal 356 3 2" xfId="28140" xr:uid="{00000000-0005-0000-0000-0000EF6C0000}"/>
    <cellStyle name="Normal 356 3 2 2" xfId="28141" xr:uid="{00000000-0005-0000-0000-0000F06C0000}"/>
    <cellStyle name="Normal 356 3 2 2 2" xfId="28142" xr:uid="{00000000-0005-0000-0000-0000F16C0000}"/>
    <cellStyle name="Normal 356 3 2 3" xfId="28143" xr:uid="{00000000-0005-0000-0000-0000F26C0000}"/>
    <cellStyle name="Normal 356 3 2 3 2" xfId="28144" xr:uid="{00000000-0005-0000-0000-0000F36C0000}"/>
    <cellStyle name="Normal 356 3 2 3 2 2" xfId="28145" xr:uid="{00000000-0005-0000-0000-0000F46C0000}"/>
    <cellStyle name="Normal 356 3 2 3 3" xfId="28146" xr:uid="{00000000-0005-0000-0000-0000F56C0000}"/>
    <cellStyle name="Normal 356 3 2 4" xfId="28147" xr:uid="{00000000-0005-0000-0000-0000F66C0000}"/>
    <cellStyle name="Normal 356 3 3" xfId="28148" xr:uid="{00000000-0005-0000-0000-0000F76C0000}"/>
    <cellStyle name="Normal 356 3 3 2" xfId="28149" xr:uid="{00000000-0005-0000-0000-0000F86C0000}"/>
    <cellStyle name="Normal 356 3 3 2 2" xfId="28150" xr:uid="{00000000-0005-0000-0000-0000F96C0000}"/>
    <cellStyle name="Normal 356 3 3 3" xfId="28151" xr:uid="{00000000-0005-0000-0000-0000FA6C0000}"/>
    <cellStyle name="Normal 356 3 4" xfId="28152" xr:uid="{00000000-0005-0000-0000-0000FB6C0000}"/>
    <cellStyle name="Normal 356 3 4 2" xfId="28153" xr:uid="{00000000-0005-0000-0000-0000FC6C0000}"/>
    <cellStyle name="Normal 356 3 4 2 2" xfId="28154" xr:uid="{00000000-0005-0000-0000-0000FD6C0000}"/>
    <cellStyle name="Normal 356 3 4 3" xfId="28155" xr:uid="{00000000-0005-0000-0000-0000FE6C0000}"/>
    <cellStyle name="Normal 356 3 5" xfId="28156" xr:uid="{00000000-0005-0000-0000-0000FF6C0000}"/>
    <cellStyle name="Normal 356 3 5 2" xfId="28157" xr:uid="{00000000-0005-0000-0000-0000006D0000}"/>
    <cellStyle name="Normal 356 3 5 2 2" xfId="28158" xr:uid="{00000000-0005-0000-0000-0000016D0000}"/>
    <cellStyle name="Normal 356 3 5 3" xfId="28159" xr:uid="{00000000-0005-0000-0000-0000026D0000}"/>
    <cellStyle name="Normal 356 3 6" xfId="28160" xr:uid="{00000000-0005-0000-0000-0000036D0000}"/>
    <cellStyle name="Normal 356 4" xfId="28161" xr:uid="{00000000-0005-0000-0000-0000046D0000}"/>
    <cellStyle name="Normal 356 4 2" xfId="28162" xr:uid="{00000000-0005-0000-0000-0000056D0000}"/>
    <cellStyle name="Normal 356 4 2 2" xfId="28163" xr:uid="{00000000-0005-0000-0000-0000066D0000}"/>
    <cellStyle name="Normal 356 4 3" xfId="28164" xr:uid="{00000000-0005-0000-0000-0000076D0000}"/>
    <cellStyle name="Normal 356 5" xfId="28165" xr:uid="{00000000-0005-0000-0000-0000086D0000}"/>
    <cellStyle name="Normal 356 5 2" xfId="28166" xr:uid="{00000000-0005-0000-0000-0000096D0000}"/>
    <cellStyle name="Normal 356 5 2 2" xfId="28167" xr:uid="{00000000-0005-0000-0000-00000A6D0000}"/>
    <cellStyle name="Normal 356 5 3" xfId="28168" xr:uid="{00000000-0005-0000-0000-00000B6D0000}"/>
    <cellStyle name="Normal 356 6" xfId="28169" xr:uid="{00000000-0005-0000-0000-00000C6D0000}"/>
    <cellStyle name="Normal 356 6 2" xfId="28170" xr:uid="{00000000-0005-0000-0000-00000D6D0000}"/>
    <cellStyle name="Normal 356 6 2 2" xfId="28171" xr:uid="{00000000-0005-0000-0000-00000E6D0000}"/>
    <cellStyle name="Normal 356 6 3" xfId="28172" xr:uid="{00000000-0005-0000-0000-00000F6D0000}"/>
    <cellStyle name="Normal 356 7" xfId="28173" xr:uid="{00000000-0005-0000-0000-0000106D0000}"/>
    <cellStyle name="Normal 357" xfId="28174" xr:uid="{00000000-0005-0000-0000-0000116D0000}"/>
    <cellStyle name="Normal 357 2" xfId="28175" xr:uid="{00000000-0005-0000-0000-0000126D0000}"/>
    <cellStyle name="Normal 357 2 2" xfId="28176" xr:uid="{00000000-0005-0000-0000-0000136D0000}"/>
    <cellStyle name="Normal 357 2 2 2" xfId="28177" xr:uid="{00000000-0005-0000-0000-0000146D0000}"/>
    <cellStyle name="Normal 357 2 3" xfId="28178" xr:uid="{00000000-0005-0000-0000-0000156D0000}"/>
    <cellStyle name="Normal 357 2 3 2" xfId="28179" xr:uid="{00000000-0005-0000-0000-0000166D0000}"/>
    <cellStyle name="Normal 357 2 3 2 2" xfId="28180" xr:uid="{00000000-0005-0000-0000-0000176D0000}"/>
    <cellStyle name="Normal 357 2 3 3" xfId="28181" xr:uid="{00000000-0005-0000-0000-0000186D0000}"/>
    <cellStyle name="Normal 357 2 4" xfId="28182" xr:uid="{00000000-0005-0000-0000-0000196D0000}"/>
    <cellStyle name="Normal 357 2 4 2" xfId="28183" xr:uid="{00000000-0005-0000-0000-00001A6D0000}"/>
    <cellStyle name="Normal 357 2 4 2 2" xfId="28184" xr:uid="{00000000-0005-0000-0000-00001B6D0000}"/>
    <cellStyle name="Normal 357 2 4 3" xfId="28185" xr:uid="{00000000-0005-0000-0000-00001C6D0000}"/>
    <cellStyle name="Normal 357 2 5" xfId="28186" xr:uid="{00000000-0005-0000-0000-00001D6D0000}"/>
    <cellStyle name="Normal 357 3" xfId="28187" xr:uid="{00000000-0005-0000-0000-00001E6D0000}"/>
    <cellStyle name="Normal 357 3 2" xfId="28188" xr:uid="{00000000-0005-0000-0000-00001F6D0000}"/>
    <cellStyle name="Normal 357 3 2 2" xfId="28189" xr:uid="{00000000-0005-0000-0000-0000206D0000}"/>
    <cellStyle name="Normal 357 3 2 2 2" xfId="28190" xr:uid="{00000000-0005-0000-0000-0000216D0000}"/>
    <cellStyle name="Normal 357 3 2 3" xfId="28191" xr:uid="{00000000-0005-0000-0000-0000226D0000}"/>
    <cellStyle name="Normal 357 3 2 3 2" xfId="28192" xr:uid="{00000000-0005-0000-0000-0000236D0000}"/>
    <cellStyle name="Normal 357 3 2 3 2 2" xfId="28193" xr:uid="{00000000-0005-0000-0000-0000246D0000}"/>
    <cellStyle name="Normal 357 3 2 3 3" xfId="28194" xr:uid="{00000000-0005-0000-0000-0000256D0000}"/>
    <cellStyle name="Normal 357 3 2 4" xfId="28195" xr:uid="{00000000-0005-0000-0000-0000266D0000}"/>
    <cellStyle name="Normal 357 3 3" xfId="28196" xr:uid="{00000000-0005-0000-0000-0000276D0000}"/>
    <cellStyle name="Normal 357 3 3 2" xfId="28197" xr:uid="{00000000-0005-0000-0000-0000286D0000}"/>
    <cellStyle name="Normal 357 3 3 2 2" xfId="28198" xr:uid="{00000000-0005-0000-0000-0000296D0000}"/>
    <cellStyle name="Normal 357 3 3 3" xfId="28199" xr:uid="{00000000-0005-0000-0000-00002A6D0000}"/>
    <cellStyle name="Normal 357 3 4" xfId="28200" xr:uid="{00000000-0005-0000-0000-00002B6D0000}"/>
    <cellStyle name="Normal 357 3 4 2" xfId="28201" xr:uid="{00000000-0005-0000-0000-00002C6D0000}"/>
    <cellStyle name="Normal 357 3 4 2 2" xfId="28202" xr:uid="{00000000-0005-0000-0000-00002D6D0000}"/>
    <cellStyle name="Normal 357 3 4 3" xfId="28203" xr:uid="{00000000-0005-0000-0000-00002E6D0000}"/>
    <cellStyle name="Normal 357 3 5" xfId="28204" xr:uid="{00000000-0005-0000-0000-00002F6D0000}"/>
    <cellStyle name="Normal 357 3 5 2" xfId="28205" xr:uid="{00000000-0005-0000-0000-0000306D0000}"/>
    <cellStyle name="Normal 357 3 5 2 2" xfId="28206" xr:uid="{00000000-0005-0000-0000-0000316D0000}"/>
    <cellStyle name="Normal 357 3 5 3" xfId="28207" xr:uid="{00000000-0005-0000-0000-0000326D0000}"/>
    <cellStyle name="Normal 357 3 6" xfId="28208" xr:uid="{00000000-0005-0000-0000-0000336D0000}"/>
    <cellStyle name="Normal 357 4" xfId="28209" xr:uid="{00000000-0005-0000-0000-0000346D0000}"/>
    <cellStyle name="Normal 357 4 2" xfId="28210" xr:uid="{00000000-0005-0000-0000-0000356D0000}"/>
    <cellStyle name="Normal 357 4 2 2" xfId="28211" xr:uid="{00000000-0005-0000-0000-0000366D0000}"/>
    <cellStyle name="Normal 357 4 3" xfId="28212" xr:uid="{00000000-0005-0000-0000-0000376D0000}"/>
    <cellStyle name="Normal 357 5" xfId="28213" xr:uid="{00000000-0005-0000-0000-0000386D0000}"/>
    <cellStyle name="Normal 357 5 2" xfId="28214" xr:uid="{00000000-0005-0000-0000-0000396D0000}"/>
    <cellStyle name="Normal 357 5 2 2" xfId="28215" xr:uid="{00000000-0005-0000-0000-00003A6D0000}"/>
    <cellStyle name="Normal 357 5 3" xfId="28216" xr:uid="{00000000-0005-0000-0000-00003B6D0000}"/>
    <cellStyle name="Normal 357 6" xfId="28217" xr:uid="{00000000-0005-0000-0000-00003C6D0000}"/>
    <cellStyle name="Normal 357 6 2" xfId="28218" xr:uid="{00000000-0005-0000-0000-00003D6D0000}"/>
    <cellStyle name="Normal 357 6 2 2" xfId="28219" xr:uid="{00000000-0005-0000-0000-00003E6D0000}"/>
    <cellStyle name="Normal 357 6 3" xfId="28220" xr:uid="{00000000-0005-0000-0000-00003F6D0000}"/>
    <cellStyle name="Normal 357 7" xfId="28221" xr:uid="{00000000-0005-0000-0000-0000406D0000}"/>
    <cellStyle name="Normal 358" xfId="28222" xr:uid="{00000000-0005-0000-0000-0000416D0000}"/>
    <cellStyle name="Normal 358 2" xfId="28223" xr:uid="{00000000-0005-0000-0000-0000426D0000}"/>
    <cellStyle name="Normal 358 2 2" xfId="28224" xr:uid="{00000000-0005-0000-0000-0000436D0000}"/>
    <cellStyle name="Normal 358 2 2 2" xfId="28225" xr:uid="{00000000-0005-0000-0000-0000446D0000}"/>
    <cellStyle name="Normal 358 2 3" xfId="28226" xr:uid="{00000000-0005-0000-0000-0000456D0000}"/>
    <cellStyle name="Normal 358 2 3 2" xfId="28227" xr:uid="{00000000-0005-0000-0000-0000466D0000}"/>
    <cellStyle name="Normal 358 2 3 2 2" xfId="28228" xr:uid="{00000000-0005-0000-0000-0000476D0000}"/>
    <cellStyle name="Normal 358 2 3 3" xfId="28229" xr:uid="{00000000-0005-0000-0000-0000486D0000}"/>
    <cellStyle name="Normal 358 2 4" xfId="28230" xr:uid="{00000000-0005-0000-0000-0000496D0000}"/>
    <cellStyle name="Normal 358 2 4 2" xfId="28231" xr:uid="{00000000-0005-0000-0000-00004A6D0000}"/>
    <cellStyle name="Normal 358 2 4 2 2" xfId="28232" xr:uid="{00000000-0005-0000-0000-00004B6D0000}"/>
    <cellStyle name="Normal 358 2 4 3" xfId="28233" xr:uid="{00000000-0005-0000-0000-00004C6D0000}"/>
    <cellStyle name="Normal 358 2 5" xfId="28234" xr:uid="{00000000-0005-0000-0000-00004D6D0000}"/>
    <cellStyle name="Normal 358 3" xfId="28235" xr:uid="{00000000-0005-0000-0000-00004E6D0000}"/>
    <cellStyle name="Normal 358 3 2" xfId="28236" xr:uid="{00000000-0005-0000-0000-00004F6D0000}"/>
    <cellStyle name="Normal 358 3 2 2" xfId="28237" xr:uid="{00000000-0005-0000-0000-0000506D0000}"/>
    <cellStyle name="Normal 358 3 2 2 2" xfId="28238" xr:uid="{00000000-0005-0000-0000-0000516D0000}"/>
    <cellStyle name="Normal 358 3 2 3" xfId="28239" xr:uid="{00000000-0005-0000-0000-0000526D0000}"/>
    <cellStyle name="Normal 358 3 2 3 2" xfId="28240" xr:uid="{00000000-0005-0000-0000-0000536D0000}"/>
    <cellStyle name="Normal 358 3 2 3 2 2" xfId="28241" xr:uid="{00000000-0005-0000-0000-0000546D0000}"/>
    <cellStyle name="Normal 358 3 2 3 3" xfId="28242" xr:uid="{00000000-0005-0000-0000-0000556D0000}"/>
    <cellStyle name="Normal 358 3 2 4" xfId="28243" xr:uid="{00000000-0005-0000-0000-0000566D0000}"/>
    <cellStyle name="Normal 358 3 3" xfId="28244" xr:uid="{00000000-0005-0000-0000-0000576D0000}"/>
    <cellStyle name="Normal 358 3 3 2" xfId="28245" xr:uid="{00000000-0005-0000-0000-0000586D0000}"/>
    <cellStyle name="Normal 358 3 3 2 2" xfId="28246" xr:uid="{00000000-0005-0000-0000-0000596D0000}"/>
    <cellStyle name="Normal 358 3 3 3" xfId="28247" xr:uid="{00000000-0005-0000-0000-00005A6D0000}"/>
    <cellStyle name="Normal 358 3 4" xfId="28248" xr:uid="{00000000-0005-0000-0000-00005B6D0000}"/>
    <cellStyle name="Normal 358 3 4 2" xfId="28249" xr:uid="{00000000-0005-0000-0000-00005C6D0000}"/>
    <cellStyle name="Normal 358 3 4 2 2" xfId="28250" xr:uid="{00000000-0005-0000-0000-00005D6D0000}"/>
    <cellStyle name="Normal 358 3 4 3" xfId="28251" xr:uid="{00000000-0005-0000-0000-00005E6D0000}"/>
    <cellStyle name="Normal 358 3 5" xfId="28252" xr:uid="{00000000-0005-0000-0000-00005F6D0000}"/>
    <cellStyle name="Normal 358 3 5 2" xfId="28253" xr:uid="{00000000-0005-0000-0000-0000606D0000}"/>
    <cellStyle name="Normal 358 3 5 2 2" xfId="28254" xr:uid="{00000000-0005-0000-0000-0000616D0000}"/>
    <cellStyle name="Normal 358 3 5 3" xfId="28255" xr:uid="{00000000-0005-0000-0000-0000626D0000}"/>
    <cellStyle name="Normal 358 3 6" xfId="28256" xr:uid="{00000000-0005-0000-0000-0000636D0000}"/>
    <cellStyle name="Normal 358 4" xfId="28257" xr:uid="{00000000-0005-0000-0000-0000646D0000}"/>
    <cellStyle name="Normal 358 4 2" xfId="28258" xr:uid="{00000000-0005-0000-0000-0000656D0000}"/>
    <cellStyle name="Normal 358 4 2 2" xfId="28259" xr:uid="{00000000-0005-0000-0000-0000666D0000}"/>
    <cellStyle name="Normal 358 4 3" xfId="28260" xr:uid="{00000000-0005-0000-0000-0000676D0000}"/>
    <cellStyle name="Normal 358 5" xfId="28261" xr:uid="{00000000-0005-0000-0000-0000686D0000}"/>
    <cellStyle name="Normal 358 5 2" xfId="28262" xr:uid="{00000000-0005-0000-0000-0000696D0000}"/>
    <cellStyle name="Normal 358 5 2 2" xfId="28263" xr:uid="{00000000-0005-0000-0000-00006A6D0000}"/>
    <cellStyle name="Normal 358 5 3" xfId="28264" xr:uid="{00000000-0005-0000-0000-00006B6D0000}"/>
    <cellStyle name="Normal 358 6" xfId="28265" xr:uid="{00000000-0005-0000-0000-00006C6D0000}"/>
    <cellStyle name="Normal 358 6 2" xfId="28266" xr:uid="{00000000-0005-0000-0000-00006D6D0000}"/>
    <cellStyle name="Normal 358 6 2 2" xfId="28267" xr:uid="{00000000-0005-0000-0000-00006E6D0000}"/>
    <cellStyle name="Normal 358 6 3" xfId="28268" xr:uid="{00000000-0005-0000-0000-00006F6D0000}"/>
    <cellStyle name="Normal 358 7" xfId="28269" xr:uid="{00000000-0005-0000-0000-0000706D0000}"/>
    <cellStyle name="Normal 359" xfId="28270" xr:uid="{00000000-0005-0000-0000-0000716D0000}"/>
    <cellStyle name="Normal 359 2" xfId="28271" xr:uid="{00000000-0005-0000-0000-0000726D0000}"/>
    <cellStyle name="Normal 359 2 2" xfId="28272" xr:uid="{00000000-0005-0000-0000-0000736D0000}"/>
    <cellStyle name="Normal 359 2 2 2" xfId="28273" xr:uid="{00000000-0005-0000-0000-0000746D0000}"/>
    <cellStyle name="Normal 359 2 3" xfId="28274" xr:uid="{00000000-0005-0000-0000-0000756D0000}"/>
    <cellStyle name="Normal 359 2 3 2" xfId="28275" xr:uid="{00000000-0005-0000-0000-0000766D0000}"/>
    <cellStyle name="Normal 359 2 3 2 2" xfId="28276" xr:uid="{00000000-0005-0000-0000-0000776D0000}"/>
    <cellStyle name="Normal 359 2 3 3" xfId="28277" xr:uid="{00000000-0005-0000-0000-0000786D0000}"/>
    <cellStyle name="Normal 359 2 4" xfId="28278" xr:uid="{00000000-0005-0000-0000-0000796D0000}"/>
    <cellStyle name="Normal 359 2 4 2" xfId="28279" xr:uid="{00000000-0005-0000-0000-00007A6D0000}"/>
    <cellStyle name="Normal 359 2 4 2 2" xfId="28280" xr:uid="{00000000-0005-0000-0000-00007B6D0000}"/>
    <cellStyle name="Normal 359 2 4 3" xfId="28281" xr:uid="{00000000-0005-0000-0000-00007C6D0000}"/>
    <cellStyle name="Normal 359 2 5" xfId="28282" xr:uid="{00000000-0005-0000-0000-00007D6D0000}"/>
    <cellStyle name="Normal 359 3" xfId="28283" xr:uid="{00000000-0005-0000-0000-00007E6D0000}"/>
    <cellStyle name="Normal 359 3 2" xfId="28284" xr:uid="{00000000-0005-0000-0000-00007F6D0000}"/>
    <cellStyle name="Normal 359 3 2 2" xfId="28285" xr:uid="{00000000-0005-0000-0000-0000806D0000}"/>
    <cellStyle name="Normal 359 3 2 2 2" xfId="28286" xr:uid="{00000000-0005-0000-0000-0000816D0000}"/>
    <cellStyle name="Normal 359 3 2 3" xfId="28287" xr:uid="{00000000-0005-0000-0000-0000826D0000}"/>
    <cellStyle name="Normal 359 3 2 3 2" xfId="28288" xr:uid="{00000000-0005-0000-0000-0000836D0000}"/>
    <cellStyle name="Normal 359 3 2 3 2 2" xfId="28289" xr:uid="{00000000-0005-0000-0000-0000846D0000}"/>
    <cellStyle name="Normal 359 3 2 3 3" xfId="28290" xr:uid="{00000000-0005-0000-0000-0000856D0000}"/>
    <cellStyle name="Normal 359 3 2 4" xfId="28291" xr:uid="{00000000-0005-0000-0000-0000866D0000}"/>
    <cellStyle name="Normal 359 3 3" xfId="28292" xr:uid="{00000000-0005-0000-0000-0000876D0000}"/>
    <cellStyle name="Normal 359 3 3 2" xfId="28293" xr:uid="{00000000-0005-0000-0000-0000886D0000}"/>
    <cellStyle name="Normal 359 3 3 2 2" xfId="28294" xr:uid="{00000000-0005-0000-0000-0000896D0000}"/>
    <cellStyle name="Normal 359 3 3 3" xfId="28295" xr:uid="{00000000-0005-0000-0000-00008A6D0000}"/>
    <cellStyle name="Normal 359 3 4" xfId="28296" xr:uid="{00000000-0005-0000-0000-00008B6D0000}"/>
    <cellStyle name="Normal 359 3 4 2" xfId="28297" xr:uid="{00000000-0005-0000-0000-00008C6D0000}"/>
    <cellStyle name="Normal 359 3 4 2 2" xfId="28298" xr:uid="{00000000-0005-0000-0000-00008D6D0000}"/>
    <cellStyle name="Normal 359 3 4 3" xfId="28299" xr:uid="{00000000-0005-0000-0000-00008E6D0000}"/>
    <cellStyle name="Normal 359 3 5" xfId="28300" xr:uid="{00000000-0005-0000-0000-00008F6D0000}"/>
    <cellStyle name="Normal 359 3 5 2" xfId="28301" xr:uid="{00000000-0005-0000-0000-0000906D0000}"/>
    <cellStyle name="Normal 359 3 5 2 2" xfId="28302" xr:uid="{00000000-0005-0000-0000-0000916D0000}"/>
    <cellStyle name="Normal 359 3 5 3" xfId="28303" xr:uid="{00000000-0005-0000-0000-0000926D0000}"/>
    <cellStyle name="Normal 359 3 6" xfId="28304" xr:uid="{00000000-0005-0000-0000-0000936D0000}"/>
    <cellStyle name="Normal 359 4" xfId="28305" xr:uid="{00000000-0005-0000-0000-0000946D0000}"/>
    <cellStyle name="Normal 359 4 2" xfId="28306" xr:uid="{00000000-0005-0000-0000-0000956D0000}"/>
    <cellStyle name="Normal 359 4 2 2" xfId="28307" xr:uid="{00000000-0005-0000-0000-0000966D0000}"/>
    <cellStyle name="Normal 359 4 3" xfId="28308" xr:uid="{00000000-0005-0000-0000-0000976D0000}"/>
    <cellStyle name="Normal 359 5" xfId="28309" xr:uid="{00000000-0005-0000-0000-0000986D0000}"/>
    <cellStyle name="Normal 359 5 2" xfId="28310" xr:uid="{00000000-0005-0000-0000-0000996D0000}"/>
    <cellStyle name="Normal 359 5 2 2" xfId="28311" xr:uid="{00000000-0005-0000-0000-00009A6D0000}"/>
    <cellStyle name="Normal 359 5 3" xfId="28312" xr:uid="{00000000-0005-0000-0000-00009B6D0000}"/>
    <cellStyle name="Normal 359 6" xfId="28313" xr:uid="{00000000-0005-0000-0000-00009C6D0000}"/>
    <cellStyle name="Normal 359 6 2" xfId="28314" xr:uid="{00000000-0005-0000-0000-00009D6D0000}"/>
    <cellStyle name="Normal 359 6 2 2" xfId="28315" xr:uid="{00000000-0005-0000-0000-00009E6D0000}"/>
    <cellStyle name="Normal 359 6 3" xfId="28316" xr:uid="{00000000-0005-0000-0000-00009F6D0000}"/>
    <cellStyle name="Normal 359 7" xfId="28317" xr:uid="{00000000-0005-0000-0000-0000A06D0000}"/>
    <cellStyle name="Normal 36" xfId="28318" xr:uid="{00000000-0005-0000-0000-0000A16D0000}"/>
    <cellStyle name="Normal 36 2" xfId="28319" xr:uid="{00000000-0005-0000-0000-0000A26D0000}"/>
    <cellStyle name="Normal 36 2 2" xfId="28320" xr:uid="{00000000-0005-0000-0000-0000A36D0000}"/>
    <cellStyle name="Normal 36 2 2 2" xfId="28321" xr:uid="{00000000-0005-0000-0000-0000A46D0000}"/>
    <cellStyle name="Normal 36 2 2 2 2" xfId="28322" xr:uid="{00000000-0005-0000-0000-0000A56D0000}"/>
    <cellStyle name="Normal 36 2 2 3" xfId="28323" xr:uid="{00000000-0005-0000-0000-0000A66D0000}"/>
    <cellStyle name="Normal 36 2 2 3 2" xfId="28324" xr:uid="{00000000-0005-0000-0000-0000A76D0000}"/>
    <cellStyle name="Normal 36 2 2 3 2 2" xfId="28325" xr:uid="{00000000-0005-0000-0000-0000A86D0000}"/>
    <cellStyle name="Normal 36 2 2 3 3" xfId="28326" xr:uid="{00000000-0005-0000-0000-0000A96D0000}"/>
    <cellStyle name="Normal 36 2 2 4" xfId="28327" xr:uid="{00000000-0005-0000-0000-0000AA6D0000}"/>
    <cellStyle name="Normal 36 2 2 4 2" xfId="28328" xr:uid="{00000000-0005-0000-0000-0000AB6D0000}"/>
    <cellStyle name="Normal 36 2 2 4 2 2" xfId="28329" xr:uid="{00000000-0005-0000-0000-0000AC6D0000}"/>
    <cellStyle name="Normal 36 2 2 4 3" xfId="28330" xr:uid="{00000000-0005-0000-0000-0000AD6D0000}"/>
    <cellStyle name="Normal 36 2 2 5" xfId="28331" xr:uid="{00000000-0005-0000-0000-0000AE6D0000}"/>
    <cellStyle name="Normal 36 2 3" xfId="28332" xr:uid="{00000000-0005-0000-0000-0000AF6D0000}"/>
    <cellStyle name="Normal 36 2 3 2" xfId="28333" xr:uid="{00000000-0005-0000-0000-0000B06D0000}"/>
    <cellStyle name="Normal 36 2 3 2 2" xfId="28334" xr:uid="{00000000-0005-0000-0000-0000B16D0000}"/>
    <cellStyle name="Normal 36 2 3 3" xfId="28335" xr:uid="{00000000-0005-0000-0000-0000B26D0000}"/>
    <cellStyle name="Normal 36 2 4" xfId="28336" xr:uid="{00000000-0005-0000-0000-0000B36D0000}"/>
    <cellStyle name="Normal 36 2 4 2" xfId="28337" xr:uid="{00000000-0005-0000-0000-0000B46D0000}"/>
    <cellStyle name="Normal 36 2 4 2 2" xfId="28338" xr:uid="{00000000-0005-0000-0000-0000B56D0000}"/>
    <cellStyle name="Normal 36 2 4 3" xfId="28339" xr:uid="{00000000-0005-0000-0000-0000B66D0000}"/>
    <cellStyle name="Normal 36 2 5" xfId="28340" xr:uid="{00000000-0005-0000-0000-0000B76D0000}"/>
    <cellStyle name="Normal 36 2 5 2" xfId="28341" xr:uid="{00000000-0005-0000-0000-0000B86D0000}"/>
    <cellStyle name="Normal 36 2 5 2 2" xfId="28342" xr:uid="{00000000-0005-0000-0000-0000B96D0000}"/>
    <cellStyle name="Normal 36 2 5 3" xfId="28343" xr:uid="{00000000-0005-0000-0000-0000BA6D0000}"/>
    <cellStyle name="Normal 36 2 6" xfId="28344" xr:uid="{00000000-0005-0000-0000-0000BB6D0000}"/>
    <cellStyle name="Normal 36 3" xfId="28345" xr:uid="{00000000-0005-0000-0000-0000BC6D0000}"/>
    <cellStyle name="Normal 36 3 2" xfId="28346" xr:uid="{00000000-0005-0000-0000-0000BD6D0000}"/>
    <cellStyle name="Normal 36 3 2 2" xfId="28347" xr:uid="{00000000-0005-0000-0000-0000BE6D0000}"/>
    <cellStyle name="Normal 36 3 3" xfId="28348" xr:uid="{00000000-0005-0000-0000-0000BF6D0000}"/>
    <cellStyle name="Normal 36 3 3 2" xfId="28349" xr:uid="{00000000-0005-0000-0000-0000C06D0000}"/>
    <cellStyle name="Normal 36 3 3 2 2" xfId="28350" xr:uid="{00000000-0005-0000-0000-0000C16D0000}"/>
    <cellStyle name="Normal 36 3 3 3" xfId="28351" xr:uid="{00000000-0005-0000-0000-0000C26D0000}"/>
    <cellStyle name="Normal 36 3 4" xfId="28352" xr:uid="{00000000-0005-0000-0000-0000C36D0000}"/>
    <cellStyle name="Normal 36 3 4 2" xfId="28353" xr:uid="{00000000-0005-0000-0000-0000C46D0000}"/>
    <cellStyle name="Normal 36 3 4 2 2" xfId="28354" xr:uid="{00000000-0005-0000-0000-0000C56D0000}"/>
    <cellStyle name="Normal 36 3 4 3" xfId="28355" xr:uid="{00000000-0005-0000-0000-0000C66D0000}"/>
    <cellStyle name="Normal 36 3 5" xfId="28356" xr:uid="{00000000-0005-0000-0000-0000C76D0000}"/>
    <cellStyle name="Normal 36 4" xfId="28357" xr:uid="{00000000-0005-0000-0000-0000C86D0000}"/>
    <cellStyle name="Normal 36 4 2" xfId="28358" xr:uid="{00000000-0005-0000-0000-0000C96D0000}"/>
    <cellStyle name="Normal 36 4 2 2" xfId="28359" xr:uid="{00000000-0005-0000-0000-0000CA6D0000}"/>
    <cellStyle name="Normal 36 4 3" xfId="28360" xr:uid="{00000000-0005-0000-0000-0000CB6D0000}"/>
    <cellStyle name="Normal 36 5" xfId="28361" xr:uid="{00000000-0005-0000-0000-0000CC6D0000}"/>
    <cellStyle name="Normal 36 5 2" xfId="28362" xr:uid="{00000000-0005-0000-0000-0000CD6D0000}"/>
    <cellStyle name="Normal 36 5 2 2" xfId="28363" xr:uid="{00000000-0005-0000-0000-0000CE6D0000}"/>
    <cellStyle name="Normal 36 5 3" xfId="28364" xr:uid="{00000000-0005-0000-0000-0000CF6D0000}"/>
    <cellStyle name="Normal 36 6" xfId="28365" xr:uid="{00000000-0005-0000-0000-0000D06D0000}"/>
    <cellStyle name="Normal 36 6 2" xfId="28366" xr:uid="{00000000-0005-0000-0000-0000D16D0000}"/>
    <cellStyle name="Normal 36 6 2 2" xfId="28367" xr:uid="{00000000-0005-0000-0000-0000D26D0000}"/>
    <cellStyle name="Normal 36 6 3" xfId="28368" xr:uid="{00000000-0005-0000-0000-0000D36D0000}"/>
    <cellStyle name="Normal 36 7" xfId="28369" xr:uid="{00000000-0005-0000-0000-0000D46D0000}"/>
    <cellStyle name="Normal 360" xfId="28370" xr:uid="{00000000-0005-0000-0000-0000D56D0000}"/>
    <cellStyle name="Normal 360 2" xfId="28371" xr:uid="{00000000-0005-0000-0000-0000D66D0000}"/>
    <cellStyle name="Normal 360 2 2" xfId="28372" xr:uid="{00000000-0005-0000-0000-0000D76D0000}"/>
    <cellStyle name="Normal 360 2 2 2" xfId="28373" xr:uid="{00000000-0005-0000-0000-0000D86D0000}"/>
    <cellStyle name="Normal 360 2 3" xfId="28374" xr:uid="{00000000-0005-0000-0000-0000D96D0000}"/>
    <cellStyle name="Normal 360 2 3 2" xfId="28375" xr:uid="{00000000-0005-0000-0000-0000DA6D0000}"/>
    <cellStyle name="Normal 360 2 3 2 2" xfId="28376" xr:uid="{00000000-0005-0000-0000-0000DB6D0000}"/>
    <cellStyle name="Normal 360 2 3 3" xfId="28377" xr:uid="{00000000-0005-0000-0000-0000DC6D0000}"/>
    <cellStyle name="Normal 360 2 4" xfId="28378" xr:uid="{00000000-0005-0000-0000-0000DD6D0000}"/>
    <cellStyle name="Normal 360 2 4 2" xfId="28379" xr:uid="{00000000-0005-0000-0000-0000DE6D0000}"/>
    <cellStyle name="Normal 360 2 4 2 2" xfId="28380" xr:uid="{00000000-0005-0000-0000-0000DF6D0000}"/>
    <cellStyle name="Normal 360 2 4 3" xfId="28381" xr:uid="{00000000-0005-0000-0000-0000E06D0000}"/>
    <cellStyle name="Normal 360 2 5" xfId="28382" xr:uid="{00000000-0005-0000-0000-0000E16D0000}"/>
    <cellStyle name="Normal 360 3" xfId="28383" xr:uid="{00000000-0005-0000-0000-0000E26D0000}"/>
    <cellStyle name="Normal 360 3 2" xfId="28384" xr:uid="{00000000-0005-0000-0000-0000E36D0000}"/>
    <cellStyle name="Normal 360 3 2 2" xfId="28385" xr:uid="{00000000-0005-0000-0000-0000E46D0000}"/>
    <cellStyle name="Normal 360 3 2 2 2" xfId="28386" xr:uid="{00000000-0005-0000-0000-0000E56D0000}"/>
    <cellStyle name="Normal 360 3 2 3" xfId="28387" xr:uid="{00000000-0005-0000-0000-0000E66D0000}"/>
    <cellStyle name="Normal 360 3 2 3 2" xfId="28388" xr:uid="{00000000-0005-0000-0000-0000E76D0000}"/>
    <cellStyle name="Normal 360 3 2 3 2 2" xfId="28389" xr:uid="{00000000-0005-0000-0000-0000E86D0000}"/>
    <cellStyle name="Normal 360 3 2 3 3" xfId="28390" xr:uid="{00000000-0005-0000-0000-0000E96D0000}"/>
    <cellStyle name="Normal 360 3 2 4" xfId="28391" xr:uid="{00000000-0005-0000-0000-0000EA6D0000}"/>
    <cellStyle name="Normal 360 3 3" xfId="28392" xr:uid="{00000000-0005-0000-0000-0000EB6D0000}"/>
    <cellStyle name="Normal 360 3 3 2" xfId="28393" xr:uid="{00000000-0005-0000-0000-0000EC6D0000}"/>
    <cellStyle name="Normal 360 3 3 2 2" xfId="28394" xr:uid="{00000000-0005-0000-0000-0000ED6D0000}"/>
    <cellStyle name="Normal 360 3 3 3" xfId="28395" xr:uid="{00000000-0005-0000-0000-0000EE6D0000}"/>
    <cellStyle name="Normal 360 3 4" xfId="28396" xr:uid="{00000000-0005-0000-0000-0000EF6D0000}"/>
    <cellStyle name="Normal 360 3 4 2" xfId="28397" xr:uid="{00000000-0005-0000-0000-0000F06D0000}"/>
    <cellStyle name="Normal 360 3 4 2 2" xfId="28398" xr:uid="{00000000-0005-0000-0000-0000F16D0000}"/>
    <cellStyle name="Normal 360 3 4 3" xfId="28399" xr:uid="{00000000-0005-0000-0000-0000F26D0000}"/>
    <cellStyle name="Normal 360 3 5" xfId="28400" xr:uid="{00000000-0005-0000-0000-0000F36D0000}"/>
    <cellStyle name="Normal 360 3 5 2" xfId="28401" xr:uid="{00000000-0005-0000-0000-0000F46D0000}"/>
    <cellStyle name="Normal 360 3 5 2 2" xfId="28402" xr:uid="{00000000-0005-0000-0000-0000F56D0000}"/>
    <cellStyle name="Normal 360 3 5 3" xfId="28403" xr:uid="{00000000-0005-0000-0000-0000F66D0000}"/>
    <cellStyle name="Normal 360 3 6" xfId="28404" xr:uid="{00000000-0005-0000-0000-0000F76D0000}"/>
    <cellStyle name="Normal 360 4" xfId="28405" xr:uid="{00000000-0005-0000-0000-0000F86D0000}"/>
    <cellStyle name="Normal 360 4 2" xfId="28406" xr:uid="{00000000-0005-0000-0000-0000F96D0000}"/>
    <cellStyle name="Normal 360 4 2 2" xfId="28407" xr:uid="{00000000-0005-0000-0000-0000FA6D0000}"/>
    <cellStyle name="Normal 360 4 3" xfId="28408" xr:uid="{00000000-0005-0000-0000-0000FB6D0000}"/>
    <cellStyle name="Normal 360 5" xfId="28409" xr:uid="{00000000-0005-0000-0000-0000FC6D0000}"/>
    <cellStyle name="Normal 360 5 2" xfId="28410" xr:uid="{00000000-0005-0000-0000-0000FD6D0000}"/>
    <cellStyle name="Normal 360 5 2 2" xfId="28411" xr:uid="{00000000-0005-0000-0000-0000FE6D0000}"/>
    <cellStyle name="Normal 360 5 3" xfId="28412" xr:uid="{00000000-0005-0000-0000-0000FF6D0000}"/>
    <cellStyle name="Normal 360 6" xfId="28413" xr:uid="{00000000-0005-0000-0000-0000006E0000}"/>
    <cellStyle name="Normal 360 6 2" xfId="28414" xr:uid="{00000000-0005-0000-0000-0000016E0000}"/>
    <cellStyle name="Normal 360 6 2 2" xfId="28415" xr:uid="{00000000-0005-0000-0000-0000026E0000}"/>
    <cellStyle name="Normal 360 6 3" xfId="28416" xr:uid="{00000000-0005-0000-0000-0000036E0000}"/>
    <cellStyle name="Normal 360 7" xfId="28417" xr:uid="{00000000-0005-0000-0000-0000046E0000}"/>
    <cellStyle name="Normal 361" xfId="28418" xr:uid="{00000000-0005-0000-0000-0000056E0000}"/>
    <cellStyle name="Normal 361 2" xfId="28419" xr:uid="{00000000-0005-0000-0000-0000066E0000}"/>
    <cellStyle name="Normal 361 2 2" xfId="28420" xr:uid="{00000000-0005-0000-0000-0000076E0000}"/>
    <cellStyle name="Normal 361 2 2 2" xfId="28421" xr:uid="{00000000-0005-0000-0000-0000086E0000}"/>
    <cellStyle name="Normal 361 2 3" xfId="28422" xr:uid="{00000000-0005-0000-0000-0000096E0000}"/>
    <cellStyle name="Normal 361 2 3 2" xfId="28423" xr:uid="{00000000-0005-0000-0000-00000A6E0000}"/>
    <cellStyle name="Normal 361 2 3 2 2" xfId="28424" xr:uid="{00000000-0005-0000-0000-00000B6E0000}"/>
    <cellStyle name="Normal 361 2 3 3" xfId="28425" xr:uid="{00000000-0005-0000-0000-00000C6E0000}"/>
    <cellStyle name="Normal 361 2 4" xfId="28426" xr:uid="{00000000-0005-0000-0000-00000D6E0000}"/>
    <cellStyle name="Normal 361 2 4 2" xfId="28427" xr:uid="{00000000-0005-0000-0000-00000E6E0000}"/>
    <cellStyle name="Normal 361 2 4 2 2" xfId="28428" xr:uid="{00000000-0005-0000-0000-00000F6E0000}"/>
    <cellStyle name="Normal 361 2 4 3" xfId="28429" xr:uid="{00000000-0005-0000-0000-0000106E0000}"/>
    <cellStyle name="Normal 361 2 5" xfId="28430" xr:uid="{00000000-0005-0000-0000-0000116E0000}"/>
    <cellStyle name="Normal 361 3" xfId="28431" xr:uid="{00000000-0005-0000-0000-0000126E0000}"/>
    <cellStyle name="Normal 361 3 2" xfId="28432" xr:uid="{00000000-0005-0000-0000-0000136E0000}"/>
    <cellStyle name="Normal 361 3 2 2" xfId="28433" xr:uid="{00000000-0005-0000-0000-0000146E0000}"/>
    <cellStyle name="Normal 361 3 2 2 2" xfId="28434" xr:uid="{00000000-0005-0000-0000-0000156E0000}"/>
    <cellStyle name="Normal 361 3 2 3" xfId="28435" xr:uid="{00000000-0005-0000-0000-0000166E0000}"/>
    <cellStyle name="Normal 361 3 2 3 2" xfId="28436" xr:uid="{00000000-0005-0000-0000-0000176E0000}"/>
    <cellStyle name="Normal 361 3 2 3 2 2" xfId="28437" xr:uid="{00000000-0005-0000-0000-0000186E0000}"/>
    <cellStyle name="Normal 361 3 2 3 3" xfId="28438" xr:uid="{00000000-0005-0000-0000-0000196E0000}"/>
    <cellStyle name="Normal 361 3 2 4" xfId="28439" xr:uid="{00000000-0005-0000-0000-00001A6E0000}"/>
    <cellStyle name="Normal 361 3 3" xfId="28440" xr:uid="{00000000-0005-0000-0000-00001B6E0000}"/>
    <cellStyle name="Normal 361 3 3 2" xfId="28441" xr:uid="{00000000-0005-0000-0000-00001C6E0000}"/>
    <cellStyle name="Normal 361 3 3 2 2" xfId="28442" xr:uid="{00000000-0005-0000-0000-00001D6E0000}"/>
    <cellStyle name="Normal 361 3 3 3" xfId="28443" xr:uid="{00000000-0005-0000-0000-00001E6E0000}"/>
    <cellStyle name="Normal 361 3 4" xfId="28444" xr:uid="{00000000-0005-0000-0000-00001F6E0000}"/>
    <cellStyle name="Normal 361 3 4 2" xfId="28445" xr:uid="{00000000-0005-0000-0000-0000206E0000}"/>
    <cellStyle name="Normal 361 3 4 2 2" xfId="28446" xr:uid="{00000000-0005-0000-0000-0000216E0000}"/>
    <cellStyle name="Normal 361 3 4 3" xfId="28447" xr:uid="{00000000-0005-0000-0000-0000226E0000}"/>
    <cellStyle name="Normal 361 3 5" xfId="28448" xr:uid="{00000000-0005-0000-0000-0000236E0000}"/>
    <cellStyle name="Normal 361 3 5 2" xfId="28449" xr:uid="{00000000-0005-0000-0000-0000246E0000}"/>
    <cellStyle name="Normal 361 3 5 2 2" xfId="28450" xr:uid="{00000000-0005-0000-0000-0000256E0000}"/>
    <cellStyle name="Normal 361 3 5 3" xfId="28451" xr:uid="{00000000-0005-0000-0000-0000266E0000}"/>
    <cellStyle name="Normal 361 3 6" xfId="28452" xr:uid="{00000000-0005-0000-0000-0000276E0000}"/>
    <cellStyle name="Normal 361 4" xfId="28453" xr:uid="{00000000-0005-0000-0000-0000286E0000}"/>
    <cellStyle name="Normal 361 4 2" xfId="28454" xr:uid="{00000000-0005-0000-0000-0000296E0000}"/>
    <cellStyle name="Normal 361 4 2 2" xfId="28455" xr:uid="{00000000-0005-0000-0000-00002A6E0000}"/>
    <cellStyle name="Normal 361 4 3" xfId="28456" xr:uid="{00000000-0005-0000-0000-00002B6E0000}"/>
    <cellStyle name="Normal 361 5" xfId="28457" xr:uid="{00000000-0005-0000-0000-00002C6E0000}"/>
    <cellStyle name="Normal 361 5 2" xfId="28458" xr:uid="{00000000-0005-0000-0000-00002D6E0000}"/>
    <cellStyle name="Normal 361 5 2 2" xfId="28459" xr:uid="{00000000-0005-0000-0000-00002E6E0000}"/>
    <cellStyle name="Normal 361 5 3" xfId="28460" xr:uid="{00000000-0005-0000-0000-00002F6E0000}"/>
    <cellStyle name="Normal 361 6" xfId="28461" xr:uid="{00000000-0005-0000-0000-0000306E0000}"/>
    <cellStyle name="Normal 361 6 2" xfId="28462" xr:uid="{00000000-0005-0000-0000-0000316E0000}"/>
    <cellStyle name="Normal 361 6 2 2" xfId="28463" xr:uid="{00000000-0005-0000-0000-0000326E0000}"/>
    <cellStyle name="Normal 361 6 3" xfId="28464" xr:uid="{00000000-0005-0000-0000-0000336E0000}"/>
    <cellStyle name="Normal 361 7" xfId="28465" xr:uid="{00000000-0005-0000-0000-0000346E0000}"/>
    <cellStyle name="Normal 362" xfId="28466" xr:uid="{00000000-0005-0000-0000-0000356E0000}"/>
    <cellStyle name="Normal 362 2" xfId="28467" xr:uid="{00000000-0005-0000-0000-0000366E0000}"/>
    <cellStyle name="Normal 362 2 2" xfId="28468" xr:uid="{00000000-0005-0000-0000-0000376E0000}"/>
    <cellStyle name="Normal 362 2 2 2" xfId="28469" xr:uid="{00000000-0005-0000-0000-0000386E0000}"/>
    <cellStyle name="Normal 362 2 3" xfId="28470" xr:uid="{00000000-0005-0000-0000-0000396E0000}"/>
    <cellStyle name="Normal 362 2 3 2" xfId="28471" xr:uid="{00000000-0005-0000-0000-00003A6E0000}"/>
    <cellStyle name="Normal 362 2 3 2 2" xfId="28472" xr:uid="{00000000-0005-0000-0000-00003B6E0000}"/>
    <cellStyle name="Normal 362 2 3 3" xfId="28473" xr:uid="{00000000-0005-0000-0000-00003C6E0000}"/>
    <cellStyle name="Normal 362 2 4" xfId="28474" xr:uid="{00000000-0005-0000-0000-00003D6E0000}"/>
    <cellStyle name="Normal 362 2 4 2" xfId="28475" xr:uid="{00000000-0005-0000-0000-00003E6E0000}"/>
    <cellStyle name="Normal 362 2 4 2 2" xfId="28476" xr:uid="{00000000-0005-0000-0000-00003F6E0000}"/>
    <cellStyle name="Normal 362 2 4 3" xfId="28477" xr:uid="{00000000-0005-0000-0000-0000406E0000}"/>
    <cellStyle name="Normal 362 2 5" xfId="28478" xr:uid="{00000000-0005-0000-0000-0000416E0000}"/>
    <cellStyle name="Normal 362 3" xfId="28479" xr:uid="{00000000-0005-0000-0000-0000426E0000}"/>
    <cellStyle name="Normal 362 3 2" xfId="28480" xr:uid="{00000000-0005-0000-0000-0000436E0000}"/>
    <cellStyle name="Normal 362 3 2 2" xfId="28481" xr:uid="{00000000-0005-0000-0000-0000446E0000}"/>
    <cellStyle name="Normal 362 3 2 2 2" xfId="28482" xr:uid="{00000000-0005-0000-0000-0000456E0000}"/>
    <cellStyle name="Normal 362 3 2 3" xfId="28483" xr:uid="{00000000-0005-0000-0000-0000466E0000}"/>
    <cellStyle name="Normal 362 3 2 3 2" xfId="28484" xr:uid="{00000000-0005-0000-0000-0000476E0000}"/>
    <cellStyle name="Normal 362 3 2 3 2 2" xfId="28485" xr:uid="{00000000-0005-0000-0000-0000486E0000}"/>
    <cellStyle name="Normal 362 3 2 3 3" xfId="28486" xr:uid="{00000000-0005-0000-0000-0000496E0000}"/>
    <cellStyle name="Normal 362 3 2 4" xfId="28487" xr:uid="{00000000-0005-0000-0000-00004A6E0000}"/>
    <cellStyle name="Normal 362 3 3" xfId="28488" xr:uid="{00000000-0005-0000-0000-00004B6E0000}"/>
    <cellStyle name="Normal 362 3 3 2" xfId="28489" xr:uid="{00000000-0005-0000-0000-00004C6E0000}"/>
    <cellStyle name="Normal 362 3 3 2 2" xfId="28490" xr:uid="{00000000-0005-0000-0000-00004D6E0000}"/>
    <cellStyle name="Normal 362 3 3 3" xfId="28491" xr:uid="{00000000-0005-0000-0000-00004E6E0000}"/>
    <cellStyle name="Normal 362 3 4" xfId="28492" xr:uid="{00000000-0005-0000-0000-00004F6E0000}"/>
    <cellStyle name="Normal 362 3 4 2" xfId="28493" xr:uid="{00000000-0005-0000-0000-0000506E0000}"/>
    <cellStyle name="Normal 362 3 4 2 2" xfId="28494" xr:uid="{00000000-0005-0000-0000-0000516E0000}"/>
    <cellStyle name="Normal 362 3 4 3" xfId="28495" xr:uid="{00000000-0005-0000-0000-0000526E0000}"/>
    <cellStyle name="Normal 362 3 5" xfId="28496" xr:uid="{00000000-0005-0000-0000-0000536E0000}"/>
    <cellStyle name="Normal 362 3 5 2" xfId="28497" xr:uid="{00000000-0005-0000-0000-0000546E0000}"/>
    <cellStyle name="Normal 362 3 5 2 2" xfId="28498" xr:uid="{00000000-0005-0000-0000-0000556E0000}"/>
    <cellStyle name="Normal 362 3 5 3" xfId="28499" xr:uid="{00000000-0005-0000-0000-0000566E0000}"/>
    <cellStyle name="Normal 362 3 6" xfId="28500" xr:uid="{00000000-0005-0000-0000-0000576E0000}"/>
    <cellStyle name="Normal 362 4" xfId="28501" xr:uid="{00000000-0005-0000-0000-0000586E0000}"/>
    <cellStyle name="Normal 362 4 2" xfId="28502" xr:uid="{00000000-0005-0000-0000-0000596E0000}"/>
    <cellStyle name="Normal 362 4 2 2" xfId="28503" xr:uid="{00000000-0005-0000-0000-00005A6E0000}"/>
    <cellStyle name="Normal 362 4 3" xfId="28504" xr:uid="{00000000-0005-0000-0000-00005B6E0000}"/>
    <cellStyle name="Normal 362 5" xfId="28505" xr:uid="{00000000-0005-0000-0000-00005C6E0000}"/>
    <cellStyle name="Normal 362 5 2" xfId="28506" xr:uid="{00000000-0005-0000-0000-00005D6E0000}"/>
    <cellStyle name="Normal 362 5 2 2" xfId="28507" xr:uid="{00000000-0005-0000-0000-00005E6E0000}"/>
    <cellStyle name="Normal 362 5 3" xfId="28508" xr:uid="{00000000-0005-0000-0000-00005F6E0000}"/>
    <cellStyle name="Normal 362 6" xfId="28509" xr:uid="{00000000-0005-0000-0000-0000606E0000}"/>
    <cellStyle name="Normal 362 6 2" xfId="28510" xr:uid="{00000000-0005-0000-0000-0000616E0000}"/>
    <cellStyle name="Normal 362 6 2 2" xfId="28511" xr:uid="{00000000-0005-0000-0000-0000626E0000}"/>
    <cellStyle name="Normal 362 6 3" xfId="28512" xr:uid="{00000000-0005-0000-0000-0000636E0000}"/>
    <cellStyle name="Normal 362 7" xfId="28513" xr:uid="{00000000-0005-0000-0000-0000646E0000}"/>
    <cellStyle name="Normal 363" xfId="28514" xr:uid="{00000000-0005-0000-0000-0000656E0000}"/>
    <cellStyle name="Normal 363 2" xfId="28515" xr:uid="{00000000-0005-0000-0000-0000666E0000}"/>
    <cellStyle name="Normal 363 2 2" xfId="28516" xr:uid="{00000000-0005-0000-0000-0000676E0000}"/>
    <cellStyle name="Normal 363 2 2 2" xfId="28517" xr:uid="{00000000-0005-0000-0000-0000686E0000}"/>
    <cellStyle name="Normal 363 2 3" xfId="28518" xr:uid="{00000000-0005-0000-0000-0000696E0000}"/>
    <cellStyle name="Normal 363 2 3 2" xfId="28519" xr:uid="{00000000-0005-0000-0000-00006A6E0000}"/>
    <cellStyle name="Normal 363 2 3 2 2" xfId="28520" xr:uid="{00000000-0005-0000-0000-00006B6E0000}"/>
    <cellStyle name="Normal 363 2 3 3" xfId="28521" xr:uid="{00000000-0005-0000-0000-00006C6E0000}"/>
    <cellStyle name="Normal 363 2 4" xfId="28522" xr:uid="{00000000-0005-0000-0000-00006D6E0000}"/>
    <cellStyle name="Normal 363 2 4 2" xfId="28523" xr:uid="{00000000-0005-0000-0000-00006E6E0000}"/>
    <cellStyle name="Normal 363 2 4 2 2" xfId="28524" xr:uid="{00000000-0005-0000-0000-00006F6E0000}"/>
    <cellStyle name="Normal 363 2 4 3" xfId="28525" xr:uid="{00000000-0005-0000-0000-0000706E0000}"/>
    <cellStyle name="Normal 363 2 5" xfId="28526" xr:uid="{00000000-0005-0000-0000-0000716E0000}"/>
    <cellStyle name="Normal 363 3" xfId="28527" xr:uid="{00000000-0005-0000-0000-0000726E0000}"/>
    <cellStyle name="Normal 363 3 2" xfId="28528" xr:uid="{00000000-0005-0000-0000-0000736E0000}"/>
    <cellStyle name="Normal 363 3 2 2" xfId="28529" xr:uid="{00000000-0005-0000-0000-0000746E0000}"/>
    <cellStyle name="Normal 363 3 2 2 2" xfId="28530" xr:uid="{00000000-0005-0000-0000-0000756E0000}"/>
    <cellStyle name="Normal 363 3 2 3" xfId="28531" xr:uid="{00000000-0005-0000-0000-0000766E0000}"/>
    <cellStyle name="Normal 363 3 2 3 2" xfId="28532" xr:uid="{00000000-0005-0000-0000-0000776E0000}"/>
    <cellStyle name="Normal 363 3 2 3 2 2" xfId="28533" xr:uid="{00000000-0005-0000-0000-0000786E0000}"/>
    <cellStyle name="Normal 363 3 2 3 3" xfId="28534" xr:uid="{00000000-0005-0000-0000-0000796E0000}"/>
    <cellStyle name="Normal 363 3 2 4" xfId="28535" xr:uid="{00000000-0005-0000-0000-00007A6E0000}"/>
    <cellStyle name="Normal 363 3 3" xfId="28536" xr:uid="{00000000-0005-0000-0000-00007B6E0000}"/>
    <cellStyle name="Normal 363 3 3 2" xfId="28537" xr:uid="{00000000-0005-0000-0000-00007C6E0000}"/>
    <cellStyle name="Normal 363 3 3 2 2" xfId="28538" xr:uid="{00000000-0005-0000-0000-00007D6E0000}"/>
    <cellStyle name="Normal 363 3 3 3" xfId="28539" xr:uid="{00000000-0005-0000-0000-00007E6E0000}"/>
    <cellStyle name="Normal 363 3 4" xfId="28540" xr:uid="{00000000-0005-0000-0000-00007F6E0000}"/>
    <cellStyle name="Normal 363 3 4 2" xfId="28541" xr:uid="{00000000-0005-0000-0000-0000806E0000}"/>
    <cellStyle name="Normal 363 3 4 2 2" xfId="28542" xr:uid="{00000000-0005-0000-0000-0000816E0000}"/>
    <cellStyle name="Normal 363 3 4 3" xfId="28543" xr:uid="{00000000-0005-0000-0000-0000826E0000}"/>
    <cellStyle name="Normal 363 3 5" xfId="28544" xr:uid="{00000000-0005-0000-0000-0000836E0000}"/>
    <cellStyle name="Normal 363 3 5 2" xfId="28545" xr:uid="{00000000-0005-0000-0000-0000846E0000}"/>
    <cellStyle name="Normal 363 3 5 2 2" xfId="28546" xr:uid="{00000000-0005-0000-0000-0000856E0000}"/>
    <cellStyle name="Normal 363 3 5 3" xfId="28547" xr:uid="{00000000-0005-0000-0000-0000866E0000}"/>
    <cellStyle name="Normal 363 3 6" xfId="28548" xr:uid="{00000000-0005-0000-0000-0000876E0000}"/>
    <cellStyle name="Normal 363 4" xfId="28549" xr:uid="{00000000-0005-0000-0000-0000886E0000}"/>
    <cellStyle name="Normal 363 4 2" xfId="28550" xr:uid="{00000000-0005-0000-0000-0000896E0000}"/>
    <cellStyle name="Normal 363 4 2 2" xfId="28551" xr:uid="{00000000-0005-0000-0000-00008A6E0000}"/>
    <cellStyle name="Normal 363 4 3" xfId="28552" xr:uid="{00000000-0005-0000-0000-00008B6E0000}"/>
    <cellStyle name="Normal 363 5" xfId="28553" xr:uid="{00000000-0005-0000-0000-00008C6E0000}"/>
    <cellStyle name="Normal 363 5 2" xfId="28554" xr:uid="{00000000-0005-0000-0000-00008D6E0000}"/>
    <cellStyle name="Normal 363 5 2 2" xfId="28555" xr:uid="{00000000-0005-0000-0000-00008E6E0000}"/>
    <cellStyle name="Normal 363 5 3" xfId="28556" xr:uid="{00000000-0005-0000-0000-00008F6E0000}"/>
    <cellStyle name="Normal 363 6" xfId="28557" xr:uid="{00000000-0005-0000-0000-0000906E0000}"/>
    <cellStyle name="Normal 363 6 2" xfId="28558" xr:uid="{00000000-0005-0000-0000-0000916E0000}"/>
    <cellStyle name="Normal 363 6 2 2" xfId="28559" xr:uid="{00000000-0005-0000-0000-0000926E0000}"/>
    <cellStyle name="Normal 363 6 3" xfId="28560" xr:uid="{00000000-0005-0000-0000-0000936E0000}"/>
    <cellStyle name="Normal 363 7" xfId="28561" xr:uid="{00000000-0005-0000-0000-0000946E0000}"/>
    <cellStyle name="Normal 364" xfId="28562" xr:uid="{00000000-0005-0000-0000-0000956E0000}"/>
    <cellStyle name="Normal 364 2" xfId="28563" xr:uid="{00000000-0005-0000-0000-0000966E0000}"/>
    <cellStyle name="Normal 364 2 2" xfId="28564" xr:uid="{00000000-0005-0000-0000-0000976E0000}"/>
    <cellStyle name="Normal 364 2 2 2" xfId="28565" xr:uid="{00000000-0005-0000-0000-0000986E0000}"/>
    <cellStyle name="Normal 364 2 3" xfId="28566" xr:uid="{00000000-0005-0000-0000-0000996E0000}"/>
    <cellStyle name="Normal 364 2 3 2" xfId="28567" xr:uid="{00000000-0005-0000-0000-00009A6E0000}"/>
    <cellStyle name="Normal 364 2 3 2 2" xfId="28568" xr:uid="{00000000-0005-0000-0000-00009B6E0000}"/>
    <cellStyle name="Normal 364 2 3 3" xfId="28569" xr:uid="{00000000-0005-0000-0000-00009C6E0000}"/>
    <cellStyle name="Normal 364 2 4" xfId="28570" xr:uid="{00000000-0005-0000-0000-00009D6E0000}"/>
    <cellStyle name="Normal 364 2 4 2" xfId="28571" xr:uid="{00000000-0005-0000-0000-00009E6E0000}"/>
    <cellStyle name="Normal 364 2 4 2 2" xfId="28572" xr:uid="{00000000-0005-0000-0000-00009F6E0000}"/>
    <cellStyle name="Normal 364 2 4 3" xfId="28573" xr:uid="{00000000-0005-0000-0000-0000A06E0000}"/>
    <cellStyle name="Normal 364 2 5" xfId="28574" xr:uid="{00000000-0005-0000-0000-0000A16E0000}"/>
    <cellStyle name="Normal 364 3" xfId="28575" xr:uid="{00000000-0005-0000-0000-0000A26E0000}"/>
    <cellStyle name="Normal 364 3 2" xfId="28576" xr:uid="{00000000-0005-0000-0000-0000A36E0000}"/>
    <cellStyle name="Normal 364 3 2 2" xfId="28577" xr:uid="{00000000-0005-0000-0000-0000A46E0000}"/>
    <cellStyle name="Normal 364 3 2 2 2" xfId="28578" xr:uid="{00000000-0005-0000-0000-0000A56E0000}"/>
    <cellStyle name="Normal 364 3 2 3" xfId="28579" xr:uid="{00000000-0005-0000-0000-0000A66E0000}"/>
    <cellStyle name="Normal 364 3 2 3 2" xfId="28580" xr:uid="{00000000-0005-0000-0000-0000A76E0000}"/>
    <cellStyle name="Normal 364 3 2 3 2 2" xfId="28581" xr:uid="{00000000-0005-0000-0000-0000A86E0000}"/>
    <cellStyle name="Normal 364 3 2 3 3" xfId="28582" xr:uid="{00000000-0005-0000-0000-0000A96E0000}"/>
    <cellStyle name="Normal 364 3 2 4" xfId="28583" xr:uid="{00000000-0005-0000-0000-0000AA6E0000}"/>
    <cellStyle name="Normal 364 3 3" xfId="28584" xr:uid="{00000000-0005-0000-0000-0000AB6E0000}"/>
    <cellStyle name="Normal 364 3 3 2" xfId="28585" xr:uid="{00000000-0005-0000-0000-0000AC6E0000}"/>
    <cellStyle name="Normal 364 3 3 2 2" xfId="28586" xr:uid="{00000000-0005-0000-0000-0000AD6E0000}"/>
    <cellStyle name="Normal 364 3 3 3" xfId="28587" xr:uid="{00000000-0005-0000-0000-0000AE6E0000}"/>
    <cellStyle name="Normal 364 3 4" xfId="28588" xr:uid="{00000000-0005-0000-0000-0000AF6E0000}"/>
    <cellStyle name="Normal 364 3 4 2" xfId="28589" xr:uid="{00000000-0005-0000-0000-0000B06E0000}"/>
    <cellStyle name="Normal 364 3 4 2 2" xfId="28590" xr:uid="{00000000-0005-0000-0000-0000B16E0000}"/>
    <cellStyle name="Normal 364 3 4 3" xfId="28591" xr:uid="{00000000-0005-0000-0000-0000B26E0000}"/>
    <cellStyle name="Normal 364 3 5" xfId="28592" xr:uid="{00000000-0005-0000-0000-0000B36E0000}"/>
    <cellStyle name="Normal 364 3 5 2" xfId="28593" xr:uid="{00000000-0005-0000-0000-0000B46E0000}"/>
    <cellStyle name="Normal 364 3 5 2 2" xfId="28594" xr:uid="{00000000-0005-0000-0000-0000B56E0000}"/>
    <cellStyle name="Normal 364 3 5 3" xfId="28595" xr:uid="{00000000-0005-0000-0000-0000B66E0000}"/>
    <cellStyle name="Normal 364 3 6" xfId="28596" xr:uid="{00000000-0005-0000-0000-0000B76E0000}"/>
    <cellStyle name="Normal 364 4" xfId="28597" xr:uid="{00000000-0005-0000-0000-0000B86E0000}"/>
    <cellStyle name="Normal 364 4 2" xfId="28598" xr:uid="{00000000-0005-0000-0000-0000B96E0000}"/>
    <cellStyle name="Normal 364 4 2 2" xfId="28599" xr:uid="{00000000-0005-0000-0000-0000BA6E0000}"/>
    <cellStyle name="Normal 364 4 3" xfId="28600" xr:uid="{00000000-0005-0000-0000-0000BB6E0000}"/>
    <cellStyle name="Normal 364 5" xfId="28601" xr:uid="{00000000-0005-0000-0000-0000BC6E0000}"/>
    <cellStyle name="Normal 364 5 2" xfId="28602" xr:uid="{00000000-0005-0000-0000-0000BD6E0000}"/>
    <cellStyle name="Normal 364 5 2 2" xfId="28603" xr:uid="{00000000-0005-0000-0000-0000BE6E0000}"/>
    <cellStyle name="Normal 364 5 3" xfId="28604" xr:uid="{00000000-0005-0000-0000-0000BF6E0000}"/>
    <cellStyle name="Normal 364 6" xfId="28605" xr:uid="{00000000-0005-0000-0000-0000C06E0000}"/>
    <cellStyle name="Normal 364 6 2" xfId="28606" xr:uid="{00000000-0005-0000-0000-0000C16E0000}"/>
    <cellStyle name="Normal 364 6 2 2" xfId="28607" xr:uid="{00000000-0005-0000-0000-0000C26E0000}"/>
    <cellStyle name="Normal 364 6 3" xfId="28608" xr:uid="{00000000-0005-0000-0000-0000C36E0000}"/>
    <cellStyle name="Normal 364 7" xfId="28609" xr:uid="{00000000-0005-0000-0000-0000C46E0000}"/>
    <cellStyle name="Normal 365" xfId="28610" xr:uid="{00000000-0005-0000-0000-0000C56E0000}"/>
    <cellStyle name="Normal 365 2" xfId="28611" xr:uid="{00000000-0005-0000-0000-0000C66E0000}"/>
    <cellStyle name="Normal 365 2 2" xfId="28612" xr:uid="{00000000-0005-0000-0000-0000C76E0000}"/>
    <cellStyle name="Normal 365 2 2 2" xfId="28613" xr:uid="{00000000-0005-0000-0000-0000C86E0000}"/>
    <cellStyle name="Normal 365 2 3" xfId="28614" xr:uid="{00000000-0005-0000-0000-0000C96E0000}"/>
    <cellStyle name="Normal 365 2 3 2" xfId="28615" xr:uid="{00000000-0005-0000-0000-0000CA6E0000}"/>
    <cellStyle name="Normal 365 2 3 2 2" xfId="28616" xr:uid="{00000000-0005-0000-0000-0000CB6E0000}"/>
    <cellStyle name="Normal 365 2 3 3" xfId="28617" xr:uid="{00000000-0005-0000-0000-0000CC6E0000}"/>
    <cellStyle name="Normal 365 2 4" xfId="28618" xr:uid="{00000000-0005-0000-0000-0000CD6E0000}"/>
    <cellStyle name="Normal 365 2 4 2" xfId="28619" xr:uid="{00000000-0005-0000-0000-0000CE6E0000}"/>
    <cellStyle name="Normal 365 2 4 2 2" xfId="28620" xr:uid="{00000000-0005-0000-0000-0000CF6E0000}"/>
    <cellStyle name="Normal 365 2 4 3" xfId="28621" xr:uid="{00000000-0005-0000-0000-0000D06E0000}"/>
    <cellStyle name="Normal 365 2 5" xfId="28622" xr:uid="{00000000-0005-0000-0000-0000D16E0000}"/>
    <cellStyle name="Normal 365 3" xfId="28623" xr:uid="{00000000-0005-0000-0000-0000D26E0000}"/>
    <cellStyle name="Normal 365 3 2" xfId="28624" xr:uid="{00000000-0005-0000-0000-0000D36E0000}"/>
    <cellStyle name="Normal 365 3 2 2" xfId="28625" xr:uid="{00000000-0005-0000-0000-0000D46E0000}"/>
    <cellStyle name="Normal 365 3 2 2 2" xfId="28626" xr:uid="{00000000-0005-0000-0000-0000D56E0000}"/>
    <cellStyle name="Normal 365 3 2 3" xfId="28627" xr:uid="{00000000-0005-0000-0000-0000D66E0000}"/>
    <cellStyle name="Normal 365 3 2 3 2" xfId="28628" xr:uid="{00000000-0005-0000-0000-0000D76E0000}"/>
    <cellStyle name="Normal 365 3 2 3 2 2" xfId="28629" xr:uid="{00000000-0005-0000-0000-0000D86E0000}"/>
    <cellStyle name="Normal 365 3 2 3 3" xfId="28630" xr:uid="{00000000-0005-0000-0000-0000D96E0000}"/>
    <cellStyle name="Normal 365 3 2 4" xfId="28631" xr:uid="{00000000-0005-0000-0000-0000DA6E0000}"/>
    <cellStyle name="Normal 365 3 3" xfId="28632" xr:uid="{00000000-0005-0000-0000-0000DB6E0000}"/>
    <cellStyle name="Normal 365 3 3 2" xfId="28633" xr:uid="{00000000-0005-0000-0000-0000DC6E0000}"/>
    <cellStyle name="Normal 365 3 3 2 2" xfId="28634" xr:uid="{00000000-0005-0000-0000-0000DD6E0000}"/>
    <cellStyle name="Normal 365 3 3 3" xfId="28635" xr:uid="{00000000-0005-0000-0000-0000DE6E0000}"/>
    <cellStyle name="Normal 365 3 4" xfId="28636" xr:uid="{00000000-0005-0000-0000-0000DF6E0000}"/>
    <cellStyle name="Normal 365 3 4 2" xfId="28637" xr:uid="{00000000-0005-0000-0000-0000E06E0000}"/>
    <cellStyle name="Normal 365 3 4 2 2" xfId="28638" xr:uid="{00000000-0005-0000-0000-0000E16E0000}"/>
    <cellStyle name="Normal 365 3 4 3" xfId="28639" xr:uid="{00000000-0005-0000-0000-0000E26E0000}"/>
    <cellStyle name="Normal 365 3 5" xfId="28640" xr:uid="{00000000-0005-0000-0000-0000E36E0000}"/>
    <cellStyle name="Normal 365 3 5 2" xfId="28641" xr:uid="{00000000-0005-0000-0000-0000E46E0000}"/>
    <cellStyle name="Normal 365 3 5 2 2" xfId="28642" xr:uid="{00000000-0005-0000-0000-0000E56E0000}"/>
    <cellStyle name="Normal 365 3 5 3" xfId="28643" xr:uid="{00000000-0005-0000-0000-0000E66E0000}"/>
    <cellStyle name="Normal 365 3 6" xfId="28644" xr:uid="{00000000-0005-0000-0000-0000E76E0000}"/>
    <cellStyle name="Normal 365 4" xfId="28645" xr:uid="{00000000-0005-0000-0000-0000E86E0000}"/>
    <cellStyle name="Normal 365 4 2" xfId="28646" xr:uid="{00000000-0005-0000-0000-0000E96E0000}"/>
    <cellStyle name="Normal 365 4 2 2" xfId="28647" xr:uid="{00000000-0005-0000-0000-0000EA6E0000}"/>
    <cellStyle name="Normal 365 4 3" xfId="28648" xr:uid="{00000000-0005-0000-0000-0000EB6E0000}"/>
    <cellStyle name="Normal 365 5" xfId="28649" xr:uid="{00000000-0005-0000-0000-0000EC6E0000}"/>
    <cellStyle name="Normal 365 5 2" xfId="28650" xr:uid="{00000000-0005-0000-0000-0000ED6E0000}"/>
    <cellStyle name="Normal 365 5 2 2" xfId="28651" xr:uid="{00000000-0005-0000-0000-0000EE6E0000}"/>
    <cellStyle name="Normal 365 5 3" xfId="28652" xr:uid="{00000000-0005-0000-0000-0000EF6E0000}"/>
    <cellStyle name="Normal 365 6" xfId="28653" xr:uid="{00000000-0005-0000-0000-0000F06E0000}"/>
    <cellStyle name="Normal 365 6 2" xfId="28654" xr:uid="{00000000-0005-0000-0000-0000F16E0000}"/>
    <cellStyle name="Normal 365 6 2 2" xfId="28655" xr:uid="{00000000-0005-0000-0000-0000F26E0000}"/>
    <cellStyle name="Normal 365 6 3" xfId="28656" xr:uid="{00000000-0005-0000-0000-0000F36E0000}"/>
    <cellStyle name="Normal 365 7" xfId="28657" xr:uid="{00000000-0005-0000-0000-0000F46E0000}"/>
    <cellStyle name="Normal 366" xfId="28658" xr:uid="{00000000-0005-0000-0000-0000F56E0000}"/>
    <cellStyle name="Normal 366 2" xfId="28659" xr:uid="{00000000-0005-0000-0000-0000F66E0000}"/>
    <cellStyle name="Normal 366 2 2" xfId="28660" xr:uid="{00000000-0005-0000-0000-0000F76E0000}"/>
    <cellStyle name="Normal 366 2 2 2" xfId="28661" xr:uid="{00000000-0005-0000-0000-0000F86E0000}"/>
    <cellStyle name="Normal 366 2 3" xfId="28662" xr:uid="{00000000-0005-0000-0000-0000F96E0000}"/>
    <cellStyle name="Normal 366 2 3 2" xfId="28663" xr:uid="{00000000-0005-0000-0000-0000FA6E0000}"/>
    <cellStyle name="Normal 366 2 3 2 2" xfId="28664" xr:uid="{00000000-0005-0000-0000-0000FB6E0000}"/>
    <cellStyle name="Normal 366 2 3 3" xfId="28665" xr:uid="{00000000-0005-0000-0000-0000FC6E0000}"/>
    <cellStyle name="Normal 366 2 4" xfId="28666" xr:uid="{00000000-0005-0000-0000-0000FD6E0000}"/>
    <cellStyle name="Normal 366 2 4 2" xfId="28667" xr:uid="{00000000-0005-0000-0000-0000FE6E0000}"/>
    <cellStyle name="Normal 366 2 4 2 2" xfId="28668" xr:uid="{00000000-0005-0000-0000-0000FF6E0000}"/>
    <cellStyle name="Normal 366 2 4 3" xfId="28669" xr:uid="{00000000-0005-0000-0000-0000006F0000}"/>
    <cellStyle name="Normal 366 2 5" xfId="28670" xr:uid="{00000000-0005-0000-0000-0000016F0000}"/>
    <cellStyle name="Normal 366 3" xfId="28671" xr:uid="{00000000-0005-0000-0000-0000026F0000}"/>
    <cellStyle name="Normal 366 3 2" xfId="28672" xr:uid="{00000000-0005-0000-0000-0000036F0000}"/>
    <cellStyle name="Normal 366 3 2 2" xfId="28673" xr:uid="{00000000-0005-0000-0000-0000046F0000}"/>
    <cellStyle name="Normal 366 3 2 2 2" xfId="28674" xr:uid="{00000000-0005-0000-0000-0000056F0000}"/>
    <cellStyle name="Normal 366 3 2 3" xfId="28675" xr:uid="{00000000-0005-0000-0000-0000066F0000}"/>
    <cellStyle name="Normal 366 3 2 3 2" xfId="28676" xr:uid="{00000000-0005-0000-0000-0000076F0000}"/>
    <cellStyle name="Normal 366 3 2 3 2 2" xfId="28677" xr:uid="{00000000-0005-0000-0000-0000086F0000}"/>
    <cellStyle name="Normal 366 3 2 3 3" xfId="28678" xr:uid="{00000000-0005-0000-0000-0000096F0000}"/>
    <cellStyle name="Normal 366 3 2 4" xfId="28679" xr:uid="{00000000-0005-0000-0000-00000A6F0000}"/>
    <cellStyle name="Normal 366 3 3" xfId="28680" xr:uid="{00000000-0005-0000-0000-00000B6F0000}"/>
    <cellStyle name="Normal 366 3 3 2" xfId="28681" xr:uid="{00000000-0005-0000-0000-00000C6F0000}"/>
    <cellStyle name="Normal 366 3 3 2 2" xfId="28682" xr:uid="{00000000-0005-0000-0000-00000D6F0000}"/>
    <cellStyle name="Normal 366 3 3 3" xfId="28683" xr:uid="{00000000-0005-0000-0000-00000E6F0000}"/>
    <cellStyle name="Normal 366 3 4" xfId="28684" xr:uid="{00000000-0005-0000-0000-00000F6F0000}"/>
    <cellStyle name="Normal 366 3 4 2" xfId="28685" xr:uid="{00000000-0005-0000-0000-0000106F0000}"/>
    <cellStyle name="Normal 366 3 4 2 2" xfId="28686" xr:uid="{00000000-0005-0000-0000-0000116F0000}"/>
    <cellStyle name="Normal 366 3 4 3" xfId="28687" xr:uid="{00000000-0005-0000-0000-0000126F0000}"/>
    <cellStyle name="Normal 366 3 5" xfId="28688" xr:uid="{00000000-0005-0000-0000-0000136F0000}"/>
    <cellStyle name="Normal 366 3 5 2" xfId="28689" xr:uid="{00000000-0005-0000-0000-0000146F0000}"/>
    <cellStyle name="Normal 366 3 5 2 2" xfId="28690" xr:uid="{00000000-0005-0000-0000-0000156F0000}"/>
    <cellStyle name="Normal 366 3 5 3" xfId="28691" xr:uid="{00000000-0005-0000-0000-0000166F0000}"/>
    <cellStyle name="Normal 366 3 6" xfId="28692" xr:uid="{00000000-0005-0000-0000-0000176F0000}"/>
    <cellStyle name="Normal 366 4" xfId="28693" xr:uid="{00000000-0005-0000-0000-0000186F0000}"/>
    <cellStyle name="Normal 366 4 2" xfId="28694" xr:uid="{00000000-0005-0000-0000-0000196F0000}"/>
    <cellStyle name="Normal 366 4 2 2" xfId="28695" xr:uid="{00000000-0005-0000-0000-00001A6F0000}"/>
    <cellStyle name="Normal 366 4 3" xfId="28696" xr:uid="{00000000-0005-0000-0000-00001B6F0000}"/>
    <cellStyle name="Normal 366 5" xfId="28697" xr:uid="{00000000-0005-0000-0000-00001C6F0000}"/>
    <cellStyle name="Normal 366 5 2" xfId="28698" xr:uid="{00000000-0005-0000-0000-00001D6F0000}"/>
    <cellStyle name="Normal 366 5 2 2" xfId="28699" xr:uid="{00000000-0005-0000-0000-00001E6F0000}"/>
    <cellStyle name="Normal 366 5 3" xfId="28700" xr:uid="{00000000-0005-0000-0000-00001F6F0000}"/>
    <cellStyle name="Normal 366 6" xfId="28701" xr:uid="{00000000-0005-0000-0000-0000206F0000}"/>
    <cellStyle name="Normal 366 6 2" xfId="28702" xr:uid="{00000000-0005-0000-0000-0000216F0000}"/>
    <cellStyle name="Normal 366 6 2 2" xfId="28703" xr:uid="{00000000-0005-0000-0000-0000226F0000}"/>
    <cellStyle name="Normal 366 6 3" xfId="28704" xr:uid="{00000000-0005-0000-0000-0000236F0000}"/>
    <cellStyle name="Normal 366 7" xfId="28705" xr:uid="{00000000-0005-0000-0000-0000246F0000}"/>
    <cellStyle name="Normal 367" xfId="28706" xr:uid="{00000000-0005-0000-0000-0000256F0000}"/>
    <cellStyle name="Normal 367 2" xfId="28707" xr:uid="{00000000-0005-0000-0000-0000266F0000}"/>
    <cellStyle name="Normal 367 2 2" xfId="28708" xr:uid="{00000000-0005-0000-0000-0000276F0000}"/>
    <cellStyle name="Normal 367 2 2 2" xfId="28709" xr:uid="{00000000-0005-0000-0000-0000286F0000}"/>
    <cellStyle name="Normal 367 2 3" xfId="28710" xr:uid="{00000000-0005-0000-0000-0000296F0000}"/>
    <cellStyle name="Normal 367 2 3 2" xfId="28711" xr:uid="{00000000-0005-0000-0000-00002A6F0000}"/>
    <cellStyle name="Normal 367 2 3 2 2" xfId="28712" xr:uid="{00000000-0005-0000-0000-00002B6F0000}"/>
    <cellStyle name="Normal 367 2 3 3" xfId="28713" xr:uid="{00000000-0005-0000-0000-00002C6F0000}"/>
    <cellStyle name="Normal 367 2 4" xfId="28714" xr:uid="{00000000-0005-0000-0000-00002D6F0000}"/>
    <cellStyle name="Normal 367 2 4 2" xfId="28715" xr:uid="{00000000-0005-0000-0000-00002E6F0000}"/>
    <cellStyle name="Normal 367 2 4 2 2" xfId="28716" xr:uid="{00000000-0005-0000-0000-00002F6F0000}"/>
    <cellStyle name="Normal 367 2 4 3" xfId="28717" xr:uid="{00000000-0005-0000-0000-0000306F0000}"/>
    <cellStyle name="Normal 367 2 5" xfId="28718" xr:uid="{00000000-0005-0000-0000-0000316F0000}"/>
    <cellStyle name="Normal 367 3" xfId="28719" xr:uid="{00000000-0005-0000-0000-0000326F0000}"/>
    <cellStyle name="Normal 367 3 2" xfId="28720" xr:uid="{00000000-0005-0000-0000-0000336F0000}"/>
    <cellStyle name="Normal 367 3 2 2" xfId="28721" xr:uid="{00000000-0005-0000-0000-0000346F0000}"/>
    <cellStyle name="Normal 367 3 2 2 2" xfId="28722" xr:uid="{00000000-0005-0000-0000-0000356F0000}"/>
    <cellStyle name="Normal 367 3 2 3" xfId="28723" xr:uid="{00000000-0005-0000-0000-0000366F0000}"/>
    <cellStyle name="Normal 367 3 2 3 2" xfId="28724" xr:uid="{00000000-0005-0000-0000-0000376F0000}"/>
    <cellStyle name="Normal 367 3 2 3 2 2" xfId="28725" xr:uid="{00000000-0005-0000-0000-0000386F0000}"/>
    <cellStyle name="Normal 367 3 2 3 3" xfId="28726" xr:uid="{00000000-0005-0000-0000-0000396F0000}"/>
    <cellStyle name="Normal 367 3 2 4" xfId="28727" xr:uid="{00000000-0005-0000-0000-00003A6F0000}"/>
    <cellStyle name="Normal 367 3 3" xfId="28728" xr:uid="{00000000-0005-0000-0000-00003B6F0000}"/>
    <cellStyle name="Normal 367 3 3 2" xfId="28729" xr:uid="{00000000-0005-0000-0000-00003C6F0000}"/>
    <cellStyle name="Normal 367 3 3 2 2" xfId="28730" xr:uid="{00000000-0005-0000-0000-00003D6F0000}"/>
    <cellStyle name="Normal 367 3 3 3" xfId="28731" xr:uid="{00000000-0005-0000-0000-00003E6F0000}"/>
    <cellStyle name="Normal 367 3 4" xfId="28732" xr:uid="{00000000-0005-0000-0000-00003F6F0000}"/>
    <cellStyle name="Normal 367 3 4 2" xfId="28733" xr:uid="{00000000-0005-0000-0000-0000406F0000}"/>
    <cellStyle name="Normal 367 3 4 2 2" xfId="28734" xr:uid="{00000000-0005-0000-0000-0000416F0000}"/>
    <cellStyle name="Normal 367 3 4 3" xfId="28735" xr:uid="{00000000-0005-0000-0000-0000426F0000}"/>
    <cellStyle name="Normal 367 3 5" xfId="28736" xr:uid="{00000000-0005-0000-0000-0000436F0000}"/>
    <cellStyle name="Normal 367 3 5 2" xfId="28737" xr:uid="{00000000-0005-0000-0000-0000446F0000}"/>
    <cellStyle name="Normal 367 3 5 2 2" xfId="28738" xr:uid="{00000000-0005-0000-0000-0000456F0000}"/>
    <cellStyle name="Normal 367 3 5 3" xfId="28739" xr:uid="{00000000-0005-0000-0000-0000466F0000}"/>
    <cellStyle name="Normal 367 3 6" xfId="28740" xr:uid="{00000000-0005-0000-0000-0000476F0000}"/>
    <cellStyle name="Normal 367 4" xfId="28741" xr:uid="{00000000-0005-0000-0000-0000486F0000}"/>
    <cellStyle name="Normal 367 4 2" xfId="28742" xr:uid="{00000000-0005-0000-0000-0000496F0000}"/>
    <cellStyle name="Normal 367 4 2 2" xfId="28743" xr:uid="{00000000-0005-0000-0000-00004A6F0000}"/>
    <cellStyle name="Normal 367 4 3" xfId="28744" xr:uid="{00000000-0005-0000-0000-00004B6F0000}"/>
    <cellStyle name="Normal 367 5" xfId="28745" xr:uid="{00000000-0005-0000-0000-00004C6F0000}"/>
    <cellStyle name="Normal 367 5 2" xfId="28746" xr:uid="{00000000-0005-0000-0000-00004D6F0000}"/>
    <cellStyle name="Normal 367 5 2 2" xfId="28747" xr:uid="{00000000-0005-0000-0000-00004E6F0000}"/>
    <cellStyle name="Normal 367 5 3" xfId="28748" xr:uid="{00000000-0005-0000-0000-00004F6F0000}"/>
    <cellStyle name="Normal 367 6" xfId="28749" xr:uid="{00000000-0005-0000-0000-0000506F0000}"/>
    <cellStyle name="Normal 367 6 2" xfId="28750" xr:uid="{00000000-0005-0000-0000-0000516F0000}"/>
    <cellStyle name="Normal 367 6 2 2" xfId="28751" xr:uid="{00000000-0005-0000-0000-0000526F0000}"/>
    <cellStyle name="Normal 367 6 3" xfId="28752" xr:uid="{00000000-0005-0000-0000-0000536F0000}"/>
    <cellStyle name="Normal 367 7" xfId="28753" xr:uid="{00000000-0005-0000-0000-0000546F0000}"/>
    <cellStyle name="Normal 368" xfId="28754" xr:uid="{00000000-0005-0000-0000-0000556F0000}"/>
    <cellStyle name="Normal 368 2" xfId="28755" xr:uid="{00000000-0005-0000-0000-0000566F0000}"/>
    <cellStyle name="Normal 368 2 2" xfId="28756" xr:uid="{00000000-0005-0000-0000-0000576F0000}"/>
    <cellStyle name="Normal 368 2 2 2" xfId="28757" xr:uid="{00000000-0005-0000-0000-0000586F0000}"/>
    <cellStyle name="Normal 368 2 3" xfId="28758" xr:uid="{00000000-0005-0000-0000-0000596F0000}"/>
    <cellStyle name="Normal 368 2 3 2" xfId="28759" xr:uid="{00000000-0005-0000-0000-00005A6F0000}"/>
    <cellStyle name="Normal 368 2 3 2 2" xfId="28760" xr:uid="{00000000-0005-0000-0000-00005B6F0000}"/>
    <cellStyle name="Normal 368 2 3 3" xfId="28761" xr:uid="{00000000-0005-0000-0000-00005C6F0000}"/>
    <cellStyle name="Normal 368 2 4" xfId="28762" xr:uid="{00000000-0005-0000-0000-00005D6F0000}"/>
    <cellStyle name="Normal 368 2 4 2" xfId="28763" xr:uid="{00000000-0005-0000-0000-00005E6F0000}"/>
    <cellStyle name="Normal 368 2 4 2 2" xfId="28764" xr:uid="{00000000-0005-0000-0000-00005F6F0000}"/>
    <cellStyle name="Normal 368 2 4 3" xfId="28765" xr:uid="{00000000-0005-0000-0000-0000606F0000}"/>
    <cellStyle name="Normal 368 2 5" xfId="28766" xr:uid="{00000000-0005-0000-0000-0000616F0000}"/>
    <cellStyle name="Normal 368 3" xfId="28767" xr:uid="{00000000-0005-0000-0000-0000626F0000}"/>
    <cellStyle name="Normal 368 3 2" xfId="28768" xr:uid="{00000000-0005-0000-0000-0000636F0000}"/>
    <cellStyle name="Normal 368 3 2 2" xfId="28769" xr:uid="{00000000-0005-0000-0000-0000646F0000}"/>
    <cellStyle name="Normal 368 3 2 2 2" xfId="28770" xr:uid="{00000000-0005-0000-0000-0000656F0000}"/>
    <cellStyle name="Normal 368 3 2 3" xfId="28771" xr:uid="{00000000-0005-0000-0000-0000666F0000}"/>
    <cellStyle name="Normal 368 3 2 3 2" xfId="28772" xr:uid="{00000000-0005-0000-0000-0000676F0000}"/>
    <cellStyle name="Normal 368 3 2 3 2 2" xfId="28773" xr:uid="{00000000-0005-0000-0000-0000686F0000}"/>
    <cellStyle name="Normal 368 3 2 3 3" xfId="28774" xr:uid="{00000000-0005-0000-0000-0000696F0000}"/>
    <cellStyle name="Normal 368 3 2 4" xfId="28775" xr:uid="{00000000-0005-0000-0000-00006A6F0000}"/>
    <cellStyle name="Normal 368 3 3" xfId="28776" xr:uid="{00000000-0005-0000-0000-00006B6F0000}"/>
    <cellStyle name="Normal 368 3 3 2" xfId="28777" xr:uid="{00000000-0005-0000-0000-00006C6F0000}"/>
    <cellStyle name="Normal 368 3 3 2 2" xfId="28778" xr:uid="{00000000-0005-0000-0000-00006D6F0000}"/>
    <cellStyle name="Normal 368 3 3 3" xfId="28779" xr:uid="{00000000-0005-0000-0000-00006E6F0000}"/>
    <cellStyle name="Normal 368 3 4" xfId="28780" xr:uid="{00000000-0005-0000-0000-00006F6F0000}"/>
    <cellStyle name="Normal 368 3 4 2" xfId="28781" xr:uid="{00000000-0005-0000-0000-0000706F0000}"/>
    <cellStyle name="Normal 368 3 4 2 2" xfId="28782" xr:uid="{00000000-0005-0000-0000-0000716F0000}"/>
    <cellStyle name="Normal 368 3 4 3" xfId="28783" xr:uid="{00000000-0005-0000-0000-0000726F0000}"/>
    <cellStyle name="Normal 368 3 5" xfId="28784" xr:uid="{00000000-0005-0000-0000-0000736F0000}"/>
    <cellStyle name="Normal 368 3 5 2" xfId="28785" xr:uid="{00000000-0005-0000-0000-0000746F0000}"/>
    <cellStyle name="Normal 368 3 5 2 2" xfId="28786" xr:uid="{00000000-0005-0000-0000-0000756F0000}"/>
    <cellStyle name="Normal 368 3 5 3" xfId="28787" xr:uid="{00000000-0005-0000-0000-0000766F0000}"/>
    <cellStyle name="Normal 368 3 6" xfId="28788" xr:uid="{00000000-0005-0000-0000-0000776F0000}"/>
    <cellStyle name="Normal 368 4" xfId="28789" xr:uid="{00000000-0005-0000-0000-0000786F0000}"/>
    <cellStyle name="Normal 368 4 2" xfId="28790" xr:uid="{00000000-0005-0000-0000-0000796F0000}"/>
    <cellStyle name="Normal 368 4 2 2" xfId="28791" xr:uid="{00000000-0005-0000-0000-00007A6F0000}"/>
    <cellStyle name="Normal 368 4 3" xfId="28792" xr:uid="{00000000-0005-0000-0000-00007B6F0000}"/>
    <cellStyle name="Normal 368 5" xfId="28793" xr:uid="{00000000-0005-0000-0000-00007C6F0000}"/>
    <cellStyle name="Normal 368 5 2" xfId="28794" xr:uid="{00000000-0005-0000-0000-00007D6F0000}"/>
    <cellStyle name="Normal 368 5 2 2" xfId="28795" xr:uid="{00000000-0005-0000-0000-00007E6F0000}"/>
    <cellStyle name="Normal 368 5 3" xfId="28796" xr:uid="{00000000-0005-0000-0000-00007F6F0000}"/>
    <cellStyle name="Normal 368 6" xfId="28797" xr:uid="{00000000-0005-0000-0000-0000806F0000}"/>
    <cellStyle name="Normal 368 6 2" xfId="28798" xr:uid="{00000000-0005-0000-0000-0000816F0000}"/>
    <cellStyle name="Normal 368 6 2 2" xfId="28799" xr:uid="{00000000-0005-0000-0000-0000826F0000}"/>
    <cellStyle name="Normal 368 6 3" xfId="28800" xr:uid="{00000000-0005-0000-0000-0000836F0000}"/>
    <cellStyle name="Normal 368 7" xfId="28801" xr:uid="{00000000-0005-0000-0000-0000846F0000}"/>
    <cellStyle name="Normal 369" xfId="28802" xr:uid="{00000000-0005-0000-0000-0000856F0000}"/>
    <cellStyle name="Normal 369 2" xfId="28803" xr:uid="{00000000-0005-0000-0000-0000866F0000}"/>
    <cellStyle name="Normal 369 2 2" xfId="28804" xr:uid="{00000000-0005-0000-0000-0000876F0000}"/>
    <cellStyle name="Normal 369 2 2 2" xfId="28805" xr:uid="{00000000-0005-0000-0000-0000886F0000}"/>
    <cellStyle name="Normal 369 2 3" xfId="28806" xr:uid="{00000000-0005-0000-0000-0000896F0000}"/>
    <cellStyle name="Normal 369 2 3 2" xfId="28807" xr:uid="{00000000-0005-0000-0000-00008A6F0000}"/>
    <cellStyle name="Normal 369 2 3 2 2" xfId="28808" xr:uid="{00000000-0005-0000-0000-00008B6F0000}"/>
    <cellStyle name="Normal 369 2 3 3" xfId="28809" xr:uid="{00000000-0005-0000-0000-00008C6F0000}"/>
    <cellStyle name="Normal 369 2 4" xfId="28810" xr:uid="{00000000-0005-0000-0000-00008D6F0000}"/>
    <cellStyle name="Normal 369 2 4 2" xfId="28811" xr:uid="{00000000-0005-0000-0000-00008E6F0000}"/>
    <cellStyle name="Normal 369 2 4 2 2" xfId="28812" xr:uid="{00000000-0005-0000-0000-00008F6F0000}"/>
    <cellStyle name="Normal 369 2 4 3" xfId="28813" xr:uid="{00000000-0005-0000-0000-0000906F0000}"/>
    <cellStyle name="Normal 369 2 5" xfId="28814" xr:uid="{00000000-0005-0000-0000-0000916F0000}"/>
    <cellStyle name="Normal 369 3" xfId="28815" xr:uid="{00000000-0005-0000-0000-0000926F0000}"/>
    <cellStyle name="Normal 369 3 2" xfId="28816" xr:uid="{00000000-0005-0000-0000-0000936F0000}"/>
    <cellStyle name="Normal 369 3 2 2" xfId="28817" xr:uid="{00000000-0005-0000-0000-0000946F0000}"/>
    <cellStyle name="Normal 369 3 2 2 2" xfId="28818" xr:uid="{00000000-0005-0000-0000-0000956F0000}"/>
    <cellStyle name="Normal 369 3 2 3" xfId="28819" xr:uid="{00000000-0005-0000-0000-0000966F0000}"/>
    <cellStyle name="Normal 369 3 2 3 2" xfId="28820" xr:uid="{00000000-0005-0000-0000-0000976F0000}"/>
    <cellStyle name="Normal 369 3 2 3 2 2" xfId="28821" xr:uid="{00000000-0005-0000-0000-0000986F0000}"/>
    <cellStyle name="Normal 369 3 2 3 3" xfId="28822" xr:uid="{00000000-0005-0000-0000-0000996F0000}"/>
    <cellStyle name="Normal 369 3 2 4" xfId="28823" xr:uid="{00000000-0005-0000-0000-00009A6F0000}"/>
    <cellStyle name="Normal 369 3 3" xfId="28824" xr:uid="{00000000-0005-0000-0000-00009B6F0000}"/>
    <cellStyle name="Normal 369 3 3 2" xfId="28825" xr:uid="{00000000-0005-0000-0000-00009C6F0000}"/>
    <cellStyle name="Normal 369 3 3 2 2" xfId="28826" xr:uid="{00000000-0005-0000-0000-00009D6F0000}"/>
    <cellStyle name="Normal 369 3 3 3" xfId="28827" xr:uid="{00000000-0005-0000-0000-00009E6F0000}"/>
    <cellStyle name="Normal 369 3 4" xfId="28828" xr:uid="{00000000-0005-0000-0000-00009F6F0000}"/>
    <cellStyle name="Normal 369 3 4 2" xfId="28829" xr:uid="{00000000-0005-0000-0000-0000A06F0000}"/>
    <cellStyle name="Normal 369 3 4 2 2" xfId="28830" xr:uid="{00000000-0005-0000-0000-0000A16F0000}"/>
    <cellStyle name="Normal 369 3 4 3" xfId="28831" xr:uid="{00000000-0005-0000-0000-0000A26F0000}"/>
    <cellStyle name="Normal 369 3 5" xfId="28832" xr:uid="{00000000-0005-0000-0000-0000A36F0000}"/>
    <cellStyle name="Normal 369 3 5 2" xfId="28833" xr:uid="{00000000-0005-0000-0000-0000A46F0000}"/>
    <cellStyle name="Normal 369 3 5 2 2" xfId="28834" xr:uid="{00000000-0005-0000-0000-0000A56F0000}"/>
    <cellStyle name="Normal 369 3 5 3" xfId="28835" xr:uid="{00000000-0005-0000-0000-0000A66F0000}"/>
    <cellStyle name="Normal 369 3 6" xfId="28836" xr:uid="{00000000-0005-0000-0000-0000A76F0000}"/>
    <cellStyle name="Normal 369 4" xfId="28837" xr:uid="{00000000-0005-0000-0000-0000A86F0000}"/>
    <cellStyle name="Normal 369 4 2" xfId="28838" xr:uid="{00000000-0005-0000-0000-0000A96F0000}"/>
    <cellStyle name="Normal 369 4 2 2" xfId="28839" xr:uid="{00000000-0005-0000-0000-0000AA6F0000}"/>
    <cellStyle name="Normal 369 4 3" xfId="28840" xr:uid="{00000000-0005-0000-0000-0000AB6F0000}"/>
    <cellStyle name="Normal 369 5" xfId="28841" xr:uid="{00000000-0005-0000-0000-0000AC6F0000}"/>
    <cellStyle name="Normal 369 5 2" xfId="28842" xr:uid="{00000000-0005-0000-0000-0000AD6F0000}"/>
    <cellStyle name="Normal 369 5 2 2" xfId="28843" xr:uid="{00000000-0005-0000-0000-0000AE6F0000}"/>
    <cellStyle name="Normal 369 5 3" xfId="28844" xr:uid="{00000000-0005-0000-0000-0000AF6F0000}"/>
    <cellStyle name="Normal 369 6" xfId="28845" xr:uid="{00000000-0005-0000-0000-0000B06F0000}"/>
    <cellStyle name="Normal 369 6 2" xfId="28846" xr:uid="{00000000-0005-0000-0000-0000B16F0000}"/>
    <cellStyle name="Normal 369 6 2 2" xfId="28847" xr:uid="{00000000-0005-0000-0000-0000B26F0000}"/>
    <cellStyle name="Normal 369 6 3" xfId="28848" xr:uid="{00000000-0005-0000-0000-0000B36F0000}"/>
    <cellStyle name="Normal 369 7" xfId="28849" xr:uid="{00000000-0005-0000-0000-0000B46F0000}"/>
    <cellStyle name="Normal 37" xfId="28850" xr:uid="{00000000-0005-0000-0000-0000B56F0000}"/>
    <cellStyle name="Normal 37 2" xfId="28851" xr:uid="{00000000-0005-0000-0000-0000B66F0000}"/>
    <cellStyle name="Normal 37 2 2" xfId="28852" xr:uid="{00000000-0005-0000-0000-0000B76F0000}"/>
    <cellStyle name="Normal 37 2 2 2" xfId="28853" xr:uid="{00000000-0005-0000-0000-0000B86F0000}"/>
    <cellStyle name="Normal 37 2 2 2 2" xfId="28854" xr:uid="{00000000-0005-0000-0000-0000B96F0000}"/>
    <cellStyle name="Normal 37 2 2 3" xfId="28855" xr:uid="{00000000-0005-0000-0000-0000BA6F0000}"/>
    <cellStyle name="Normal 37 2 2 3 2" xfId="28856" xr:uid="{00000000-0005-0000-0000-0000BB6F0000}"/>
    <cellStyle name="Normal 37 2 2 3 2 2" xfId="28857" xr:uid="{00000000-0005-0000-0000-0000BC6F0000}"/>
    <cellStyle name="Normal 37 2 2 3 3" xfId="28858" xr:uid="{00000000-0005-0000-0000-0000BD6F0000}"/>
    <cellStyle name="Normal 37 2 2 4" xfId="28859" xr:uid="{00000000-0005-0000-0000-0000BE6F0000}"/>
    <cellStyle name="Normal 37 2 2 4 2" xfId="28860" xr:uid="{00000000-0005-0000-0000-0000BF6F0000}"/>
    <cellStyle name="Normal 37 2 2 4 2 2" xfId="28861" xr:uid="{00000000-0005-0000-0000-0000C06F0000}"/>
    <cellStyle name="Normal 37 2 2 4 3" xfId="28862" xr:uid="{00000000-0005-0000-0000-0000C16F0000}"/>
    <cellStyle name="Normal 37 2 2 5" xfId="28863" xr:uid="{00000000-0005-0000-0000-0000C26F0000}"/>
    <cellStyle name="Normal 37 2 3" xfId="28864" xr:uid="{00000000-0005-0000-0000-0000C36F0000}"/>
    <cellStyle name="Normal 37 2 3 2" xfId="28865" xr:uid="{00000000-0005-0000-0000-0000C46F0000}"/>
    <cellStyle name="Normal 37 2 3 2 2" xfId="28866" xr:uid="{00000000-0005-0000-0000-0000C56F0000}"/>
    <cellStyle name="Normal 37 2 3 3" xfId="28867" xr:uid="{00000000-0005-0000-0000-0000C66F0000}"/>
    <cellStyle name="Normal 37 2 4" xfId="28868" xr:uid="{00000000-0005-0000-0000-0000C76F0000}"/>
    <cellStyle name="Normal 37 2 4 2" xfId="28869" xr:uid="{00000000-0005-0000-0000-0000C86F0000}"/>
    <cellStyle name="Normal 37 2 4 2 2" xfId="28870" xr:uid="{00000000-0005-0000-0000-0000C96F0000}"/>
    <cellStyle name="Normal 37 2 4 3" xfId="28871" xr:uid="{00000000-0005-0000-0000-0000CA6F0000}"/>
    <cellStyle name="Normal 37 2 5" xfId="28872" xr:uid="{00000000-0005-0000-0000-0000CB6F0000}"/>
    <cellStyle name="Normal 37 2 5 2" xfId="28873" xr:uid="{00000000-0005-0000-0000-0000CC6F0000}"/>
    <cellStyle name="Normal 37 2 5 2 2" xfId="28874" xr:uid="{00000000-0005-0000-0000-0000CD6F0000}"/>
    <cellStyle name="Normal 37 2 5 3" xfId="28875" xr:uid="{00000000-0005-0000-0000-0000CE6F0000}"/>
    <cellStyle name="Normal 37 2 6" xfId="28876" xr:uid="{00000000-0005-0000-0000-0000CF6F0000}"/>
    <cellStyle name="Normal 37 3" xfId="28877" xr:uid="{00000000-0005-0000-0000-0000D06F0000}"/>
    <cellStyle name="Normal 37 3 2" xfId="28878" xr:uid="{00000000-0005-0000-0000-0000D16F0000}"/>
    <cellStyle name="Normal 37 3 2 2" xfId="28879" xr:uid="{00000000-0005-0000-0000-0000D26F0000}"/>
    <cellStyle name="Normal 37 3 3" xfId="28880" xr:uid="{00000000-0005-0000-0000-0000D36F0000}"/>
    <cellStyle name="Normal 37 3 3 2" xfId="28881" xr:uid="{00000000-0005-0000-0000-0000D46F0000}"/>
    <cellStyle name="Normal 37 3 3 2 2" xfId="28882" xr:uid="{00000000-0005-0000-0000-0000D56F0000}"/>
    <cellStyle name="Normal 37 3 3 3" xfId="28883" xr:uid="{00000000-0005-0000-0000-0000D66F0000}"/>
    <cellStyle name="Normal 37 3 4" xfId="28884" xr:uid="{00000000-0005-0000-0000-0000D76F0000}"/>
    <cellStyle name="Normal 37 3 4 2" xfId="28885" xr:uid="{00000000-0005-0000-0000-0000D86F0000}"/>
    <cellStyle name="Normal 37 3 4 2 2" xfId="28886" xr:uid="{00000000-0005-0000-0000-0000D96F0000}"/>
    <cellStyle name="Normal 37 3 4 3" xfId="28887" xr:uid="{00000000-0005-0000-0000-0000DA6F0000}"/>
    <cellStyle name="Normal 37 3 5" xfId="28888" xr:uid="{00000000-0005-0000-0000-0000DB6F0000}"/>
    <cellStyle name="Normal 37 4" xfId="28889" xr:uid="{00000000-0005-0000-0000-0000DC6F0000}"/>
    <cellStyle name="Normal 37 4 2" xfId="28890" xr:uid="{00000000-0005-0000-0000-0000DD6F0000}"/>
    <cellStyle name="Normal 37 4 2 2" xfId="28891" xr:uid="{00000000-0005-0000-0000-0000DE6F0000}"/>
    <cellStyle name="Normal 37 4 3" xfId="28892" xr:uid="{00000000-0005-0000-0000-0000DF6F0000}"/>
    <cellStyle name="Normal 37 5" xfId="28893" xr:uid="{00000000-0005-0000-0000-0000E06F0000}"/>
    <cellStyle name="Normal 37 5 2" xfId="28894" xr:uid="{00000000-0005-0000-0000-0000E16F0000}"/>
    <cellStyle name="Normal 37 5 2 2" xfId="28895" xr:uid="{00000000-0005-0000-0000-0000E26F0000}"/>
    <cellStyle name="Normal 37 5 3" xfId="28896" xr:uid="{00000000-0005-0000-0000-0000E36F0000}"/>
    <cellStyle name="Normal 37 6" xfId="28897" xr:uid="{00000000-0005-0000-0000-0000E46F0000}"/>
    <cellStyle name="Normal 37 6 2" xfId="28898" xr:uid="{00000000-0005-0000-0000-0000E56F0000}"/>
    <cellStyle name="Normal 37 6 2 2" xfId="28899" xr:uid="{00000000-0005-0000-0000-0000E66F0000}"/>
    <cellStyle name="Normal 37 6 3" xfId="28900" xr:uid="{00000000-0005-0000-0000-0000E76F0000}"/>
    <cellStyle name="Normal 37 7" xfId="28901" xr:uid="{00000000-0005-0000-0000-0000E86F0000}"/>
    <cellStyle name="Normal 370" xfId="28902" xr:uid="{00000000-0005-0000-0000-0000E96F0000}"/>
    <cellStyle name="Normal 370 2" xfId="28903" xr:uid="{00000000-0005-0000-0000-0000EA6F0000}"/>
    <cellStyle name="Normal 370 2 2" xfId="28904" xr:uid="{00000000-0005-0000-0000-0000EB6F0000}"/>
    <cellStyle name="Normal 370 2 2 2" xfId="28905" xr:uid="{00000000-0005-0000-0000-0000EC6F0000}"/>
    <cellStyle name="Normal 370 2 3" xfId="28906" xr:uid="{00000000-0005-0000-0000-0000ED6F0000}"/>
    <cellStyle name="Normal 370 2 3 2" xfId="28907" xr:uid="{00000000-0005-0000-0000-0000EE6F0000}"/>
    <cellStyle name="Normal 370 2 3 2 2" xfId="28908" xr:uid="{00000000-0005-0000-0000-0000EF6F0000}"/>
    <cellStyle name="Normal 370 2 3 3" xfId="28909" xr:uid="{00000000-0005-0000-0000-0000F06F0000}"/>
    <cellStyle name="Normal 370 2 4" xfId="28910" xr:uid="{00000000-0005-0000-0000-0000F16F0000}"/>
    <cellStyle name="Normal 370 2 4 2" xfId="28911" xr:uid="{00000000-0005-0000-0000-0000F26F0000}"/>
    <cellStyle name="Normal 370 2 4 2 2" xfId="28912" xr:uid="{00000000-0005-0000-0000-0000F36F0000}"/>
    <cellStyle name="Normal 370 2 4 3" xfId="28913" xr:uid="{00000000-0005-0000-0000-0000F46F0000}"/>
    <cellStyle name="Normal 370 2 5" xfId="28914" xr:uid="{00000000-0005-0000-0000-0000F56F0000}"/>
    <cellStyle name="Normal 370 3" xfId="28915" xr:uid="{00000000-0005-0000-0000-0000F66F0000}"/>
    <cellStyle name="Normal 370 3 2" xfId="28916" xr:uid="{00000000-0005-0000-0000-0000F76F0000}"/>
    <cellStyle name="Normal 370 3 2 2" xfId="28917" xr:uid="{00000000-0005-0000-0000-0000F86F0000}"/>
    <cellStyle name="Normal 370 3 2 2 2" xfId="28918" xr:uid="{00000000-0005-0000-0000-0000F96F0000}"/>
    <cellStyle name="Normal 370 3 2 3" xfId="28919" xr:uid="{00000000-0005-0000-0000-0000FA6F0000}"/>
    <cellStyle name="Normal 370 3 2 3 2" xfId="28920" xr:uid="{00000000-0005-0000-0000-0000FB6F0000}"/>
    <cellStyle name="Normal 370 3 2 3 2 2" xfId="28921" xr:uid="{00000000-0005-0000-0000-0000FC6F0000}"/>
    <cellStyle name="Normal 370 3 2 3 3" xfId="28922" xr:uid="{00000000-0005-0000-0000-0000FD6F0000}"/>
    <cellStyle name="Normal 370 3 2 4" xfId="28923" xr:uid="{00000000-0005-0000-0000-0000FE6F0000}"/>
    <cellStyle name="Normal 370 3 3" xfId="28924" xr:uid="{00000000-0005-0000-0000-0000FF6F0000}"/>
    <cellStyle name="Normal 370 3 3 2" xfId="28925" xr:uid="{00000000-0005-0000-0000-000000700000}"/>
    <cellStyle name="Normal 370 3 3 2 2" xfId="28926" xr:uid="{00000000-0005-0000-0000-000001700000}"/>
    <cellStyle name="Normal 370 3 3 3" xfId="28927" xr:uid="{00000000-0005-0000-0000-000002700000}"/>
    <cellStyle name="Normal 370 3 4" xfId="28928" xr:uid="{00000000-0005-0000-0000-000003700000}"/>
    <cellStyle name="Normal 370 3 4 2" xfId="28929" xr:uid="{00000000-0005-0000-0000-000004700000}"/>
    <cellStyle name="Normal 370 3 4 2 2" xfId="28930" xr:uid="{00000000-0005-0000-0000-000005700000}"/>
    <cellStyle name="Normal 370 3 4 3" xfId="28931" xr:uid="{00000000-0005-0000-0000-000006700000}"/>
    <cellStyle name="Normal 370 3 5" xfId="28932" xr:uid="{00000000-0005-0000-0000-000007700000}"/>
    <cellStyle name="Normal 370 3 5 2" xfId="28933" xr:uid="{00000000-0005-0000-0000-000008700000}"/>
    <cellStyle name="Normal 370 3 5 2 2" xfId="28934" xr:uid="{00000000-0005-0000-0000-000009700000}"/>
    <cellStyle name="Normal 370 3 5 3" xfId="28935" xr:uid="{00000000-0005-0000-0000-00000A700000}"/>
    <cellStyle name="Normal 370 3 6" xfId="28936" xr:uid="{00000000-0005-0000-0000-00000B700000}"/>
    <cellStyle name="Normal 370 4" xfId="28937" xr:uid="{00000000-0005-0000-0000-00000C700000}"/>
    <cellStyle name="Normal 370 4 2" xfId="28938" xr:uid="{00000000-0005-0000-0000-00000D700000}"/>
    <cellStyle name="Normal 370 4 2 2" xfId="28939" xr:uid="{00000000-0005-0000-0000-00000E700000}"/>
    <cellStyle name="Normal 370 4 3" xfId="28940" xr:uid="{00000000-0005-0000-0000-00000F700000}"/>
    <cellStyle name="Normal 370 5" xfId="28941" xr:uid="{00000000-0005-0000-0000-000010700000}"/>
    <cellStyle name="Normal 370 5 2" xfId="28942" xr:uid="{00000000-0005-0000-0000-000011700000}"/>
    <cellStyle name="Normal 370 5 2 2" xfId="28943" xr:uid="{00000000-0005-0000-0000-000012700000}"/>
    <cellStyle name="Normal 370 5 3" xfId="28944" xr:uid="{00000000-0005-0000-0000-000013700000}"/>
    <cellStyle name="Normal 370 6" xfId="28945" xr:uid="{00000000-0005-0000-0000-000014700000}"/>
    <cellStyle name="Normal 370 6 2" xfId="28946" xr:uid="{00000000-0005-0000-0000-000015700000}"/>
    <cellStyle name="Normal 370 6 2 2" xfId="28947" xr:uid="{00000000-0005-0000-0000-000016700000}"/>
    <cellStyle name="Normal 370 6 3" xfId="28948" xr:uid="{00000000-0005-0000-0000-000017700000}"/>
    <cellStyle name="Normal 370 7" xfId="28949" xr:uid="{00000000-0005-0000-0000-000018700000}"/>
    <cellStyle name="Normal 371" xfId="28950" xr:uid="{00000000-0005-0000-0000-000019700000}"/>
    <cellStyle name="Normal 371 2" xfId="28951" xr:uid="{00000000-0005-0000-0000-00001A700000}"/>
    <cellStyle name="Normal 371 2 2" xfId="28952" xr:uid="{00000000-0005-0000-0000-00001B700000}"/>
    <cellStyle name="Normal 371 2 2 2" xfId="28953" xr:uid="{00000000-0005-0000-0000-00001C700000}"/>
    <cellStyle name="Normal 371 2 3" xfId="28954" xr:uid="{00000000-0005-0000-0000-00001D700000}"/>
    <cellStyle name="Normal 371 2 3 2" xfId="28955" xr:uid="{00000000-0005-0000-0000-00001E700000}"/>
    <cellStyle name="Normal 371 2 3 2 2" xfId="28956" xr:uid="{00000000-0005-0000-0000-00001F700000}"/>
    <cellStyle name="Normal 371 2 3 3" xfId="28957" xr:uid="{00000000-0005-0000-0000-000020700000}"/>
    <cellStyle name="Normal 371 2 4" xfId="28958" xr:uid="{00000000-0005-0000-0000-000021700000}"/>
    <cellStyle name="Normal 371 2 4 2" xfId="28959" xr:uid="{00000000-0005-0000-0000-000022700000}"/>
    <cellStyle name="Normal 371 2 4 2 2" xfId="28960" xr:uid="{00000000-0005-0000-0000-000023700000}"/>
    <cellStyle name="Normal 371 2 4 3" xfId="28961" xr:uid="{00000000-0005-0000-0000-000024700000}"/>
    <cellStyle name="Normal 371 2 5" xfId="28962" xr:uid="{00000000-0005-0000-0000-000025700000}"/>
    <cellStyle name="Normal 371 3" xfId="28963" xr:uid="{00000000-0005-0000-0000-000026700000}"/>
    <cellStyle name="Normal 371 3 2" xfId="28964" xr:uid="{00000000-0005-0000-0000-000027700000}"/>
    <cellStyle name="Normal 371 3 2 2" xfId="28965" xr:uid="{00000000-0005-0000-0000-000028700000}"/>
    <cellStyle name="Normal 371 3 2 2 2" xfId="28966" xr:uid="{00000000-0005-0000-0000-000029700000}"/>
    <cellStyle name="Normal 371 3 2 3" xfId="28967" xr:uid="{00000000-0005-0000-0000-00002A700000}"/>
    <cellStyle name="Normal 371 3 2 3 2" xfId="28968" xr:uid="{00000000-0005-0000-0000-00002B700000}"/>
    <cellStyle name="Normal 371 3 2 3 2 2" xfId="28969" xr:uid="{00000000-0005-0000-0000-00002C700000}"/>
    <cellStyle name="Normal 371 3 2 3 3" xfId="28970" xr:uid="{00000000-0005-0000-0000-00002D700000}"/>
    <cellStyle name="Normal 371 3 2 4" xfId="28971" xr:uid="{00000000-0005-0000-0000-00002E700000}"/>
    <cellStyle name="Normal 371 3 3" xfId="28972" xr:uid="{00000000-0005-0000-0000-00002F700000}"/>
    <cellStyle name="Normal 371 3 3 2" xfId="28973" xr:uid="{00000000-0005-0000-0000-000030700000}"/>
    <cellStyle name="Normal 371 3 3 2 2" xfId="28974" xr:uid="{00000000-0005-0000-0000-000031700000}"/>
    <cellStyle name="Normal 371 3 3 3" xfId="28975" xr:uid="{00000000-0005-0000-0000-000032700000}"/>
    <cellStyle name="Normal 371 3 4" xfId="28976" xr:uid="{00000000-0005-0000-0000-000033700000}"/>
    <cellStyle name="Normal 371 3 4 2" xfId="28977" xr:uid="{00000000-0005-0000-0000-000034700000}"/>
    <cellStyle name="Normal 371 3 4 2 2" xfId="28978" xr:uid="{00000000-0005-0000-0000-000035700000}"/>
    <cellStyle name="Normal 371 3 4 3" xfId="28979" xr:uid="{00000000-0005-0000-0000-000036700000}"/>
    <cellStyle name="Normal 371 3 5" xfId="28980" xr:uid="{00000000-0005-0000-0000-000037700000}"/>
    <cellStyle name="Normal 371 3 5 2" xfId="28981" xr:uid="{00000000-0005-0000-0000-000038700000}"/>
    <cellStyle name="Normal 371 3 5 2 2" xfId="28982" xr:uid="{00000000-0005-0000-0000-000039700000}"/>
    <cellStyle name="Normal 371 3 5 3" xfId="28983" xr:uid="{00000000-0005-0000-0000-00003A700000}"/>
    <cellStyle name="Normal 371 3 6" xfId="28984" xr:uid="{00000000-0005-0000-0000-00003B700000}"/>
    <cellStyle name="Normal 371 4" xfId="28985" xr:uid="{00000000-0005-0000-0000-00003C700000}"/>
    <cellStyle name="Normal 371 4 2" xfId="28986" xr:uid="{00000000-0005-0000-0000-00003D700000}"/>
    <cellStyle name="Normal 371 4 2 2" xfId="28987" xr:uid="{00000000-0005-0000-0000-00003E700000}"/>
    <cellStyle name="Normal 371 4 3" xfId="28988" xr:uid="{00000000-0005-0000-0000-00003F700000}"/>
    <cellStyle name="Normal 371 5" xfId="28989" xr:uid="{00000000-0005-0000-0000-000040700000}"/>
    <cellStyle name="Normal 371 5 2" xfId="28990" xr:uid="{00000000-0005-0000-0000-000041700000}"/>
    <cellStyle name="Normal 371 5 2 2" xfId="28991" xr:uid="{00000000-0005-0000-0000-000042700000}"/>
    <cellStyle name="Normal 371 5 3" xfId="28992" xr:uid="{00000000-0005-0000-0000-000043700000}"/>
    <cellStyle name="Normal 371 6" xfId="28993" xr:uid="{00000000-0005-0000-0000-000044700000}"/>
    <cellStyle name="Normal 371 6 2" xfId="28994" xr:uid="{00000000-0005-0000-0000-000045700000}"/>
    <cellStyle name="Normal 371 6 2 2" xfId="28995" xr:uid="{00000000-0005-0000-0000-000046700000}"/>
    <cellStyle name="Normal 371 6 3" xfId="28996" xr:uid="{00000000-0005-0000-0000-000047700000}"/>
    <cellStyle name="Normal 371 7" xfId="28997" xr:uid="{00000000-0005-0000-0000-000048700000}"/>
    <cellStyle name="Normal 372" xfId="28998" xr:uid="{00000000-0005-0000-0000-000049700000}"/>
    <cellStyle name="Normal 372 2" xfId="28999" xr:uid="{00000000-0005-0000-0000-00004A700000}"/>
    <cellStyle name="Normal 372 2 2" xfId="29000" xr:uid="{00000000-0005-0000-0000-00004B700000}"/>
    <cellStyle name="Normal 372 2 2 2" xfId="29001" xr:uid="{00000000-0005-0000-0000-00004C700000}"/>
    <cellStyle name="Normal 372 2 3" xfId="29002" xr:uid="{00000000-0005-0000-0000-00004D700000}"/>
    <cellStyle name="Normal 372 2 3 2" xfId="29003" xr:uid="{00000000-0005-0000-0000-00004E700000}"/>
    <cellStyle name="Normal 372 2 3 2 2" xfId="29004" xr:uid="{00000000-0005-0000-0000-00004F700000}"/>
    <cellStyle name="Normal 372 2 3 3" xfId="29005" xr:uid="{00000000-0005-0000-0000-000050700000}"/>
    <cellStyle name="Normal 372 2 4" xfId="29006" xr:uid="{00000000-0005-0000-0000-000051700000}"/>
    <cellStyle name="Normal 372 2 4 2" xfId="29007" xr:uid="{00000000-0005-0000-0000-000052700000}"/>
    <cellStyle name="Normal 372 2 4 2 2" xfId="29008" xr:uid="{00000000-0005-0000-0000-000053700000}"/>
    <cellStyle name="Normal 372 2 4 3" xfId="29009" xr:uid="{00000000-0005-0000-0000-000054700000}"/>
    <cellStyle name="Normal 372 2 5" xfId="29010" xr:uid="{00000000-0005-0000-0000-000055700000}"/>
    <cellStyle name="Normal 372 3" xfId="29011" xr:uid="{00000000-0005-0000-0000-000056700000}"/>
    <cellStyle name="Normal 372 3 2" xfId="29012" xr:uid="{00000000-0005-0000-0000-000057700000}"/>
    <cellStyle name="Normal 372 3 2 2" xfId="29013" xr:uid="{00000000-0005-0000-0000-000058700000}"/>
    <cellStyle name="Normal 372 3 2 2 2" xfId="29014" xr:uid="{00000000-0005-0000-0000-000059700000}"/>
    <cellStyle name="Normal 372 3 2 3" xfId="29015" xr:uid="{00000000-0005-0000-0000-00005A700000}"/>
    <cellStyle name="Normal 372 3 2 3 2" xfId="29016" xr:uid="{00000000-0005-0000-0000-00005B700000}"/>
    <cellStyle name="Normal 372 3 2 3 2 2" xfId="29017" xr:uid="{00000000-0005-0000-0000-00005C700000}"/>
    <cellStyle name="Normal 372 3 2 3 3" xfId="29018" xr:uid="{00000000-0005-0000-0000-00005D700000}"/>
    <cellStyle name="Normal 372 3 2 4" xfId="29019" xr:uid="{00000000-0005-0000-0000-00005E700000}"/>
    <cellStyle name="Normal 372 3 3" xfId="29020" xr:uid="{00000000-0005-0000-0000-00005F700000}"/>
    <cellStyle name="Normal 372 3 3 2" xfId="29021" xr:uid="{00000000-0005-0000-0000-000060700000}"/>
    <cellStyle name="Normal 372 3 3 2 2" xfId="29022" xr:uid="{00000000-0005-0000-0000-000061700000}"/>
    <cellStyle name="Normal 372 3 3 3" xfId="29023" xr:uid="{00000000-0005-0000-0000-000062700000}"/>
    <cellStyle name="Normal 372 3 4" xfId="29024" xr:uid="{00000000-0005-0000-0000-000063700000}"/>
    <cellStyle name="Normal 372 3 4 2" xfId="29025" xr:uid="{00000000-0005-0000-0000-000064700000}"/>
    <cellStyle name="Normal 372 3 4 2 2" xfId="29026" xr:uid="{00000000-0005-0000-0000-000065700000}"/>
    <cellStyle name="Normal 372 3 4 3" xfId="29027" xr:uid="{00000000-0005-0000-0000-000066700000}"/>
    <cellStyle name="Normal 372 3 5" xfId="29028" xr:uid="{00000000-0005-0000-0000-000067700000}"/>
    <cellStyle name="Normal 372 3 5 2" xfId="29029" xr:uid="{00000000-0005-0000-0000-000068700000}"/>
    <cellStyle name="Normal 372 3 5 2 2" xfId="29030" xr:uid="{00000000-0005-0000-0000-000069700000}"/>
    <cellStyle name="Normal 372 3 5 3" xfId="29031" xr:uid="{00000000-0005-0000-0000-00006A700000}"/>
    <cellStyle name="Normal 372 3 6" xfId="29032" xr:uid="{00000000-0005-0000-0000-00006B700000}"/>
    <cellStyle name="Normal 372 4" xfId="29033" xr:uid="{00000000-0005-0000-0000-00006C700000}"/>
    <cellStyle name="Normal 372 4 2" xfId="29034" xr:uid="{00000000-0005-0000-0000-00006D700000}"/>
    <cellStyle name="Normal 372 4 2 2" xfId="29035" xr:uid="{00000000-0005-0000-0000-00006E700000}"/>
    <cellStyle name="Normal 372 4 3" xfId="29036" xr:uid="{00000000-0005-0000-0000-00006F700000}"/>
    <cellStyle name="Normal 372 5" xfId="29037" xr:uid="{00000000-0005-0000-0000-000070700000}"/>
    <cellStyle name="Normal 372 5 2" xfId="29038" xr:uid="{00000000-0005-0000-0000-000071700000}"/>
    <cellStyle name="Normal 372 5 2 2" xfId="29039" xr:uid="{00000000-0005-0000-0000-000072700000}"/>
    <cellStyle name="Normal 372 5 3" xfId="29040" xr:uid="{00000000-0005-0000-0000-000073700000}"/>
    <cellStyle name="Normal 372 6" xfId="29041" xr:uid="{00000000-0005-0000-0000-000074700000}"/>
    <cellStyle name="Normal 372 6 2" xfId="29042" xr:uid="{00000000-0005-0000-0000-000075700000}"/>
    <cellStyle name="Normal 372 6 2 2" xfId="29043" xr:uid="{00000000-0005-0000-0000-000076700000}"/>
    <cellStyle name="Normal 372 6 3" xfId="29044" xr:uid="{00000000-0005-0000-0000-000077700000}"/>
    <cellStyle name="Normal 372 7" xfId="29045" xr:uid="{00000000-0005-0000-0000-000078700000}"/>
    <cellStyle name="Normal 373" xfId="29046" xr:uid="{00000000-0005-0000-0000-000079700000}"/>
    <cellStyle name="Normal 373 2" xfId="29047" xr:uid="{00000000-0005-0000-0000-00007A700000}"/>
    <cellStyle name="Normal 373 2 2" xfId="29048" xr:uid="{00000000-0005-0000-0000-00007B700000}"/>
    <cellStyle name="Normal 373 2 2 2" xfId="29049" xr:uid="{00000000-0005-0000-0000-00007C700000}"/>
    <cellStyle name="Normal 373 2 3" xfId="29050" xr:uid="{00000000-0005-0000-0000-00007D700000}"/>
    <cellStyle name="Normal 373 2 3 2" xfId="29051" xr:uid="{00000000-0005-0000-0000-00007E700000}"/>
    <cellStyle name="Normal 373 2 3 2 2" xfId="29052" xr:uid="{00000000-0005-0000-0000-00007F700000}"/>
    <cellStyle name="Normal 373 2 3 3" xfId="29053" xr:uid="{00000000-0005-0000-0000-000080700000}"/>
    <cellStyle name="Normal 373 2 4" xfId="29054" xr:uid="{00000000-0005-0000-0000-000081700000}"/>
    <cellStyle name="Normal 373 2 4 2" xfId="29055" xr:uid="{00000000-0005-0000-0000-000082700000}"/>
    <cellStyle name="Normal 373 2 4 2 2" xfId="29056" xr:uid="{00000000-0005-0000-0000-000083700000}"/>
    <cellStyle name="Normal 373 2 4 3" xfId="29057" xr:uid="{00000000-0005-0000-0000-000084700000}"/>
    <cellStyle name="Normal 373 2 5" xfId="29058" xr:uid="{00000000-0005-0000-0000-000085700000}"/>
    <cellStyle name="Normal 373 3" xfId="29059" xr:uid="{00000000-0005-0000-0000-000086700000}"/>
    <cellStyle name="Normal 373 3 2" xfId="29060" xr:uid="{00000000-0005-0000-0000-000087700000}"/>
    <cellStyle name="Normal 373 3 2 2" xfId="29061" xr:uid="{00000000-0005-0000-0000-000088700000}"/>
    <cellStyle name="Normal 373 3 2 2 2" xfId="29062" xr:uid="{00000000-0005-0000-0000-000089700000}"/>
    <cellStyle name="Normal 373 3 2 3" xfId="29063" xr:uid="{00000000-0005-0000-0000-00008A700000}"/>
    <cellStyle name="Normal 373 3 2 3 2" xfId="29064" xr:uid="{00000000-0005-0000-0000-00008B700000}"/>
    <cellStyle name="Normal 373 3 2 3 2 2" xfId="29065" xr:uid="{00000000-0005-0000-0000-00008C700000}"/>
    <cellStyle name="Normal 373 3 2 3 3" xfId="29066" xr:uid="{00000000-0005-0000-0000-00008D700000}"/>
    <cellStyle name="Normal 373 3 2 4" xfId="29067" xr:uid="{00000000-0005-0000-0000-00008E700000}"/>
    <cellStyle name="Normal 373 3 3" xfId="29068" xr:uid="{00000000-0005-0000-0000-00008F700000}"/>
    <cellStyle name="Normal 373 3 3 2" xfId="29069" xr:uid="{00000000-0005-0000-0000-000090700000}"/>
    <cellStyle name="Normal 373 3 3 2 2" xfId="29070" xr:uid="{00000000-0005-0000-0000-000091700000}"/>
    <cellStyle name="Normal 373 3 3 3" xfId="29071" xr:uid="{00000000-0005-0000-0000-000092700000}"/>
    <cellStyle name="Normal 373 3 4" xfId="29072" xr:uid="{00000000-0005-0000-0000-000093700000}"/>
    <cellStyle name="Normal 373 3 4 2" xfId="29073" xr:uid="{00000000-0005-0000-0000-000094700000}"/>
    <cellStyle name="Normal 373 3 4 2 2" xfId="29074" xr:uid="{00000000-0005-0000-0000-000095700000}"/>
    <cellStyle name="Normal 373 3 4 3" xfId="29075" xr:uid="{00000000-0005-0000-0000-000096700000}"/>
    <cellStyle name="Normal 373 3 5" xfId="29076" xr:uid="{00000000-0005-0000-0000-000097700000}"/>
    <cellStyle name="Normal 373 3 5 2" xfId="29077" xr:uid="{00000000-0005-0000-0000-000098700000}"/>
    <cellStyle name="Normal 373 3 5 2 2" xfId="29078" xr:uid="{00000000-0005-0000-0000-000099700000}"/>
    <cellStyle name="Normal 373 3 5 3" xfId="29079" xr:uid="{00000000-0005-0000-0000-00009A700000}"/>
    <cellStyle name="Normal 373 3 6" xfId="29080" xr:uid="{00000000-0005-0000-0000-00009B700000}"/>
    <cellStyle name="Normal 373 4" xfId="29081" xr:uid="{00000000-0005-0000-0000-00009C700000}"/>
    <cellStyle name="Normal 373 4 2" xfId="29082" xr:uid="{00000000-0005-0000-0000-00009D700000}"/>
    <cellStyle name="Normal 373 4 2 2" xfId="29083" xr:uid="{00000000-0005-0000-0000-00009E700000}"/>
    <cellStyle name="Normal 373 4 3" xfId="29084" xr:uid="{00000000-0005-0000-0000-00009F700000}"/>
    <cellStyle name="Normal 373 5" xfId="29085" xr:uid="{00000000-0005-0000-0000-0000A0700000}"/>
    <cellStyle name="Normal 373 5 2" xfId="29086" xr:uid="{00000000-0005-0000-0000-0000A1700000}"/>
    <cellStyle name="Normal 373 5 2 2" xfId="29087" xr:uid="{00000000-0005-0000-0000-0000A2700000}"/>
    <cellStyle name="Normal 373 5 3" xfId="29088" xr:uid="{00000000-0005-0000-0000-0000A3700000}"/>
    <cellStyle name="Normal 373 6" xfId="29089" xr:uid="{00000000-0005-0000-0000-0000A4700000}"/>
    <cellStyle name="Normal 373 6 2" xfId="29090" xr:uid="{00000000-0005-0000-0000-0000A5700000}"/>
    <cellStyle name="Normal 373 6 2 2" xfId="29091" xr:uid="{00000000-0005-0000-0000-0000A6700000}"/>
    <cellStyle name="Normal 373 6 3" xfId="29092" xr:uid="{00000000-0005-0000-0000-0000A7700000}"/>
    <cellStyle name="Normal 373 7" xfId="29093" xr:uid="{00000000-0005-0000-0000-0000A8700000}"/>
    <cellStyle name="Normal 374" xfId="29094" xr:uid="{00000000-0005-0000-0000-0000A9700000}"/>
    <cellStyle name="Normal 374 2" xfId="29095" xr:uid="{00000000-0005-0000-0000-0000AA700000}"/>
    <cellStyle name="Normal 374 2 2" xfId="29096" xr:uid="{00000000-0005-0000-0000-0000AB700000}"/>
    <cellStyle name="Normal 374 2 2 2" xfId="29097" xr:uid="{00000000-0005-0000-0000-0000AC700000}"/>
    <cellStyle name="Normal 374 2 3" xfId="29098" xr:uid="{00000000-0005-0000-0000-0000AD700000}"/>
    <cellStyle name="Normal 374 2 3 2" xfId="29099" xr:uid="{00000000-0005-0000-0000-0000AE700000}"/>
    <cellStyle name="Normal 374 2 3 2 2" xfId="29100" xr:uid="{00000000-0005-0000-0000-0000AF700000}"/>
    <cellStyle name="Normal 374 2 3 3" xfId="29101" xr:uid="{00000000-0005-0000-0000-0000B0700000}"/>
    <cellStyle name="Normal 374 2 4" xfId="29102" xr:uid="{00000000-0005-0000-0000-0000B1700000}"/>
    <cellStyle name="Normal 374 2 4 2" xfId="29103" xr:uid="{00000000-0005-0000-0000-0000B2700000}"/>
    <cellStyle name="Normal 374 2 4 2 2" xfId="29104" xr:uid="{00000000-0005-0000-0000-0000B3700000}"/>
    <cellStyle name="Normal 374 2 4 3" xfId="29105" xr:uid="{00000000-0005-0000-0000-0000B4700000}"/>
    <cellStyle name="Normal 374 2 5" xfId="29106" xr:uid="{00000000-0005-0000-0000-0000B5700000}"/>
    <cellStyle name="Normal 374 3" xfId="29107" xr:uid="{00000000-0005-0000-0000-0000B6700000}"/>
    <cellStyle name="Normal 374 3 2" xfId="29108" xr:uid="{00000000-0005-0000-0000-0000B7700000}"/>
    <cellStyle name="Normal 374 3 2 2" xfId="29109" xr:uid="{00000000-0005-0000-0000-0000B8700000}"/>
    <cellStyle name="Normal 374 3 2 2 2" xfId="29110" xr:uid="{00000000-0005-0000-0000-0000B9700000}"/>
    <cellStyle name="Normal 374 3 2 3" xfId="29111" xr:uid="{00000000-0005-0000-0000-0000BA700000}"/>
    <cellStyle name="Normal 374 3 2 3 2" xfId="29112" xr:uid="{00000000-0005-0000-0000-0000BB700000}"/>
    <cellStyle name="Normal 374 3 2 3 2 2" xfId="29113" xr:uid="{00000000-0005-0000-0000-0000BC700000}"/>
    <cellStyle name="Normal 374 3 2 3 3" xfId="29114" xr:uid="{00000000-0005-0000-0000-0000BD700000}"/>
    <cellStyle name="Normal 374 3 2 4" xfId="29115" xr:uid="{00000000-0005-0000-0000-0000BE700000}"/>
    <cellStyle name="Normal 374 3 3" xfId="29116" xr:uid="{00000000-0005-0000-0000-0000BF700000}"/>
    <cellStyle name="Normal 374 3 3 2" xfId="29117" xr:uid="{00000000-0005-0000-0000-0000C0700000}"/>
    <cellStyle name="Normal 374 3 3 2 2" xfId="29118" xr:uid="{00000000-0005-0000-0000-0000C1700000}"/>
    <cellStyle name="Normal 374 3 3 3" xfId="29119" xr:uid="{00000000-0005-0000-0000-0000C2700000}"/>
    <cellStyle name="Normal 374 3 4" xfId="29120" xr:uid="{00000000-0005-0000-0000-0000C3700000}"/>
    <cellStyle name="Normal 374 3 4 2" xfId="29121" xr:uid="{00000000-0005-0000-0000-0000C4700000}"/>
    <cellStyle name="Normal 374 3 4 2 2" xfId="29122" xr:uid="{00000000-0005-0000-0000-0000C5700000}"/>
    <cellStyle name="Normal 374 3 4 3" xfId="29123" xr:uid="{00000000-0005-0000-0000-0000C6700000}"/>
    <cellStyle name="Normal 374 3 5" xfId="29124" xr:uid="{00000000-0005-0000-0000-0000C7700000}"/>
    <cellStyle name="Normal 374 3 5 2" xfId="29125" xr:uid="{00000000-0005-0000-0000-0000C8700000}"/>
    <cellStyle name="Normal 374 3 5 2 2" xfId="29126" xr:uid="{00000000-0005-0000-0000-0000C9700000}"/>
    <cellStyle name="Normal 374 3 5 3" xfId="29127" xr:uid="{00000000-0005-0000-0000-0000CA700000}"/>
    <cellStyle name="Normal 374 3 6" xfId="29128" xr:uid="{00000000-0005-0000-0000-0000CB700000}"/>
    <cellStyle name="Normal 374 4" xfId="29129" xr:uid="{00000000-0005-0000-0000-0000CC700000}"/>
    <cellStyle name="Normal 374 4 2" xfId="29130" xr:uid="{00000000-0005-0000-0000-0000CD700000}"/>
    <cellStyle name="Normal 374 4 2 2" xfId="29131" xr:uid="{00000000-0005-0000-0000-0000CE700000}"/>
    <cellStyle name="Normal 374 4 3" xfId="29132" xr:uid="{00000000-0005-0000-0000-0000CF700000}"/>
    <cellStyle name="Normal 374 5" xfId="29133" xr:uid="{00000000-0005-0000-0000-0000D0700000}"/>
    <cellStyle name="Normal 374 5 2" xfId="29134" xr:uid="{00000000-0005-0000-0000-0000D1700000}"/>
    <cellStyle name="Normal 374 5 2 2" xfId="29135" xr:uid="{00000000-0005-0000-0000-0000D2700000}"/>
    <cellStyle name="Normal 374 5 3" xfId="29136" xr:uid="{00000000-0005-0000-0000-0000D3700000}"/>
    <cellStyle name="Normal 374 6" xfId="29137" xr:uid="{00000000-0005-0000-0000-0000D4700000}"/>
    <cellStyle name="Normal 374 6 2" xfId="29138" xr:uid="{00000000-0005-0000-0000-0000D5700000}"/>
    <cellStyle name="Normal 374 6 2 2" xfId="29139" xr:uid="{00000000-0005-0000-0000-0000D6700000}"/>
    <cellStyle name="Normal 374 6 3" xfId="29140" xr:uid="{00000000-0005-0000-0000-0000D7700000}"/>
    <cellStyle name="Normal 374 7" xfId="29141" xr:uid="{00000000-0005-0000-0000-0000D8700000}"/>
    <cellStyle name="Normal 375" xfId="29142" xr:uid="{00000000-0005-0000-0000-0000D9700000}"/>
    <cellStyle name="Normal 375 2" xfId="29143" xr:uid="{00000000-0005-0000-0000-0000DA700000}"/>
    <cellStyle name="Normal 375 2 2" xfId="29144" xr:uid="{00000000-0005-0000-0000-0000DB700000}"/>
    <cellStyle name="Normal 375 2 2 2" xfId="29145" xr:uid="{00000000-0005-0000-0000-0000DC700000}"/>
    <cellStyle name="Normal 375 2 3" xfId="29146" xr:uid="{00000000-0005-0000-0000-0000DD700000}"/>
    <cellStyle name="Normal 375 2 3 2" xfId="29147" xr:uid="{00000000-0005-0000-0000-0000DE700000}"/>
    <cellStyle name="Normal 375 2 3 2 2" xfId="29148" xr:uid="{00000000-0005-0000-0000-0000DF700000}"/>
    <cellStyle name="Normal 375 2 3 3" xfId="29149" xr:uid="{00000000-0005-0000-0000-0000E0700000}"/>
    <cellStyle name="Normal 375 2 4" xfId="29150" xr:uid="{00000000-0005-0000-0000-0000E1700000}"/>
    <cellStyle name="Normal 375 2 4 2" xfId="29151" xr:uid="{00000000-0005-0000-0000-0000E2700000}"/>
    <cellStyle name="Normal 375 2 4 2 2" xfId="29152" xr:uid="{00000000-0005-0000-0000-0000E3700000}"/>
    <cellStyle name="Normal 375 2 4 3" xfId="29153" xr:uid="{00000000-0005-0000-0000-0000E4700000}"/>
    <cellStyle name="Normal 375 2 5" xfId="29154" xr:uid="{00000000-0005-0000-0000-0000E5700000}"/>
    <cellStyle name="Normal 375 3" xfId="29155" xr:uid="{00000000-0005-0000-0000-0000E6700000}"/>
    <cellStyle name="Normal 375 3 2" xfId="29156" xr:uid="{00000000-0005-0000-0000-0000E7700000}"/>
    <cellStyle name="Normal 375 3 2 2" xfId="29157" xr:uid="{00000000-0005-0000-0000-0000E8700000}"/>
    <cellStyle name="Normal 375 3 2 2 2" xfId="29158" xr:uid="{00000000-0005-0000-0000-0000E9700000}"/>
    <cellStyle name="Normal 375 3 2 3" xfId="29159" xr:uid="{00000000-0005-0000-0000-0000EA700000}"/>
    <cellStyle name="Normal 375 3 2 3 2" xfId="29160" xr:uid="{00000000-0005-0000-0000-0000EB700000}"/>
    <cellStyle name="Normal 375 3 2 3 2 2" xfId="29161" xr:uid="{00000000-0005-0000-0000-0000EC700000}"/>
    <cellStyle name="Normal 375 3 2 3 3" xfId="29162" xr:uid="{00000000-0005-0000-0000-0000ED700000}"/>
    <cellStyle name="Normal 375 3 2 4" xfId="29163" xr:uid="{00000000-0005-0000-0000-0000EE700000}"/>
    <cellStyle name="Normal 375 3 3" xfId="29164" xr:uid="{00000000-0005-0000-0000-0000EF700000}"/>
    <cellStyle name="Normal 375 3 3 2" xfId="29165" xr:uid="{00000000-0005-0000-0000-0000F0700000}"/>
    <cellStyle name="Normal 375 3 3 2 2" xfId="29166" xr:uid="{00000000-0005-0000-0000-0000F1700000}"/>
    <cellStyle name="Normal 375 3 3 3" xfId="29167" xr:uid="{00000000-0005-0000-0000-0000F2700000}"/>
    <cellStyle name="Normal 375 3 4" xfId="29168" xr:uid="{00000000-0005-0000-0000-0000F3700000}"/>
    <cellStyle name="Normal 375 3 4 2" xfId="29169" xr:uid="{00000000-0005-0000-0000-0000F4700000}"/>
    <cellStyle name="Normal 375 3 4 2 2" xfId="29170" xr:uid="{00000000-0005-0000-0000-0000F5700000}"/>
    <cellStyle name="Normal 375 3 4 3" xfId="29171" xr:uid="{00000000-0005-0000-0000-0000F6700000}"/>
    <cellStyle name="Normal 375 3 5" xfId="29172" xr:uid="{00000000-0005-0000-0000-0000F7700000}"/>
    <cellStyle name="Normal 375 3 5 2" xfId="29173" xr:uid="{00000000-0005-0000-0000-0000F8700000}"/>
    <cellStyle name="Normal 375 3 5 2 2" xfId="29174" xr:uid="{00000000-0005-0000-0000-0000F9700000}"/>
    <cellStyle name="Normal 375 3 5 3" xfId="29175" xr:uid="{00000000-0005-0000-0000-0000FA700000}"/>
    <cellStyle name="Normal 375 3 6" xfId="29176" xr:uid="{00000000-0005-0000-0000-0000FB700000}"/>
    <cellStyle name="Normal 375 4" xfId="29177" xr:uid="{00000000-0005-0000-0000-0000FC700000}"/>
    <cellStyle name="Normal 375 4 2" xfId="29178" xr:uid="{00000000-0005-0000-0000-0000FD700000}"/>
    <cellStyle name="Normal 375 4 2 2" xfId="29179" xr:uid="{00000000-0005-0000-0000-0000FE700000}"/>
    <cellStyle name="Normal 375 4 3" xfId="29180" xr:uid="{00000000-0005-0000-0000-0000FF700000}"/>
    <cellStyle name="Normal 375 5" xfId="29181" xr:uid="{00000000-0005-0000-0000-000000710000}"/>
    <cellStyle name="Normal 375 5 2" xfId="29182" xr:uid="{00000000-0005-0000-0000-000001710000}"/>
    <cellStyle name="Normal 375 5 2 2" xfId="29183" xr:uid="{00000000-0005-0000-0000-000002710000}"/>
    <cellStyle name="Normal 375 5 3" xfId="29184" xr:uid="{00000000-0005-0000-0000-000003710000}"/>
    <cellStyle name="Normal 375 6" xfId="29185" xr:uid="{00000000-0005-0000-0000-000004710000}"/>
    <cellStyle name="Normal 375 6 2" xfId="29186" xr:uid="{00000000-0005-0000-0000-000005710000}"/>
    <cellStyle name="Normal 375 6 2 2" xfId="29187" xr:uid="{00000000-0005-0000-0000-000006710000}"/>
    <cellStyle name="Normal 375 6 3" xfId="29188" xr:uid="{00000000-0005-0000-0000-000007710000}"/>
    <cellStyle name="Normal 375 7" xfId="29189" xr:uid="{00000000-0005-0000-0000-000008710000}"/>
    <cellStyle name="Normal 376" xfId="29190" xr:uid="{00000000-0005-0000-0000-000009710000}"/>
    <cellStyle name="Normal 376 2" xfId="29191" xr:uid="{00000000-0005-0000-0000-00000A710000}"/>
    <cellStyle name="Normal 376 2 2" xfId="29192" xr:uid="{00000000-0005-0000-0000-00000B710000}"/>
    <cellStyle name="Normal 376 2 2 2" xfId="29193" xr:uid="{00000000-0005-0000-0000-00000C710000}"/>
    <cellStyle name="Normal 376 2 3" xfId="29194" xr:uid="{00000000-0005-0000-0000-00000D710000}"/>
    <cellStyle name="Normal 376 2 3 2" xfId="29195" xr:uid="{00000000-0005-0000-0000-00000E710000}"/>
    <cellStyle name="Normal 376 2 3 2 2" xfId="29196" xr:uid="{00000000-0005-0000-0000-00000F710000}"/>
    <cellStyle name="Normal 376 2 3 3" xfId="29197" xr:uid="{00000000-0005-0000-0000-000010710000}"/>
    <cellStyle name="Normal 376 2 4" xfId="29198" xr:uid="{00000000-0005-0000-0000-000011710000}"/>
    <cellStyle name="Normal 376 2 4 2" xfId="29199" xr:uid="{00000000-0005-0000-0000-000012710000}"/>
    <cellStyle name="Normal 376 2 4 2 2" xfId="29200" xr:uid="{00000000-0005-0000-0000-000013710000}"/>
    <cellStyle name="Normal 376 2 4 3" xfId="29201" xr:uid="{00000000-0005-0000-0000-000014710000}"/>
    <cellStyle name="Normal 376 2 5" xfId="29202" xr:uid="{00000000-0005-0000-0000-000015710000}"/>
    <cellStyle name="Normal 376 3" xfId="29203" xr:uid="{00000000-0005-0000-0000-000016710000}"/>
    <cellStyle name="Normal 376 3 2" xfId="29204" xr:uid="{00000000-0005-0000-0000-000017710000}"/>
    <cellStyle name="Normal 376 3 2 2" xfId="29205" xr:uid="{00000000-0005-0000-0000-000018710000}"/>
    <cellStyle name="Normal 376 3 2 2 2" xfId="29206" xr:uid="{00000000-0005-0000-0000-000019710000}"/>
    <cellStyle name="Normal 376 3 2 3" xfId="29207" xr:uid="{00000000-0005-0000-0000-00001A710000}"/>
    <cellStyle name="Normal 376 3 2 3 2" xfId="29208" xr:uid="{00000000-0005-0000-0000-00001B710000}"/>
    <cellStyle name="Normal 376 3 2 3 2 2" xfId="29209" xr:uid="{00000000-0005-0000-0000-00001C710000}"/>
    <cellStyle name="Normal 376 3 2 3 3" xfId="29210" xr:uid="{00000000-0005-0000-0000-00001D710000}"/>
    <cellStyle name="Normal 376 3 2 4" xfId="29211" xr:uid="{00000000-0005-0000-0000-00001E710000}"/>
    <cellStyle name="Normal 376 3 3" xfId="29212" xr:uid="{00000000-0005-0000-0000-00001F710000}"/>
    <cellStyle name="Normal 376 3 3 2" xfId="29213" xr:uid="{00000000-0005-0000-0000-000020710000}"/>
    <cellStyle name="Normal 376 3 3 2 2" xfId="29214" xr:uid="{00000000-0005-0000-0000-000021710000}"/>
    <cellStyle name="Normal 376 3 3 3" xfId="29215" xr:uid="{00000000-0005-0000-0000-000022710000}"/>
    <cellStyle name="Normal 376 3 4" xfId="29216" xr:uid="{00000000-0005-0000-0000-000023710000}"/>
    <cellStyle name="Normal 376 3 4 2" xfId="29217" xr:uid="{00000000-0005-0000-0000-000024710000}"/>
    <cellStyle name="Normal 376 3 4 2 2" xfId="29218" xr:uid="{00000000-0005-0000-0000-000025710000}"/>
    <cellStyle name="Normal 376 3 4 3" xfId="29219" xr:uid="{00000000-0005-0000-0000-000026710000}"/>
    <cellStyle name="Normal 376 3 5" xfId="29220" xr:uid="{00000000-0005-0000-0000-000027710000}"/>
    <cellStyle name="Normal 376 3 5 2" xfId="29221" xr:uid="{00000000-0005-0000-0000-000028710000}"/>
    <cellStyle name="Normal 376 3 5 2 2" xfId="29222" xr:uid="{00000000-0005-0000-0000-000029710000}"/>
    <cellStyle name="Normal 376 3 5 3" xfId="29223" xr:uid="{00000000-0005-0000-0000-00002A710000}"/>
    <cellStyle name="Normal 376 3 6" xfId="29224" xr:uid="{00000000-0005-0000-0000-00002B710000}"/>
    <cellStyle name="Normal 376 4" xfId="29225" xr:uid="{00000000-0005-0000-0000-00002C710000}"/>
    <cellStyle name="Normal 376 4 2" xfId="29226" xr:uid="{00000000-0005-0000-0000-00002D710000}"/>
    <cellStyle name="Normal 376 4 2 2" xfId="29227" xr:uid="{00000000-0005-0000-0000-00002E710000}"/>
    <cellStyle name="Normal 376 4 3" xfId="29228" xr:uid="{00000000-0005-0000-0000-00002F710000}"/>
    <cellStyle name="Normal 376 5" xfId="29229" xr:uid="{00000000-0005-0000-0000-000030710000}"/>
    <cellStyle name="Normal 376 5 2" xfId="29230" xr:uid="{00000000-0005-0000-0000-000031710000}"/>
    <cellStyle name="Normal 376 5 2 2" xfId="29231" xr:uid="{00000000-0005-0000-0000-000032710000}"/>
    <cellStyle name="Normal 376 5 3" xfId="29232" xr:uid="{00000000-0005-0000-0000-000033710000}"/>
    <cellStyle name="Normal 376 6" xfId="29233" xr:uid="{00000000-0005-0000-0000-000034710000}"/>
    <cellStyle name="Normal 376 6 2" xfId="29234" xr:uid="{00000000-0005-0000-0000-000035710000}"/>
    <cellStyle name="Normal 376 6 2 2" xfId="29235" xr:uid="{00000000-0005-0000-0000-000036710000}"/>
    <cellStyle name="Normal 376 6 3" xfId="29236" xr:uid="{00000000-0005-0000-0000-000037710000}"/>
    <cellStyle name="Normal 376 7" xfId="29237" xr:uid="{00000000-0005-0000-0000-000038710000}"/>
    <cellStyle name="Normal 377" xfId="29238" xr:uid="{00000000-0005-0000-0000-000039710000}"/>
    <cellStyle name="Normal 377 2" xfId="29239" xr:uid="{00000000-0005-0000-0000-00003A710000}"/>
    <cellStyle name="Normal 377 2 2" xfId="29240" xr:uid="{00000000-0005-0000-0000-00003B710000}"/>
    <cellStyle name="Normal 377 2 2 2" xfId="29241" xr:uid="{00000000-0005-0000-0000-00003C710000}"/>
    <cellStyle name="Normal 377 2 3" xfId="29242" xr:uid="{00000000-0005-0000-0000-00003D710000}"/>
    <cellStyle name="Normal 377 2 3 2" xfId="29243" xr:uid="{00000000-0005-0000-0000-00003E710000}"/>
    <cellStyle name="Normal 377 2 3 2 2" xfId="29244" xr:uid="{00000000-0005-0000-0000-00003F710000}"/>
    <cellStyle name="Normal 377 2 3 3" xfId="29245" xr:uid="{00000000-0005-0000-0000-000040710000}"/>
    <cellStyle name="Normal 377 2 4" xfId="29246" xr:uid="{00000000-0005-0000-0000-000041710000}"/>
    <cellStyle name="Normal 377 2 4 2" xfId="29247" xr:uid="{00000000-0005-0000-0000-000042710000}"/>
    <cellStyle name="Normal 377 2 4 2 2" xfId="29248" xr:uid="{00000000-0005-0000-0000-000043710000}"/>
    <cellStyle name="Normal 377 2 4 3" xfId="29249" xr:uid="{00000000-0005-0000-0000-000044710000}"/>
    <cellStyle name="Normal 377 2 5" xfId="29250" xr:uid="{00000000-0005-0000-0000-000045710000}"/>
    <cellStyle name="Normal 377 3" xfId="29251" xr:uid="{00000000-0005-0000-0000-000046710000}"/>
    <cellStyle name="Normal 377 3 2" xfId="29252" xr:uid="{00000000-0005-0000-0000-000047710000}"/>
    <cellStyle name="Normal 377 3 2 2" xfId="29253" xr:uid="{00000000-0005-0000-0000-000048710000}"/>
    <cellStyle name="Normal 377 3 2 2 2" xfId="29254" xr:uid="{00000000-0005-0000-0000-000049710000}"/>
    <cellStyle name="Normal 377 3 2 3" xfId="29255" xr:uid="{00000000-0005-0000-0000-00004A710000}"/>
    <cellStyle name="Normal 377 3 2 3 2" xfId="29256" xr:uid="{00000000-0005-0000-0000-00004B710000}"/>
    <cellStyle name="Normal 377 3 2 3 2 2" xfId="29257" xr:uid="{00000000-0005-0000-0000-00004C710000}"/>
    <cellStyle name="Normal 377 3 2 3 3" xfId="29258" xr:uid="{00000000-0005-0000-0000-00004D710000}"/>
    <cellStyle name="Normal 377 3 2 4" xfId="29259" xr:uid="{00000000-0005-0000-0000-00004E710000}"/>
    <cellStyle name="Normal 377 3 3" xfId="29260" xr:uid="{00000000-0005-0000-0000-00004F710000}"/>
    <cellStyle name="Normal 377 3 3 2" xfId="29261" xr:uid="{00000000-0005-0000-0000-000050710000}"/>
    <cellStyle name="Normal 377 3 3 2 2" xfId="29262" xr:uid="{00000000-0005-0000-0000-000051710000}"/>
    <cellStyle name="Normal 377 3 3 3" xfId="29263" xr:uid="{00000000-0005-0000-0000-000052710000}"/>
    <cellStyle name="Normal 377 3 4" xfId="29264" xr:uid="{00000000-0005-0000-0000-000053710000}"/>
    <cellStyle name="Normal 377 3 4 2" xfId="29265" xr:uid="{00000000-0005-0000-0000-000054710000}"/>
    <cellStyle name="Normal 377 3 4 2 2" xfId="29266" xr:uid="{00000000-0005-0000-0000-000055710000}"/>
    <cellStyle name="Normal 377 3 4 3" xfId="29267" xr:uid="{00000000-0005-0000-0000-000056710000}"/>
    <cellStyle name="Normal 377 3 5" xfId="29268" xr:uid="{00000000-0005-0000-0000-000057710000}"/>
    <cellStyle name="Normal 377 3 5 2" xfId="29269" xr:uid="{00000000-0005-0000-0000-000058710000}"/>
    <cellStyle name="Normal 377 3 5 2 2" xfId="29270" xr:uid="{00000000-0005-0000-0000-000059710000}"/>
    <cellStyle name="Normal 377 3 5 3" xfId="29271" xr:uid="{00000000-0005-0000-0000-00005A710000}"/>
    <cellStyle name="Normal 377 3 6" xfId="29272" xr:uid="{00000000-0005-0000-0000-00005B710000}"/>
    <cellStyle name="Normal 377 4" xfId="29273" xr:uid="{00000000-0005-0000-0000-00005C710000}"/>
    <cellStyle name="Normal 377 4 2" xfId="29274" xr:uid="{00000000-0005-0000-0000-00005D710000}"/>
    <cellStyle name="Normal 377 4 2 2" xfId="29275" xr:uid="{00000000-0005-0000-0000-00005E710000}"/>
    <cellStyle name="Normal 377 4 3" xfId="29276" xr:uid="{00000000-0005-0000-0000-00005F710000}"/>
    <cellStyle name="Normal 377 5" xfId="29277" xr:uid="{00000000-0005-0000-0000-000060710000}"/>
    <cellStyle name="Normal 377 5 2" xfId="29278" xr:uid="{00000000-0005-0000-0000-000061710000}"/>
    <cellStyle name="Normal 377 5 2 2" xfId="29279" xr:uid="{00000000-0005-0000-0000-000062710000}"/>
    <cellStyle name="Normal 377 5 3" xfId="29280" xr:uid="{00000000-0005-0000-0000-000063710000}"/>
    <cellStyle name="Normal 377 6" xfId="29281" xr:uid="{00000000-0005-0000-0000-000064710000}"/>
    <cellStyle name="Normal 377 6 2" xfId="29282" xr:uid="{00000000-0005-0000-0000-000065710000}"/>
    <cellStyle name="Normal 377 6 2 2" xfId="29283" xr:uid="{00000000-0005-0000-0000-000066710000}"/>
    <cellStyle name="Normal 377 6 3" xfId="29284" xr:uid="{00000000-0005-0000-0000-000067710000}"/>
    <cellStyle name="Normal 377 7" xfId="29285" xr:uid="{00000000-0005-0000-0000-000068710000}"/>
    <cellStyle name="Normal 378" xfId="29286" xr:uid="{00000000-0005-0000-0000-000069710000}"/>
    <cellStyle name="Normal 378 2" xfId="29287" xr:uid="{00000000-0005-0000-0000-00006A710000}"/>
    <cellStyle name="Normal 378 2 2" xfId="29288" xr:uid="{00000000-0005-0000-0000-00006B710000}"/>
    <cellStyle name="Normal 378 2 2 2" xfId="29289" xr:uid="{00000000-0005-0000-0000-00006C710000}"/>
    <cellStyle name="Normal 378 2 3" xfId="29290" xr:uid="{00000000-0005-0000-0000-00006D710000}"/>
    <cellStyle name="Normal 378 2 3 2" xfId="29291" xr:uid="{00000000-0005-0000-0000-00006E710000}"/>
    <cellStyle name="Normal 378 2 3 2 2" xfId="29292" xr:uid="{00000000-0005-0000-0000-00006F710000}"/>
    <cellStyle name="Normal 378 2 3 3" xfId="29293" xr:uid="{00000000-0005-0000-0000-000070710000}"/>
    <cellStyle name="Normal 378 2 4" xfId="29294" xr:uid="{00000000-0005-0000-0000-000071710000}"/>
    <cellStyle name="Normal 378 2 4 2" xfId="29295" xr:uid="{00000000-0005-0000-0000-000072710000}"/>
    <cellStyle name="Normal 378 2 4 2 2" xfId="29296" xr:uid="{00000000-0005-0000-0000-000073710000}"/>
    <cellStyle name="Normal 378 2 4 3" xfId="29297" xr:uid="{00000000-0005-0000-0000-000074710000}"/>
    <cellStyle name="Normal 378 2 5" xfId="29298" xr:uid="{00000000-0005-0000-0000-000075710000}"/>
    <cellStyle name="Normal 378 3" xfId="29299" xr:uid="{00000000-0005-0000-0000-000076710000}"/>
    <cellStyle name="Normal 378 3 2" xfId="29300" xr:uid="{00000000-0005-0000-0000-000077710000}"/>
    <cellStyle name="Normal 378 3 2 2" xfId="29301" xr:uid="{00000000-0005-0000-0000-000078710000}"/>
    <cellStyle name="Normal 378 3 2 2 2" xfId="29302" xr:uid="{00000000-0005-0000-0000-000079710000}"/>
    <cellStyle name="Normal 378 3 2 3" xfId="29303" xr:uid="{00000000-0005-0000-0000-00007A710000}"/>
    <cellStyle name="Normal 378 3 2 3 2" xfId="29304" xr:uid="{00000000-0005-0000-0000-00007B710000}"/>
    <cellStyle name="Normal 378 3 2 3 2 2" xfId="29305" xr:uid="{00000000-0005-0000-0000-00007C710000}"/>
    <cellStyle name="Normal 378 3 2 3 3" xfId="29306" xr:uid="{00000000-0005-0000-0000-00007D710000}"/>
    <cellStyle name="Normal 378 3 2 4" xfId="29307" xr:uid="{00000000-0005-0000-0000-00007E710000}"/>
    <cellStyle name="Normal 378 3 3" xfId="29308" xr:uid="{00000000-0005-0000-0000-00007F710000}"/>
    <cellStyle name="Normal 378 3 3 2" xfId="29309" xr:uid="{00000000-0005-0000-0000-000080710000}"/>
    <cellStyle name="Normal 378 3 3 2 2" xfId="29310" xr:uid="{00000000-0005-0000-0000-000081710000}"/>
    <cellStyle name="Normal 378 3 3 3" xfId="29311" xr:uid="{00000000-0005-0000-0000-000082710000}"/>
    <cellStyle name="Normal 378 3 4" xfId="29312" xr:uid="{00000000-0005-0000-0000-000083710000}"/>
    <cellStyle name="Normal 378 3 4 2" xfId="29313" xr:uid="{00000000-0005-0000-0000-000084710000}"/>
    <cellStyle name="Normal 378 3 4 2 2" xfId="29314" xr:uid="{00000000-0005-0000-0000-000085710000}"/>
    <cellStyle name="Normal 378 3 4 3" xfId="29315" xr:uid="{00000000-0005-0000-0000-000086710000}"/>
    <cellStyle name="Normal 378 3 5" xfId="29316" xr:uid="{00000000-0005-0000-0000-000087710000}"/>
    <cellStyle name="Normal 378 3 5 2" xfId="29317" xr:uid="{00000000-0005-0000-0000-000088710000}"/>
    <cellStyle name="Normal 378 3 5 2 2" xfId="29318" xr:uid="{00000000-0005-0000-0000-000089710000}"/>
    <cellStyle name="Normal 378 3 5 3" xfId="29319" xr:uid="{00000000-0005-0000-0000-00008A710000}"/>
    <cellStyle name="Normal 378 3 6" xfId="29320" xr:uid="{00000000-0005-0000-0000-00008B710000}"/>
    <cellStyle name="Normal 378 4" xfId="29321" xr:uid="{00000000-0005-0000-0000-00008C710000}"/>
    <cellStyle name="Normal 378 4 2" xfId="29322" xr:uid="{00000000-0005-0000-0000-00008D710000}"/>
    <cellStyle name="Normal 378 4 2 2" xfId="29323" xr:uid="{00000000-0005-0000-0000-00008E710000}"/>
    <cellStyle name="Normal 378 4 3" xfId="29324" xr:uid="{00000000-0005-0000-0000-00008F710000}"/>
    <cellStyle name="Normal 378 5" xfId="29325" xr:uid="{00000000-0005-0000-0000-000090710000}"/>
    <cellStyle name="Normal 378 5 2" xfId="29326" xr:uid="{00000000-0005-0000-0000-000091710000}"/>
    <cellStyle name="Normal 378 5 2 2" xfId="29327" xr:uid="{00000000-0005-0000-0000-000092710000}"/>
    <cellStyle name="Normal 378 5 3" xfId="29328" xr:uid="{00000000-0005-0000-0000-000093710000}"/>
    <cellStyle name="Normal 378 6" xfId="29329" xr:uid="{00000000-0005-0000-0000-000094710000}"/>
    <cellStyle name="Normal 378 6 2" xfId="29330" xr:uid="{00000000-0005-0000-0000-000095710000}"/>
    <cellStyle name="Normal 378 6 2 2" xfId="29331" xr:uid="{00000000-0005-0000-0000-000096710000}"/>
    <cellStyle name="Normal 378 6 3" xfId="29332" xr:uid="{00000000-0005-0000-0000-000097710000}"/>
    <cellStyle name="Normal 378 7" xfId="29333" xr:uid="{00000000-0005-0000-0000-000098710000}"/>
    <cellStyle name="Normal 379" xfId="29334" xr:uid="{00000000-0005-0000-0000-000099710000}"/>
    <cellStyle name="Normal 379 2" xfId="29335" xr:uid="{00000000-0005-0000-0000-00009A710000}"/>
    <cellStyle name="Normal 379 2 2" xfId="29336" xr:uid="{00000000-0005-0000-0000-00009B710000}"/>
    <cellStyle name="Normal 379 2 2 2" xfId="29337" xr:uid="{00000000-0005-0000-0000-00009C710000}"/>
    <cellStyle name="Normal 379 2 3" xfId="29338" xr:uid="{00000000-0005-0000-0000-00009D710000}"/>
    <cellStyle name="Normal 379 2 3 2" xfId="29339" xr:uid="{00000000-0005-0000-0000-00009E710000}"/>
    <cellStyle name="Normal 379 2 3 2 2" xfId="29340" xr:uid="{00000000-0005-0000-0000-00009F710000}"/>
    <cellStyle name="Normal 379 2 3 3" xfId="29341" xr:uid="{00000000-0005-0000-0000-0000A0710000}"/>
    <cellStyle name="Normal 379 2 4" xfId="29342" xr:uid="{00000000-0005-0000-0000-0000A1710000}"/>
    <cellStyle name="Normal 379 2 4 2" xfId="29343" xr:uid="{00000000-0005-0000-0000-0000A2710000}"/>
    <cellStyle name="Normal 379 2 4 2 2" xfId="29344" xr:uid="{00000000-0005-0000-0000-0000A3710000}"/>
    <cellStyle name="Normal 379 2 4 3" xfId="29345" xr:uid="{00000000-0005-0000-0000-0000A4710000}"/>
    <cellStyle name="Normal 379 2 5" xfId="29346" xr:uid="{00000000-0005-0000-0000-0000A5710000}"/>
    <cellStyle name="Normal 379 3" xfId="29347" xr:uid="{00000000-0005-0000-0000-0000A6710000}"/>
    <cellStyle name="Normal 379 3 2" xfId="29348" xr:uid="{00000000-0005-0000-0000-0000A7710000}"/>
    <cellStyle name="Normal 379 3 2 2" xfId="29349" xr:uid="{00000000-0005-0000-0000-0000A8710000}"/>
    <cellStyle name="Normal 379 3 2 2 2" xfId="29350" xr:uid="{00000000-0005-0000-0000-0000A9710000}"/>
    <cellStyle name="Normal 379 3 2 3" xfId="29351" xr:uid="{00000000-0005-0000-0000-0000AA710000}"/>
    <cellStyle name="Normal 379 3 2 3 2" xfId="29352" xr:uid="{00000000-0005-0000-0000-0000AB710000}"/>
    <cellStyle name="Normal 379 3 2 3 2 2" xfId="29353" xr:uid="{00000000-0005-0000-0000-0000AC710000}"/>
    <cellStyle name="Normal 379 3 2 3 3" xfId="29354" xr:uid="{00000000-0005-0000-0000-0000AD710000}"/>
    <cellStyle name="Normal 379 3 2 4" xfId="29355" xr:uid="{00000000-0005-0000-0000-0000AE710000}"/>
    <cellStyle name="Normal 379 3 3" xfId="29356" xr:uid="{00000000-0005-0000-0000-0000AF710000}"/>
    <cellStyle name="Normal 379 3 3 2" xfId="29357" xr:uid="{00000000-0005-0000-0000-0000B0710000}"/>
    <cellStyle name="Normal 379 3 3 2 2" xfId="29358" xr:uid="{00000000-0005-0000-0000-0000B1710000}"/>
    <cellStyle name="Normal 379 3 3 3" xfId="29359" xr:uid="{00000000-0005-0000-0000-0000B2710000}"/>
    <cellStyle name="Normal 379 3 4" xfId="29360" xr:uid="{00000000-0005-0000-0000-0000B3710000}"/>
    <cellStyle name="Normal 379 3 4 2" xfId="29361" xr:uid="{00000000-0005-0000-0000-0000B4710000}"/>
    <cellStyle name="Normal 379 3 4 2 2" xfId="29362" xr:uid="{00000000-0005-0000-0000-0000B5710000}"/>
    <cellStyle name="Normal 379 3 4 3" xfId="29363" xr:uid="{00000000-0005-0000-0000-0000B6710000}"/>
    <cellStyle name="Normal 379 3 5" xfId="29364" xr:uid="{00000000-0005-0000-0000-0000B7710000}"/>
    <cellStyle name="Normal 379 3 5 2" xfId="29365" xr:uid="{00000000-0005-0000-0000-0000B8710000}"/>
    <cellStyle name="Normal 379 3 5 2 2" xfId="29366" xr:uid="{00000000-0005-0000-0000-0000B9710000}"/>
    <cellStyle name="Normal 379 3 5 3" xfId="29367" xr:uid="{00000000-0005-0000-0000-0000BA710000}"/>
    <cellStyle name="Normal 379 3 6" xfId="29368" xr:uid="{00000000-0005-0000-0000-0000BB710000}"/>
    <cellStyle name="Normal 379 4" xfId="29369" xr:uid="{00000000-0005-0000-0000-0000BC710000}"/>
    <cellStyle name="Normal 379 4 2" xfId="29370" xr:uid="{00000000-0005-0000-0000-0000BD710000}"/>
    <cellStyle name="Normal 379 4 2 2" xfId="29371" xr:uid="{00000000-0005-0000-0000-0000BE710000}"/>
    <cellStyle name="Normal 379 4 3" xfId="29372" xr:uid="{00000000-0005-0000-0000-0000BF710000}"/>
    <cellStyle name="Normal 379 5" xfId="29373" xr:uid="{00000000-0005-0000-0000-0000C0710000}"/>
    <cellStyle name="Normal 379 5 2" xfId="29374" xr:uid="{00000000-0005-0000-0000-0000C1710000}"/>
    <cellStyle name="Normal 379 5 2 2" xfId="29375" xr:uid="{00000000-0005-0000-0000-0000C2710000}"/>
    <cellStyle name="Normal 379 5 3" xfId="29376" xr:uid="{00000000-0005-0000-0000-0000C3710000}"/>
    <cellStyle name="Normal 379 6" xfId="29377" xr:uid="{00000000-0005-0000-0000-0000C4710000}"/>
    <cellStyle name="Normal 379 6 2" xfId="29378" xr:uid="{00000000-0005-0000-0000-0000C5710000}"/>
    <cellStyle name="Normal 379 6 2 2" xfId="29379" xr:uid="{00000000-0005-0000-0000-0000C6710000}"/>
    <cellStyle name="Normal 379 6 3" xfId="29380" xr:uid="{00000000-0005-0000-0000-0000C7710000}"/>
    <cellStyle name="Normal 379 7" xfId="29381" xr:uid="{00000000-0005-0000-0000-0000C8710000}"/>
    <cellStyle name="Normal 38" xfId="29382" xr:uid="{00000000-0005-0000-0000-0000C9710000}"/>
    <cellStyle name="Normal 38 2" xfId="29383" xr:uid="{00000000-0005-0000-0000-0000CA710000}"/>
    <cellStyle name="Normal 38 2 2" xfId="29384" xr:uid="{00000000-0005-0000-0000-0000CB710000}"/>
    <cellStyle name="Normal 38 2 2 2" xfId="29385" xr:uid="{00000000-0005-0000-0000-0000CC710000}"/>
    <cellStyle name="Normal 38 2 2 2 2" xfId="29386" xr:uid="{00000000-0005-0000-0000-0000CD710000}"/>
    <cellStyle name="Normal 38 2 2 3" xfId="29387" xr:uid="{00000000-0005-0000-0000-0000CE710000}"/>
    <cellStyle name="Normal 38 2 2 3 2" xfId="29388" xr:uid="{00000000-0005-0000-0000-0000CF710000}"/>
    <cellStyle name="Normal 38 2 2 3 2 2" xfId="29389" xr:uid="{00000000-0005-0000-0000-0000D0710000}"/>
    <cellStyle name="Normal 38 2 2 3 3" xfId="29390" xr:uid="{00000000-0005-0000-0000-0000D1710000}"/>
    <cellStyle name="Normal 38 2 2 4" xfId="29391" xr:uid="{00000000-0005-0000-0000-0000D2710000}"/>
    <cellStyle name="Normal 38 2 2 4 2" xfId="29392" xr:uid="{00000000-0005-0000-0000-0000D3710000}"/>
    <cellStyle name="Normal 38 2 2 4 2 2" xfId="29393" xr:uid="{00000000-0005-0000-0000-0000D4710000}"/>
    <cellStyle name="Normal 38 2 2 4 3" xfId="29394" xr:uid="{00000000-0005-0000-0000-0000D5710000}"/>
    <cellStyle name="Normal 38 2 2 5" xfId="29395" xr:uid="{00000000-0005-0000-0000-0000D6710000}"/>
    <cellStyle name="Normal 38 2 3" xfId="29396" xr:uid="{00000000-0005-0000-0000-0000D7710000}"/>
    <cellStyle name="Normal 38 2 3 2" xfId="29397" xr:uid="{00000000-0005-0000-0000-0000D8710000}"/>
    <cellStyle name="Normal 38 2 3 2 2" xfId="29398" xr:uid="{00000000-0005-0000-0000-0000D9710000}"/>
    <cellStyle name="Normal 38 2 3 3" xfId="29399" xr:uid="{00000000-0005-0000-0000-0000DA710000}"/>
    <cellStyle name="Normal 38 2 4" xfId="29400" xr:uid="{00000000-0005-0000-0000-0000DB710000}"/>
    <cellStyle name="Normal 38 2 4 2" xfId="29401" xr:uid="{00000000-0005-0000-0000-0000DC710000}"/>
    <cellStyle name="Normal 38 2 4 2 2" xfId="29402" xr:uid="{00000000-0005-0000-0000-0000DD710000}"/>
    <cellStyle name="Normal 38 2 4 3" xfId="29403" xr:uid="{00000000-0005-0000-0000-0000DE710000}"/>
    <cellStyle name="Normal 38 2 5" xfId="29404" xr:uid="{00000000-0005-0000-0000-0000DF710000}"/>
    <cellStyle name="Normal 38 2 5 2" xfId="29405" xr:uid="{00000000-0005-0000-0000-0000E0710000}"/>
    <cellStyle name="Normal 38 2 5 2 2" xfId="29406" xr:uid="{00000000-0005-0000-0000-0000E1710000}"/>
    <cellStyle name="Normal 38 2 5 3" xfId="29407" xr:uid="{00000000-0005-0000-0000-0000E2710000}"/>
    <cellStyle name="Normal 38 2 6" xfId="29408" xr:uid="{00000000-0005-0000-0000-0000E3710000}"/>
    <cellStyle name="Normal 38 3" xfId="29409" xr:uid="{00000000-0005-0000-0000-0000E4710000}"/>
    <cellStyle name="Normal 38 3 2" xfId="29410" xr:uid="{00000000-0005-0000-0000-0000E5710000}"/>
    <cellStyle name="Normal 38 3 2 2" xfId="29411" xr:uid="{00000000-0005-0000-0000-0000E6710000}"/>
    <cellStyle name="Normal 38 3 3" xfId="29412" xr:uid="{00000000-0005-0000-0000-0000E7710000}"/>
    <cellStyle name="Normal 38 3 3 2" xfId="29413" xr:uid="{00000000-0005-0000-0000-0000E8710000}"/>
    <cellStyle name="Normal 38 3 3 2 2" xfId="29414" xr:uid="{00000000-0005-0000-0000-0000E9710000}"/>
    <cellStyle name="Normal 38 3 3 3" xfId="29415" xr:uid="{00000000-0005-0000-0000-0000EA710000}"/>
    <cellStyle name="Normal 38 3 4" xfId="29416" xr:uid="{00000000-0005-0000-0000-0000EB710000}"/>
    <cellStyle name="Normal 38 3 4 2" xfId="29417" xr:uid="{00000000-0005-0000-0000-0000EC710000}"/>
    <cellStyle name="Normal 38 3 4 2 2" xfId="29418" xr:uid="{00000000-0005-0000-0000-0000ED710000}"/>
    <cellStyle name="Normal 38 3 4 3" xfId="29419" xr:uid="{00000000-0005-0000-0000-0000EE710000}"/>
    <cellStyle name="Normal 38 3 5" xfId="29420" xr:uid="{00000000-0005-0000-0000-0000EF710000}"/>
    <cellStyle name="Normal 38 4" xfId="29421" xr:uid="{00000000-0005-0000-0000-0000F0710000}"/>
    <cellStyle name="Normal 38 4 2" xfId="29422" xr:uid="{00000000-0005-0000-0000-0000F1710000}"/>
    <cellStyle name="Normal 38 4 2 2" xfId="29423" xr:uid="{00000000-0005-0000-0000-0000F2710000}"/>
    <cellStyle name="Normal 38 4 3" xfId="29424" xr:uid="{00000000-0005-0000-0000-0000F3710000}"/>
    <cellStyle name="Normal 38 5" xfId="29425" xr:uid="{00000000-0005-0000-0000-0000F4710000}"/>
    <cellStyle name="Normal 38 5 2" xfId="29426" xr:uid="{00000000-0005-0000-0000-0000F5710000}"/>
    <cellStyle name="Normal 38 5 2 2" xfId="29427" xr:uid="{00000000-0005-0000-0000-0000F6710000}"/>
    <cellStyle name="Normal 38 5 3" xfId="29428" xr:uid="{00000000-0005-0000-0000-0000F7710000}"/>
    <cellStyle name="Normal 38 6" xfId="29429" xr:uid="{00000000-0005-0000-0000-0000F8710000}"/>
    <cellStyle name="Normal 38 6 2" xfId="29430" xr:uid="{00000000-0005-0000-0000-0000F9710000}"/>
    <cellStyle name="Normal 38 6 2 2" xfId="29431" xr:uid="{00000000-0005-0000-0000-0000FA710000}"/>
    <cellStyle name="Normal 38 6 3" xfId="29432" xr:uid="{00000000-0005-0000-0000-0000FB710000}"/>
    <cellStyle name="Normal 38 7" xfId="29433" xr:uid="{00000000-0005-0000-0000-0000FC710000}"/>
    <cellStyle name="Normal 380" xfId="29434" xr:uid="{00000000-0005-0000-0000-0000FD710000}"/>
    <cellStyle name="Normal 380 2" xfId="29435" xr:uid="{00000000-0005-0000-0000-0000FE710000}"/>
    <cellStyle name="Normal 380 2 2" xfId="29436" xr:uid="{00000000-0005-0000-0000-0000FF710000}"/>
    <cellStyle name="Normal 380 2 2 2" xfId="29437" xr:uid="{00000000-0005-0000-0000-000000720000}"/>
    <cellStyle name="Normal 380 2 3" xfId="29438" xr:uid="{00000000-0005-0000-0000-000001720000}"/>
    <cellStyle name="Normal 380 2 3 2" xfId="29439" xr:uid="{00000000-0005-0000-0000-000002720000}"/>
    <cellStyle name="Normal 380 2 3 2 2" xfId="29440" xr:uid="{00000000-0005-0000-0000-000003720000}"/>
    <cellStyle name="Normal 380 2 3 3" xfId="29441" xr:uid="{00000000-0005-0000-0000-000004720000}"/>
    <cellStyle name="Normal 380 2 4" xfId="29442" xr:uid="{00000000-0005-0000-0000-000005720000}"/>
    <cellStyle name="Normal 380 2 4 2" xfId="29443" xr:uid="{00000000-0005-0000-0000-000006720000}"/>
    <cellStyle name="Normal 380 2 4 2 2" xfId="29444" xr:uid="{00000000-0005-0000-0000-000007720000}"/>
    <cellStyle name="Normal 380 2 4 3" xfId="29445" xr:uid="{00000000-0005-0000-0000-000008720000}"/>
    <cellStyle name="Normal 380 2 5" xfId="29446" xr:uid="{00000000-0005-0000-0000-000009720000}"/>
    <cellStyle name="Normal 380 3" xfId="29447" xr:uid="{00000000-0005-0000-0000-00000A720000}"/>
    <cellStyle name="Normal 380 3 2" xfId="29448" xr:uid="{00000000-0005-0000-0000-00000B720000}"/>
    <cellStyle name="Normal 380 3 2 2" xfId="29449" xr:uid="{00000000-0005-0000-0000-00000C720000}"/>
    <cellStyle name="Normal 380 3 2 2 2" xfId="29450" xr:uid="{00000000-0005-0000-0000-00000D720000}"/>
    <cellStyle name="Normal 380 3 2 3" xfId="29451" xr:uid="{00000000-0005-0000-0000-00000E720000}"/>
    <cellStyle name="Normal 380 3 2 3 2" xfId="29452" xr:uid="{00000000-0005-0000-0000-00000F720000}"/>
    <cellStyle name="Normal 380 3 2 3 2 2" xfId="29453" xr:uid="{00000000-0005-0000-0000-000010720000}"/>
    <cellStyle name="Normal 380 3 2 3 3" xfId="29454" xr:uid="{00000000-0005-0000-0000-000011720000}"/>
    <cellStyle name="Normal 380 3 2 4" xfId="29455" xr:uid="{00000000-0005-0000-0000-000012720000}"/>
    <cellStyle name="Normal 380 3 3" xfId="29456" xr:uid="{00000000-0005-0000-0000-000013720000}"/>
    <cellStyle name="Normal 380 3 3 2" xfId="29457" xr:uid="{00000000-0005-0000-0000-000014720000}"/>
    <cellStyle name="Normal 380 3 3 2 2" xfId="29458" xr:uid="{00000000-0005-0000-0000-000015720000}"/>
    <cellStyle name="Normal 380 3 3 3" xfId="29459" xr:uid="{00000000-0005-0000-0000-000016720000}"/>
    <cellStyle name="Normal 380 3 4" xfId="29460" xr:uid="{00000000-0005-0000-0000-000017720000}"/>
    <cellStyle name="Normal 380 3 4 2" xfId="29461" xr:uid="{00000000-0005-0000-0000-000018720000}"/>
    <cellStyle name="Normal 380 3 4 2 2" xfId="29462" xr:uid="{00000000-0005-0000-0000-000019720000}"/>
    <cellStyle name="Normal 380 3 4 3" xfId="29463" xr:uid="{00000000-0005-0000-0000-00001A720000}"/>
    <cellStyle name="Normal 380 3 5" xfId="29464" xr:uid="{00000000-0005-0000-0000-00001B720000}"/>
    <cellStyle name="Normal 380 3 5 2" xfId="29465" xr:uid="{00000000-0005-0000-0000-00001C720000}"/>
    <cellStyle name="Normal 380 3 5 2 2" xfId="29466" xr:uid="{00000000-0005-0000-0000-00001D720000}"/>
    <cellStyle name="Normal 380 3 5 3" xfId="29467" xr:uid="{00000000-0005-0000-0000-00001E720000}"/>
    <cellStyle name="Normal 380 3 6" xfId="29468" xr:uid="{00000000-0005-0000-0000-00001F720000}"/>
    <cellStyle name="Normal 380 4" xfId="29469" xr:uid="{00000000-0005-0000-0000-000020720000}"/>
    <cellStyle name="Normal 380 4 2" xfId="29470" xr:uid="{00000000-0005-0000-0000-000021720000}"/>
    <cellStyle name="Normal 380 4 2 2" xfId="29471" xr:uid="{00000000-0005-0000-0000-000022720000}"/>
    <cellStyle name="Normal 380 4 3" xfId="29472" xr:uid="{00000000-0005-0000-0000-000023720000}"/>
    <cellStyle name="Normal 380 5" xfId="29473" xr:uid="{00000000-0005-0000-0000-000024720000}"/>
    <cellStyle name="Normal 380 5 2" xfId="29474" xr:uid="{00000000-0005-0000-0000-000025720000}"/>
    <cellStyle name="Normal 380 5 2 2" xfId="29475" xr:uid="{00000000-0005-0000-0000-000026720000}"/>
    <cellStyle name="Normal 380 5 3" xfId="29476" xr:uid="{00000000-0005-0000-0000-000027720000}"/>
    <cellStyle name="Normal 380 6" xfId="29477" xr:uid="{00000000-0005-0000-0000-000028720000}"/>
    <cellStyle name="Normal 380 6 2" xfId="29478" xr:uid="{00000000-0005-0000-0000-000029720000}"/>
    <cellStyle name="Normal 380 6 2 2" xfId="29479" xr:uid="{00000000-0005-0000-0000-00002A720000}"/>
    <cellStyle name="Normal 380 6 3" xfId="29480" xr:uid="{00000000-0005-0000-0000-00002B720000}"/>
    <cellStyle name="Normal 380 7" xfId="29481" xr:uid="{00000000-0005-0000-0000-00002C720000}"/>
    <cellStyle name="Normal 381" xfId="29482" xr:uid="{00000000-0005-0000-0000-00002D720000}"/>
    <cellStyle name="Normal 381 2" xfId="29483" xr:uid="{00000000-0005-0000-0000-00002E720000}"/>
    <cellStyle name="Normal 381 2 2" xfId="29484" xr:uid="{00000000-0005-0000-0000-00002F720000}"/>
    <cellStyle name="Normal 381 2 2 2" xfId="29485" xr:uid="{00000000-0005-0000-0000-000030720000}"/>
    <cellStyle name="Normal 381 2 3" xfId="29486" xr:uid="{00000000-0005-0000-0000-000031720000}"/>
    <cellStyle name="Normal 381 2 3 2" xfId="29487" xr:uid="{00000000-0005-0000-0000-000032720000}"/>
    <cellStyle name="Normal 381 2 3 2 2" xfId="29488" xr:uid="{00000000-0005-0000-0000-000033720000}"/>
    <cellStyle name="Normal 381 2 3 3" xfId="29489" xr:uid="{00000000-0005-0000-0000-000034720000}"/>
    <cellStyle name="Normal 381 2 4" xfId="29490" xr:uid="{00000000-0005-0000-0000-000035720000}"/>
    <cellStyle name="Normal 381 2 4 2" xfId="29491" xr:uid="{00000000-0005-0000-0000-000036720000}"/>
    <cellStyle name="Normal 381 2 4 2 2" xfId="29492" xr:uid="{00000000-0005-0000-0000-000037720000}"/>
    <cellStyle name="Normal 381 2 4 3" xfId="29493" xr:uid="{00000000-0005-0000-0000-000038720000}"/>
    <cellStyle name="Normal 381 2 5" xfId="29494" xr:uid="{00000000-0005-0000-0000-000039720000}"/>
    <cellStyle name="Normal 381 3" xfId="29495" xr:uid="{00000000-0005-0000-0000-00003A720000}"/>
    <cellStyle name="Normal 381 3 2" xfId="29496" xr:uid="{00000000-0005-0000-0000-00003B720000}"/>
    <cellStyle name="Normal 381 3 2 2" xfId="29497" xr:uid="{00000000-0005-0000-0000-00003C720000}"/>
    <cellStyle name="Normal 381 3 2 2 2" xfId="29498" xr:uid="{00000000-0005-0000-0000-00003D720000}"/>
    <cellStyle name="Normal 381 3 2 3" xfId="29499" xr:uid="{00000000-0005-0000-0000-00003E720000}"/>
    <cellStyle name="Normal 381 3 2 3 2" xfId="29500" xr:uid="{00000000-0005-0000-0000-00003F720000}"/>
    <cellStyle name="Normal 381 3 2 3 2 2" xfId="29501" xr:uid="{00000000-0005-0000-0000-000040720000}"/>
    <cellStyle name="Normal 381 3 2 3 3" xfId="29502" xr:uid="{00000000-0005-0000-0000-000041720000}"/>
    <cellStyle name="Normal 381 3 2 4" xfId="29503" xr:uid="{00000000-0005-0000-0000-000042720000}"/>
    <cellStyle name="Normal 381 3 3" xfId="29504" xr:uid="{00000000-0005-0000-0000-000043720000}"/>
    <cellStyle name="Normal 381 3 3 2" xfId="29505" xr:uid="{00000000-0005-0000-0000-000044720000}"/>
    <cellStyle name="Normal 381 3 3 2 2" xfId="29506" xr:uid="{00000000-0005-0000-0000-000045720000}"/>
    <cellStyle name="Normal 381 3 3 3" xfId="29507" xr:uid="{00000000-0005-0000-0000-000046720000}"/>
    <cellStyle name="Normal 381 3 4" xfId="29508" xr:uid="{00000000-0005-0000-0000-000047720000}"/>
    <cellStyle name="Normal 381 3 4 2" xfId="29509" xr:uid="{00000000-0005-0000-0000-000048720000}"/>
    <cellStyle name="Normal 381 3 4 2 2" xfId="29510" xr:uid="{00000000-0005-0000-0000-000049720000}"/>
    <cellStyle name="Normal 381 3 4 3" xfId="29511" xr:uid="{00000000-0005-0000-0000-00004A720000}"/>
    <cellStyle name="Normal 381 3 5" xfId="29512" xr:uid="{00000000-0005-0000-0000-00004B720000}"/>
    <cellStyle name="Normal 381 3 5 2" xfId="29513" xr:uid="{00000000-0005-0000-0000-00004C720000}"/>
    <cellStyle name="Normal 381 3 5 2 2" xfId="29514" xr:uid="{00000000-0005-0000-0000-00004D720000}"/>
    <cellStyle name="Normal 381 3 5 3" xfId="29515" xr:uid="{00000000-0005-0000-0000-00004E720000}"/>
    <cellStyle name="Normal 381 3 6" xfId="29516" xr:uid="{00000000-0005-0000-0000-00004F720000}"/>
    <cellStyle name="Normal 381 4" xfId="29517" xr:uid="{00000000-0005-0000-0000-000050720000}"/>
    <cellStyle name="Normal 381 4 2" xfId="29518" xr:uid="{00000000-0005-0000-0000-000051720000}"/>
    <cellStyle name="Normal 381 4 2 2" xfId="29519" xr:uid="{00000000-0005-0000-0000-000052720000}"/>
    <cellStyle name="Normal 381 4 3" xfId="29520" xr:uid="{00000000-0005-0000-0000-000053720000}"/>
    <cellStyle name="Normal 381 5" xfId="29521" xr:uid="{00000000-0005-0000-0000-000054720000}"/>
    <cellStyle name="Normal 381 5 2" xfId="29522" xr:uid="{00000000-0005-0000-0000-000055720000}"/>
    <cellStyle name="Normal 381 5 2 2" xfId="29523" xr:uid="{00000000-0005-0000-0000-000056720000}"/>
    <cellStyle name="Normal 381 5 3" xfId="29524" xr:uid="{00000000-0005-0000-0000-000057720000}"/>
    <cellStyle name="Normal 381 6" xfId="29525" xr:uid="{00000000-0005-0000-0000-000058720000}"/>
    <cellStyle name="Normal 381 6 2" xfId="29526" xr:uid="{00000000-0005-0000-0000-000059720000}"/>
    <cellStyle name="Normal 381 6 2 2" xfId="29527" xr:uid="{00000000-0005-0000-0000-00005A720000}"/>
    <cellStyle name="Normal 381 6 3" xfId="29528" xr:uid="{00000000-0005-0000-0000-00005B720000}"/>
    <cellStyle name="Normal 381 7" xfId="29529" xr:uid="{00000000-0005-0000-0000-00005C720000}"/>
    <cellStyle name="Normal 382" xfId="29530" xr:uid="{00000000-0005-0000-0000-00005D720000}"/>
    <cellStyle name="Normal 382 2" xfId="29531" xr:uid="{00000000-0005-0000-0000-00005E720000}"/>
    <cellStyle name="Normal 382 2 2" xfId="29532" xr:uid="{00000000-0005-0000-0000-00005F720000}"/>
    <cellStyle name="Normal 382 2 2 2" xfId="29533" xr:uid="{00000000-0005-0000-0000-000060720000}"/>
    <cellStyle name="Normal 382 2 3" xfId="29534" xr:uid="{00000000-0005-0000-0000-000061720000}"/>
    <cellStyle name="Normal 382 2 3 2" xfId="29535" xr:uid="{00000000-0005-0000-0000-000062720000}"/>
    <cellStyle name="Normal 382 2 3 2 2" xfId="29536" xr:uid="{00000000-0005-0000-0000-000063720000}"/>
    <cellStyle name="Normal 382 2 3 3" xfId="29537" xr:uid="{00000000-0005-0000-0000-000064720000}"/>
    <cellStyle name="Normal 382 2 4" xfId="29538" xr:uid="{00000000-0005-0000-0000-000065720000}"/>
    <cellStyle name="Normal 382 2 4 2" xfId="29539" xr:uid="{00000000-0005-0000-0000-000066720000}"/>
    <cellStyle name="Normal 382 2 4 2 2" xfId="29540" xr:uid="{00000000-0005-0000-0000-000067720000}"/>
    <cellStyle name="Normal 382 2 4 3" xfId="29541" xr:uid="{00000000-0005-0000-0000-000068720000}"/>
    <cellStyle name="Normal 382 2 5" xfId="29542" xr:uid="{00000000-0005-0000-0000-000069720000}"/>
    <cellStyle name="Normal 382 3" xfId="29543" xr:uid="{00000000-0005-0000-0000-00006A720000}"/>
    <cellStyle name="Normal 382 3 2" xfId="29544" xr:uid="{00000000-0005-0000-0000-00006B720000}"/>
    <cellStyle name="Normal 382 3 2 2" xfId="29545" xr:uid="{00000000-0005-0000-0000-00006C720000}"/>
    <cellStyle name="Normal 382 3 2 2 2" xfId="29546" xr:uid="{00000000-0005-0000-0000-00006D720000}"/>
    <cellStyle name="Normal 382 3 2 3" xfId="29547" xr:uid="{00000000-0005-0000-0000-00006E720000}"/>
    <cellStyle name="Normal 382 3 2 3 2" xfId="29548" xr:uid="{00000000-0005-0000-0000-00006F720000}"/>
    <cellStyle name="Normal 382 3 2 3 2 2" xfId="29549" xr:uid="{00000000-0005-0000-0000-000070720000}"/>
    <cellStyle name="Normal 382 3 2 3 3" xfId="29550" xr:uid="{00000000-0005-0000-0000-000071720000}"/>
    <cellStyle name="Normal 382 3 2 4" xfId="29551" xr:uid="{00000000-0005-0000-0000-000072720000}"/>
    <cellStyle name="Normal 382 3 3" xfId="29552" xr:uid="{00000000-0005-0000-0000-000073720000}"/>
    <cellStyle name="Normal 382 3 3 2" xfId="29553" xr:uid="{00000000-0005-0000-0000-000074720000}"/>
    <cellStyle name="Normal 382 3 3 2 2" xfId="29554" xr:uid="{00000000-0005-0000-0000-000075720000}"/>
    <cellStyle name="Normal 382 3 3 3" xfId="29555" xr:uid="{00000000-0005-0000-0000-000076720000}"/>
    <cellStyle name="Normal 382 3 4" xfId="29556" xr:uid="{00000000-0005-0000-0000-000077720000}"/>
    <cellStyle name="Normal 382 3 4 2" xfId="29557" xr:uid="{00000000-0005-0000-0000-000078720000}"/>
    <cellStyle name="Normal 382 3 4 2 2" xfId="29558" xr:uid="{00000000-0005-0000-0000-000079720000}"/>
    <cellStyle name="Normal 382 3 4 3" xfId="29559" xr:uid="{00000000-0005-0000-0000-00007A720000}"/>
    <cellStyle name="Normal 382 3 5" xfId="29560" xr:uid="{00000000-0005-0000-0000-00007B720000}"/>
    <cellStyle name="Normal 382 3 5 2" xfId="29561" xr:uid="{00000000-0005-0000-0000-00007C720000}"/>
    <cellStyle name="Normal 382 3 5 2 2" xfId="29562" xr:uid="{00000000-0005-0000-0000-00007D720000}"/>
    <cellStyle name="Normal 382 3 5 3" xfId="29563" xr:uid="{00000000-0005-0000-0000-00007E720000}"/>
    <cellStyle name="Normal 382 3 6" xfId="29564" xr:uid="{00000000-0005-0000-0000-00007F720000}"/>
    <cellStyle name="Normal 382 4" xfId="29565" xr:uid="{00000000-0005-0000-0000-000080720000}"/>
    <cellStyle name="Normal 382 4 2" xfId="29566" xr:uid="{00000000-0005-0000-0000-000081720000}"/>
    <cellStyle name="Normal 382 4 2 2" xfId="29567" xr:uid="{00000000-0005-0000-0000-000082720000}"/>
    <cellStyle name="Normal 382 4 3" xfId="29568" xr:uid="{00000000-0005-0000-0000-000083720000}"/>
    <cellStyle name="Normal 382 5" xfId="29569" xr:uid="{00000000-0005-0000-0000-000084720000}"/>
    <cellStyle name="Normal 382 5 2" xfId="29570" xr:uid="{00000000-0005-0000-0000-000085720000}"/>
    <cellStyle name="Normal 382 5 2 2" xfId="29571" xr:uid="{00000000-0005-0000-0000-000086720000}"/>
    <cellStyle name="Normal 382 5 3" xfId="29572" xr:uid="{00000000-0005-0000-0000-000087720000}"/>
    <cellStyle name="Normal 382 6" xfId="29573" xr:uid="{00000000-0005-0000-0000-000088720000}"/>
    <cellStyle name="Normal 382 6 2" xfId="29574" xr:uid="{00000000-0005-0000-0000-000089720000}"/>
    <cellStyle name="Normal 382 6 2 2" xfId="29575" xr:uid="{00000000-0005-0000-0000-00008A720000}"/>
    <cellStyle name="Normal 382 6 3" xfId="29576" xr:uid="{00000000-0005-0000-0000-00008B720000}"/>
    <cellStyle name="Normal 382 7" xfId="29577" xr:uid="{00000000-0005-0000-0000-00008C720000}"/>
    <cellStyle name="Normal 383" xfId="29578" xr:uid="{00000000-0005-0000-0000-00008D720000}"/>
    <cellStyle name="Normal 383 2" xfId="29579" xr:uid="{00000000-0005-0000-0000-00008E720000}"/>
    <cellStyle name="Normal 383 2 2" xfId="29580" xr:uid="{00000000-0005-0000-0000-00008F720000}"/>
    <cellStyle name="Normal 383 2 2 2" xfId="29581" xr:uid="{00000000-0005-0000-0000-000090720000}"/>
    <cellStyle name="Normal 383 2 3" xfId="29582" xr:uid="{00000000-0005-0000-0000-000091720000}"/>
    <cellStyle name="Normal 383 2 3 2" xfId="29583" xr:uid="{00000000-0005-0000-0000-000092720000}"/>
    <cellStyle name="Normal 383 2 3 2 2" xfId="29584" xr:uid="{00000000-0005-0000-0000-000093720000}"/>
    <cellStyle name="Normal 383 2 3 3" xfId="29585" xr:uid="{00000000-0005-0000-0000-000094720000}"/>
    <cellStyle name="Normal 383 2 4" xfId="29586" xr:uid="{00000000-0005-0000-0000-000095720000}"/>
    <cellStyle name="Normal 383 2 4 2" xfId="29587" xr:uid="{00000000-0005-0000-0000-000096720000}"/>
    <cellStyle name="Normal 383 2 4 2 2" xfId="29588" xr:uid="{00000000-0005-0000-0000-000097720000}"/>
    <cellStyle name="Normal 383 2 4 3" xfId="29589" xr:uid="{00000000-0005-0000-0000-000098720000}"/>
    <cellStyle name="Normal 383 2 5" xfId="29590" xr:uid="{00000000-0005-0000-0000-000099720000}"/>
    <cellStyle name="Normal 383 3" xfId="29591" xr:uid="{00000000-0005-0000-0000-00009A720000}"/>
    <cellStyle name="Normal 383 3 2" xfId="29592" xr:uid="{00000000-0005-0000-0000-00009B720000}"/>
    <cellStyle name="Normal 383 3 2 2" xfId="29593" xr:uid="{00000000-0005-0000-0000-00009C720000}"/>
    <cellStyle name="Normal 383 3 2 2 2" xfId="29594" xr:uid="{00000000-0005-0000-0000-00009D720000}"/>
    <cellStyle name="Normal 383 3 2 3" xfId="29595" xr:uid="{00000000-0005-0000-0000-00009E720000}"/>
    <cellStyle name="Normal 383 3 2 3 2" xfId="29596" xr:uid="{00000000-0005-0000-0000-00009F720000}"/>
    <cellStyle name="Normal 383 3 2 3 2 2" xfId="29597" xr:uid="{00000000-0005-0000-0000-0000A0720000}"/>
    <cellStyle name="Normal 383 3 2 3 3" xfId="29598" xr:uid="{00000000-0005-0000-0000-0000A1720000}"/>
    <cellStyle name="Normal 383 3 2 4" xfId="29599" xr:uid="{00000000-0005-0000-0000-0000A2720000}"/>
    <cellStyle name="Normal 383 3 3" xfId="29600" xr:uid="{00000000-0005-0000-0000-0000A3720000}"/>
    <cellStyle name="Normal 383 3 3 2" xfId="29601" xr:uid="{00000000-0005-0000-0000-0000A4720000}"/>
    <cellStyle name="Normal 383 3 3 2 2" xfId="29602" xr:uid="{00000000-0005-0000-0000-0000A5720000}"/>
    <cellStyle name="Normal 383 3 3 3" xfId="29603" xr:uid="{00000000-0005-0000-0000-0000A6720000}"/>
    <cellStyle name="Normal 383 3 4" xfId="29604" xr:uid="{00000000-0005-0000-0000-0000A7720000}"/>
    <cellStyle name="Normal 383 3 4 2" xfId="29605" xr:uid="{00000000-0005-0000-0000-0000A8720000}"/>
    <cellStyle name="Normal 383 3 4 2 2" xfId="29606" xr:uid="{00000000-0005-0000-0000-0000A9720000}"/>
    <cellStyle name="Normal 383 3 4 3" xfId="29607" xr:uid="{00000000-0005-0000-0000-0000AA720000}"/>
    <cellStyle name="Normal 383 3 5" xfId="29608" xr:uid="{00000000-0005-0000-0000-0000AB720000}"/>
    <cellStyle name="Normal 383 3 5 2" xfId="29609" xr:uid="{00000000-0005-0000-0000-0000AC720000}"/>
    <cellStyle name="Normal 383 3 5 2 2" xfId="29610" xr:uid="{00000000-0005-0000-0000-0000AD720000}"/>
    <cellStyle name="Normal 383 3 5 3" xfId="29611" xr:uid="{00000000-0005-0000-0000-0000AE720000}"/>
    <cellStyle name="Normal 383 3 6" xfId="29612" xr:uid="{00000000-0005-0000-0000-0000AF720000}"/>
    <cellStyle name="Normal 383 4" xfId="29613" xr:uid="{00000000-0005-0000-0000-0000B0720000}"/>
    <cellStyle name="Normal 383 4 2" xfId="29614" xr:uid="{00000000-0005-0000-0000-0000B1720000}"/>
    <cellStyle name="Normal 383 4 2 2" xfId="29615" xr:uid="{00000000-0005-0000-0000-0000B2720000}"/>
    <cellStyle name="Normal 383 4 3" xfId="29616" xr:uid="{00000000-0005-0000-0000-0000B3720000}"/>
    <cellStyle name="Normal 383 5" xfId="29617" xr:uid="{00000000-0005-0000-0000-0000B4720000}"/>
    <cellStyle name="Normal 383 5 2" xfId="29618" xr:uid="{00000000-0005-0000-0000-0000B5720000}"/>
    <cellStyle name="Normal 383 5 2 2" xfId="29619" xr:uid="{00000000-0005-0000-0000-0000B6720000}"/>
    <cellStyle name="Normal 383 5 3" xfId="29620" xr:uid="{00000000-0005-0000-0000-0000B7720000}"/>
    <cellStyle name="Normal 383 6" xfId="29621" xr:uid="{00000000-0005-0000-0000-0000B8720000}"/>
    <cellStyle name="Normal 383 6 2" xfId="29622" xr:uid="{00000000-0005-0000-0000-0000B9720000}"/>
    <cellStyle name="Normal 383 6 2 2" xfId="29623" xr:uid="{00000000-0005-0000-0000-0000BA720000}"/>
    <cellStyle name="Normal 383 6 3" xfId="29624" xr:uid="{00000000-0005-0000-0000-0000BB720000}"/>
    <cellStyle name="Normal 383 7" xfId="29625" xr:uid="{00000000-0005-0000-0000-0000BC720000}"/>
    <cellStyle name="Normal 384" xfId="29626" xr:uid="{00000000-0005-0000-0000-0000BD720000}"/>
    <cellStyle name="Normal 384 2" xfId="29627" xr:uid="{00000000-0005-0000-0000-0000BE720000}"/>
    <cellStyle name="Normal 384 2 2" xfId="29628" xr:uid="{00000000-0005-0000-0000-0000BF720000}"/>
    <cellStyle name="Normal 384 2 2 2" xfId="29629" xr:uid="{00000000-0005-0000-0000-0000C0720000}"/>
    <cellStyle name="Normal 384 2 3" xfId="29630" xr:uid="{00000000-0005-0000-0000-0000C1720000}"/>
    <cellStyle name="Normal 384 2 3 2" xfId="29631" xr:uid="{00000000-0005-0000-0000-0000C2720000}"/>
    <cellStyle name="Normal 384 2 3 2 2" xfId="29632" xr:uid="{00000000-0005-0000-0000-0000C3720000}"/>
    <cellStyle name="Normal 384 2 3 3" xfId="29633" xr:uid="{00000000-0005-0000-0000-0000C4720000}"/>
    <cellStyle name="Normal 384 2 4" xfId="29634" xr:uid="{00000000-0005-0000-0000-0000C5720000}"/>
    <cellStyle name="Normal 384 2 4 2" xfId="29635" xr:uid="{00000000-0005-0000-0000-0000C6720000}"/>
    <cellStyle name="Normal 384 2 4 2 2" xfId="29636" xr:uid="{00000000-0005-0000-0000-0000C7720000}"/>
    <cellStyle name="Normal 384 2 4 3" xfId="29637" xr:uid="{00000000-0005-0000-0000-0000C8720000}"/>
    <cellStyle name="Normal 384 2 5" xfId="29638" xr:uid="{00000000-0005-0000-0000-0000C9720000}"/>
    <cellStyle name="Normal 384 3" xfId="29639" xr:uid="{00000000-0005-0000-0000-0000CA720000}"/>
    <cellStyle name="Normal 384 3 2" xfId="29640" xr:uid="{00000000-0005-0000-0000-0000CB720000}"/>
    <cellStyle name="Normal 384 3 2 2" xfId="29641" xr:uid="{00000000-0005-0000-0000-0000CC720000}"/>
    <cellStyle name="Normal 384 3 2 2 2" xfId="29642" xr:uid="{00000000-0005-0000-0000-0000CD720000}"/>
    <cellStyle name="Normal 384 3 2 3" xfId="29643" xr:uid="{00000000-0005-0000-0000-0000CE720000}"/>
    <cellStyle name="Normal 384 3 2 3 2" xfId="29644" xr:uid="{00000000-0005-0000-0000-0000CF720000}"/>
    <cellStyle name="Normal 384 3 2 3 2 2" xfId="29645" xr:uid="{00000000-0005-0000-0000-0000D0720000}"/>
    <cellStyle name="Normal 384 3 2 3 3" xfId="29646" xr:uid="{00000000-0005-0000-0000-0000D1720000}"/>
    <cellStyle name="Normal 384 3 2 4" xfId="29647" xr:uid="{00000000-0005-0000-0000-0000D2720000}"/>
    <cellStyle name="Normal 384 3 3" xfId="29648" xr:uid="{00000000-0005-0000-0000-0000D3720000}"/>
    <cellStyle name="Normal 384 3 3 2" xfId="29649" xr:uid="{00000000-0005-0000-0000-0000D4720000}"/>
    <cellStyle name="Normal 384 3 3 2 2" xfId="29650" xr:uid="{00000000-0005-0000-0000-0000D5720000}"/>
    <cellStyle name="Normal 384 3 3 3" xfId="29651" xr:uid="{00000000-0005-0000-0000-0000D6720000}"/>
    <cellStyle name="Normal 384 3 4" xfId="29652" xr:uid="{00000000-0005-0000-0000-0000D7720000}"/>
    <cellStyle name="Normal 384 3 4 2" xfId="29653" xr:uid="{00000000-0005-0000-0000-0000D8720000}"/>
    <cellStyle name="Normal 384 3 4 2 2" xfId="29654" xr:uid="{00000000-0005-0000-0000-0000D9720000}"/>
    <cellStyle name="Normal 384 3 4 3" xfId="29655" xr:uid="{00000000-0005-0000-0000-0000DA720000}"/>
    <cellStyle name="Normal 384 3 5" xfId="29656" xr:uid="{00000000-0005-0000-0000-0000DB720000}"/>
    <cellStyle name="Normal 384 3 5 2" xfId="29657" xr:uid="{00000000-0005-0000-0000-0000DC720000}"/>
    <cellStyle name="Normal 384 3 5 2 2" xfId="29658" xr:uid="{00000000-0005-0000-0000-0000DD720000}"/>
    <cellStyle name="Normal 384 3 5 3" xfId="29659" xr:uid="{00000000-0005-0000-0000-0000DE720000}"/>
    <cellStyle name="Normal 384 3 6" xfId="29660" xr:uid="{00000000-0005-0000-0000-0000DF720000}"/>
    <cellStyle name="Normal 384 4" xfId="29661" xr:uid="{00000000-0005-0000-0000-0000E0720000}"/>
    <cellStyle name="Normal 384 4 2" xfId="29662" xr:uid="{00000000-0005-0000-0000-0000E1720000}"/>
    <cellStyle name="Normal 384 4 2 2" xfId="29663" xr:uid="{00000000-0005-0000-0000-0000E2720000}"/>
    <cellStyle name="Normal 384 4 3" xfId="29664" xr:uid="{00000000-0005-0000-0000-0000E3720000}"/>
    <cellStyle name="Normal 384 5" xfId="29665" xr:uid="{00000000-0005-0000-0000-0000E4720000}"/>
    <cellStyle name="Normal 384 5 2" xfId="29666" xr:uid="{00000000-0005-0000-0000-0000E5720000}"/>
    <cellStyle name="Normal 384 5 2 2" xfId="29667" xr:uid="{00000000-0005-0000-0000-0000E6720000}"/>
    <cellStyle name="Normal 384 5 3" xfId="29668" xr:uid="{00000000-0005-0000-0000-0000E7720000}"/>
    <cellStyle name="Normal 384 6" xfId="29669" xr:uid="{00000000-0005-0000-0000-0000E8720000}"/>
    <cellStyle name="Normal 384 6 2" xfId="29670" xr:uid="{00000000-0005-0000-0000-0000E9720000}"/>
    <cellStyle name="Normal 384 6 2 2" xfId="29671" xr:uid="{00000000-0005-0000-0000-0000EA720000}"/>
    <cellStyle name="Normal 384 6 3" xfId="29672" xr:uid="{00000000-0005-0000-0000-0000EB720000}"/>
    <cellStyle name="Normal 384 7" xfId="29673" xr:uid="{00000000-0005-0000-0000-0000EC720000}"/>
    <cellStyle name="Normal 385" xfId="29674" xr:uid="{00000000-0005-0000-0000-0000ED720000}"/>
    <cellStyle name="Normal 385 2" xfId="29675" xr:uid="{00000000-0005-0000-0000-0000EE720000}"/>
    <cellStyle name="Normal 385 2 2" xfId="29676" xr:uid="{00000000-0005-0000-0000-0000EF720000}"/>
    <cellStyle name="Normal 385 2 2 2" xfId="29677" xr:uid="{00000000-0005-0000-0000-0000F0720000}"/>
    <cellStyle name="Normal 385 2 3" xfId="29678" xr:uid="{00000000-0005-0000-0000-0000F1720000}"/>
    <cellStyle name="Normal 385 2 3 2" xfId="29679" xr:uid="{00000000-0005-0000-0000-0000F2720000}"/>
    <cellStyle name="Normal 385 2 3 2 2" xfId="29680" xr:uid="{00000000-0005-0000-0000-0000F3720000}"/>
    <cellStyle name="Normal 385 2 3 3" xfId="29681" xr:uid="{00000000-0005-0000-0000-0000F4720000}"/>
    <cellStyle name="Normal 385 2 4" xfId="29682" xr:uid="{00000000-0005-0000-0000-0000F5720000}"/>
    <cellStyle name="Normal 385 2 4 2" xfId="29683" xr:uid="{00000000-0005-0000-0000-0000F6720000}"/>
    <cellStyle name="Normal 385 2 4 2 2" xfId="29684" xr:uid="{00000000-0005-0000-0000-0000F7720000}"/>
    <cellStyle name="Normal 385 2 4 3" xfId="29685" xr:uid="{00000000-0005-0000-0000-0000F8720000}"/>
    <cellStyle name="Normal 385 2 5" xfId="29686" xr:uid="{00000000-0005-0000-0000-0000F9720000}"/>
    <cellStyle name="Normal 385 3" xfId="29687" xr:uid="{00000000-0005-0000-0000-0000FA720000}"/>
    <cellStyle name="Normal 385 3 2" xfId="29688" xr:uid="{00000000-0005-0000-0000-0000FB720000}"/>
    <cellStyle name="Normal 385 3 2 2" xfId="29689" xr:uid="{00000000-0005-0000-0000-0000FC720000}"/>
    <cellStyle name="Normal 385 3 2 2 2" xfId="29690" xr:uid="{00000000-0005-0000-0000-0000FD720000}"/>
    <cellStyle name="Normal 385 3 2 3" xfId="29691" xr:uid="{00000000-0005-0000-0000-0000FE720000}"/>
    <cellStyle name="Normal 385 3 2 3 2" xfId="29692" xr:uid="{00000000-0005-0000-0000-0000FF720000}"/>
    <cellStyle name="Normal 385 3 2 3 2 2" xfId="29693" xr:uid="{00000000-0005-0000-0000-000000730000}"/>
    <cellStyle name="Normal 385 3 2 3 3" xfId="29694" xr:uid="{00000000-0005-0000-0000-000001730000}"/>
    <cellStyle name="Normal 385 3 2 4" xfId="29695" xr:uid="{00000000-0005-0000-0000-000002730000}"/>
    <cellStyle name="Normal 385 3 3" xfId="29696" xr:uid="{00000000-0005-0000-0000-000003730000}"/>
    <cellStyle name="Normal 385 3 3 2" xfId="29697" xr:uid="{00000000-0005-0000-0000-000004730000}"/>
    <cellStyle name="Normal 385 3 3 2 2" xfId="29698" xr:uid="{00000000-0005-0000-0000-000005730000}"/>
    <cellStyle name="Normal 385 3 3 3" xfId="29699" xr:uid="{00000000-0005-0000-0000-000006730000}"/>
    <cellStyle name="Normal 385 3 4" xfId="29700" xr:uid="{00000000-0005-0000-0000-000007730000}"/>
    <cellStyle name="Normal 385 3 4 2" xfId="29701" xr:uid="{00000000-0005-0000-0000-000008730000}"/>
    <cellStyle name="Normal 385 3 4 2 2" xfId="29702" xr:uid="{00000000-0005-0000-0000-000009730000}"/>
    <cellStyle name="Normal 385 3 4 3" xfId="29703" xr:uid="{00000000-0005-0000-0000-00000A730000}"/>
    <cellStyle name="Normal 385 3 5" xfId="29704" xr:uid="{00000000-0005-0000-0000-00000B730000}"/>
    <cellStyle name="Normal 385 3 5 2" xfId="29705" xr:uid="{00000000-0005-0000-0000-00000C730000}"/>
    <cellStyle name="Normal 385 3 5 2 2" xfId="29706" xr:uid="{00000000-0005-0000-0000-00000D730000}"/>
    <cellStyle name="Normal 385 3 5 3" xfId="29707" xr:uid="{00000000-0005-0000-0000-00000E730000}"/>
    <cellStyle name="Normal 385 3 6" xfId="29708" xr:uid="{00000000-0005-0000-0000-00000F730000}"/>
    <cellStyle name="Normal 385 4" xfId="29709" xr:uid="{00000000-0005-0000-0000-000010730000}"/>
    <cellStyle name="Normal 385 4 2" xfId="29710" xr:uid="{00000000-0005-0000-0000-000011730000}"/>
    <cellStyle name="Normal 385 4 2 2" xfId="29711" xr:uid="{00000000-0005-0000-0000-000012730000}"/>
    <cellStyle name="Normal 385 4 3" xfId="29712" xr:uid="{00000000-0005-0000-0000-000013730000}"/>
    <cellStyle name="Normal 385 5" xfId="29713" xr:uid="{00000000-0005-0000-0000-000014730000}"/>
    <cellStyle name="Normal 385 5 2" xfId="29714" xr:uid="{00000000-0005-0000-0000-000015730000}"/>
    <cellStyle name="Normal 385 5 2 2" xfId="29715" xr:uid="{00000000-0005-0000-0000-000016730000}"/>
    <cellStyle name="Normal 385 5 3" xfId="29716" xr:uid="{00000000-0005-0000-0000-000017730000}"/>
    <cellStyle name="Normal 385 6" xfId="29717" xr:uid="{00000000-0005-0000-0000-000018730000}"/>
    <cellStyle name="Normal 385 6 2" xfId="29718" xr:uid="{00000000-0005-0000-0000-000019730000}"/>
    <cellStyle name="Normal 385 6 2 2" xfId="29719" xr:uid="{00000000-0005-0000-0000-00001A730000}"/>
    <cellStyle name="Normal 385 6 3" xfId="29720" xr:uid="{00000000-0005-0000-0000-00001B730000}"/>
    <cellStyle name="Normal 385 7" xfId="29721" xr:uid="{00000000-0005-0000-0000-00001C730000}"/>
    <cellStyle name="Normal 386" xfId="29722" xr:uid="{00000000-0005-0000-0000-00001D730000}"/>
    <cellStyle name="Normal 386 2" xfId="29723" xr:uid="{00000000-0005-0000-0000-00001E730000}"/>
    <cellStyle name="Normal 386 2 2" xfId="29724" xr:uid="{00000000-0005-0000-0000-00001F730000}"/>
    <cellStyle name="Normal 386 2 2 2" xfId="29725" xr:uid="{00000000-0005-0000-0000-000020730000}"/>
    <cellStyle name="Normal 386 2 3" xfId="29726" xr:uid="{00000000-0005-0000-0000-000021730000}"/>
    <cellStyle name="Normal 386 2 3 2" xfId="29727" xr:uid="{00000000-0005-0000-0000-000022730000}"/>
    <cellStyle name="Normal 386 2 3 2 2" xfId="29728" xr:uid="{00000000-0005-0000-0000-000023730000}"/>
    <cellStyle name="Normal 386 2 3 3" xfId="29729" xr:uid="{00000000-0005-0000-0000-000024730000}"/>
    <cellStyle name="Normal 386 2 4" xfId="29730" xr:uid="{00000000-0005-0000-0000-000025730000}"/>
    <cellStyle name="Normal 386 2 4 2" xfId="29731" xr:uid="{00000000-0005-0000-0000-000026730000}"/>
    <cellStyle name="Normal 386 2 4 2 2" xfId="29732" xr:uid="{00000000-0005-0000-0000-000027730000}"/>
    <cellStyle name="Normal 386 2 4 3" xfId="29733" xr:uid="{00000000-0005-0000-0000-000028730000}"/>
    <cellStyle name="Normal 386 2 5" xfId="29734" xr:uid="{00000000-0005-0000-0000-000029730000}"/>
    <cellStyle name="Normal 386 3" xfId="29735" xr:uid="{00000000-0005-0000-0000-00002A730000}"/>
    <cellStyle name="Normal 386 3 2" xfId="29736" xr:uid="{00000000-0005-0000-0000-00002B730000}"/>
    <cellStyle name="Normal 386 3 2 2" xfId="29737" xr:uid="{00000000-0005-0000-0000-00002C730000}"/>
    <cellStyle name="Normal 386 3 2 2 2" xfId="29738" xr:uid="{00000000-0005-0000-0000-00002D730000}"/>
    <cellStyle name="Normal 386 3 2 3" xfId="29739" xr:uid="{00000000-0005-0000-0000-00002E730000}"/>
    <cellStyle name="Normal 386 3 2 3 2" xfId="29740" xr:uid="{00000000-0005-0000-0000-00002F730000}"/>
    <cellStyle name="Normal 386 3 2 3 2 2" xfId="29741" xr:uid="{00000000-0005-0000-0000-000030730000}"/>
    <cellStyle name="Normal 386 3 2 3 3" xfId="29742" xr:uid="{00000000-0005-0000-0000-000031730000}"/>
    <cellStyle name="Normal 386 3 2 4" xfId="29743" xr:uid="{00000000-0005-0000-0000-000032730000}"/>
    <cellStyle name="Normal 386 3 3" xfId="29744" xr:uid="{00000000-0005-0000-0000-000033730000}"/>
    <cellStyle name="Normal 386 3 3 2" xfId="29745" xr:uid="{00000000-0005-0000-0000-000034730000}"/>
    <cellStyle name="Normal 386 3 3 2 2" xfId="29746" xr:uid="{00000000-0005-0000-0000-000035730000}"/>
    <cellStyle name="Normal 386 3 3 3" xfId="29747" xr:uid="{00000000-0005-0000-0000-000036730000}"/>
    <cellStyle name="Normal 386 3 4" xfId="29748" xr:uid="{00000000-0005-0000-0000-000037730000}"/>
    <cellStyle name="Normal 386 3 4 2" xfId="29749" xr:uid="{00000000-0005-0000-0000-000038730000}"/>
    <cellStyle name="Normal 386 3 4 2 2" xfId="29750" xr:uid="{00000000-0005-0000-0000-000039730000}"/>
    <cellStyle name="Normal 386 3 4 3" xfId="29751" xr:uid="{00000000-0005-0000-0000-00003A730000}"/>
    <cellStyle name="Normal 386 3 5" xfId="29752" xr:uid="{00000000-0005-0000-0000-00003B730000}"/>
    <cellStyle name="Normal 386 3 5 2" xfId="29753" xr:uid="{00000000-0005-0000-0000-00003C730000}"/>
    <cellStyle name="Normal 386 3 5 2 2" xfId="29754" xr:uid="{00000000-0005-0000-0000-00003D730000}"/>
    <cellStyle name="Normal 386 3 5 3" xfId="29755" xr:uid="{00000000-0005-0000-0000-00003E730000}"/>
    <cellStyle name="Normal 386 3 6" xfId="29756" xr:uid="{00000000-0005-0000-0000-00003F730000}"/>
    <cellStyle name="Normal 386 4" xfId="29757" xr:uid="{00000000-0005-0000-0000-000040730000}"/>
    <cellStyle name="Normal 386 4 2" xfId="29758" xr:uid="{00000000-0005-0000-0000-000041730000}"/>
    <cellStyle name="Normal 386 4 2 2" xfId="29759" xr:uid="{00000000-0005-0000-0000-000042730000}"/>
    <cellStyle name="Normal 386 4 3" xfId="29760" xr:uid="{00000000-0005-0000-0000-000043730000}"/>
    <cellStyle name="Normal 386 5" xfId="29761" xr:uid="{00000000-0005-0000-0000-000044730000}"/>
    <cellStyle name="Normal 386 5 2" xfId="29762" xr:uid="{00000000-0005-0000-0000-000045730000}"/>
    <cellStyle name="Normal 386 5 2 2" xfId="29763" xr:uid="{00000000-0005-0000-0000-000046730000}"/>
    <cellStyle name="Normal 386 5 3" xfId="29764" xr:uid="{00000000-0005-0000-0000-000047730000}"/>
    <cellStyle name="Normal 386 6" xfId="29765" xr:uid="{00000000-0005-0000-0000-000048730000}"/>
    <cellStyle name="Normal 386 6 2" xfId="29766" xr:uid="{00000000-0005-0000-0000-000049730000}"/>
    <cellStyle name="Normal 386 6 2 2" xfId="29767" xr:uid="{00000000-0005-0000-0000-00004A730000}"/>
    <cellStyle name="Normal 386 6 3" xfId="29768" xr:uid="{00000000-0005-0000-0000-00004B730000}"/>
    <cellStyle name="Normal 386 7" xfId="29769" xr:uid="{00000000-0005-0000-0000-00004C730000}"/>
    <cellStyle name="Normal 387" xfId="29770" xr:uid="{00000000-0005-0000-0000-00004D730000}"/>
    <cellStyle name="Normal 387 2" xfId="29771" xr:uid="{00000000-0005-0000-0000-00004E730000}"/>
    <cellStyle name="Normal 387 2 2" xfId="29772" xr:uid="{00000000-0005-0000-0000-00004F730000}"/>
    <cellStyle name="Normal 387 2 2 2" xfId="29773" xr:uid="{00000000-0005-0000-0000-000050730000}"/>
    <cellStyle name="Normal 387 2 3" xfId="29774" xr:uid="{00000000-0005-0000-0000-000051730000}"/>
    <cellStyle name="Normal 387 2 3 2" xfId="29775" xr:uid="{00000000-0005-0000-0000-000052730000}"/>
    <cellStyle name="Normal 387 2 3 2 2" xfId="29776" xr:uid="{00000000-0005-0000-0000-000053730000}"/>
    <cellStyle name="Normal 387 2 3 3" xfId="29777" xr:uid="{00000000-0005-0000-0000-000054730000}"/>
    <cellStyle name="Normal 387 2 4" xfId="29778" xr:uid="{00000000-0005-0000-0000-000055730000}"/>
    <cellStyle name="Normal 387 2 4 2" xfId="29779" xr:uid="{00000000-0005-0000-0000-000056730000}"/>
    <cellStyle name="Normal 387 2 4 2 2" xfId="29780" xr:uid="{00000000-0005-0000-0000-000057730000}"/>
    <cellStyle name="Normal 387 2 4 3" xfId="29781" xr:uid="{00000000-0005-0000-0000-000058730000}"/>
    <cellStyle name="Normal 387 2 5" xfId="29782" xr:uid="{00000000-0005-0000-0000-000059730000}"/>
    <cellStyle name="Normal 387 3" xfId="29783" xr:uid="{00000000-0005-0000-0000-00005A730000}"/>
    <cellStyle name="Normal 387 3 2" xfId="29784" xr:uid="{00000000-0005-0000-0000-00005B730000}"/>
    <cellStyle name="Normal 387 3 2 2" xfId="29785" xr:uid="{00000000-0005-0000-0000-00005C730000}"/>
    <cellStyle name="Normal 387 3 2 2 2" xfId="29786" xr:uid="{00000000-0005-0000-0000-00005D730000}"/>
    <cellStyle name="Normal 387 3 2 3" xfId="29787" xr:uid="{00000000-0005-0000-0000-00005E730000}"/>
    <cellStyle name="Normal 387 3 2 3 2" xfId="29788" xr:uid="{00000000-0005-0000-0000-00005F730000}"/>
    <cellStyle name="Normal 387 3 2 3 2 2" xfId="29789" xr:uid="{00000000-0005-0000-0000-000060730000}"/>
    <cellStyle name="Normal 387 3 2 3 3" xfId="29790" xr:uid="{00000000-0005-0000-0000-000061730000}"/>
    <cellStyle name="Normal 387 3 2 4" xfId="29791" xr:uid="{00000000-0005-0000-0000-000062730000}"/>
    <cellStyle name="Normal 387 3 3" xfId="29792" xr:uid="{00000000-0005-0000-0000-000063730000}"/>
    <cellStyle name="Normal 387 3 3 2" xfId="29793" xr:uid="{00000000-0005-0000-0000-000064730000}"/>
    <cellStyle name="Normal 387 3 3 2 2" xfId="29794" xr:uid="{00000000-0005-0000-0000-000065730000}"/>
    <cellStyle name="Normal 387 3 3 3" xfId="29795" xr:uid="{00000000-0005-0000-0000-000066730000}"/>
    <cellStyle name="Normal 387 3 4" xfId="29796" xr:uid="{00000000-0005-0000-0000-000067730000}"/>
    <cellStyle name="Normal 387 3 4 2" xfId="29797" xr:uid="{00000000-0005-0000-0000-000068730000}"/>
    <cellStyle name="Normal 387 3 4 2 2" xfId="29798" xr:uid="{00000000-0005-0000-0000-000069730000}"/>
    <cellStyle name="Normal 387 3 4 3" xfId="29799" xr:uid="{00000000-0005-0000-0000-00006A730000}"/>
    <cellStyle name="Normal 387 3 5" xfId="29800" xr:uid="{00000000-0005-0000-0000-00006B730000}"/>
    <cellStyle name="Normal 387 3 5 2" xfId="29801" xr:uid="{00000000-0005-0000-0000-00006C730000}"/>
    <cellStyle name="Normal 387 3 5 2 2" xfId="29802" xr:uid="{00000000-0005-0000-0000-00006D730000}"/>
    <cellStyle name="Normal 387 3 5 3" xfId="29803" xr:uid="{00000000-0005-0000-0000-00006E730000}"/>
    <cellStyle name="Normal 387 3 6" xfId="29804" xr:uid="{00000000-0005-0000-0000-00006F730000}"/>
    <cellStyle name="Normal 387 4" xfId="29805" xr:uid="{00000000-0005-0000-0000-000070730000}"/>
    <cellStyle name="Normal 387 4 2" xfId="29806" xr:uid="{00000000-0005-0000-0000-000071730000}"/>
    <cellStyle name="Normal 387 4 2 2" xfId="29807" xr:uid="{00000000-0005-0000-0000-000072730000}"/>
    <cellStyle name="Normal 387 4 3" xfId="29808" xr:uid="{00000000-0005-0000-0000-000073730000}"/>
    <cellStyle name="Normal 387 5" xfId="29809" xr:uid="{00000000-0005-0000-0000-000074730000}"/>
    <cellStyle name="Normal 387 5 2" xfId="29810" xr:uid="{00000000-0005-0000-0000-000075730000}"/>
    <cellStyle name="Normal 387 5 2 2" xfId="29811" xr:uid="{00000000-0005-0000-0000-000076730000}"/>
    <cellStyle name="Normal 387 5 3" xfId="29812" xr:uid="{00000000-0005-0000-0000-000077730000}"/>
    <cellStyle name="Normal 387 6" xfId="29813" xr:uid="{00000000-0005-0000-0000-000078730000}"/>
    <cellStyle name="Normal 387 6 2" xfId="29814" xr:uid="{00000000-0005-0000-0000-000079730000}"/>
    <cellStyle name="Normal 387 6 2 2" xfId="29815" xr:uid="{00000000-0005-0000-0000-00007A730000}"/>
    <cellStyle name="Normal 387 6 3" xfId="29816" xr:uid="{00000000-0005-0000-0000-00007B730000}"/>
    <cellStyle name="Normal 387 7" xfId="29817" xr:uid="{00000000-0005-0000-0000-00007C730000}"/>
    <cellStyle name="Normal 388" xfId="29818" xr:uid="{00000000-0005-0000-0000-00007D730000}"/>
    <cellStyle name="Normal 388 2" xfId="29819" xr:uid="{00000000-0005-0000-0000-00007E730000}"/>
    <cellStyle name="Normal 388 2 2" xfId="29820" xr:uid="{00000000-0005-0000-0000-00007F730000}"/>
    <cellStyle name="Normal 388 2 2 2" xfId="29821" xr:uid="{00000000-0005-0000-0000-000080730000}"/>
    <cellStyle name="Normal 388 2 3" xfId="29822" xr:uid="{00000000-0005-0000-0000-000081730000}"/>
    <cellStyle name="Normal 388 2 3 2" xfId="29823" xr:uid="{00000000-0005-0000-0000-000082730000}"/>
    <cellStyle name="Normal 388 2 3 2 2" xfId="29824" xr:uid="{00000000-0005-0000-0000-000083730000}"/>
    <cellStyle name="Normal 388 2 3 3" xfId="29825" xr:uid="{00000000-0005-0000-0000-000084730000}"/>
    <cellStyle name="Normal 388 2 4" xfId="29826" xr:uid="{00000000-0005-0000-0000-000085730000}"/>
    <cellStyle name="Normal 388 2 4 2" xfId="29827" xr:uid="{00000000-0005-0000-0000-000086730000}"/>
    <cellStyle name="Normal 388 2 4 2 2" xfId="29828" xr:uid="{00000000-0005-0000-0000-000087730000}"/>
    <cellStyle name="Normal 388 2 4 3" xfId="29829" xr:uid="{00000000-0005-0000-0000-000088730000}"/>
    <cellStyle name="Normal 388 2 5" xfId="29830" xr:uid="{00000000-0005-0000-0000-000089730000}"/>
    <cellStyle name="Normal 388 3" xfId="29831" xr:uid="{00000000-0005-0000-0000-00008A730000}"/>
    <cellStyle name="Normal 388 3 2" xfId="29832" xr:uid="{00000000-0005-0000-0000-00008B730000}"/>
    <cellStyle name="Normal 388 3 2 2" xfId="29833" xr:uid="{00000000-0005-0000-0000-00008C730000}"/>
    <cellStyle name="Normal 388 3 2 2 2" xfId="29834" xr:uid="{00000000-0005-0000-0000-00008D730000}"/>
    <cellStyle name="Normal 388 3 2 3" xfId="29835" xr:uid="{00000000-0005-0000-0000-00008E730000}"/>
    <cellStyle name="Normal 388 3 2 3 2" xfId="29836" xr:uid="{00000000-0005-0000-0000-00008F730000}"/>
    <cellStyle name="Normal 388 3 2 3 2 2" xfId="29837" xr:uid="{00000000-0005-0000-0000-000090730000}"/>
    <cellStyle name="Normal 388 3 2 3 3" xfId="29838" xr:uid="{00000000-0005-0000-0000-000091730000}"/>
    <cellStyle name="Normal 388 3 2 4" xfId="29839" xr:uid="{00000000-0005-0000-0000-000092730000}"/>
    <cellStyle name="Normal 388 3 3" xfId="29840" xr:uid="{00000000-0005-0000-0000-000093730000}"/>
    <cellStyle name="Normal 388 3 3 2" xfId="29841" xr:uid="{00000000-0005-0000-0000-000094730000}"/>
    <cellStyle name="Normal 388 3 3 2 2" xfId="29842" xr:uid="{00000000-0005-0000-0000-000095730000}"/>
    <cellStyle name="Normal 388 3 3 3" xfId="29843" xr:uid="{00000000-0005-0000-0000-000096730000}"/>
    <cellStyle name="Normal 388 3 4" xfId="29844" xr:uid="{00000000-0005-0000-0000-000097730000}"/>
    <cellStyle name="Normal 388 3 4 2" xfId="29845" xr:uid="{00000000-0005-0000-0000-000098730000}"/>
    <cellStyle name="Normal 388 3 4 2 2" xfId="29846" xr:uid="{00000000-0005-0000-0000-000099730000}"/>
    <cellStyle name="Normal 388 3 4 3" xfId="29847" xr:uid="{00000000-0005-0000-0000-00009A730000}"/>
    <cellStyle name="Normal 388 3 5" xfId="29848" xr:uid="{00000000-0005-0000-0000-00009B730000}"/>
    <cellStyle name="Normal 388 3 5 2" xfId="29849" xr:uid="{00000000-0005-0000-0000-00009C730000}"/>
    <cellStyle name="Normal 388 3 5 2 2" xfId="29850" xr:uid="{00000000-0005-0000-0000-00009D730000}"/>
    <cellStyle name="Normal 388 3 5 3" xfId="29851" xr:uid="{00000000-0005-0000-0000-00009E730000}"/>
    <cellStyle name="Normal 388 3 6" xfId="29852" xr:uid="{00000000-0005-0000-0000-00009F730000}"/>
    <cellStyle name="Normal 388 4" xfId="29853" xr:uid="{00000000-0005-0000-0000-0000A0730000}"/>
    <cellStyle name="Normal 388 4 2" xfId="29854" xr:uid="{00000000-0005-0000-0000-0000A1730000}"/>
    <cellStyle name="Normal 388 4 2 2" xfId="29855" xr:uid="{00000000-0005-0000-0000-0000A2730000}"/>
    <cellStyle name="Normal 388 4 3" xfId="29856" xr:uid="{00000000-0005-0000-0000-0000A3730000}"/>
    <cellStyle name="Normal 388 5" xfId="29857" xr:uid="{00000000-0005-0000-0000-0000A4730000}"/>
    <cellStyle name="Normal 388 5 2" xfId="29858" xr:uid="{00000000-0005-0000-0000-0000A5730000}"/>
    <cellStyle name="Normal 388 5 2 2" xfId="29859" xr:uid="{00000000-0005-0000-0000-0000A6730000}"/>
    <cellStyle name="Normal 388 5 3" xfId="29860" xr:uid="{00000000-0005-0000-0000-0000A7730000}"/>
    <cellStyle name="Normal 388 6" xfId="29861" xr:uid="{00000000-0005-0000-0000-0000A8730000}"/>
    <cellStyle name="Normal 388 6 2" xfId="29862" xr:uid="{00000000-0005-0000-0000-0000A9730000}"/>
    <cellStyle name="Normal 388 6 2 2" xfId="29863" xr:uid="{00000000-0005-0000-0000-0000AA730000}"/>
    <cellStyle name="Normal 388 6 3" xfId="29864" xr:uid="{00000000-0005-0000-0000-0000AB730000}"/>
    <cellStyle name="Normal 388 7" xfId="29865" xr:uid="{00000000-0005-0000-0000-0000AC730000}"/>
    <cellStyle name="Normal 389" xfId="29866" xr:uid="{00000000-0005-0000-0000-0000AD730000}"/>
    <cellStyle name="Normal 389 2" xfId="29867" xr:uid="{00000000-0005-0000-0000-0000AE730000}"/>
    <cellStyle name="Normal 389 2 2" xfId="29868" xr:uid="{00000000-0005-0000-0000-0000AF730000}"/>
    <cellStyle name="Normal 389 2 2 2" xfId="29869" xr:uid="{00000000-0005-0000-0000-0000B0730000}"/>
    <cellStyle name="Normal 389 2 3" xfId="29870" xr:uid="{00000000-0005-0000-0000-0000B1730000}"/>
    <cellStyle name="Normal 389 2 3 2" xfId="29871" xr:uid="{00000000-0005-0000-0000-0000B2730000}"/>
    <cellStyle name="Normal 389 2 3 2 2" xfId="29872" xr:uid="{00000000-0005-0000-0000-0000B3730000}"/>
    <cellStyle name="Normal 389 2 3 3" xfId="29873" xr:uid="{00000000-0005-0000-0000-0000B4730000}"/>
    <cellStyle name="Normal 389 2 4" xfId="29874" xr:uid="{00000000-0005-0000-0000-0000B5730000}"/>
    <cellStyle name="Normal 389 2 4 2" xfId="29875" xr:uid="{00000000-0005-0000-0000-0000B6730000}"/>
    <cellStyle name="Normal 389 2 4 2 2" xfId="29876" xr:uid="{00000000-0005-0000-0000-0000B7730000}"/>
    <cellStyle name="Normal 389 2 4 3" xfId="29877" xr:uid="{00000000-0005-0000-0000-0000B8730000}"/>
    <cellStyle name="Normal 389 2 5" xfId="29878" xr:uid="{00000000-0005-0000-0000-0000B9730000}"/>
    <cellStyle name="Normal 389 3" xfId="29879" xr:uid="{00000000-0005-0000-0000-0000BA730000}"/>
    <cellStyle name="Normal 389 3 2" xfId="29880" xr:uid="{00000000-0005-0000-0000-0000BB730000}"/>
    <cellStyle name="Normal 389 3 2 2" xfId="29881" xr:uid="{00000000-0005-0000-0000-0000BC730000}"/>
    <cellStyle name="Normal 389 3 2 2 2" xfId="29882" xr:uid="{00000000-0005-0000-0000-0000BD730000}"/>
    <cellStyle name="Normal 389 3 2 3" xfId="29883" xr:uid="{00000000-0005-0000-0000-0000BE730000}"/>
    <cellStyle name="Normal 389 3 2 3 2" xfId="29884" xr:uid="{00000000-0005-0000-0000-0000BF730000}"/>
    <cellStyle name="Normal 389 3 2 3 2 2" xfId="29885" xr:uid="{00000000-0005-0000-0000-0000C0730000}"/>
    <cellStyle name="Normal 389 3 2 3 3" xfId="29886" xr:uid="{00000000-0005-0000-0000-0000C1730000}"/>
    <cellStyle name="Normal 389 3 2 4" xfId="29887" xr:uid="{00000000-0005-0000-0000-0000C2730000}"/>
    <cellStyle name="Normal 389 3 3" xfId="29888" xr:uid="{00000000-0005-0000-0000-0000C3730000}"/>
    <cellStyle name="Normal 389 3 3 2" xfId="29889" xr:uid="{00000000-0005-0000-0000-0000C4730000}"/>
    <cellStyle name="Normal 389 3 3 2 2" xfId="29890" xr:uid="{00000000-0005-0000-0000-0000C5730000}"/>
    <cellStyle name="Normal 389 3 3 3" xfId="29891" xr:uid="{00000000-0005-0000-0000-0000C6730000}"/>
    <cellStyle name="Normal 389 3 4" xfId="29892" xr:uid="{00000000-0005-0000-0000-0000C7730000}"/>
    <cellStyle name="Normal 389 3 4 2" xfId="29893" xr:uid="{00000000-0005-0000-0000-0000C8730000}"/>
    <cellStyle name="Normal 389 3 4 2 2" xfId="29894" xr:uid="{00000000-0005-0000-0000-0000C9730000}"/>
    <cellStyle name="Normal 389 3 4 3" xfId="29895" xr:uid="{00000000-0005-0000-0000-0000CA730000}"/>
    <cellStyle name="Normal 389 3 5" xfId="29896" xr:uid="{00000000-0005-0000-0000-0000CB730000}"/>
    <cellStyle name="Normal 389 3 5 2" xfId="29897" xr:uid="{00000000-0005-0000-0000-0000CC730000}"/>
    <cellStyle name="Normal 389 3 5 2 2" xfId="29898" xr:uid="{00000000-0005-0000-0000-0000CD730000}"/>
    <cellStyle name="Normal 389 3 5 3" xfId="29899" xr:uid="{00000000-0005-0000-0000-0000CE730000}"/>
    <cellStyle name="Normal 389 3 6" xfId="29900" xr:uid="{00000000-0005-0000-0000-0000CF730000}"/>
    <cellStyle name="Normal 389 4" xfId="29901" xr:uid="{00000000-0005-0000-0000-0000D0730000}"/>
    <cellStyle name="Normal 389 4 2" xfId="29902" xr:uid="{00000000-0005-0000-0000-0000D1730000}"/>
    <cellStyle name="Normal 389 4 2 2" xfId="29903" xr:uid="{00000000-0005-0000-0000-0000D2730000}"/>
    <cellStyle name="Normal 389 4 3" xfId="29904" xr:uid="{00000000-0005-0000-0000-0000D3730000}"/>
    <cellStyle name="Normal 389 5" xfId="29905" xr:uid="{00000000-0005-0000-0000-0000D4730000}"/>
    <cellStyle name="Normal 389 5 2" xfId="29906" xr:uid="{00000000-0005-0000-0000-0000D5730000}"/>
    <cellStyle name="Normal 389 5 2 2" xfId="29907" xr:uid="{00000000-0005-0000-0000-0000D6730000}"/>
    <cellStyle name="Normal 389 5 3" xfId="29908" xr:uid="{00000000-0005-0000-0000-0000D7730000}"/>
    <cellStyle name="Normal 389 6" xfId="29909" xr:uid="{00000000-0005-0000-0000-0000D8730000}"/>
    <cellStyle name="Normal 389 6 2" xfId="29910" xr:uid="{00000000-0005-0000-0000-0000D9730000}"/>
    <cellStyle name="Normal 389 6 2 2" xfId="29911" xr:uid="{00000000-0005-0000-0000-0000DA730000}"/>
    <cellStyle name="Normal 389 6 3" xfId="29912" xr:uid="{00000000-0005-0000-0000-0000DB730000}"/>
    <cellStyle name="Normal 389 7" xfId="29913" xr:uid="{00000000-0005-0000-0000-0000DC730000}"/>
    <cellStyle name="Normal 39" xfId="29914" xr:uid="{00000000-0005-0000-0000-0000DD730000}"/>
    <cellStyle name="Normal 39 2" xfId="29915" xr:uid="{00000000-0005-0000-0000-0000DE730000}"/>
    <cellStyle name="Normal 39 2 2" xfId="29916" xr:uid="{00000000-0005-0000-0000-0000DF730000}"/>
    <cellStyle name="Normal 39 2 2 2" xfId="29917" xr:uid="{00000000-0005-0000-0000-0000E0730000}"/>
    <cellStyle name="Normal 39 2 2 2 2" xfId="29918" xr:uid="{00000000-0005-0000-0000-0000E1730000}"/>
    <cellStyle name="Normal 39 2 2 3" xfId="29919" xr:uid="{00000000-0005-0000-0000-0000E2730000}"/>
    <cellStyle name="Normal 39 2 2 3 2" xfId="29920" xr:uid="{00000000-0005-0000-0000-0000E3730000}"/>
    <cellStyle name="Normal 39 2 2 3 2 2" xfId="29921" xr:uid="{00000000-0005-0000-0000-0000E4730000}"/>
    <cellStyle name="Normal 39 2 2 3 3" xfId="29922" xr:uid="{00000000-0005-0000-0000-0000E5730000}"/>
    <cellStyle name="Normal 39 2 2 4" xfId="29923" xr:uid="{00000000-0005-0000-0000-0000E6730000}"/>
    <cellStyle name="Normal 39 2 2 4 2" xfId="29924" xr:uid="{00000000-0005-0000-0000-0000E7730000}"/>
    <cellStyle name="Normal 39 2 2 4 2 2" xfId="29925" xr:uid="{00000000-0005-0000-0000-0000E8730000}"/>
    <cellStyle name="Normal 39 2 2 4 3" xfId="29926" xr:uid="{00000000-0005-0000-0000-0000E9730000}"/>
    <cellStyle name="Normal 39 2 2 5" xfId="29927" xr:uid="{00000000-0005-0000-0000-0000EA730000}"/>
    <cellStyle name="Normal 39 2 3" xfId="29928" xr:uid="{00000000-0005-0000-0000-0000EB730000}"/>
    <cellStyle name="Normal 39 2 3 2" xfId="29929" xr:uid="{00000000-0005-0000-0000-0000EC730000}"/>
    <cellStyle name="Normal 39 2 3 2 2" xfId="29930" xr:uid="{00000000-0005-0000-0000-0000ED730000}"/>
    <cellStyle name="Normal 39 2 3 3" xfId="29931" xr:uid="{00000000-0005-0000-0000-0000EE730000}"/>
    <cellStyle name="Normal 39 2 4" xfId="29932" xr:uid="{00000000-0005-0000-0000-0000EF730000}"/>
    <cellStyle name="Normal 39 2 4 2" xfId="29933" xr:uid="{00000000-0005-0000-0000-0000F0730000}"/>
    <cellStyle name="Normal 39 2 4 2 2" xfId="29934" xr:uid="{00000000-0005-0000-0000-0000F1730000}"/>
    <cellStyle name="Normal 39 2 4 3" xfId="29935" xr:uid="{00000000-0005-0000-0000-0000F2730000}"/>
    <cellStyle name="Normal 39 2 5" xfId="29936" xr:uid="{00000000-0005-0000-0000-0000F3730000}"/>
    <cellStyle name="Normal 39 2 5 2" xfId="29937" xr:uid="{00000000-0005-0000-0000-0000F4730000}"/>
    <cellStyle name="Normal 39 2 5 2 2" xfId="29938" xr:uid="{00000000-0005-0000-0000-0000F5730000}"/>
    <cellStyle name="Normal 39 2 5 3" xfId="29939" xr:uid="{00000000-0005-0000-0000-0000F6730000}"/>
    <cellStyle name="Normal 39 2 6" xfId="29940" xr:uid="{00000000-0005-0000-0000-0000F7730000}"/>
    <cellStyle name="Normal 39 3" xfId="29941" xr:uid="{00000000-0005-0000-0000-0000F8730000}"/>
    <cellStyle name="Normal 39 3 2" xfId="29942" xr:uid="{00000000-0005-0000-0000-0000F9730000}"/>
    <cellStyle name="Normal 39 3 2 2" xfId="29943" xr:uid="{00000000-0005-0000-0000-0000FA730000}"/>
    <cellStyle name="Normal 39 3 3" xfId="29944" xr:uid="{00000000-0005-0000-0000-0000FB730000}"/>
    <cellStyle name="Normal 39 3 3 2" xfId="29945" xr:uid="{00000000-0005-0000-0000-0000FC730000}"/>
    <cellStyle name="Normal 39 3 3 2 2" xfId="29946" xr:uid="{00000000-0005-0000-0000-0000FD730000}"/>
    <cellStyle name="Normal 39 3 3 3" xfId="29947" xr:uid="{00000000-0005-0000-0000-0000FE730000}"/>
    <cellStyle name="Normal 39 3 4" xfId="29948" xr:uid="{00000000-0005-0000-0000-0000FF730000}"/>
    <cellStyle name="Normal 39 3 4 2" xfId="29949" xr:uid="{00000000-0005-0000-0000-000000740000}"/>
    <cellStyle name="Normal 39 3 4 2 2" xfId="29950" xr:uid="{00000000-0005-0000-0000-000001740000}"/>
    <cellStyle name="Normal 39 3 4 3" xfId="29951" xr:uid="{00000000-0005-0000-0000-000002740000}"/>
    <cellStyle name="Normal 39 3 5" xfId="29952" xr:uid="{00000000-0005-0000-0000-000003740000}"/>
    <cellStyle name="Normal 39 4" xfId="29953" xr:uid="{00000000-0005-0000-0000-000004740000}"/>
    <cellStyle name="Normal 39 4 2" xfId="29954" xr:uid="{00000000-0005-0000-0000-000005740000}"/>
    <cellStyle name="Normal 39 4 2 2" xfId="29955" xr:uid="{00000000-0005-0000-0000-000006740000}"/>
    <cellStyle name="Normal 39 4 3" xfId="29956" xr:uid="{00000000-0005-0000-0000-000007740000}"/>
    <cellStyle name="Normal 39 5" xfId="29957" xr:uid="{00000000-0005-0000-0000-000008740000}"/>
    <cellStyle name="Normal 39 5 2" xfId="29958" xr:uid="{00000000-0005-0000-0000-000009740000}"/>
    <cellStyle name="Normal 39 5 2 2" xfId="29959" xr:uid="{00000000-0005-0000-0000-00000A740000}"/>
    <cellStyle name="Normal 39 5 3" xfId="29960" xr:uid="{00000000-0005-0000-0000-00000B740000}"/>
    <cellStyle name="Normal 39 6" xfId="29961" xr:uid="{00000000-0005-0000-0000-00000C740000}"/>
    <cellStyle name="Normal 39 6 2" xfId="29962" xr:uid="{00000000-0005-0000-0000-00000D740000}"/>
    <cellStyle name="Normal 39 6 2 2" xfId="29963" xr:uid="{00000000-0005-0000-0000-00000E740000}"/>
    <cellStyle name="Normal 39 6 3" xfId="29964" xr:uid="{00000000-0005-0000-0000-00000F740000}"/>
    <cellStyle name="Normal 39 7" xfId="29965" xr:uid="{00000000-0005-0000-0000-000010740000}"/>
    <cellStyle name="Normal 390" xfId="29966" xr:uid="{00000000-0005-0000-0000-000011740000}"/>
    <cellStyle name="Normal 390 2" xfId="29967" xr:uid="{00000000-0005-0000-0000-000012740000}"/>
    <cellStyle name="Normal 390 2 2" xfId="29968" xr:uid="{00000000-0005-0000-0000-000013740000}"/>
    <cellStyle name="Normal 390 2 2 2" xfId="29969" xr:uid="{00000000-0005-0000-0000-000014740000}"/>
    <cellStyle name="Normal 390 2 3" xfId="29970" xr:uid="{00000000-0005-0000-0000-000015740000}"/>
    <cellStyle name="Normal 390 2 3 2" xfId="29971" xr:uid="{00000000-0005-0000-0000-000016740000}"/>
    <cellStyle name="Normal 390 2 3 2 2" xfId="29972" xr:uid="{00000000-0005-0000-0000-000017740000}"/>
    <cellStyle name="Normal 390 2 3 3" xfId="29973" xr:uid="{00000000-0005-0000-0000-000018740000}"/>
    <cellStyle name="Normal 390 2 4" xfId="29974" xr:uid="{00000000-0005-0000-0000-000019740000}"/>
    <cellStyle name="Normal 390 2 4 2" xfId="29975" xr:uid="{00000000-0005-0000-0000-00001A740000}"/>
    <cellStyle name="Normal 390 2 4 2 2" xfId="29976" xr:uid="{00000000-0005-0000-0000-00001B740000}"/>
    <cellStyle name="Normal 390 2 4 3" xfId="29977" xr:uid="{00000000-0005-0000-0000-00001C740000}"/>
    <cellStyle name="Normal 390 2 5" xfId="29978" xr:uid="{00000000-0005-0000-0000-00001D740000}"/>
    <cellStyle name="Normal 390 3" xfId="29979" xr:uid="{00000000-0005-0000-0000-00001E740000}"/>
    <cellStyle name="Normal 390 3 2" xfId="29980" xr:uid="{00000000-0005-0000-0000-00001F740000}"/>
    <cellStyle name="Normal 390 3 2 2" xfId="29981" xr:uid="{00000000-0005-0000-0000-000020740000}"/>
    <cellStyle name="Normal 390 3 2 2 2" xfId="29982" xr:uid="{00000000-0005-0000-0000-000021740000}"/>
    <cellStyle name="Normal 390 3 2 3" xfId="29983" xr:uid="{00000000-0005-0000-0000-000022740000}"/>
    <cellStyle name="Normal 390 3 2 3 2" xfId="29984" xr:uid="{00000000-0005-0000-0000-000023740000}"/>
    <cellStyle name="Normal 390 3 2 3 2 2" xfId="29985" xr:uid="{00000000-0005-0000-0000-000024740000}"/>
    <cellStyle name="Normal 390 3 2 3 3" xfId="29986" xr:uid="{00000000-0005-0000-0000-000025740000}"/>
    <cellStyle name="Normal 390 3 2 4" xfId="29987" xr:uid="{00000000-0005-0000-0000-000026740000}"/>
    <cellStyle name="Normal 390 3 3" xfId="29988" xr:uid="{00000000-0005-0000-0000-000027740000}"/>
    <cellStyle name="Normal 390 3 3 2" xfId="29989" xr:uid="{00000000-0005-0000-0000-000028740000}"/>
    <cellStyle name="Normal 390 3 3 2 2" xfId="29990" xr:uid="{00000000-0005-0000-0000-000029740000}"/>
    <cellStyle name="Normal 390 3 3 3" xfId="29991" xr:uid="{00000000-0005-0000-0000-00002A740000}"/>
    <cellStyle name="Normal 390 3 4" xfId="29992" xr:uid="{00000000-0005-0000-0000-00002B740000}"/>
    <cellStyle name="Normal 390 3 4 2" xfId="29993" xr:uid="{00000000-0005-0000-0000-00002C740000}"/>
    <cellStyle name="Normal 390 3 4 2 2" xfId="29994" xr:uid="{00000000-0005-0000-0000-00002D740000}"/>
    <cellStyle name="Normal 390 3 4 3" xfId="29995" xr:uid="{00000000-0005-0000-0000-00002E740000}"/>
    <cellStyle name="Normal 390 3 5" xfId="29996" xr:uid="{00000000-0005-0000-0000-00002F740000}"/>
    <cellStyle name="Normal 390 3 5 2" xfId="29997" xr:uid="{00000000-0005-0000-0000-000030740000}"/>
    <cellStyle name="Normal 390 3 5 2 2" xfId="29998" xr:uid="{00000000-0005-0000-0000-000031740000}"/>
    <cellStyle name="Normal 390 3 5 3" xfId="29999" xr:uid="{00000000-0005-0000-0000-000032740000}"/>
    <cellStyle name="Normal 390 3 6" xfId="30000" xr:uid="{00000000-0005-0000-0000-000033740000}"/>
    <cellStyle name="Normal 390 4" xfId="30001" xr:uid="{00000000-0005-0000-0000-000034740000}"/>
    <cellStyle name="Normal 390 4 2" xfId="30002" xr:uid="{00000000-0005-0000-0000-000035740000}"/>
    <cellStyle name="Normal 390 4 2 2" xfId="30003" xr:uid="{00000000-0005-0000-0000-000036740000}"/>
    <cellStyle name="Normal 390 4 3" xfId="30004" xr:uid="{00000000-0005-0000-0000-000037740000}"/>
    <cellStyle name="Normal 390 5" xfId="30005" xr:uid="{00000000-0005-0000-0000-000038740000}"/>
    <cellStyle name="Normal 390 5 2" xfId="30006" xr:uid="{00000000-0005-0000-0000-000039740000}"/>
    <cellStyle name="Normal 390 5 2 2" xfId="30007" xr:uid="{00000000-0005-0000-0000-00003A740000}"/>
    <cellStyle name="Normal 390 5 3" xfId="30008" xr:uid="{00000000-0005-0000-0000-00003B740000}"/>
    <cellStyle name="Normal 390 6" xfId="30009" xr:uid="{00000000-0005-0000-0000-00003C740000}"/>
    <cellStyle name="Normal 390 6 2" xfId="30010" xr:uid="{00000000-0005-0000-0000-00003D740000}"/>
    <cellStyle name="Normal 390 6 2 2" xfId="30011" xr:uid="{00000000-0005-0000-0000-00003E740000}"/>
    <cellStyle name="Normal 390 6 3" xfId="30012" xr:uid="{00000000-0005-0000-0000-00003F740000}"/>
    <cellStyle name="Normal 390 7" xfId="30013" xr:uid="{00000000-0005-0000-0000-000040740000}"/>
    <cellStyle name="Normal 391" xfId="30014" xr:uid="{00000000-0005-0000-0000-000041740000}"/>
    <cellStyle name="Normal 391 2" xfId="30015" xr:uid="{00000000-0005-0000-0000-000042740000}"/>
    <cellStyle name="Normal 391 2 2" xfId="30016" xr:uid="{00000000-0005-0000-0000-000043740000}"/>
    <cellStyle name="Normal 391 2 2 2" xfId="30017" xr:uid="{00000000-0005-0000-0000-000044740000}"/>
    <cellStyle name="Normal 391 2 3" xfId="30018" xr:uid="{00000000-0005-0000-0000-000045740000}"/>
    <cellStyle name="Normal 391 2 3 2" xfId="30019" xr:uid="{00000000-0005-0000-0000-000046740000}"/>
    <cellStyle name="Normal 391 2 3 2 2" xfId="30020" xr:uid="{00000000-0005-0000-0000-000047740000}"/>
    <cellStyle name="Normal 391 2 3 3" xfId="30021" xr:uid="{00000000-0005-0000-0000-000048740000}"/>
    <cellStyle name="Normal 391 2 4" xfId="30022" xr:uid="{00000000-0005-0000-0000-000049740000}"/>
    <cellStyle name="Normal 391 2 4 2" xfId="30023" xr:uid="{00000000-0005-0000-0000-00004A740000}"/>
    <cellStyle name="Normal 391 2 4 2 2" xfId="30024" xr:uid="{00000000-0005-0000-0000-00004B740000}"/>
    <cellStyle name="Normal 391 2 4 3" xfId="30025" xr:uid="{00000000-0005-0000-0000-00004C740000}"/>
    <cellStyle name="Normal 391 2 5" xfId="30026" xr:uid="{00000000-0005-0000-0000-00004D740000}"/>
    <cellStyle name="Normal 391 3" xfId="30027" xr:uid="{00000000-0005-0000-0000-00004E740000}"/>
    <cellStyle name="Normal 391 3 2" xfId="30028" xr:uid="{00000000-0005-0000-0000-00004F740000}"/>
    <cellStyle name="Normal 391 3 2 2" xfId="30029" xr:uid="{00000000-0005-0000-0000-000050740000}"/>
    <cellStyle name="Normal 391 3 2 2 2" xfId="30030" xr:uid="{00000000-0005-0000-0000-000051740000}"/>
    <cellStyle name="Normal 391 3 2 3" xfId="30031" xr:uid="{00000000-0005-0000-0000-000052740000}"/>
    <cellStyle name="Normal 391 3 2 3 2" xfId="30032" xr:uid="{00000000-0005-0000-0000-000053740000}"/>
    <cellStyle name="Normal 391 3 2 3 2 2" xfId="30033" xr:uid="{00000000-0005-0000-0000-000054740000}"/>
    <cellStyle name="Normal 391 3 2 3 3" xfId="30034" xr:uid="{00000000-0005-0000-0000-000055740000}"/>
    <cellStyle name="Normal 391 3 2 4" xfId="30035" xr:uid="{00000000-0005-0000-0000-000056740000}"/>
    <cellStyle name="Normal 391 3 3" xfId="30036" xr:uid="{00000000-0005-0000-0000-000057740000}"/>
    <cellStyle name="Normal 391 3 3 2" xfId="30037" xr:uid="{00000000-0005-0000-0000-000058740000}"/>
    <cellStyle name="Normal 391 3 3 2 2" xfId="30038" xr:uid="{00000000-0005-0000-0000-000059740000}"/>
    <cellStyle name="Normal 391 3 3 3" xfId="30039" xr:uid="{00000000-0005-0000-0000-00005A740000}"/>
    <cellStyle name="Normal 391 3 4" xfId="30040" xr:uid="{00000000-0005-0000-0000-00005B740000}"/>
    <cellStyle name="Normal 391 3 4 2" xfId="30041" xr:uid="{00000000-0005-0000-0000-00005C740000}"/>
    <cellStyle name="Normal 391 3 4 2 2" xfId="30042" xr:uid="{00000000-0005-0000-0000-00005D740000}"/>
    <cellStyle name="Normal 391 3 4 3" xfId="30043" xr:uid="{00000000-0005-0000-0000-00005E740000}"/>
    <cellStyle name="Normal 391 3 5" xfId="30044" xr:uid="{00000000-0005-0000-0000-00005F740000}"/>
    <cellStyle name="Normal 391 3 5 2" xfId="30045" xr:uid="{00000000-0005-0000-0000-000060740000}"/>
    <cellStyle name="Normal 391 3 5 2 2" xfId="30046" xr:uid="{00000000-0005-0000-0000-000061740000}"/>
    <cellStyle name="Normal 391 3 5 3" xfId="30047" xr:uid="{00000000-0005-0000-0000-000062740000}"/>
    <cellStyle name="Normal 391 3 6" xfId="30048" xr:uid="{00000000-0005-0000-0000-000063740000}"/>
    <cellStyle name="Normal 391 4" xfId="30049" xr:uid="{00000000-0005-0000-0000-000064740000}"/>
    <cellStyle name="Normal 391 4 2" xfId="30050" xr:uid="{00000000-0005-0000-0000-000065740000}"/>
    <cellStyle name="Normal 391 4 2 2" xfId="30051" xr:uid="{00000000-0005-0000-0000-000066740000}"/>
    <cellStyle name="Normal 391 4 3" xfId="30052" xr:uid="{00000000-0005-0000-0000-000067740000}"/>
    <cellStyle name="Normal 391 5" xfId="30053" xr:uid="{00000000-0005-0000-0000-000068740000}"/>
    <cellStyle name="Normal 391 5 2" xfId="30054" xr:uid="{00000000-0005-0000-0000-000069740000}"/>
    <cellStyle name="Normal 391 5 2 2" xfId="30055" xr:uid="{00000000-0005-0000-0000-00006A740000}"/>
    <cellStyle name="Normal 391 5 3" xfId="30056" xr:uid="{00000000-0005-0000-0000-00006B740000}"/>
    <cellStyle name="Normal 391 6" xfId="30057" xr:uid="{00000000-0005-0000-0000-00006C740000}"/>
    <cellStyle name="Normal 391 6 2" xfId="30058" xr:uid="{00000000-0005-0000-0000-00006D740000}"/>
    <cellStyle name="Normal 391 6 2 2" xfId="30059" xr:uid="{00000000-0005-0000-0000-00006E740000}"/>
    <cellStyle name="Normal 391 6 3" xfId="30060" xr:uid="{00000000-0005-0000-0000-00006F740000}"/>
    <cellStyle name="Normal 391 7" xfId="30061" xr:uid="{00000000-0005-0000-0000-000070740000}"/>
    <cellStyle name="Normal 392" xfId="30062" xr:uid="{00000000-0005-0000-0000-000071740000}"/>
    <cellStyle name="Normal 392 2" xfId="30063" xr:uid="{00000000-0005-0000-0000-000072740000}"/>
    <cellStyle name="Normal 392 2 2" xfId="30064" xr:uid="{00000000-0005-0000-0000-000073740000}"/>
    <cellStyle name="Normal 392 2 2 2" xfId="30065" xr:uid="{00000000-0005-0000-0000-000074740000}"/>
    <cellStyle name="Normal 392 2 3" xfId="30066" xr:uid="{00000000-0005-0000-0000-000075740000}"/>
    <cellStyle name="Normal 392 2 3 2" xfId="30067" xr:uid="{00000000-0005-0000-0000-000076740000}"/>
    <cellStyle name="Normal 392 2 3 2 2" xfId="30068" xr:uid="{00000000-0005-0000-0000-000077740000}"/>
    <cellStyle name="Normal 392 2 3 3" xfId="30069" xr:uid="{00000000-0005-0000-0000-000078740000}"/>
    <cellStyle name="Normal 392 2 4" xfId="30070" xr:uid="{00000000-0005-0000-0000-000079740000}"/>
    <cellStyle name="Normal 392 2 4 2" xfId="30071" xr:uid="{00000000-0005-0000-0000-00007A740000}"/>
    <cellStyle name="Normal 392 2 4 2 2" xfId="30072" xr:uid="{00000000-0005-0000-0000-00007B740000}"/>
    <cellStyle name="Normal 392 2 4 3" xfId="30073" xr:uid="{00000000-0005-0000-0000-00007C740000}"/>
    <cellStyle name="Normal 392 2 5" xfId="30074" xr:uid="{00000000-0005-0000-0000-00007D740000}"/>
    <cellStyle name="Normal 392 3" xfId="30075" xr:uid="{00000000-0005-0000-0000-00007E740000}"/>
    <cellStyle name="Normal 392 3 2" xfId="30076" xr:uid="{00000000-0005-0000-0000-00007F740000}"/>
    <cellStyle name="Normal 392 3 2 2" xfId="30077" xr:uid="{00000000-0005-0000-0000-000080740000}"/>
    <cellStyle name="Normal 392 3 2 2 2" xfId="30078" xr:uid="{00000000-0005-0000-0000-000081740000}"/>
    <cellStyle name="Normal 392 3 2 3" xfId="30079" xr:uid="{00000000-0005-0000-0000-000082740000}"/>
    <cellStyle name="Normal 392 3 2 3 2" xfId="30080" xr:uid="{00000000-0005-0000-0000-000083740000}"/>
    <cellStyle name="Normal 392 3 2 3 2 2" xfId="30081" xr:uid="{00000000-0005-0000-0000-000084740000}"/>
    <cellStyle name="Normal 392 3 2 3 3" xfId="30082" xr:uid="{00000000-0005-0000-0000-000085740000}"/>
    <cellStyle name="Normal 392 3 2 4" xfId="30083" xr:uid="{00000000-0005-0000-0000-000086740000}"/>
    <cellStyle name="Normal 392 3 3" xfId="30084" xr:uid="{00000000-0005-0000-0000-000087740000}"/>
    <cellStyle name="Normal 392 3 3 2" xfId="30085" xr:uid="{00000000-0005-0000-0000-000088740000}"/>
    <cellStyle name="Normal 392 3 3 2 2" xfId="30086" xr:uid="{00000000-0005-0000-0000-000089740000}"/>
    <cellStyle name="Normal 392 3 3 3" xfId="30087" xr:uid="{00000000-0005-0000-0000-00008A740000}"/>
    <cellStyle name="Normal 392 3 4" xfId="30088" xr:uid="{00000000-0005-0000-0000-00008B740000}"/>
    <cellStyle name="Normal 392 3 4 2" xfId="30089" xr:uid="{00000000-0005-0000-0000-00008C740000}"/>
    <cellStyle name="Normal 392 3 4 2 2" xfId="30090" xr:uid="{00000000-0005-0000-0000-00008D740000}"/>
    <cellStyle name="Normal 392 3 4 3" xfId="30091" xr:uid="{00000000-0005-0000-0000-00008E740000}"/>
    <cellStyle name="Normal 392 3 5" xfId="30092" xr:uid="{00000000-0005-0000-0000-00008F740000}"/>
    <cellStyle name="Normal 392 3 5 2" xfId="30093" xr:uid="{00000000-0005-0000-0000-000090740000}"/>
    <cellStyle name="Normal 392 3 5 2 2" xfId="30094" xr:uid="{00000000-0005-0000-0000-000091740000}"/>
    <cellStyle name="Normal 392 3 5 3" xfId="30095" xr:uid="{00000000-0005-0000-0000-000092740000}"/>
    <cellStyle name="Normal 392 3 6" xfId="30096" xr:uid="{00000000-0005-0000-0000-000093740000}"/>
    <cellStyle name="Normal 392 4" xfId="30097" xr:uid="{00000000-0005-0000-0000-000094740000}"/>
    <cellStyle name="Normal 392 4 2" xfId="30098" xr:uid="{00000000-0005-0000-0000-000095740000}"/>
    <cellStyle name="Normal 392 4 2 2" xfId="30099" xr:uid="{00000000-0005-0000-0000-000096740000}"/>
    <cellStyle name="Normal 392 4 3" xfId="30100" xr:uid="{00000000-0005-0000-0000-000097740000}"/>
    <cellStyle name="Normal 392 5" xfId="30101" xr:uid="{00000000-0005-0000-0000-000098740000}"/>
    <cellStyle name="Normal 392 5 2" xfId="30102" xr:uid="{00000000-0005-0000-0000-000099740000}"/>
    <cellStyle name="Normal 392 5 2 2" xfId="30103" xr:uid="{00000000-0005-0000-0000-00009A740000}"/>
    <cellStyle name="Normal 392 5 3" xfId="30104" xr:uid="{00000000-0005-0000-0000-00009B740000}"/>
    <cellStyle name="Normal 392 6" xfId="30105" xr:uid="{00000000-0005-0000-0000-00009C740000}"/>
    <cellStyle name="Normal 392 6 2" xfId="30106" xr:uid="{00000000-0005-0000-0000-00009D740000}"/>
    <cellStyle name="Normal 392 6 2 2" xfId="30107" xr:uid="{00000000-0005-0000-0000-00009E740000}"/>
    <cellStyle name="Normal 392 6 3" xfId="30108" xr:uid="{00000000-0005-0000-0000-00009F740000}"/>
    <cellStyle name="Normal 392 7" xfId="30109" xr:uid="{00000000-0005-0000-0000-0000A0740000}"/>
    <cellStyle name="Normal 393" xfId="30110" xr:uid="{00000000-0005-0000-0000-0000A1740000}"/>
    <cellStyle name="Normal 393 2" xfId="30111" xr:uid="{00000000-0005-0000-0000-0000A2740000}"/>
    <cellStyle name="Normal 393 2 2" xfId="30112" xr:uid="{00000000-0005-0000-0000-0000A3740000}"/>
    <cellStyle name="Normal 393 2 2 2" xfId="30113" xr:uid="{00000000-0005-0000-0000-0000A4740000}"/>
    <cellStyle name="Normal 393 2 3" xfId="30114" xr:uid="{00000000-0005-0000-0000-0000A5740000}"/>
    <cellStyle name="Normal 393 2 3 2" xfId="30115" xr:uid="{00000000-0005-0000-0000-0000A6740000}"/>
    <cellStyle name="Normal 393 2 3 2 2" xfId="30116" xr:uid="{00000000-0005-0000-0000-0000A7740000}"/>
    <cellStyle name="Normal 393 2 3 3" xfId="30117" xr:uid="{00000000-0005-0000-0000-0000A8740000}"/>
    <cellStyle name="Normal 393 2 4" xfId="30118" xr:uid="{00000000-0005-0000-0000-0000A9740000}"/>
    <cellStyle name="Normal 393 2 4 2" xfId="30119" xr:uid="{00000000-0005-0000-0000-0000AA740000}"/>
    <cellStyle name="Normal 393 2 4 2 2" xfId="30120" xr:uid="{00000000-0005-0000-0000-0000AB740000}"/>
    <cellStyle name="Normal 393 2 4 3" xfId="30121" xr:uid="{00000000-0005-0000-0000-0000AC740000}"/>
    <cellStyle name="Normal 393 2 5" xfId="30122" xr:uid="{00000000-0005-0000-0000-0000AD740000}"/>
    <cellStyle name="Normal 393 3" xfId="30123" xr:uid="{00000000-0005-0000-0000-0000AE740000}"/>
    <cellStyle name="Normal 393 3 2" xfId="30124" xr:uid="{00000000-0005-0000-0000-0000AF740000}"/>
    <cellStyle name="Normal 393 3 2 2" xfId="30125" xr:uid="{00000000-0005-0000-0000-0000B0740000}"/>
    <cellStyle name="Normal 393 3 2 2 2" xfId="30126" xr:uid="{00000000-0005-0000-0000-0000B1740000}"/>
    <cellStyle name="Normal 393 3 2 3" xfId="30127" xr:uid="{00000000-0005-0000-0000-0000B2740000}"/>
    <cellStyle name="Normal 393 3 2 3 2" xfId="30128" xr:uid="{00000000-0005-0000-0000-0000B3740000}"/>
    <cellStyle name="Normal 393 3 2 3 2 2" xfId="30129" xr:uid="{00000000-0005-0000-0000-0000B4740000}"/>
    <cellStyle name="Normal 393 3 2 3 3" xfId="30130" xr:uid="{00000000-0005-0000-0000-0000B5740000}"/>
    <cellStyle name="Normal 393 3 2 4" xfId="30131" xr:uid="{00000000-0005-0000-0000-0000B6740000}"/>
    <cellStyle name="Normal 393 3 3" xfId="30132" xr:uid="{00000000-0005-0000-0000-0000B7740000}"/>
    <cellStyle name="Normal 393 3 3 2" xfId="30133" xr:uid="{00000000-0005-0000-0000-0000B8740000}"/>
    <cellStyle name="Normal 393 3 3 2 2" xfId="30134" xr:uid="{00000000-0005-0000-0000-0000B9740000}"/>
    <cellStyle name="Normal 393 3 3 3" xfId="30135" xr:uid="{00000000-0005-0000-0000-0000BA740000}"/>
    <cellStyle name="Normal 393 3 4" xfId="30136" xr:uid="{00000000-0005-0000-0000-0000BB740000}"/>
    <cellStyle name="Normal 393 3 4 2" xfId="30137" xr:uid="{00000000-0005-0000-0000-0000BC740000}"/>
    <cellStyle name="Normal 393 3 4 2 2" xfId="30138" xr:uid="{00000000-0005-0000-0000-0000BD740000}"/>
    <cellStyle name="Normal 393 3 4 3" xfId="30139" xr:uid="{00000000-0005-0000-0000-0000BE740000}"/>
    <cellStyle name="Normal 393 3 5" xfId="30140" xr:uid="{00000000-0005-0000-0000-0000BF740000}"/>
    <cellStyle name="Normal 393 3 5 2" xfId="30141" xr:uid="{00000000-0005-0000-0000-0000C0740000}"/>
    <cellStyle name="Normal 393 3 5 2 2" xfId="30142" xr:uid="{00000000-0005-0000-0000-0000C1740000}"/>
    <cellStyle name="Normal 393 3 5 3" xfId="30143" xr:uid="{00000000-0005-0000-0000-0000C2740000}"/>
    <cellStyle name="Normal 393 3 6" xfId="30144" xr:uid="{00000000-0005-0000-0000-0000C3740000}"/>
    <cellStyle name="Normal 393 4" xfId="30145" xr:uid="{00000000-0005-0000-0000-0000C4740000}"/>
    <cellStyle name="Normal 393 4 2" xfId="30146" xr:uid="{00000000-0005-0000-0000-0000C5740000}"/>
    <cellStyle name="Normal 393 4 2 2" xfId="30147" xr:uid="{00000000-0005-0000-0000-0000C6740000}"/>
    <cellStyle name="Normal 393 4 3" xfId="30148" xr:uid="{00000000-0005-0000-0000-0000C7740000}"/>
    <cellStyle name="Normal 393 5" xfId="30149" xr:uid="{00000000-0005-0000-0000-0000C8740000}"/>
    <cellStyle name="Normal 393 5 2" xfId="30150" xr:uid="{00000000-0005-0000-0000-0000C9740000}"/>
    <cellStyle name="Normal 393 5 2 2" xfId="30151" xr:uid="{00000000-0005-0000-0000-0000CA740000}"/>
    <cellStyle name="Normal 393 5 3" xfId="30152" xr:uid="{00000000-0005-0000-0000-0000CB740000}"/>
    <cellStyle name="Normal 393 6" xfId="30153" xr:uid="{00000000-0005-0000-0000-0000CC740000}"/>
    <cellStyle name="Normal 393 6 2" xfId="30154" xr:uid="{00000000-0005-0000-0000-0000CD740000}"/>
    <cellStyle name="Normal 393 6 2 2" xfId="30155" xr:uid="{00000000-0005-0000-0000-0000CE740000}"/>
    <cellStyle name="Normal 393 6 3" xfId="30156" xr:uid="{00000000-0005-0000-0000-0000CF740000}"/>
    <cellStyle name="Normal 393 7" xfId="30157" xr:uid="{00000000-0005-0000-0000-0000D0740000}"/>
    <cellStyle name="Normal 394" xfId="30158" xr:uid="{00000000-0005-0000-0000-0000D1740000}"/>
    <cellStyle name="Normal 394 2" xfId="30159" xr:uid="{00000000-0005-0000-0000-0000D2740000}"/>
    <cellStyle name="Normal 394 2 2" xfId="30160" xr:uid="{00000000-0005-0000-0000-0000D3740000}"/>
    <cellStyle name="Normal 394 2 2 2" xfId="30161" xr:uid="{00000000-0005-0000-0000-0000D4740000}"/>
    <cellStyle name="Normal 394 2 3" xfId="30162" xr:uid="{00000000-0005-0000-0000-0000D5740000}"/>
    <cellStyle name="Normal 394 2 3 2" xfId="30163" xr:uid="{00000000-0005-0000-0000-0000D6740000}"/>
    <cellStyle name="Normal 394 2 3 2 2" xfId="30164" xr:uid="{00000000-0005-0000-0000-0000D7740000}"/>
    <cellStyle name="Normal 394 2 3 3" xfId="30165" xr:uid="{00000000-0005-0000-0000-0000D8740000}"/>
    <cellStyle name="Normal 394 2 4" xfId="30166" xr:uid="{00000000-0005-0000-0000-0000D9740000}"/>
    <cellStyle name="Normal 394 2 4 2" xfId="30167" xr:uid="{00000000-0005-0000-0000-0000DA740000}"/>
    <cellStyle name="Normal 394 2 4 2 2" xfId="30168" xr:uid="{00000000-0005-0000-0000-0000DB740000}"/>
    <cellStyle name="Normal 394 2 4 3" xfId="30169" xr:uid="{00000000-0005-0000-0000-0000DC740000}"/>
    <cellStyle name="Normal 394 2 5" xfId="30170" xr:uid="{00000000-0005-0000-0000-0000DD740000}"/>
    <cellStyle name="Normal 394 3" xfId="30171" xr:uid="{00000000-0005-0000-0000-0000DE740000}"/>
    <cellStyle name="Normal 394 3 2" xfId="30172" xr:uid="{00000000-0005-0000-0000-0000DF740000}"/>
    <cellStyle name="Normal 394 3 2 2" xfId="30173" xr:uid="{00000000-0005-0000-0000-0000E0740000}"/>
    <cellStyle name="Normal 394 3 2 2 2" xfId="30174" xr:uid="{00000000-0005-0000-0000-0000E1740000}"/>
    <cellStyle name="Normal 394 3 2 3" xfId="30175" xr:uid="{00000000-0005-0000-0000-0000E2740000}"/>
    <cellStyle name="Normal 394 3 2 3 2" xfId="30176" xr:uid="{00000000-0005-0000-0000-0000E3740000}"/>
    <cellStyle name="Normal 394 3 2 3 2 2" xfId="30177" xr:uid="{00000000-0005-0000-0000-0000E4740000}"/>
    <cellStyle name="Normal 394 3 2 3 3" xfId="30178" xr:uid="{00000000-0005-0000-0000-0000E5740000}"/>
    <cellStyle name="Normal 394 3 2 4" xfId="30179" xr:uid="{00000000-0005-0000-0000-0000E6740000}"/>
    <cellStyle name="Normal 394 3 3" xfId="30180" xr:uid="{00000000-0005-0000-0000-0000E7740000}"/>
    <cellStyle name="Normal 394 3 3 2" xfId="30181" xr:uid="{00000000-0005-0000-0000-0000E8740000}"/>
    <cellStyle name="Normal 394 3 3 2 2" xfId="30182" xr:uid="{00000000-0005-0000-0000-0000E9740000}"/>
    <cellStyle name="Normal 394 3 3 3" xfId="30183" xr:uid="{00000000-0005-0000-0000-0000EA740000}"/>
    <cellStyle name="Normal 394 3 4" xfId="30184" xr:uid="{00000000-0005-0000-0000-0000EB740000}"/>
    <cellStyle name="Normal 394 3 4 2" xfId="30185" xr:uid="{00000000-0005-0000-0000-0000EC740000}"/>
    <cellStyle name="Normal 394 3 4 2 2" xfId="30186" xr:uid="{00000000-0005-0000-0000-0000ED740000}"/>
    <cellStyle name="Normal 394 3 4 3" xfId="30187" xr:uid="{00000000-0005-0000-0000-0000EE740000}"/>
    <cellStyle name="Normal 394 3 5" xfId="30188" xr:uid="{00000000-0005-0000-0000-0000EF740000}"/>
    <cellStyle name="Normal 394 3 5 2" xfId="30189" xr:uid="{00000000-0005-0000-0000-0000F0740000}"/>
    <cellStyle name="Normal 394 3 5 2 2" xfId="30190" xr:uid="{00000000-0005-0000-0000-0000F1740000}"/>
    <cellStyle name="Normal 394 3 5 3" xfId="30191" xr:uid="{00000000-0005-0000-0000-0000F2740000}"/>
    <cellStyle name="Normal 394 3 6" xfId="30192" xr:uid="{00000000-0005-0000-0000-0000F3740000}"/>
    <cellStyle name="Normal 394 4" xfId="30193" xr:uid="{00000000-0005-0000-0000-0000F4740000}"/>
    <cellStyle name="Normal 394 4 2" xfId="30194" xr:uid="{00000000-0005-0000-0000-0000F5740000}"/>
    <cellStyle name="Normal 394 4 2 2" xfId="30195" xr:uid="{00000000-0005-0000-0000-0000F6740000}"/>
    <cellStyle name="Normal 394 4 3" xfId="30196" xr:uid="{00000000-0005-0000-0000-0000F7740000}"/>
    <cellStyle name="Normal 394 5" xfId="30197" xr:uid="{00000000-0005-0000-0000-0000F8740000}"/>
    <cellStyle name="Normal 394 5 2" xfId="30198" xr:uid="{00000000-0005-0000-0000-0000F9740000}"/>
    <cellStyle name="Normal 394 5 2 2" xfId="30199" xr:uid="{00000000-0005-0000-0000-0000FA740000}"/>
    <cellStyle name="Normal 394 5 3" xfId="30200" xr:uid="{00000000-0005-0000-0000-0000FB740000}"/>
    <cellStyle name="Normal 394 6" xfId="30201" xr:uid="{00000000-0005-0000-0000-0000FC740000}"/>
    <cellStyle name="Normal 394 6 2" xfId="30202" xr:uid="{00000000-0005-0000-0000-0000FD740000}"/>
    <cellStyle name="Normal 394 6 2 2" xfId="30203" xr:uid="{00000000-0005-0000-0000-0000FE740000}"/>
    <cellStyle name="Normal 394 6 3" xfId="30204" xr:uid="{00000000-0005-0000-0000-0000FF740000}"/>
    <cellStyle name="Normal 394 7" xfId="30205" xr:uid="{00000000-0005-0000-0000-000000750000}"/>
    <cellStyle name="Normal 395" xfId="30206" xr:uid="{00000000-0005-0000-0000-000001750000}"/>
    <cellStyle name="Normal 395 2" xfId="30207" xr:uid="{00000000-0005-0000-0000-000002750000}"/>
    <cellStyle name="Normal 395 2 2" xfId="30208" xr:uid="{00000000-0005-0000-0000-000003750000}"/>
    <cellStyle name="Normal 395 2 2 2" xfId="30209" xr:uid="{00000000-0005-0000-0000-000004750000}"/>
    <cellStyle name="Normal 395 2 3" xfId="30210" xr:uid="{00000000-0005-0000-0000-000005750000}"/>
    <cellStyle name="Normal 395 2 3 2" xfId="30211" xr:uid="{00000000-0005-0000-0000-000006750000}"/>
    <cellStyle name="Normal 395 2 3 2 2" xfId="30212" xr:uid="{00000000-0005-0000-0000-000007750000}"/>
    <cellStyle name="Normal 395 2 3 3" xfId="30213" xr:uid="{00000000-0005-0000-0000-000008750000}"/>
    <cellStyle name="Normal 395 2 4" xfId="30214" xr:uid="{00000000-0005-0000-0000-000009750000}"/>
    <cellStyle name="Normal 395 2 4 2" xfId="30215" xr:uid="{00000000-0005-0000-0000-00000A750000}"/>
    <cellStyle name="Normal 395 2 4 2 2" xfId="30216" xr:uid="{00000000-0005-0000-0000-00000B750000}"/>
    <cellStyle name="Normal 395 2 4 3" xfId="30217" xr:uid="{00000000-0005-0000-0000-00000C750000}"/>
    <cellStyle name="Normal 395 2 5" xfId="30218" xr:uid="{00000000-0005-0000-0000-00000D750000}"/>
    <cellStyle name="Normal 395 3" xfId="30219" xr:uid="{00000000-0005-0000-0000-00000E750000}"/>
    <cellStyle name="Normal 395 3 2" xfId="30220" xr:uid="{00000000-0005-0000-0000-00000F750000}"/>
    <cellStyle name="Normal 395 3 2 2" xfId="30221" xr:uid="{00000000-0005-0000-0000-000010750000}"/>
    <cellStyle name="Normal 395 3 2 2 2" xfId="30222" xr:uid="{00000000-0005-0000-0000-000011750000}"/>
    <cellStyle name="Normal 395 3 2 3" xfId="30223" xr:uid="{00000000-0005-0000-0000-000012750000}"/>
    <cellStyle name="Normal 395 3 2 3 2" xfId="30224" xr:uid="{00000000-0005-0000-0000-000013750000}"/>
    <cellStyle name="Normal 395 3 2 3 2 2" xfId="30225" xr:uid="{00000000-0005-0000-0000-000014750000}"/>
    <cellStyle name="Normal 395 3 2 3 3" xfId="30226" xr:uid="{00000000-0005-0000-0000-000015750000}"/>
    <cellStyle name="Normal 395 3 2 4" xfId="30227" xr:uid="{00000000-0005-0000-0000-000016750000}"/>
    <cellStyle name="Normal 395 3 3" xfId="30228" xr:uid="{00000000-0005-0000-0000-000017750000}"/>
    <cellStyle name="Normal 395 3 3 2" xfId="30229" xr:uid="{00000000-0005-0000-0000-000018750000}"/>
    <cellStyle name="Normal 395 3 3 2 2" xfId="30230" xr:uid="{00000000-0005-0000-0000-000019750000}"/>
    <cellStyle name="Normal 395 3 3 3" xfId="30231" xr:uid="{00000000-0005-0000-0000-00001A750000}"/>
    <cellStyle name="Normal 395 3 4" xfId="30232" xr:uid="{00000000-0005-0000-0000-00001B750000}"/>
    <cellStyle name="Normal 395 3 4 2" xfId="30233" xr:uid="{00000000-0005-0000-0000-00001C750000}"/>
    <cellStyle name="Normal 395 3 4 2 2" xfId="30234" xr:uid="{00000000-0005-0000-0000-00001D750000}"/>
    <cellStyle name="Normal 395 3 4 3" xfId="30235" xr:uid="{00000000-0005-0000-0000-00001E750000}"/>
    <cellStyle name="Normal 395 3 5" xfId="30236" xr:uid="{00000000-0005-0000-0000-00001F750000}"/>
    <cellStyle name="Normal 395 3 5 2" xfId="30237" xr:uid="{00000000-0005-0000-0000-000020750000}"/>
    <cellStyle name="Normal 395 3 5 2 2" xfId="30238" xr:uid="{00000000-0005-0000-0000-000021750000}"/>
    <cellStyle name="Normal 395 3 5 3" xfId="30239" xr:uid="{00000000-0005-0000-0000-000022750000}"/>
    <cellStyle name="Normal 395 3 6" xfId="30240" xr:uid="{00000000-0005-0000-0000-000023750000}"/>
    <cellStyle name="Normal 395 4" xfId="30241" xr:uid="{00000000-0005-0000-0000-000024750000}"/>
    <cellStyle name="Normal 395 4 2" xfId="30242" xr:uid="{00000000-0005-0000-0000-000025750000}"/>
    <cellStyle name="Normal 395 4 2 2" xfId="30243" xr:uid="{00000000-0005-0000-0000-000026750000}"/>
    <cellStyle name="Normal 395 4 3" xfId="30244" xr:uid="{00000000-0005-0000-0000-000027750000}"/>
    <cellStyle name="Normal 395 5" xfId="30245" xr:uid="{00000000-0005-0000-0000-000028750000}"/>
    <cellStyle name="Normal 395 5 2" xfId="30246" xr:uid="{00000000-0005-0000-0000-000029750000}"/>
    <cellStyle name="Normal 395 5 2 2" xfId="30247" xr:uid="{00000000-0005-0000-0000-00002A750000}"/>
    <cellStyle name="Normal 395 5 3" xfId="30248" xr:uid="{00000000-0005-0000-0000-00002B750000}"/>
    <cellStyle name="Normal 395 6" xfId="30249" xr:uid="{00000000-0005-0000-0000-00002C750000}"/>
    <cellStyle name="Normal 395 6 2" xfId="30250" xr:uid="{00000000-0005-0000-0000-00002D750000}"/>
    <cellStyle name="Normal 395 6 2 2" xfId="30251" xr:uid="{00000000-0005-0000-0000-00002E750000}"/>
    <cellStyle name="Normal 395 6 3" xfId="30252" xr:uid="{00000000-0005-0000-0000-00002F750000}"/>
    <cellStyle name="Normal 395 7" xfId="30253" xr:uid="{00000000-0005-0000-0000-000030750000}"/>
    <cellStyle name="Normal 396" xfId="30254" xr:uid="{00000000-0005-0000-0000-000031750000}"/>
    <cellStyle name="Normal 396 2" xfId="30255" xr:uid="{00000000-0005-0000-0000-000032750000}"/>
    <cellStyle name="Normal 396 2 2" xfId="30256" xr:uid="{00000000-0005-0000-0000-000033750000}"/>
    <cellStyle name="Normal 396 2 2 2" xfId="30257" xr:uid="{00000000-0005-0000-0000-000034750000}"/>
    <cellStyle name="Normal 396 2 3" xfId="30258" xr:uid="{00000000-0005-0000-0000-000035750000}"/>
    <cellStyle name="Normal 396 2 3 2" xfId="30259" xr:uid="{00000000-0005-0000-0000-000036750000}"/>
    <cellStyle name="Normal 396 2 3 2 2" xfId="30260" xr:uid="{00000000-0005-0000-0000-000037750000}"/>
    <cellStyle name="Normal 396 2 3 3" xfId="30261" xr:uid="{00000000-0005-0000-0000-000038750000}"/>
    <cellStyle name="Normal 396 2 4" xfId="30262" xr:uid="{00000000-0005-0000-0000-000039750000}"/>
    <cellStyle name="Normal 396 2 4 2" xfId="30263" xr:uid="{00000000-0005-0000-0000-00003A750000}"/>
    <cellStyle name="Normal 396 2 4 2 2" xfId="30264" xr:uid="{00000000-0005-0000-0000-00003B750000}"/>
    <cellStyle name="Normal 396 2 4 3" xfId="30265" xr:uid="{00000000-0005-0000-0000-00003C750000}"/>
    <cellStyle name="Normal 396 2 5" xfId="30266" xr:uid="{00000000-0005-0000-0000-00003D750000}"/>
    <cellStyle name="Normal 396 3" xfId="30267" xr:uid="{00000000-0005-0000-0000-00003E750000}"/>
    <cellStyle name="Normal 396 3 2" xfId="30268" xr:uid="{00000000-0005-0000-0000-00003F750000}"/>
    <cellStyle name="Normal 396 3 2 2" xfId="30269" xr:uid="{00000000-0005-0000-0000-000040750000}"/>
    <cellStyle name="Normal 396 3 2 2 2" xfId="30270" xr:uid="{00000000-0005-0000-0000-000041750000}"/>
    <cellStyle name="Normal 396 3 2 3" xfId="30271" xr:uid="{00000000-0005-0000-0000-000042750000}"/>
    <cellStyle name="Normal 396 3 2 3 2" xfId="30272" xr:uid="{00000000-0005-0000-0000-000043750000}"/>
    <cellStyle name="Normal 396 3 2 3 2 2" xfId="30273" xr:uid="{00000000-0005-0000-0000-000044750000}"/>
    <cellStyle name="Normal 396 3 2 3 3" xfId="30274" xr:uid="{00000000-0005-0000-0000-000045750000}"/>
    <cellStyle name="Normal 396 3 2 4" xfId="30275" xr:uid="{00000000-0005-0000-0000-000046750000}"/>
    <cellStyle name="Normal 396 3 3" xfId="30276" xr:uid="{00000000-0005-0000-0000-000047750000}"/>
    <cellStyle name="Normal 396 3 3 2" xfId="30277" xr:uid="{00000000-0005-0000-0000-000048750000}"/>
    <cellStyle name="Normal 396 3 3 2 2" xfId="30278" xr:uid="{00000000-0005-0000-0000-000049750000}"/>
    <cellStyle name="Normal 396 3 3 3" xfId="30279" xr:uid="{00000000-0005-0000-0000-00004A750000}"/>
    <cellStyle name="Normal 396 3 4" xfId="30280" xr:uid="{00000000-0005-0000-0000-00004B750000}"/>
    <cellStyle name="Normal 396 3 4 2" xfId="30281" xr:uid="{00000000-0005-0000-0000-00004C750000}"/>
    <cellStyle name="Normal 396 3 4 2 2" xfId="30282" xr:uid="{00000000-0005-0000-0000-00004D750000}"/>
    <cellStyle name="Normal 396 3 4 3" xfId="30283" xr:uid="{00000000-0005-0000-0000-00004E750000}"/>
    <cellStyle name="Normal 396 3 5" xfId="30284" xr:uid="{00000000-0005-0000-0000-00004F750000}"/>
    <cellStyle name="Normal 396 3 5 2" xfId="30285" xr:uid="{00000000-0005-0000-0000-000050750000}"/>
    <cellStyle name="Normal 396 3 5 2 2" xfId="30286" xr:uid="{00000000-0005-0000-0000-000051750000}"/>
    <cellStyle name="Normal 396 3 5 3" xfId="30287" xr:uid="{00000000-0005-0000-0000-000052750000}"/>
    <cellStyle name="Normal 396 3 6" xfId="30288" xr:uid="{00000000-0005-0000-0000-000053750000}"/>
    <cellStyle name="Normal 396 4" xfId="30289" xr:uid="{00000000-0005-0000-0000-000054750000}"/>
    <cellStyle name="Normal 396 4 2" xfId="30290" xr:uid="{00000000-0005-0000-0000-000055750000}"/>
    <cellStyle name="Normal 396 4 2 2" xfId="30291" xr:uid="{00000000-0005-0000-0000-000056750000}"/>
    <cellStyle name="Normal 396 4 3" xfId="30292" xr:uid="{00000000-0005-0000-0000-000057750000}"/>
    <cellStyle name="Normal 396 5" xfId="30293" xr:uid="{00000000-0005-0000-0000-000058750000}"/>
    <cellStyle name="Normal 396 5 2" xfId="30294" xr:uid="{00000000-0005-0000-0000-000059750000}"/>
    <cellStyle name="Normal 396 5 2 2" xfId="30295" xr:uid="{00000000-0005-0000-0000-00005A750000}"/>
    <cellStyle name="Normal 396 5 3" xfId="30296" xr:uid="{00000000-0005-0000-0000-00005B750000}"/>
    <cellStyle name="Normal 396 6" xfId="30297" xr:uid="{00000000-0005-0000-0000-00005C750000}"/>
    <cellStyle name="Normal 396 6 2" xfId="30298" xr:uid="{00000000-0005-0000-0000-00005D750000}"/>
    <cellStyle name="Normal 396 6 2 2" xfId="30299" xr:uid="{00000000-0005-0000-0000-00005E750000}"/>
    <cellStyle name="Normal 396 6 3" xfId="30300" xr:uid="{00000000-0005-0000-0000-00005F750000}"/>
    <cellStyle name="Normal 396 7" xfId="30301" xr:uid="{00000000-0005-0000-0000-000060750000}"/>
    <cellStyle name="Normal 397" xfId="30302" xr:uid="{00000000-0005-0000-0000-000061750000}"/>
    <cellStyle name="Normal 397 2" xfId="30303" xr:uid="{00000000-0005-0000-0000-000062750000}"/>
    <cellStyle name="Normal 397 2 2" xfId="30304" xr:uid="{00000000-0005-0000-0000-000063750000}"/>
    <cellStyle name="Normal 397 2 2 2" xfId="30305" xr:uid="{00000000-0005-0000-0000-000064750000}"/>
    <cellStyle name="Normal 397 2 3" xfId="30306" xr:uid="{00000000-0005-0000-0000-000065750000}"/>
    <cellStyle name="Normal 397 2 3 2" xfId="30307" xr:uid="{00000000-0005-0000-0000-000066750000}"/>
    <cellStyle name="Normal 397 2 3 2 2" xfId="30308" xr:uid="{00000000-0005-0000-0000-000067750000}"/>
    <cellStyle name="Normal 397 2 3 3" xfId="30309" xr:uid="{00000000-0005-0000-0000-000068750000}"/>
    <cellStyle name="Normal 397 2 4" xfId="30310" xr:uid="{00000000-0005-0000-0000-000069750000}"/>
    <cellStyle name="Normal 397 2 4 2" xfId="30311" xr:uid="{00000000-0005-0000-0000-00006A750000}"/>
    <cellStyle name="Normal 397 2 4 2 2" xfId="30312" xr:uid="{00000000-0005-0000-0000-00006B750000}"/>
    <cellStyle name="Normal 397 2 4 3" xfId="30313" xr:uid="{00000000-0005-0000-0000-00006C750000}"/>
    <cellStyle name="Normal 397 2 5" xfId="30314" xr:uid="{00000000-0005-0000-0000-00006D750000}"/>
    <cellStyle name="Normal 397 3" xfId="30315" xr:uid="{00000000-0005-0000-0000-00006E750000}"/>
    <cellStyle name="Normal 397 3 2" xfId="30316" xr:uid="{00000000-0005-0000-0000-00006F750000}"/>
    <cellStyle name="Normal 397 3 2 2" xfId="30317" xr:uid="{00000000-0005-0000-0000-000070750000}"/>
    <cellStyle name="Normal 397 3 2 2 2" xfId="30318" xr:uid="{00000000-0005-0000-0000-000071750000}"/>
    <cellStyle name="Normal 397 3 2 3" xfId="30319" xr:uid="{00000000-0005-0000-0000-000072750000}"/>
    <cellStyle name="Normal 397 3 2 3 2" xfId="30320" xr:uid="{00000000-0005-0000-0000-000073750000}"/>
    <cellStyle name="Normal 397 3 2 3 2 2" xfId="30321" xr:uid="{00000000-0005-0000-0000-000074750000}"/>
    <cellStyle name="Normal 397 3 2 3 3" xfId="30322" xr:uid="{00000000-0005-0000-0000-000075750000}"/>
    <cellStyle name="Normal 397 3 2 4" xfId="30323" xr:uid="{00000000-0005-0000-0000-000076750000}"/>
    <cellStyle name="Normal 397 3 3" xfId="30324" xr:uid="{00000000-0005-0000-0000-000077750000}"/>
    <cellStyle name="Normal 397 3 3 2" xfId="30325" xr:uid="{00000000-0005-0000-0000-000078750000}"/>
    <cellStyle name="Normal 397 3 3 2 2" xfId="30326" xr:uid="{00000000-0005-0000-0000-000079750000}"/>
    <cellStyle name="Normal 397 3 3 3" xfId="30327" xr:uid="{00000000-0005-0000-0000-00007A750000}"/>
    <cellStyle name="Normal 397 3 4" xfId="30328" xr:uid="{00000000-0005-0000-0000-00007B750000}"/>
    <cellStyle name="Normal 397 3 4 2" xfId="30329" xr:uid="{00000000-0005-0000-0000-00007C750000}"/>
    <cellStyle name="Normal 397 3 4 2 2" xfId="30330" xr:uid="{00000000-0005-0000-0000-00007D750000}"/>
    <cellStyle name="Normal 397 3 4 3" xfId="30331" xr:uid="{00000000-0005-0000-0000-00007E750000}"/>
    <cellStyle name="Normal 397 3 5" xfId="30332" xr:uid="{00000000-0005-0000-0000-00007F750000}"/>
    <cellStyle name="Normal 397 3 5 2" xfId="30333" xr:uid="{00000000-0005-0000-0000-000080750000}"/>
    <cellStyle name="Normal 397 3 5 2 2" xfId="30334" xr:uid="{00000000-0005-0000-0000-000081750000}"/>
    <cellStyle name="Normal 397 3 5 3" xfId="30335" xr:uid="{00000000-0005-0000-0000-000082750000}"/>
    <cellStyle name="Normal 397 3 6" xfId="30336" xr:uid="{00000000-0005-0000-0000-000083750000}"/>
    <cellStyle name="Normal 397 4" xfId="30337" xr:uid="{00000000-0005-0000-0000-000084750000}"/>
    <cellStyle name="Normal 397 4 2" xfId="30338" xr:uid="{00000000-0005-0000-0000-000085750000}"/>
    <cellStyle name="Normal 397 4 2 2" xfId="30339" xr:uid="{00000000-0005-0000-0000-000086750000}"/>
    <cellStyle name="Normal 397 4 3" xfId="30340" xr:uid="{00000000-0005-0000-0000-000087750000}"/>
    <cellStyle name="Normal 397 5" xfId="30341" xr:uid="{00000000-0005-0000-0000-000088750000}"/>
    <cellStyle name="Normal 397 5 2" xfId="30342" xr:uid="{00000000-0005-0000-0000-000089750000}"/>
    <cellStyle name="Normal 397 5 2 2" xfId="30343" xr:uid="{00000000-0005-0000-0000-00008A750000}"/>
    <cellStyle name="Normal 397 5 3" xfId="30344" xr:uid="{00000000-0005-0000-0000-00008B750000}"/>
    <cellStyle name="Normal 397 6" xfId="30345" xr:uid="{00000000-0005-0000-0000-00008C750000}"/>
    <cellStyle name="Normal 397 6 2" xfId="30346" xr:uid="{00000000-0005-0000-0000-00008D750000}"/>
    <cellStyle name="Normal 397 6 2 2" xfId="30347" xr:uid="{00000000-0005-0000-0000-00008E750000}"/>
    <cellStyle name="Normal 397 6 3" xfId="30348" xr:uid="{00000000-0005-0000-0000-00008F750000}"/>
    <cellStyle name="Normal 397 7" xfId="30349" xr:uid="{00000000-0005-0000-0000-000090750000}"/>
    <cellStyle name="Normal 398" xfId="30350" xr:uid="{00000000-0005-0000-0000-000091750000}"/>
    <cellStyle name="Normal 398 2" xfId="30351" xr:uid="{00000000-0005-0000-0000-000092750000}"/>
    <cellStyle name="Normal 398 2 2" xfId="30352" xr:uid="{00000000-0005-0000-0000-000093750000}"/>
    <cellStyle name="Normal 398 2 2 2" xfId="30353" xr:uid="{00000000-0005-0000-0000-000094750000}"/>
    <cellStyle name="Normal 398 2 3" xfId="30354" xr:uid="{00000000-0005-0000-0000-000095750000}"/>
    <cellStyle name="Normal 398 2 3 2" xfId="30355" xr:uid="{00000000-0005-0000-0000-000096750000}"/>
    <cellStyle name="Normal 398 2 3 2 2" xfId="30356" xr:uid="{00000000-0005-0000-0000-000097750000}"/>
    <cellStyle name="Normal 398 2 3 3" xfId="30357" xr:uid="{00000000-0005-0000-0000-000098750000}"/>
    <cellStyle name="Normal 398 2 4" xfId="30358" xr:uid="{00000000-0005-0000-0000-000099750000}"/>
    <cellStyle name="Normal 398 2 4 2" xfId="30359" xr:uid="{00000000-0005-0000-0000-00009A750000}"/>
    <cellStyle name="Normal 398 2 4 2 2" xfId="30360" xr:uid="{00000000-0005-0000-0000-00009B750000}"/>
    <cellStyle name="Normal 398 2 4 3" xfId="30361" xr:uid="{00000000-0005-0000-0000-00009C750000}"/>
    <cellStyle name="Normal 398 2 5" xfId="30362" xr:uid="{00000000-0005-0000-0000-00009D750000}"/>
    <cellStyle name="Normal 398 3" xfId="30363" xr:uid="{00000000-0005-0000-0000-00009E750000}"/>
    <cellStyle name="Normal 398 3 2" xfId="30364" xr:uid="{00000000-0005-0000-0000-00009F750000}"/>
    <cellStyle name="Normal 398 3 2 2" xfId="30365" xr:uid="{00000000-0005-0000-0000-0000A0750000}"/>
    <cellStyle name="Normal 398 3 2 2 2" xfId="30366" xr:uid="{00000000-0005-0000-0000-0000A1750000}"/>
    <cellStyle name="Normal 398 3 2 3" xfId="30367" xr:uid="{00000000-0005-0000-0000-0000A2750000}"/>
    <cellStyle name="Normal 398 3 2 3 2" xfId="30368" xr:uid="{00000000-0005-0000-0000-0000A3750000}"/>
    <cellStyle name="Normal 398 3 2 3 2 2" xfId="30369" xr:uid="{00000000-0005-0000-0000-0000A4750000}"/>
    <cellStyle name="Normal 398 3 2 3 3" xfId="30370" xr:uid="{00000000-0005-0000-0000-0000A5750000}"/>
    <cellStyle name="Normal 398 3 2 4" xfId="30371" xr:uid="{00000000-0005-0000-0000-0000A6750000}"/>
    <cellStyle name="Normal 398 3 3" xfId="30372" xr:uid="{00000000-0005-0000-0000-0000A7750000}"/>
    <cellStyle name="Normal 398 3 3 2" xfId="30373" xr:uid="{00000000-0005-0000-0000-0000A8750000}"/>
    <cellStyle name="Normal 398 3 3 2 2" xfId="30374" xr:uid="{00000000-0005-0000-0000-0000A9750000}"/>
    <cellStyle name="Normal 398 3 3 3" xfId="30375" xr:uid="{00000000-0005-0000-0000-0000AA750000}"/>
    <cellStyle name="Normal 398 3 4" xfId="30376" xr:uid="{00000000-0005-0000-0000-0000AB750000}"/>
    <cellStyle name="Normal 398 3 4 2" xfId="30377" xr:uid="{00000000-0005-0000-0000-0000AC750000}"/>
    <cellStyle name="Normal 398 3 4 2 2" xfId="30378" xr:uid="{00000000-0005-0000-0000-0000AD750000}"/>
    <cellStyle name="Normal 398 3 4 3" xfId="30379" xr:uid="{00000000-0005-0000-0000-0000AE750000}"/>
    <cellStyle name="Normal 398 3 5" xfId="30380" xr:uid="{00000000-0005-0000-0000-0000AF750000}"/>
    <cellStyle name="Normal 398 3 5 2" xfId="30381" xr:uid="{00000000-0005-0000-0000-0000B0750000}"/>
    <cellStyle name="Normal 398 3 5 2 2" xfId="30382" xr:uid="{00000000-0005-0000-0000-0000B1750000}"/>
    <cellStyle name="Normal 398 3 5 3" xfId="30383" xr:uid="{00000000-0005-0000-0000-0000B2750000}"/>
    <cellStyle name="Normal 398 3 6" xfId="30384" xr:uid="{00000000-0005-0000-0000-0000B3750000}"/>
    <cellStyle name="Normal 398 4" xfId="30385" xr:uid="{00000000-0005-0000-0000-0000B4750000}"/>
    <cellStyle name="Normal 398 4 2" xfId="30386" xr:uid="{00000000-0005-0000-0000-0000B5750000}"/>
    <cellStyle name="Normal 398 4 2 2" xfId="30387" xr:uid="{00000000-0005-0000-0000-0000B6750000}"/>
    <cellStyle name="Normal 398 4 3" xfId="30388" xr:uid="{00000000-0005-0000-0000-0000B7750000}"/>
    <cellStyle name="Normal 398 5" xfId="30389" xr:uid="{00000000-0005-0000-0000-0000B8750000}"/>
    <cellStyle name="Normal 398 5 2" xfId="30390" xr:uid="{00000000-0005-0000-0000-0000B9750000}"/>
    <cellStyle name="Normal 398 5 2 2" xfId="30391" xr:uid="{00000000-0005-0000-0000-0000BA750000}"/>
    <cellStyle name="Normal 398 5 3" xfId="30392" xr:uid="{00000000-0005-0000-0000-0000BB750000}"/>
    <cellStyle name="Normal 398 6" xfId="30393" xr:uid="{00000000-0005-0000-0000-0000BC750000}"/>
    <cellStyle name="Normal 398 6 2" xfId="30394" xr:uid="{00000000-0005-0000-0000-0000BD750000}"/>
    <cellStyle name="Normal 398 6 2 2" xfId="30395" xr:uid="{00000000-0005-0000-0000-0000BE750000}"/>
    <cellStyle name="Normal 398 6 3" xfId="30396" xr:uid="{00000000-0005-0000-0000-0000BF750000}"/>
    <cellStyle name="Normal 398 7" xfId="30397" xr:uid="{00000000-0005-0000-0000-0000C0750000}"/>
    <cellStyle name="Normal 399" xfId="30398" xr:uid="{00000000-0005-0000-0000-0000C1750000}"/>
    <cellStyle name="Normal 399 2" xfId="30399" xr:uid="{00000000-0005-0000-0000-0000C2750000}"/>
    <cellStyle name="Normal 399 2 2" xfId="30400" xr:uid="{00000000-0005-0000-0000-0000C3750000}"/>
    <cellStyle name="Normal 399 2 2 2" xfId="30401" xr:uid="{00000000-0005-0000-0000-0000C4750000}"/>
    <cellStyle name="Normal 399 2 3" xfId="30402" xr:uid="{00000000-0005-0000-0000-0000C5750000}"/>
    <cellStyle name="Normal 399 2 3 2" xfId="30403" xr:uid="{00000000-0005-0000-0000-0000C6750000}"/>
    <cellStyle name="Normal 399 2 3 2 2" xfId="30404" xr:uid="{00000000-0005-0000-0000-0000C7750000}"/>
    <cellStyle name="Normal 399 2 3 3" xfId="30405" xr:uid="{00000000-0005-0000-0000-0000C8750000}"/>
    <cellStyle name="Normal 399 2 4" xfId="30406" xr:uid="{00000000-0005-0000-0000-0000C9750000}"/>
    <cellStyle name="Normal 399 2 4 2" xfId="30407" xr:uid="{00000000-0005-0000-0000-0000CA750000}"/>
    <cellStyle name="Normal 399 2 4 2 2" xfId="30408" xr:uid="{00000000-0005-0000-0000-0000CB750000}"/>
    <cellStyle name="Normal 399 2 4 3" xfId="30409" xr:uid="{00000000-0005-0000-0000-0000CC750000}"/>
    <cellStyle name="Normal 399 2 5" xfId="30410" xr:uid="{00000000-0005-0000-0000-0000CD750000}"/>
    <cellStyle name="Normal 399 3" xfId="30411" xr:uid="{00000000-0005-0000-0000-0000CE750000}"/>
    <cellStyle name="Normal 399 3 2" xfId="30412" xr:uid="{00000000-0005-0000-0000-0000CF750000}"/>
    <cellStyle name="Normal 399 3 2 2" xfId="30413" xr:uid="{00000000-0005-0000-0000-0000D0750000}"/>
    <cellStyle name="Normal 399 3 2 2 2" xfId="30414" xr:uid="{00000000-0005-0000-0000-0000D1750000}"/>
    <cellStyle name="Normal 399 3 2 3" xfId="30415" xr:uid="{00000000-0005-0000-0000-0000D2750000}"/>
    <cellStyle name="Normal 399 3 2 3 2" xfId="30416" xr:uid="{00000000-0005-0000-0000-0000D3750000}"/>
    <cellStyle name="Normal 399 3 2 3 2 2" xfId="30417" xr:uid="{00000000-0005-0000-0000-0000D4750000}"/>
    <cellStyle name="Normal 399 3 2 3 3" xfId="30418" xr:uid="{00000000-0005-0000-0000-0000D5750000}"/>
    <cellStyle name="Normal 399 3 2 4" xfId="30419" xr:uid="{00000000-0005-0000-0000-0000D6750000}"/>
    <cellStyle name="Normal 399 3 3" xfId="30420" xr:uid="{00000000-0005-0000-0000-0000D7750000}"/>
    <cellStyle name="Normal 399 3 3 2" xfId="30421" xr:uid="{00000000-0005-0000-0000-0000D8750000}"/>
    <cellStyle name="Normal 399 3 3 2 2" xfId="30422" xr:uid="{00000000-0005-0000-0000-0000D9750000}"/>
    <cellStyle name="Normal 399 3 3 3" xfId="30423" xr:uid="{00000000-0005-0000-0000-0000DA750000}"/>
    <cellStyle name="Normal 399 3 4" xfId="30424" xr:uid="{00000000-0005-0000-0000-0000DB750000}"/>
    <cellStyle name="Normal 399 3 4 2" xfId="30425" xr:uid="{00000000-0005-0000-0000-0000DC750000}"/>
    <cellStyle name="Normal 399 3 4 2 2" xfId="30426" xr:uid="{00000000-0005-0000-0000-0000DD750000}"/>
    <cellStyle name="Normal 399 3 4 3" xfId="30427" xr:uid="{00000000-0005-0000-0000-0000DE750000}"/>
    <cellStyle name="Normal 399 3 5" xfId="30428" xr:uid="{00000000-0005-0000-0000-0000DF750000}"/>
    <cellStyle name="Normal 399 3 5 2" xfId="30429" xr:uid="{00000000-0005-0000-0000-0000E0750000}"/>
    <cellStyle name="Normal 399 3 5 2 2" xfId="30430" xr:uid="{00000000-0005-0000-0000-0000E1750000}"/>
    <cellStyle name="Normal 399 3 5 3" xfId="30431" xr:uid="{00000000-0005-0000-0000-0000E2750000}"/>
    <cellStyle name="Normal 399 3 6" xfId="30432" xr:uid="{00000000-0005-0000-0000-0000E3750000}"/>
    <cellStyle name="Normal 399 4" xfId="30433" xr:uid="{00000000-0005-0000-0000-0000E4750000}"/>
    <cellStyle name="Normal 399 4 2" xfId="30434" xr:uid="{00000000-0005-0000-0000-0000E5750000}"/>
    <cellStyle name="Normal 399 4 2 2" xfId="30435" xr:uid="{00000000-0005-0000-0000-0000E6750000}"/>
    <cellStyle name="Normal 399 4 3" xfId="30436" xr:uid="{00000000-0005-0000-0000-0000E7750000}"/>
    <cellStyle name="Normal 399 5" xfId="30437" xr:uid="{00000000-0005-0000-0000-0000E8750000}"/>
    <cellStyle name="Normal 399 5 2" xfId="30438" xr:uid="{00000000-0005-0000-0000-0000E9750000}"/>
    <cellStyle name="Normal 399 5 2 2" xfId="30439" xr:uid="{00000000-0005-0000-0000-0000EA750000}"/>
    <cellStyle name="Normal 399 5 3" xfId="30440" xr:uid="{00000000-0005-0000-0000-0000EB750000}"/>
    <cellStyle name="Normal 399 6" xfId="30441" xr:uid="{00000000-0005-0000-0000-0000EC750000}"/>
    <cellStyle name="Normal 399 6 2" xfId="30442" xr:uid="{00000000-0005-0000-0000-0000ED750000}"/>
    <cellStyle name="Normal 399 6 2 2" xfId="30443" xr:uid="{00000000-0005-0000-0000-0000EE750000}"/>
    <cellStyle name="Normal 399 6 3" xfId="30444" xr:uid="{00000000-0005-0000-0000-0000EF750000}"/>
    <cellStyle name="Normal 399 7" xfId="30445" xr:uid="{00000000-0005-0000-0000-0000F0750000}"/>
    <cellStyle name="Normal 4" xfId="33" xr:uid="{00000000-0005-0000-0000-0000F1750000}"/>
    <cellStyle name="Normal 4 10" xfId="30446" xr:uid="{00000000-0005-0000-0000-0000F2750000}"/>
    <cellStyle name="Normal 4 10 2" xfId="30447" xr:uid="{00000000-0005-0000-0000-0000F3750000}"/>
    <cellStyle name="Normal 4 11" xfId="30448" xr:uid="{00000000-0005-0000-0000-0000F4750000}"/>
    <cellStyle name="Normal 4 12" xfId="30449" xr:uid="{00000000-0005-0000-0000-0000F5750000}"/>
    <cellStyle name="Normal 4 2" xfId="104" xr:uid="{00000000-0005-0000-0000-0000F6750000}"/>
    <cellStyle name="Normal 4 2 2" xfId="30450" xr:uid="{00000000-0005-0000-0000-0000F7750000}"/>
    <cellStyle name="Normal 4 2 2 2" xfId="30451" xr:uid="{00000000-0005-0000-0000-0000F8750000}"/>
    <cellStyle name="Normal 4 2 2 2 2" xfId="30452" xr:uid="{00000000-0005-0000-0000-0000F9750000}"/>
    <cellStyle name="Normal 4 2 2 3" xfId="30453" xr:uid="{00000000-0005-0000-0000-0000FA750000}"/>
    <cellStyle name="Normal 4 2 2 3 2" xfId="30454" xr:uid="{00000000-0005-0000-0000-0000FB750000}"/>
    <cellStyle name="Normal 4 2 2 3 2 2" xfId="30455" xr:uid="{00000000-0005-0000-0000-0000FC750000}"/>
    <cellStyle name="Normal 4 2 2 3 3" xfId="30456" xr:uid="{00000000-0005-0000-0000-0000FD750000}"/>
    <cellStyle name="Normal 4 2 2 4" xfId="30457" xr:uid="{00000000-0005-0000-0000-0000FE750000}"/>
    <cellStyle name="Normal 4 2 2 4 2" xfId="30458" xr:uid="{00000000-0005-0000-0000-0000FF750000}"/>
    <cellStyle name="Normal 4 2 2 4 2 2" xfId="30459" xr:uid="{00000000-0005-0000-0000-000000760000}"/>
    <cellStyle name="Normal 4 2 2 4 3" xfId="30460" xr:uid="{00000000-0005-0000-0000-000001760000}"/>
    <cellStyle name="Normal 4 2 2 5" xfId="30461" xr:uid="{00000000-0005-0000-0000-000002760000}"/>
    <cellStyle name="Normal 4 2 3" xfId="30462" xr:uid="{00000000-0005-0000-0000-000003760000}"/>
    <cellStyle name="Normal 4 2 3 2" xfId="30463" xr:uid="{00000000-0005-0000-0000-000004760000}"/>
    <cellStyle name="Normal 4 2 3 2 2" xfId="30464" xr:uid="{00000000-0005-0000-0000-000005760000}"/>
    <cellStyle name="Normal 4 2 3 2 2 2" xfId="30465" xr:uid="{00000000-0005-0000-0000-000006760000}"/>
    <cellStyle name="Normal 4 2 3 2 3" xfId="30466" xr:uid="{00000000-0005-0000-0000-000007760000}"/>
    <cellStyle name="Normal 4 2 3 2 3 2" xfId="30467" xr:uid="{00000000-0005-0000-0000-000008760000}"/>
    <cellStyle name="Normal 4 2 3 2 3 2 2" xfId="30468" xr:uid="{00000000-0005-0000-0000-000009760000}"/>
    <cellStyle name="Normal 4 2 3 2 3 3" xfId="30469" xr:uid="{00000000-0005-0000-0000-00000A760000}"/>
    <cellStyle name="Normal 4 2 3 2 4" xfId="30470" xr:uid="{00000000-0005-0000-0000-00000B760000}"/>
    <cellStyle name="Normal 4 2 3 3" xfId="30471" xr:uid="{00000000-0005-0000-0000-00000C760000}"/>
    <cellStyle name="Normal 4 2 3 3 2" xfId="30472" xr:uid="{00000000-0005-0000-0000-00000D760000}"/>
    <cellStyle name="Normal 4 2 3 3 2 2" xfId="30473" xr:uid="{00000000-0005-0000-0000-00000E760000}"/>
    <cellStyle name="Normal 4 2 3 3 3" xfId="30474" xr:uid="{00000000-0005-0000-0000-00000F760000}"/>
    <cellStyle name="Normal 4 2 3 4" xfId="30475" xr:uid="{00000000-0005-0000-0000-000010760000}"/>
    <cellStyle name="Normal 4 2 3 4 2" xfId="30476" xr:uid="{00000000-0005-0000-0000-000011760000}"/>
    <cellStyle name="Normal 4 2 3 4 2 2" xfId="30477" xr:uid="{00000000-0005-0000-0000-000012760000}"/>
    <cellStyle name="Normal 4 2 3 4 3" xfId="30478" xr:uid="{00000000-0005-0000-0000-000013760000}"/>
    <cellStyle name="Normal 4 2 3 5" xfId="30479" xr:uid="{00000000-0005-0000-0000-000014760000}"/>
    <cellStyle name="Normal 4 2 3 5 2" xfId="30480" xr:uid="{00000000-0005-0000-0000-000015760000}"/>
    <cellStyle name="Normal 4 2 3 5 2 2" xfId="30481" xr:uid="{00000000-0005-0000-0000-000016760000}"/>
    <cellStyle name="Normal 4 2 3 5 3" xfId="30482" xr:uid="{00000000-0005-0000-0000-000017760000}"/>
    <cellStyle name="Normal 4 2 3 6" xfId="30483" xr:uid="{00000000-0005-0000-0000-000018760000}"/>
    <cellStyle name="Normal 4 2 4" xfId="30484" xr:uid="{00000000-0005-0000-0000-000019760000}"/>
    <cellStyle name="Normal 4 2 4 2" xfId="30485" xr:uid="{00000000-0005-0000-0000-00001A760000}"/>
    <cellStyle name="Normal 4 2 4 2 2" xfId="30486" xr:uid="{00000000-0005-0000-0000-00001B760000}"/>
    <cellStyle name="Normal 4 2 4 3" xfId="30487" xr:uid="{00000000-0005-0000-0000-00001C760000}"/>
    <cellStyle name="Normal 4 2 5" xfId="30488" xr:uid="{00000000-0005-0000-0000-00001D760000}"/>
    <cellStyle name="Normal 4 2 5 2" xfId="30489" xr:uid="{00000000-0005-0000-0000-00001E760000}"/>
    <cellStyle name="Normal 4 2 5 2 2" xfId="30490" xr:uid="{00000000-0005-0000-0000-00001F760000}"/>
    <cellStyle name="Normal 4 2 5 3" xfId="30491" xr:uid="{00000000-0005-0000-0000-000020760000}"/>
    <cellStyle name="Normal 4 2 6" xfId="30492" xr:uid="{00000000-0005-0000-0000-000021760000}"/>
    <cellStyle name="Normal 4 2 6 2" xfId="30493" xr:uid="{00000000-0005-0000-0000-000022760000}"/>
    <cellStyle name="Normal 4 2 6 2 2" xfId="30494" xr:uid="{00000000-0005-0000-0000-000023760000}"/>
    <cellStyle name="Normal 4 2 6 3" xfId="30495" xr:uid="{00000000-0005-0000-0000-000024760000}"/>
    <cellStyle name="Normal 4 2 7" xfId="30496" xr:uid="{00000000-0005-0000-0000-000025760000}"/>
    <cellStyle name="Normal 4 2 7 2" xfId="30497" xr:uid="{00000000-0005-0000-0000-000026760000}"/>
    <cellStyle name="Normal 4 2 8" xfId="30498" xr:uid="{00000000-0005-0000-0000-000027760000}"/>
    <cellStyle name="Normal 4 3" xfId="30499" xr:uid="{00000000-0005-0000-0000-000028760000}"/>
    <cellStyle name="Normal 4 3 2" xfId="30500" xr:uid="{00000000-0005-0000-0000-000029760000}"/>
    <cellStyle name="Normal 4 3 2 2" xfId="30501" xr:uid="{00000000-0005-0000-0000-00002A760000}"/>
    <cellStyle name="Normal 4 3 2 2 2" xfId="30502" xr:uid="{00000000-0005-0000-0000-00002B760000}"/>
    <cellStyle name="Normal 4 3 2 3" xfId="30503" xr:uid="{00000000-0005-0000-0000-00002C760000}"/>
    <cellStyle name="Normal 4 3 2 3 2" xfId="30504" xr:uid="{00000000-0005-0000-0000-00002D760000}"/>
    <cellStyle name="Normal 4 3 2 3 2 2" xfId="30505" xr:uid="{00000000-0005-0000-0000-00002E760000}"/>
    <cellStyle name="Normal 4 3 2 3 3" xfId="30506" xr:uid="{00000000-0005-0000-0000-00002F760000}"/>
    <cellStyle name="Normal 4 3 2 4" xfId="30507" xr:uid="{00000000-0005-0000-0000-000030760000}"/>
    <cellStyle name="Normal 4 3 2 4 2" xfId="30508" xr:uid="{00000000-0005-0000-0000-000031760000}"/>
    <cellStyle name="Normal 4 3 2 4 2 2" xfId="30509" xr:uid="{00000000-0005-0000-0000-000032760000}"/>
    <cellStyle name="Normal 4 3 2 4 3" xfId="30510" xr:uid="{00000000-0005-0000-0000-000033760000}"/>
    <cellStyle name="Normal 4 3 2 5" xfId="30511" xr:uid="{00000000-0005-0000-0000-000034760000}"/>
    <cellStyle name="Normal 4 3 3" xfId="30512" xr:uid="{00000000-0005-0000-0000-000035760000}"/>
    <cellStyle name="Normal 4 3 3 2" xfId="30513" xr:uid="{00000000-0005-0000-0000-000036760000}"/>
    <cellStyle name="Normal 4 3 3 2 2" xfId="30514" xr:uid="{00000000-0005-0000-0000-000037760000}"/>
    <cellStyle name="Normal 4 3 3 3" xfId="30515" xr:uid="{00000000-0005-0000-0000-000038760000}"/>
    <cellStyle name="Normal 4 3 4" xfId="30516" xr:uid="{00000000-0005-0000-0000-000039760000}"/>
    <cellStyle name="Normal 4 3 4 2" xfId="30517" xr:uid="{00000000-0005-0000-0000-00003A760000}"/>
    <cellStyle name="Normal 4 3 4 2 2" xfId="30518" xr:uid="{00000000-0005-0000-0000-00003B760000}"/>
    <cellStyle name="Normal 4 3 4 3" xfId="30519" xr:uid="{00000000-0005-0000-0000-00003C760000}"/>
    <cellStyle name="Normal 4 3 5" xfId="30520" xr:uid="{00000000-0005-0000-0000-00003D760000}"/>
    <cellStyle name="Normal 4 3 5 2" xfId="30521" xr:uid="{00000000-0005-0000-0000-00003E760000}"/>
    <cellStyle name="Normal 4 3 5 2 2" xfId="30522" xr:uid="{00000000-0005-0000-0000-00003F760000}"/>
    <cellStyle name="Normal 4 3 5 3" xfId="30523" xr:uid="{00000000-0005-0000-0000-000040760000}"/>
    <cellStyle name="Normal 4 3 6" xfId="30524" xr:uid="{00000000-0005-0000-0000-000041760000}"/>
    <cellStyle name="Normal 4 4" xfId="30525" xr:uid="{00000000-0005-0000-0000-000042760000}"/>
    <cellStyle name="Normal 4 4 2" xfId="30526" xr:uid="{00000000-0005-0000-0000-000043760000}"/>
    <cellStyle name="Normal 4 4 2 2" xfId="30527" xr:uid="{00000000-0005-0000-0000-000044760000}"/>
    <cellStyle name="Normal 4 4 2 2 2" xfId="30528" xr:uid="{00000000-0005-0000-0000-000045760000}"/>
    <cellStyle name="Normal 4 4 2 3" xfId="30529" xr:uid="{00000000-0005-0000-0000-000046760000}"/>
    <cellStyle name="Normal 4 4 2 3 2" xfId="30530" xr:uid="{00000000-0005-0000-0000-000047760000}"/>
    <cellStyle name="Normal 4 4 2 3 2 2" xfId="30531" xr:uid="{00000000-0005-0000-0000-000048760000}"/>
    <cellStyle name="Normal 4 4 2 3 3" xfId="30532" xr:uid="{00000000-0005-0000-0000-000049760000}"/>
    <cellStyle name="Normal 4 4 2 4" xfId="30533" xr:uid="{00000000-0005-0000-0000-00004A760000}"/>
    <cellStyle name="Normal 4 4 2 4 2" xfId="30534" xr:uid="{00000000-0005-0000-0000-00004B760000}"/>
    <cellStyle name="Normal 4 4 2 4 2 2" xfId="30535" xr:uid="{00000000-0005-0000-0000-00004C760000}"/>
    <cellStyle name="Normal 4 4 2 4 3" xfId="30536" xr:uid="{00000000-0005-0000-0000-00004D760000}"/>
    <cellStyle name="Normal 4 4 2 5" xfId="30537" xr:uid="{00000000-0005-0000-0000-00004E760000}"/>
    <cellStyle name="Normal 4 4 3" xfId="30538" xr:uid="{00000000-0005-0000-0000-00004F760000}"/>
    <cellStyle name="Normal 4 4 3 2" xfId="30539" xr:uid="{00000000-0005-0000-0000-000050760000}"/>
    <cellStyle name="Normal 4 4 3 2 2" xfId="30540" xr:uid="{00000000-0005-0000-0000-000051760000}"/>
    <cellStyle name="Normal 4 4 3 3" xfId="30541" xr:uid="{00000000-0005-0000-0000-000052760000}"/>
    <cellStyle name="Normal 4 4 4" xfId="30542" xr:uid="{00000000-0005-0000-0000-000053760000}"/>
    <cellStyle name="Normal 4 4 4 2" xfId="30543" xr:uid="{00000000-0005-0000-0000-000054760000}"/>
    <cellStyle name="Normal 4 4 4 2 2" xfId="30544" xr:uid="{00000000-0005-0000-0000-000055760000}"/>
    <cellStyle name="Normal 4 4 4 3" xfId="30545" xr:uid="{00000000-0005-0000-0000-000056760000}"/>
    <cellStyle name="Normal 4 4 5" xfId="30546" xr:uid="{00000000-0005-0000-0000-000057760000}"/>
    <cellStyle name="Normal 4 4 5 2" xfId="30547" xr:uid="{00000000-0005-0000-0000-000058760000}"/>
    <cellStyle name="Normal 4 4 5 2 2" xfId="30548" xr:uid="{00000000-0005-0000-0000-000059760000}"/>
    <cellStyle name="Normal 4 4 5 3" xfId="30549" xr:uid="{00000000-0005-0000-0000-00005A760000}"/>
    <cellStyle name="Normal 4 4 6" xfId="30550" xr:uid="{00000000-0005-0000-0000-00005B760000}"/>
    <cellStyle name="Normal 4 5" xfId="30551" xr:uid="{00000000-0005-0000-0000-00005C760000}"/>
    <cellStyle name="Normal 4 5 2" xfId="30552" xr:uid="{00000000-0005-0000-0000-00005D760000}"/>
    <cellStyle name="Normal 4 5 2 2" xfId="30553" xr:uid="{00000000-0005-0000-0000-00005E760000}"/>
    <cellStyle name="Normal 4 5 3" xfId="30554" xr:uid="{00000000-0005-0000-0000-00005F760000}"/>
    <cellStyle name="Normal 4 5 3 2" xfId="30555" xr:uid="{00000000-0005-0000-0000-000060760000}"/>
    <cellStyle name="Normal 4 5 3 2 2" xfId="30556" xr:uid="{00000000-0005-0000-0000-000061760000}"/>
    <cellStyle name="Normal 4 5 3 3" xfId="30557" xr:uid="{00000000-0005-0000-0000-000062760000}"/>
    <cellStyle name="Normal 4 5 4" xfId="30558" xr:uid="{00000000-0005-0000-0000-000063760000}"/>
    <cellStyle name="Normal 4 5 4 2" xfId="30559" xr:uid="{00000000-0005-0000-0000-000064760000}"/>
    <cellStyle name="Normal 4 5 4 2 2" xfId="30560" xr:uid="{00000000-0005-0000-0000-000065760000}"/>
    <cellStyle name="Normal 4 5 4 3" xfId="30561" xr:uid="{00000000-0005-0000-0000-000066760000}"/>
    <cellStyle name="Normal 4 5 5" xfId="30562" xr:uid="{00000000-0005-0000-0000-000067760000}"/>
    <cellStyle name="Normal 4 6" xfId="30563" xr:uid="{00000000-0005-0000-0000-000068760000}"/>
    <cellStyle name="Normal 4 6 2" xfId="30564" xr:uid="{00000000-0005-0000-0000-000069760000}"/>
    <cellStyle name="Normal 4 6 2 2" xfId="30565" xr:uid="{00000000-0005-0000-0000-00006A760000}"/>
    <cellStyle name="Normal 4 6 3" xfId="30566" xr:uid="{00000000-0005-0000-0000-00006B760000}"/>
    <cellStyle name="Normal 4 6 3 2" xfId="30567" xr:uid="{00000000-0005-0000-0000-00006C760000}"/>
    <cellStyle name="Normal 4 6 3 2 2" xfId="30568" xr:uid="{00000000-0005-0000-0000-00006D760000}"/>
    <cellStyle name="Normal 4 6 3 3" xfId="30569" xr:uid="{00000000-0005-0000-0000-00006E760000}"/>
    <cellStyle name="Normal 4 6 4" xfId="30570" xr:uid="{00000000-0005-0000-0000-00006F760000}"/>
    <cellStyle name="Normal 4 6 4 2" xfId="30571" xr:uid="{00000000-0005-0000-0000-000070760000}"/>
    <cellStyle name="Normal 4 6 4 2 2" xfId="30572" xr:uid="{00000000-0005-0000-0000-000071760000}"/>
    <cellStyle name="Normal 4 6 4 3" xfId="30573" xr:uid="{00000000-0005-0000-0000-000072760000}"/>
    <cellStyle name="Normal 4 6 5" xfId="30574" xr:uid="{00000000-0005-0000-0000-000073760000}"/>
    <cellStyle name="Normal 4 7" xfId="30575" xr:uid="{00000000-0005-0000-0000-000074760000}"/>
    <cellStyle name="Normal 4 7 2" xfId="30576" xr:uid="{00000000-0005-0000-0000-000075760000}"/>
    <cellStyle name="Normal 4 7 2 2" xfId="30577" xr:uid="{00000000-0005-0000-0000-000076760000}"/>
    <cellStyle name="Normal 4 7 3" xfId="30578" xr:uid="{00000000-0005-0000-0000-000077760000}"/>
    <cellStyle name="Normal 4 8" xfId="30579" xr:uid="{00000000-0005-0000-0000-000078760000}"/>
    <cellStyle name="Normal 4 8 2" xfId="30580" xr:uid="{00000000-0005-0000-0000-000079760000}"/>
    <cellStyle name="Normal 4 8 2 2" xfId="30581" xr:uid="{00000000-0005-0000-0000-00007A760000}"/>
    <cellStyle name="Normal 4 8 3" xfId="30582" xr:uid="{00000000-0005-0000-0000-00007B760000}"/>
    <cellStyle name="Normal 4 9" xfId="30583" xr:uid="{00000000-0005-0000-0000-00007C760000}"/>
    <cellStyle name="Normal 4 9 2" xfId="30584" xr:uid="{00000000-0005-0000-0000-00007D760000}"/>
    <cellStyle name="Normal 4 9 2 2" xfId="30585" xr:uid="{00000000-0005-0000-0000-00007E760000}"/>
    <cellStyle name="Normal 4 9 3" xfId="30586" xr:uid="{00000000-0005-0000-0000-00007F760000}"/>
    <cellStyle name="Normal 40" xfId="30587" xr:uid="{00000000-0005-0000-0000-000080760000}"/>
    <cellStyle name="Normal 40 2" xfId="30588" xr:uid="{00000000-0005-0000-0000-000081760000}"/>
    <cellStyle name="Normal 40 2 2" xfId="30589" xr:uid="{00000000-0005-0000-0000-000082760000}"/>
    <cellStyle name="Normal 40 2 2 2" xfId="30590" xr:uid="{00000000-0005-0000-0000-000083760000}"/>
    <cellStyle name="Normal 40 2 2 2 2" xfId="30591" xr:uid="{00000000-0005-0000-0000-000084760000}"/>
    <cellStyle name="Normal 40 2 2 3" xfId="30592" xr:uid="{00000000-0005-0000-0000-000085760000}"/>
    <cellStyle name="Normal 40 2 2 3 2" xfId="30593" xr:uid="{00000000-0005-0000-0000-000086760000}"/>
    <cellStyle name="Normal 40 2 2 3 2 2" xfId="30594" xr:uid="{00000000-0005-0000-0000-000087760000}"/>
    <cellStyle name="Normal 40 2 2 3 3" xfId="30595" xr:uid="{00000000-0005-0000-0000-000088760000}"/>
    <cellStyle name="Normal 40 2 2 4" xfId="30596" xr:uid="{00000000-0005-0000-0000-000089760000}"/>
    <cellStyle name="Normal 40 2 2 4 2" xfId="30597" xr:uid="{00000000-0005-0000-0000-00008A760000}"/>
    <cellStyle name="Normal 40 2 2 4 2 2" xfId="30598" xr:uid="{00000000-0005-0000-0000-00008B760000}"/>
    <cellStyle name="Normal 40 2 2 4 3" xfId="30599" xr:uid="{00000000-0005-0000-0000-00008C760000}"/>
    <cellStyle name="Normal 40 2 2 5" xfId="30600" xr:uid="{00000000-0005-0000-0000-00008D760000}"/>
    <cellStyle name="Normal 40 2 3" xfId="30601" xr:uid="{00000000-0005-0000-0000-00008E760000}"/>
    <cellStyle name="Normal 40 2 3 2" xfId="30602" xr:uid="{00000000-0005-0000-0000-00008F760000}"/>
    <cellStyle name="Normal 40 2 3 2 2" xfId="30603" xr:uid="{00000000-0005-0000-0000-000090760000}"/>
    <cellStyle name="Normal 40 2 3 3" xfId="30604" xr:uid="{00000000-0005-0000-0000-000091760000}"/>
    <cellStyle name="Normal 40 2 4" xfId="30605" xr:uid="{00000000-0005-0000-0000-000092760000}"/>
    <cellStyle name="Normal 40 2 4 2" xfId="30606" xr:uid="{00000000-0005-0000-0000-000093760000}"/>
    <cellStyle name="Normal 40 2 4 2 2" xfId="30607" xr:uid="{00000000-0005-0000-0000-000094760000}"/>
    <cellStyle name="Normal 40 2 4 3" xfId="30608" xr:uid="{00000000-0005-0000-0000-000095760000}"/>
    <cellStyle name="Normal 40 2 5" xfId="30609" xr:uid="{00000000-0005-0000-0000-000096760000}"/>
    <cellStyle name="Normal 40 2 5 2" xfId="30610" xr:uid="{00000000-0005-0000-0000-000097760000}"/>
    <cellStyle name="Normal 40 2 5 2 2" xfId="30611" xr:uid="{00000000-0005-0000-0000-000098760000}"/>
    <cellStyle name="Normal 40 2 5 3" xfId="30612" xr:uid="{00000000-0005-0000-0000-000099760000}"/>
    <cellStyle name="Normal 40 2 6" xfId="30613" xr:uid="{00000000-0005-0000-0000-00009A760000}"/>
    <cellStyle name="Normal 40 3" xfId="30614" xr:uid="{00000000-0005-0000-0000-00009B760000}"/>
    <cellStyle name="Normal 40 3 2" xfId="30615" xr:uid="{00000000-0005-0000-0000-00009C760000}"/>
    <cellStyle name="Normal 40 3 2 2" xfId="30616" xr:uid="{00000000-0005-0000-0000-00009D760000}"/>
    <cellStyle name="Normal 40 3 3" xfId="30617" xr:uid="{00000000-0005-0000-0000-00009E760000}"/>
    <cellStyle name="Normal 40 3 3 2" xfId="30618" xr:uid="{00000000-0005-0000-0000-00009F760000}"/>
    <cellStyle name="Normal 40 3 3 2 2" xfId="30619" xr:uid="{00000000-0005-0000-0000-0000A0760000}"/>
    <cellStyle name="Normal 40 3 3 3" xfId="30620" xr:uid="{00000000-0005-0000-0000-0000A1760000}"/>
    <cellStyle name="Normal 40 3 4" xfId="30621" xr:uid="{00000000-0005-0000-0000-0000A2760000}"/>
    <cellStyle name="Normal 40 3 4 2" xfId="30622" xr:uid="{00000000-0005-0000-0000-0000A3760000}"/>
    <cellStyle name="Normal 40 3 4 2 2" xfId="30623" xr:uid="{00000000-0005-0000-0000-0000A4760000}"/>
    <cellStyle name="Normal 40 3 4 3" xfId="30624" xr:uid="{00000000-0005-0000-0000-0000A5760000}"/>
    <cellStyle name="Normal 40 3 5" xfId="30625" xr:uid="{00000000-0005-0000-0000-0000A6760000}"/>
    <cellStyle name="Normal 40 4" xfId="30626" xr:uid="{00000000-0005-0000-0000-0000A7760000}"/>
    <cellStyle name="Normal 40 4 2" xfId="30627" xr:uid="{00000000-0005-0000-0000-0000A8760000}"/>
    <cellStyle name="Normal 40 4 2 2" xfId="30628" xr:uid="{00000000-0005-0000-0000-0000A9760000}"/>
    <cellStyle name="Normal 40 4 3" xfId="30629" xr:uid="{00000000-0005-0000-0000-0000AA760000}"/>
    <cellStyle name="Normal 40 5" xfId="30630" xr:uid="{00000000-0005-0000-0000-0000AB760000}"/>
    <cellStyle name="Normal 40 5 2" xfId="30631" xr:uid="{00000000-0005-0000-0000-0000AC760000}"/>
    <cellStyle name="Normal 40 5 2 2" xfId="30632" xr:uid="{00000000-0005-0000-0000-0000AD760000}"/>
    <cellStyle name="Normal 40 5 3" xfId="30633" xr:uid="{00000000-0005-0000-0000-0000AE760000}"/>
    <cellStyle name="Normal 40 6" xfId="30634" xr:uid="{00000000-0005-0000-0000-0000AF760000}"/>
    <cellStyle name="Normal 40 6 2" xfId="30635" xr:uid="{00000000-0005-0000-0000-0000B0760000}"/>
    <cellStyle name="Normal 40 6 2 2" xfId="30636" xr:uid="{00000000-0005-0000-0000-0000B1760000}"/>
    <cellStyle name="Normal 40 6 3" xfId="30637" xr:uid="{00000000-0005-0000-0000-0000B2760000}"/>
    <cellStyle name="Normal 40 7" xfId="30638" xr:uid="{00000000-0005-0000-0000-0000B3760000}"/>
    <cellStyle name="Normal 400" xfId="30639" xr:uid="{00000000-0005-0000-0000-0000B4760000}"/>
    <cellStyle name="Normal 400 2" xfId="30640" xr:uid="{00000000-0005-0000-0000-0000B5760000}"/>
    <cellStyle name="Normal 400 2 2" xfId="30641" xr:uid="{00000000-0005-0000-0000-0000B6760000}"/>
    <cellStyle name="Normal 400 2 2 2" xfId="30642" xr:uid="{00000000-0005-0000-0000-0000B7760000}"/>
    <cellStyle name="Normal 400 2 3" xfId="30643" xr:uid="{00000000-0005-0000-0000-0000B8760000}"/>
    <cellStyle name="Normal 400 2 3 2" xfId="30644" xr:uid="{00000000-0005-0000-0000-0000B9760000}"/>
    <cellStyle name="Normal 400 2 3 2 2" xfId="30645" xr:uid="{00000000-0005-0000-0000-0000BA760000}"/>
    <cellStyle name="Normal 400 2 3 3" xfId="30646" xr:uid="{00000000-0005-0000-0000-0000BB760000}"/>
    <cellStyle name="Normal 400 2 4" xfId="30647" xr:uid="{00000000-0005-0000-0000-0000BC760000}"/>
    <cellStyle name="Normal 400 2 4 2" xfId="30648" xr:uid="{00000000-0005-0000-0000-0000BD760000}"/>
    <cellStyle name="Normal 400 2 4 2 2" xfId="30649" xr:uid="{00000000-0005-0000-0000-0000BE760000}"/>
    <cellStyle name="Normal 400 2 4 3" xfId="30650" xr:uid="{00000000-0005-0000-0000-0000BF760000}"/>
    <cellStyle name="Normal 400 2 5" xfId="30651" xr:uid="{00000000-0005-0000-0000-0000C0760000}"/>
    <cellStyle name="Normal 400 3" xfId="30652" xr:uid="{00000000-0005-0000-0000-0000C1760000}"/>
    <cellStyle name="Normal 400 3 2" xfId="30653" xr:uid="{00000000-0005-0000-0000-0000C2760000}"/>
    <cellStyle name="Normal 400 3 2 2" xfId="30654" xr:uid="{00000000-0005-0000-0000-0000C3760000}"/>
    <cellStyle name="Normal 400 3 2 2 2" xfId="30655" xr:uid="{00000000-0005-0000-0000-0000C4760000}"/>
    <cellStyle name="Normal 400 3 2 3" xfId="30656" xr:uid="{00000000-0005-0000-0000-0000C5760000}"/>
    <cellStyle name="Normal 400 3 2 3 2" xfId="30657" xr:uid="{00000000-0005-0000-0000-0000C6760000}"/>
    <cellStyle name="Normal 400 3 2 3 2 2" xfId="30658" xr:uid="{00000000-0005-0000-0000-0000C7760000}"/>
    <cellStyle name="Normal 400 3 2 3 3" xfId="30659" xr:uid="{00000000-0005-0000-0000-0000C8760000}"/>
    <cellStyle name="Normal 400 3 2 4" xfId="30660" xr:uid="{00000000-0005-0000-0000-0000C9760000}"/>
    <cellStyle name="Normal 400 3 3" xfId="30661" xr:uid="{00000000-0005-0000-0000-0000CA760000}"/>
    <cellStyle name="Normal 400 3 3 2" xfId="30662" xr:uid="{00000000-0005-0000-0000-0000CB760000}"/>
    <cellStyle name="Normal 400 3 3 2 2" xfId="30663" xr:uid="{00000000-0005-0000-0000-0000CC760000}"/>
    <cellStyle name="Normal 400 3 3 3" xfId="30664" xr:uid="{00000000-0005-0000-0000-0000CD760000}"/>
    <cellStyle name="Normal 400 3 4" xfId="30665" xr:uid="{00000000-0005-0000-0000-0000CE760000}"/>
    <cellStyle name="Normal 400 3 4 2" xfId="30666" xr:uid="{00000000-0005-0000-0000-0000CF760000}"/>
    <cellStyle name="Normal 400 3 4 2 2" xfId="30667" xr:uid="{00000000-0005-0000-0000-0000D0760000}"/>
    <cellStyle name="Normal 400 3 4 3" xfId="30668" xr:uid="{00000000-0005-0000-0000-0000D1760000}"/>
    <cellStyle name="Normal 400 3 5" xfId="30669" xr:uid="{00000000-0005-0000-0000-0000D2760000}"/>
    <cellStyle name="Normal 400 3 5 2" xfId="30670" xr:uid="{00000000-0005-0000-0000-0000D3760000}"/>
    <cellStyle name="Normal 400 3 5 2 2" xfId="30671" xr:uid="{00000000-0005-0000-0000-0000D4760000}"/>
    <cellStyle name="Normal 400 3 5 3" xfId="30672" xr:uid="{00000000-0005-0000-0000-0000D5760000}"/>
    <cellStyle name="Normal 400 3 6" xfId="30673" xr:uid="{00000000-0005-0000-0000-0000D6760000}"/>
    <cellStyle name="Normal 400 4" xfId="30674" xr:uid="{00000000-0005-0000-0000-0000D7760000}"/>
    <cellStyle name="Normal 400 4 2" xfId="30675" xr:uid="{00000000-0005-0000-0000-0000D8760000}"/>
    <cellStyle name="Normal 400 4 2 2" xfId="30676" xr:uid="{00000000-0005-0000-0000-0000D9760000}"/>
    <cellStyle name="Normal 400 4 3" xfId="30677" xr:uid="{00000000-0005-0000-0000-0000DA760000}"/>
    <cellStyle name="Normal 400 5" xfId="30678" xr:uid="{00000000-0005-0000-0000-0000DB760000}"/>
    <cellStyle name="Normal 400 5 2" xfId="30679" xr:uid="{00000000-0005-0000-0000-0000DC760000}"/>
    <cellStyle name="Normal 400 5 2 2" xfId="30680" xr:uid="{00000000-0005-0000-0000-0000DD760000}"/>
    <cellStyle name="Normal 400 5 3" xfId="30681" xr:uid="{00000000-0005-0000-0000-0000DE760000}"/>
    <cellStyle name="Normal 400 6" xfId="30682" xr:uid="{00000000-0005-0000-0000-0000DF760000}"/>
    <cellStyle name="Normal 400 6 2" xfId="30683" xr:uid="{00000000-0005-0000-0000-0000E0760000}"/>
    <cellStyle name="Normal 400 6 2 2" xfId="30684" xr:uid="{00000000-0005-0000-0000-0000E1760000}"/>
    <cellStyle name="Normal 400 6 3" xfId="30685" xr:uid="{00000000-0005-0000-0000-0000E2760000}"/>
    <cellStyle name="Normal 400 7" xfId="30686" xr:uid="{00000000-0005-0000-0000-0000E3760000}"/>
    <cellStyle name="Normal 401" xfId="30687" xr:uid="{00000000-0005-0000-0000-0000E4760000}"/>
    <cellStyle name="Normal 401 2" xfId="30688" xr:uid="{00000000-0005-0000-0000-0000E5760000}"/>
    <cellStyle name="Normal 401 2 2" xfId="30689" xr:uid="{00000000-0005-0000-0000-0000E6760000}"/>
    <cellStyle name="Normal 401 2 2 2" xfId="30690" xr:uid="{00000000-0005-0000-0000-0000E7760000}"/>
    <cellStyle name="Normal 401 2 3" xfId="30691" xr:uid="{00000000-0005-0000-0000-0000E8760000}"/>
    <cellStyle name="Normal 401 2 3 2" xfId="30692" xr:uid="{00000000-0005-0000-0000-0000E9760000}"/>
    <cellStyle name="Normal 401 2 3 2 2" xfId="30693" xr:uid="{00000000-0005-0000-0000-0000EA760000}"/>
    <cellStyle name="Normal 401 2 3 3" xfId="30694" xr:uid="{00000000-0005-0000-0000-0000EB760000}"/>
    <cellStyle name="Normal 401 2 4" xfId="30695" xr:uid="{00000000-0005-0000-0000-0000EC760000}"/>
    <cellStyle name="Normal 401 2 4 2" xfId="30696" xr:uid="{00000000-0005-0000-0000-0000ED760000}"/>
    <cellStyle name="Normal 401 2 4 2 2" xfId="30697" xr:uid="{00000000-0005-0000-0000-0000EE760000}"/>
    <cellStyle name="Normal 401 2 4 3" xfId="30698" xr:uid="{00000000-0005-0000-0000-0000EF760000}"/>
    <cellStyle name="Normal 401 2 5" xfId="30699" xr:uid="{00000000-0005-0000-0000-0000F0760000}"/>
    <cellStyle name="Normal 401 3" xfId="30700" xr:uid="{00000000-0005-0000-0000-0000F1760000}"/>
    <cellStyle name="Normal 401 3 2" xfId="30701" xr:uid="{00000000-0005-0000-0000-0000F2760000}"/>
    <cellStyle name="Normal 401 3 2 2" xfId="30702" xr:uid="{00000000-0005-0000-0000-0000F3760000}"/>
    <cellStyle name="Normal 401 3 2 2 2" xfId="30703" xr:uid="{00000000-0005-0000-0000-0000F4760000}"/>
    <cellStyle name="Normal 401 3 2 3" xfId="30704" xr:uid="{00000000-0005-0000-0000-0000F5760000}"/>
    <cellStyle name="Normal 401 3 2 3 2" xfId="30705" xr:uid="{00000000-0005-0000-0000-0000F6760000}"/>
    <cellStyle name="Normal 401 3 2 3 2 2" xfId="30706" xr:uid="{00000000-0005-0000-0000-0000F7760000}"/>
    <cellStyle name="Normal 401 3 2 3 3" xfId="30707" xr:uid="{00000000-0005-0000-0000-0000F8760000}"/>
    <cellStyle name="Normal 401 3 2 4" xfId="30708" xr:uid="{00000000-0005-0000-0000-0000F9760000}"/>
    <cellStyle name="Normal 401 3 3" xfId="30709" xr:uid="{00000000-0005-0000-0000-0000FA760000}"/>
    <cellStyle name="Normal 401 3 3 2" xfId="30710" xr:uid="{00000000-0005-0000-0000-0000FB760000}"/>
    <cellStyle name="Normal 401 3 3 2 2" xfId="30711" xr:uid="{00000000-0005-0000-0000-0000FC760000}"/>
    <cellStyle name="Normal 401 3 3 3" xfId="30712" xr:uid="{00000000-0005-0000-0000-0000FD760000}"/>
    <cellStyle name="Normal 401 3 4" xfId="30713" xr:uid="{00000000-0005-0000-0000-0000FE760000}"/>
    <cellStyle name="Normal 401 3 4 2" xfId="30714" xr:uid="{00000000-0005-0000-0000-0000FF760000}"/>
    <cellStyle name="Normal 401 3 4 2 2" xfId="30715" xr:uid="{00000000-0005-0000-0000-000000770000}"/>
    <cellStyle name="Normal 401 3 4 3" xfId="30716" xr:uid="{00000000-0005-0000-0000-000001770000}"/>
    <cellStyle name="Normal 401 3 5" xfId="30717" xr:uid="{00000000-0005-0000-0000-000002770000}"/>
    <cellStyle name="Normal 401 3 5 2" xfId="30718" xr:uid="{00000000-0005-0000-0000-000003770000}"/>
    <cellStyle name="Normal 401 3 5 2 2" xfId="30719" xr:uid="{00000000-0005-0000-0000-000004770000}"/>
    <cellStyle name="Normal 401 3 5 3" xfId="30720" xr:uid="{00000000-0005-0000-0000-000005770000}"/>
    <cellStyle name="Normal 401 3 6" xfId="30721" xr:uid="{00000000-0005-0000-0000-000006770000}"/>
    <cellStyle name="Normal 401 4" xfId="30722" xr:uid="{00000000-0005-0000-0000-000007770000}"/>
    <cellStyle name="Normal 401 4 2" xfId="30723" xr:uid="{00000000-0005-0000-0000-000008770000}"/>
    <cellStyle name="Normal 401 4 2 2" xfId="30724" xr:uid="{00000000-0005-0000-0000-000009770000}"/>
    <cellStyle name="Normal 401 4 3" xfId="30725" xr:uid="{00000000-0005-0000-0000-00000A770000}"/>
    <cellStyle name="Normal 401 5" xfId="30726" xr:uid="{00000000-0005-0000-0000-00000B770000}"/>
    <cellStyle name="Normal 401 5 2" xfId="30727" xr:uid="{00000000-0005-0000-0000-00000C770000}"/>
    <cellStyle name="Normal 401 5 2 2" xfId="30728" xr:uid="{00000000-0005-0000-0000-00000D770000}"/>
    <cellStyle name="Normal 401 5 3" xfId="30729" xr:uid="{00000000-0005-0000-0000-00000E770000}"/>
    <cellStyle name="Normal 401 6" xfId="30730" xr:uid="{00000000-0005-0000-0000-00000F770000}"/>
    <cellStyle name="Normal 401 6 2" xfId="30731" xr:uid="{00000000-0005-0000-0000-000010770000}"/>
    <cellStyle name="Normal 401 6 2 2" xfId="30732" xr:uid="{00000000-0005-0000-0000-000011770000}"/>
    <cellStyle name="Normal 401 6 3" xfId="30733" xr:uid="{00000000-0005-0000-0000-000012770000}"/>
    <cellStyle name="Normal 401 7" xfId="30734" xr:uid="{00000000-0005-0000-0000-000013770000}"/>
    <cellStyle name="Normal 402" xfId="30735" xr:uid="{00000000-0005-0000-0000-000014770000}"/>
    <cellStyle name="Normal 402 2" xfId="30736" xr:uid="{00000000-0005-0000-0000-000015770000}"/>
    <cellStyle name="Normal 402 2 2" xfId="30737" xr:uid="{00000000-0005-0000-0000-000016770000}"/>
    <cellStyle name="Normal 402 2 2 2" xfId="30738" xr:uid="{00000000-0005-0000-0000-000017770000}"/>
    <cellStyle name="Normal 402 2 3" xfId="30739" xr:uid="{00000000-0005-0000-0000-000018770000}"/>
    <cellStyle name="Normal 402 2 3 2" xfId="30740" xr:uid="{00000000-0005-0000-0000-000019770000}"/>
    <cellStyle name="Normal 402 2 3 2 2" xfId="30741" xr:uid="{00000000-0005-0000-0000-00001A770000}"/>
    <cellStyle name="Normal 402 2 3 3" xfId="30742" xr:uid="{00000000-0005-0000-0000-00001B770000}"/>
    <cellStyle name="Normal 402 2 4" xfId="30743" xr:uid="{00000000-0005-0000-0000-00001C770000}"/>
    <cellStyle name="Normal 402 2 4 2" xfId="30744" xr:uid="{00000000-0005-0000-0000-00001D770000}"/>
    <cellStyle name="Normal 402 2 4 2 2" xfId="30745" xr:uid="{00000000-0005-0000-0000-00001E770000}"/>
    <cellStyle name="Normal 402 2 4 3" xfId="30746" xr:uid="{00000000-0005-0000-0000-00001F770000}"/>
    <cellStyle name="Normal 402 2 5" xfId="30747" xr:uid="{00000000-0005-0000-0000-000020770000}"/>
    <cellStyle name="Normal 402 3" xfId="30748" xr:uid="{00000000-0005-0000-0000-000021770000}"/>
    <cellStyle name="Normal 402 3 2" xfId="30749" xr:uid="{00000000-0005-0000-0000-000022770000}"/>
    <cellStyle name="Normal 402 3 2 2" xfId="30750" xr:uid="{00000000-0005-0000-0000-000023770000}"/>
    <cellStyle name="Normal 402 3 2 2 2" xfId="30751" xr:uid="{00000000-0005-0000-0000-000024770000}"/>
    <cellStyle name="Normal 402 3 2 3" xfId="30752" xr:uid="{00000000-0005-0000-0000-000025770000}"/>
    <cellStyle name="Normal 402 3 2 3 2" xfId="30753" xr:uid="{00000000-0005-0000-0000-000026770000}"/>
    <cellStyle name="Normal 402 3 2 3 2 2" xfId="30754" xr:uid="{00000000-0005-0000-0000-000027770000}"/>
    <cellStyle name="Normal 402 3 2 3 3" xfId="30755" xr:uid="{00000000-0005-0000-0000-000028770000}"/>
    <cellStyle name="Normal 402 3 2 4" xfId="30756" xr:uid="{00000000-0005-0000-0000-000029770000}"/>
    <cellStyle name="Normal 402 3 3" xfId="30757" xr:uid="{00000000-0005-0000-0000-00002A770000}"/>
    <cellStyle name="Normal 402 3 3 2" xfId="30758" xr:uid="{00000000-0005-0000-0000-00002B770000}"/>
    <cellStyle name="Normal 402 3 3 2 2" xfId="30759" xr:uid="{00000000-0005-0000-0000-00002C770000}"/>
    <cellStyle name="Normal 402 3 3 3" xfId="30760" xr:uid="{00000000-0005-0000-0000-00002D770000}"/>
    <cellStyle name="Normal 402 3 4" xfId="30761" xr:uid="{00000000-0005-0000-0000-00002E770000}"/>
    <cellStyle name="Normal 402 3 4 2" xfId="30762" xr:uid="{00000000-0005-0000-0000-00002F770000}"/>
    <cellStyle name="Normal 402 3 4 2 2" xfId="30763" xr:uid="{00000000-0005-0000-0000-000030770000}"/>
    <cellStyle name="Normal 402 3 4 3" xfId="30764" xr:uid="{00000000-0005-0000-0000-000031770000}"/>
    <cellStyle name="Normal 402 3 5" xfId="30765" xr:uid="{00000000-0005-0000-0000-000032770000}"/>
    <cellStyle name="Normal 402 3 5 2" xfId="30766" xr:uid="{00000000-0005-0000-0000-000033770000}"/>
    <cellStyle name="Normal 402 3 5 2 2" xfId="30767" xr:uid="{00000000-0005-0000-0000-000034770000}"/>
    <cellStyle name="Normal 402 3 5 3" xfId="30768" xr:uid="{00000000-0005-0000-0000-000035770000}"/>
    <cellStyle name="Normal 402 3 6" xfId="30769" xr:uid="{00000000-0005-0000-0000-000036770000}"/>
    <cellStyle name="Normal 402 4" xfId="30770" xr:uid="{00000000-0005-0000-0000-000037770000}"/>
    <cellStyle name="Normal 402 4 2" xfId="30771" xr:uid="{00000000-0005-0000-0000-000038770000}"/>
    <cellStyle name="Normal 402 4 2 2" xfId="30772" xr:uid="{00000000-0005-0000-0000-000039770000}"/>
    <cellStyle name="Normal 402 4 3" xfId="30773" xr:uid="{00000000-0005-0000-0000-00003A770000}"/>
    <cellStyle name="Normal 402 5" xfId="30774" xr:uid="{00000000-0005-0000-0000-00003B770000}"/>
    <cellStyle name="Normal 402 5 2" xfId="30775" xr:uid="{00000000-0005-0000-0000-00003C770000}"/>
    <cellStyle name="Normal 402 5 2 2" xfId="30776" xr:uid="{00000000-0005-0000-0000-00003D770000}"/>
    <cellStyle name="Normal 402 5 3" xfId="30777" xr:uid="{00000000-0005-0000-0000-00003E770000}"/>
    <cellStyle name="Normal 402 6" xfId="30778" xr:uid="{00000000-0005-0000-0000-00003F770000}"/>
    <cellStyle name="Normal 402 6 2" xfId="30779" xr:uid="{00000000-0005-0000-0000-000040770000}"/>
    <cellStyle name="Normal 402 6 2 2" xfId="30780" xr:uid="{00000000-0005-0000-0000-000041770000}"/>
    <cellStyle name="Normal 402 6 3" xfId="30781" xr:uid="{00000000-0005-0000-0000-000042770000}"/>
    <cellStyle name="Normal 402 7" xfId="30782" xr:uid="{00000000-0005-0000-0000-000043770000}"/>
    <cellStyle name="Normal 403" xfId="30783" xr:uid="{00000000-0005-0000-0000-000044770000}"/>
    <cellStyle name="Normal 403 2" xfId="30784" xr:uid="{00000000-0005-0000-0000-000045770000}"/>
    <cellStyle name="Normal 403 2 2" xfId="30785" xr:uid="{00000000-0005-0000-0000-000046770000}"/>
    <cellStyle name="Normal 403 2 2 2" xfId="30786" xr:uid="{00000000-0005-0000-0000-000047770000}"/>
    <cellStyle name="Normal 403 2 3" xfId="30787" xr:uid="{00000000-0005-0000-0000-000048770000}"/>
    <cellStyle name="Normal 403 2 3 2" xfId="30788" xr:uid="{00000000-0005-0000-0000-000049770000}"/>
    <cellStyle name="Normal 403 2 3 2 2" xfId="30789" xr:uid="{00000000-0005-0000-0000-00004A770000}"/>
    <cellStyle name="Normal 403 2 3 3" xfId="30790" xr:uid="{00000000-0005-0000-0000-00004B770000}"/>
    <cellStyle name="Normal 403 2 4" xfId="30791" xr:uid="{00000000-0005-0000-0000-00004C770000}"/>
    <cellStyle name="Normal 403 2 4 2" xfId="30792" xr:uid="{00000000-0005-0000-0000-00004D770000}"/>
    <cellStyle name="Normal 403 2 4 2 2" xfId="30793" xr:uid="{00000000-0005-0000-0000-00004E770000}"/>
    <cellStyle name="Normal 403 2 4 3" xfId="30794" xr:uid="{00000000-0005-0000-0000-00004F770000}"/>
    <cellStyle name="Normal 403 2 5" xfId="30795" xr:uid="{00000000-0005-0000-0000-000050770000}"/>
    <cellStyle name="Normal 403 3" xfId="30796" xr:uid="{00000000-0005-0000-0000-000051770000}"/>
    <cellStyle name="Normal 403 3 2" xfId="30797" xr:uid="{00000000-0005-0000-0000-000052770000}"/>
    <cellStyle name="Normal 403 3 2 2" xfId="30798" xr:uid="{00000000-0005-0000-0000-000053770000}"/>
    <cellStyle name="Normal 403 3 2 2 2" xfId="30799" xr:uid="{00000000-0005-0000-0000-000054770000}"/>
    <cellStyle name="Normal 403 3 2 3" xfId="30800" xr:uid="{00000000-0005-0000-0000-000055770000}"/>
    <cellStyle name="Normal 403 3 2 3 2" xfId="30801" xr:uid="{00000000-0005-0000-0000-000056770000}"/>
    <cellStyle name="Normal 403 3 2 3 2 2" xfId="30802" xr:uid="{00000000-0005-0000-0000-000057770000}"/>
    <cellStyle name="Normal 403 3 2 3 3" xfId="30803" xr:uid="{00000000-0005-0000-0000-000058770000}"/>
    <cellStyle name="Normal 403 3 2 4" xfId="30804" xr:uid="{00000000-0005-0000-0000-000059770000}"/>
    <cellStyle name="Normal 403 3 3" xfId="30805" xr:uid="{00000000-0005-0000-0000-00005A770000}"/>
    <cellStyle name="Normal 403 3 3 2" xfId="30806" xr:uid="{00000000-0005-0000-0000-00005B770000}"/>
    <cellStyle name="Normal 403 3 3 2 2" xfId="30807" xr:uid="{00000000-0005-0000-0000-00005C770000}"/>
    <cellStyle name="Normal 403 3 3 3" xfId="30808" xr:uid="{00000000-0005-0000-0000-00005D770000}"/>
    <cellStyle name="Normal 403 3 4" xfId="30809" xr:uid="{00000000-0005-0000-0000-00005E770000}"/>
    <cellStyle name="Normal 403 3 4 2" xfId="30810" xr:uid="{00000000-0005-0000-0000-00005F770000}"/>
    <cellStyle name="Normal 403 3 4 2 2" xfId="30811" xr:uid="{00000000-0005-0000-0000-000060770000}"/>
    <cellStyle name="Normal 403 3 4 3" xfId="30812" xr:uid="{00000000-0005-0000-0000-000061770000}"/>
    <cellStyle name="Normal 403 3 5" xfId="30813" xr:uid="{00000000-0005-0000-0000-000062770000}"/>
    <cellStyle name="Normal 403 3 5 2" xfId="30814" xr:uid="{00000000-0005-0000-0000-000063770000}"/>
    <cellStyle name="Normal 403 3 5 2 2" xfId="30815" xr:uid="{00000000-0005-0000-0000-000064770000}"/>
    <cellStyle name="Normal 403 3 5 3" xfId="30816" xr:uid="{00000000-0005-0000-0000-000065770000}"/>
    <cellStyle name="Normal 403 3 6" xfId="30817" xr:uid="{00000000-0005-0000-0000-000066770000}"/>
    <cellStyle name="Normal 403 4" xfId="30818" xr:uid="{00000000-0005-0000-0000-000067770000}"/>
    <cellStyle name="Normal 403 4 2" xfId="30819" xr:uid="{00000000-0005-0000-0000-000068770000}"/>
    <cellStyle name="Normal 403 4 2 2" xfId="30820" xr:uid="{00000000-0005-0000-0000-000069770000}"/>
    <cellStyle name="Normal 403 4 3" xfId="30821" xr:uid="{00000000-0005-0000-0000-00006A770000}"/>
    <cellStyle name="Normal 403 5" xfId="30822" xr:uid="{00000000-0005-0000-0000-00006B770000}"/>
    <cellStyle name="Normal 403 5 2" xfId="30823" xr:uid="{00000000-0005-0000-0000-00006C770000}"/>
    <cellStyle name="Normal 403 5 2 2" xfId="30824" xr:uid="{00000000-0005-0000-0000-00006D770000}"/>
    <cellStyle name="Normal 403 5 3" xfId="30825" xr:uid="{00000000-0005-0000-0000-00006E770000}"/>
    <cellStyle name="Normal 403 6" xfId="30826" xr:uid="{00000000-0005-0000-0000-00006F770000}"/>
    <cellStyle name="Normal 403 6 2" xfId="30827" xr:uid="{00000000-0005-0000-0000-000070770000}"/>
    <cellStyle name="Normal 403 6 2 2" xfId="30828" xr:uid="{00000000-0005-0000-0000-000071770000}"/>
    <cellStyle name="Normal 403 6 3" xfId="30829" xr:uid="{00000000-0005-0000-0000-000072770000}"/>
    <cellStyle name="Normal 403 7" xfId="30830" xr:uid="{00000000-0005-0000-0000-000073770000}"/>
    <cellStyle name="Normal 404" xfId="30831" xr:uid="{00000000-0005-0000-0000-000074770000}"/>
    <cellStyle name="Normal 404 2" xfId="30832" xr:uid="{00000000-0005-0000-0000-000075770000}"/>
    <cellStyle name="Normal 404 2 2" xfId="30833" xr:uid="{00000000-0005-0000-0000-000076770000}"/>
    <cellStyle name="Normal 404 2 2 2" xfId="30834" xr:uid="{00000000-0005-0000-0000-000077770000}"/>
    <cellStyle name="Normal 404 2 3" xfId="30835" xr:uid="{00000000-0005-0000-0000-000078770000}"/>
    <cellStyle name="Normal 404 2 3 2" xfId="30836" xr:uid="{00000000-0005-0000-0000-000079770000}"/>
    <cellStyle name="Normal 404 2 3 2 2" xfId="30837" xr:uid="{00000000-0005-0000-0000-00007A770000}"/>
    <cellStyle name="Normal 404 2 3 3" xfId="30838" xr:uid="{00000000-0005-0000-0000-00007B770000}"/>
    <cellStyle name="Normal 404 2 4" xfId="30839" xr:uid="{00000000-0005-0000-0000-00007C770000}"/>
    <cellStyle name="Normal 404 2 4 2" xfId="30840" xr:uid="{00000000-0005-0000-0000-00007D770000}"/>
    <cellStyle name="Normal 404 2 4 2 2" xfId="30841" xr:uid="{00000000-0005-0000-0000-00007E770000}"/>
    <cellStyle name="Normal 404 2 4 3" xfId="30842" xr:uid="{00000000-0005-0000-0000-00007F770000}"/>
    <cellStyle name="Normal 404 2 5" xfId="30843" xr:uid="{00000000-0005-0000-0000-000080770000}"/>
    <cellStyle name="Normal 404 3" xfId="30844" xr:uid="{00000000-0005-0000-0000-000081770000}"/>
    <cellStyle name="Normal 404 3 2" xfId="30845" xr:uid="{00000000-0005-0000-0000-000082770000}"/>
    <cellStyle name="Normal 404 3 2 2" xfId="30846" xr:uid="{00000000-0005-0000-0000-000083770000}"/>
    <cellStyle name="Normal 404 3 2 2 2" xfId="30847" xr:uid="{00000000-0005-0000-0000-000084770000}"/>
    <cellStyle name="Normal 404 3 2 3" xfId="30848" xr:uid="{00000000-0005-0000-0000-000085770000}"/>
    <cellStyle name="Normal 404 3 2 3 2" xfId="30849" xr:uid="{00000000-0005-0000-0000-000086770000}"/>
    <cellStyle name="Normal 404 3 2 3 2 2" xfId="30850" xr:uid="{00000000-0005-0000-0000-000087770000}"/>
    <cellStyle name="Normal 404 3 2 3 3" xfId="30851" xr:uid="{00000000-0005-0000-0000-000088770000}"/>
    <cellStyle name="Normal 404 3 2 4" xfId="30852" xr:uid="{00000000-0005-0000-0000-000089770000}"/>
    <cellStyle name="Normal 404 3 3" xfId="30853" xr:uid="{00000000-0005-0000-0000-00008A770000}"/>
    <cellStyle name="Normal 404 3 3 2" xfId="30854" xr:uid="{00000000-0005-0000-0000-00008B770000}"/>
    <cellStyle name="Normal 404 3 3 2 2" xfId="30855" xr:uid="{00000000-0005-0000-0000-00008C770000}"/>
    <cellStyle name="Normal 404 3 3 3" xfId="30856" xr:uid="{00000000-0005-0000-0000-00008D770000}"/>
    <cellStyle name="Normal 404 3 4" xfId="30857" xr:uid="{00000000-0005-0000-0000-00008E770000}"/>
    <cellStyle name="Normal 404 3 4 2" xfId="30858" xr:uid="{00000000-0005-0000-0000-00008F770000}"/>
    <cellStyle name="Normal 404 3 4 2 2" xfId="30859" xr:uid="{00000000-0005-0000-0000-000090770000}"/>
    <cellStyle name="Normal 404 3 4 3" xfId="30860" xr:uid="{00000000-0005-0000-0000-000091770000}"/>
    <cellStyle name="Normal 404 3 5" xfId="30861" xr:uid="{00000000-0005-0000-0000-000092770000}"/>
    <cellStyle name="Normal 404 3 5 2" xfId="30862" xr:uid="{00000000-0005-0000-0000-000093770000}"/>
    <cellStyle name="Normal 404 3 5 2 2" xfId="30863" xr:uid="{00000000-0005-0000-0000-000094770000}"/>
    <cellStyle name="Normal 404 3 5 3" xfId="30864" xr:uid="{00000000-0005-0000-0000-000095770000}"/>
    <cellStyle name="Normal 404 3 6" xfId="30865" xr:uid="{00000000-0005-0000-0000-000096770000}"/>
    <cellStyle name="Normal 404 4" xfId="30866" xr:uid="{00000000-0005-0000-0000-000097770000}"/>
    <cellStyle name="Normal 404 4 2" xfId="30867" xr:uid="{00000000-0005-0000-0000-000098770000}"/>
    <cellStyle name="Normal 404 4 2 2" xfId="30868" xr:uid="{00000000-0005-0000-0000-000099770000}"/>
    <cellStyle name="Normal 404 4 3" xfId="30869" xr:uid="{00000000-0005-0000-0000-00009A770000}"/>
    <cellStyle name="Normal 404 5" xfId="30870" xr:uid="{00000000-0005-0000-0000-00009B770000}"/>
    <cellStyle name="Normal 404 5 2" xfId="30871" xr:uid="{00000000-0005-0000-0000-00009C770000}"/>
    <cellStyle name="Normal 404 5 2 2" xfId="30872" xr:uid="{00000000-0005-0000-0000-00009D770000}"/>
    <cellStyle name="Normal 404 5 3" xfId="30873" xr:uid="{00000000-0005-0000-0000-00009E770000}"/>
    <cellStyle name="Normal 404 6" xfId="30874" xr:uid="{00000000-0005-0000-0000-00009F770000}"/>
    <cellStyle name="Normal 404 6 2" xfId="30875" xr:uid="{00000000-0005-0000-0000-0000A0770000}"/>
    <cellStyle name="Normal 404 6 2 2" xfId="30876" xr:uid="{00000000-0005-0000-0000-0000A1770000}"/>
    <cellStyle name="Normal 404 6 3" xfId="30877" xr:uid="{00000000-0005-0000-0000-0000A2770000}"/>
    <cellStyle name="Normal 404 7" xfId="30878" xr:uid="{00000000-0005-0000-0000-0000A3770000}"/>
    <cellStyle name="Normal 405" xfId="30879" xr:uid="{00000000-0005-0000-0000-0000A4770000}"/>
    <cellStyle name="Normal 405 2" xfId="30880" xr:uid="{00000000-0005-0000-0000-0000A5770000}"/>
    <cellStyle name="Normal 405 2 2" xfId="30881" xr:uid="{00000000-0005-0000-0000-0000A6770000}"/>
    <cellStyle name="Normal 405 2 2 2" xfId="30882" xr:uid="{00000000-0005-0000-0000-0000A7770000}"/>
    <cellStyle name="Normal 405 2 3" xfId="30883" xr:uid="{00000000-0005-0000-0000-0000A8770000}"/>
    <cellStyle name="Normal 405 2 3 2" xfId="30884" xr:uid="{00000000-0005-0000-0000-0000A9770000}"/>
    <cellStyle name="Normal 405 2 3 2 2" xfId="30885" xr:uid="{00000000-0005-0000-0000-0000AA770000}"/>
    <cellStyle name="Normal 405 2 3 3" xfId="30886" xr:uid="{00000000-0005-0000-0000-0000AB770000}"/>
    <cellStyle name="Normal 405 2 4" xfId="30887" xr:uid="{00000000-0005-0000-0000-0000AC770000}"/>
    <cellStyle name="Normal 405 2 4 2" xfId="30888" xr:uid="{00000000-0005-0000-0000-0000AD770000}"/>
    <cellStyle name="Normal 405 2 4 2 2" xfId="30889" xr:uid="{00000000-0005-0000-0000-0000AE770000}"/>
    <cellStyle name="Normal 405 2 4 3" xfId="30890" xr:uid="{00000000-0005-0000-0000-0000AF770000}"/>
    <cellStyle name="Normal 405 2 5" xfId="30891" xr:uid="{00000000-0005-0000-0000-0000B0770000}"/>
    <cellStyle name="Normal 405 3" xfId="30892" xr:uid="{00000000-0005-0000-0000-0000B1770000}"/>
    <cellStyle name="Normal 405 3 2" xfId="30893" xr:uid="{00000000-0005-0000-0000-0000B2770000}"/>
    <cellStyle name="Normal 405 3 2 2" xfId="30894" xr:uid="{00000000-0005-0000-0000-0000B3770000}"/>
    <cellStyle name="Normal 405 3 2 2 2" xfId="30895" xr:uid="{00000000-0005-0000-0000-0000B4770000}"/>
    <cellStyle name="Normal 405 3 2 3" xfId="30896" xr:uid="{00000000-0005-0000-0000-0000B5770000}"/>
    <cellStyle name="Normal 405 3 2 3 2" xfId="30897" xr:uid="{00000000-0005-0000-0000-0000B6770000}"/>
    <cellStyle name="Normal 405 3 2 3 2 2" xfId="30898" xr:uid="{00000000-0005-0000-0000-0000B7770000}"/>
    <cellStyle name="Normal 405 3 2 3 3" xfId="30899" xr:uid="{00000000-0005-0000-0000-0000B8770000}"/>
    <cellStyle name="Normal 405 3 2 4" xfId="30900" xr:uid="{00000000-0005-0000-0000-0000B9770000}"/>
    <cellStyle name="Normal 405 3 3" xfId="30901" xr:uid="{00000000-0005-0000-0000-0000BA770000}"/>
    <cellStyle name="Normal 405 3 3 2" xfId="30902" xr:uid="{00000000-0005-0000-0000-0000BB770000}"/>
    <cellStyle name="Normal 405 3 3 2 2" xfId="30903" xr:uid="{00000000-0005-0000-0000-0000BC770000}"/>
    <cellStyle name="Normal 405 3 3 3" xfId="30904" xr:uid="{00000000-0005-0000-0000-0000BD770000}"/>
    <cellStyle name="Normal 405 3 4" xfId="30905" xr:uid="{00000000-0005-0000-0000-0000BE770000}"/>
    <cellStyle name="Normal 405 3 4 2" xfId="30906" xr:uid="{00000000-0005-0000-0000-0000BF770000}"/>
    <cellStyle name="Normal 405 3 4 2 2" xfId="30907" xr:uid="{00000000-0005-0000-0000-0000C0770000}"/>
    <cellStyle name="Normal 405 3 4 3" xfId="30908" xr:uid="{00000000-0005-0000-0000-0000C1770000}"/>
    <cellStyle name="Normal 405 3 5" xfId="30909" xr:uid="{00000000-0005-0000-0000-0000C2770000}"/>
    <cellStyle name="Normal 405 3 5 2" xfId="30910" xr:uid="{00000000-0005-0000-0000-0000C3770000}"/>
    <cellStyle name="Normal 405 3 5 2 2" xfId="30911" xr:uid="{00000000-0005-0000-0000-0000C4770000}"/>
    <cellStyle name="Normal 405 3 5 3" xfId="30912" xr:uid="{00000000-0005-0000-0000-0000C5770000}"/>
    <cellStyle name="Normal 405 3 6" xfId="30913" xr:uid="{00000000-0005-0000-0000-0000C6770000}"/>
    <cellStyle name="Normal 405 4" xfId="30914" xr:uid="{00000000-0005-0000-0000-0000C7770000}"/>
    <cellStyle name="Normal 405 4 2" xfId="30915" xr:uid="{00000000-0005-0000-0000-0000C8770000}"/>
    <cellStyle name="Normal 405 4 2 2" xfId="30916" xr:uid="{00000000-0005-0000-0000-0000C9770000}"/>
    <cellStyle name="Normal 405 4 3" xfId="30917" xr:uid="{00000000-0005-0000-0000-0000CA770000}"/>
    <cellStyle name="Normal 405 5" xfId="30918" xr:uid="{00000000-0005-0000-0000-0000CB770000}"/>
    <cellStyle name="Normal 405 5 2" xfId="30919" xr:uid="{00000000-0005-0000-0000-0000CC770000}"/>
    <cellStyle name="Normal 405 5 2 2" xfId="30920" xr:uid="{00000000-0005-0000-0000-0000CD770000}"/>
    <cellStyle name="Normal 405 5 3" xfId="30921" xr:uid="{00000000-0005-0000-0000-0000CE770000}"/>
    <cellStyle name="Normal 405 6" xfId="30922" xr:uid="{00000000-0005-0000-0000-0000CF770000}"/>
    <cellStyle name="Normal 405 6 2" xfId="30923" xr:uid="{00000000-0005-0000-0000-0000D0770000}"/>
    <cellStyle name="Normal 405 6 2 2" xfId="30924" xr:uid="{00000000-0005-0000-0000-0000D1770000}"/>
    <cellStyle name="Normal 405 6 3" xfId="30925" xr:uid="{00000000-0005-0000-0000-0000D2770000}"/>
    <cellStyle name="Normal 405 7" xfId="30926" xr:uid="{00000000-0005-0000-0000-0000D3770000}"/>
    <cellStyle name="Normal 406" xfId="30927" xr:uid="{00000000-0005-0000-0000-0000D4770000}"/>
    <cellStyle name="Normal 406 2" xfId="30928" xr:uid="{00000000-0005-0000-0000-0000D5770000}"/>
    <cellStyle name="Normal 406 2 2" xfId="30929" xr:uid="{00000000-0005-0000-0000-0000D6770000}"/>
    <cellStyle name="Normal 406 2 2 2" xfId="30930" xr:uid="{00000000-0005-0000-0000-0000D7770000}"/>
    <cellStyle name="Normal 406 2 3" xfId="30931" xr:uid="{00000000-0005-0000-0000-0000D8770000}"/>
    <cellStyle name="Normal 406 2 3 2" xfId="30932" xr:uid="{00000000-0005-0000-0000-0000D9770000}"/>
    <cellStyle name="Normal 406 2 3 2 2" xfId="30933" xr:uid="{00000000-0005-0000-0000-0000DA770000}"/>
    <cellStyle name="Normal 406 2 3 3" xfId="30934" xr:uid="{00000000-0005-0000-0000-0000DB770000}"/>
    <cellStyle name="Normal 406 2 4" xfId="30935" xr:uid="{00000000-0005-0000-0000-0000DC770000}"/>
    <cellStyle name="Normal 406 2 4 2" xfId="30936" xr:uid="{00000000-0005-0000-0000-0000DD770000}"/>
    <cellStyle name="Normal 406 2 4 2 2" xfId="30937" xr:uid="{00000000-0005-0000-0000-0000DE770000}"/>
    <cellStyle name="Normal 406 2 4 3" xfId="30938" xr:uid="{00000000-0005-0000-0000-0000DF770000}"/>
    <cellStyle name="Normal 406 2 5" xfId="30939" xr:uid="{00000000-0005-0000-0000-0000E0770000}"/>
    <cellStyle name="Normal 406 3" xfId="30940" xr:uid="{00000000-0005-0000-0000-0000E1770000}"/>
    <cellStyle name="Normal 406 3 2" xfId="30941" xr:uid="{00000000-0005-0000-0000-0000E2770000}"/>
    <cellStyle name="Normal 406 3 2 2" xfId="30942" xr:uid="{00000000-0005-0000-0000-0000E3770000}"/>
    <cellStyle name="Normal 406 3 2 2 2" xfId="30943" xr:uid="{00000000-0005-0000-0000-0000E4770000}"/>
    <cellStyle name="Normal 406 3 2 3" xfId="30944" xr:uid="{00000000-0005-0000-0000-0000E5770000}"/>
    <cellStyle name="Normal 406 3 2 3 2" xfId="30945" xr:uid="{00000000-0005-0000-0000-0000E6770000}"/>
    <cellStyle name="Normal 406 3 2 3 2 2" xfId="30946" xr:uid="{00000000-0005-0000-0000-0000E7770000}"/>
    <cellStyle name="Normal 406 3 2 3 3" xfId="30947" xr:uid="{00000000-0005-0000-0000-0000E8770000}"/>
    <cellStyle name="Normal 406 3 2 4" xfId="30948" xr:uid="{00000000-0005-0000-0000-0000E9770000}"/>
    <cellStyle name="Normal 406 3 3" xfId="30949" xr:uid="{00000000-0005-0000-0000-0000EA770000}"/>
    <cellStyle name="Normal 406 3 3 2" xfId="30950" xr:uid="{00000000-0005-0000-0000-0000EB770000}"/>
    <cellStyle name="Normal 406 3 3 2 2" xfId="30951" xr:uid="{00000000-0005-0000-0000-0000EC770000}"/>
    <cellStyle name="Normal 406 3 3 3" xfId="30952" xr:uid="{00000000-0005-0000-0000-0000ED770000}"/>
    <cellStyle name="Normal 406 3 4" xfId="30953" xr:uid="{00000000-0005-0000-0000-0000EE770000}"/>
    <cellStyle name="Normal 406 3 4 2" xfId="30954" xr:uid="{00000000-0005-0000-0000-0000EF770000}"/>
    <cellStyle name="Normal 406 3 4 2 2" xfId="30955" xr:uid="{00000000-0005-0000-0000-0000F0770000}"/>
    <cellStyle name="Normal 406 3 4 3" xfId="30956" xr:uid="{00000000-0005-0000-0000-0000F1770000}"/>
    <cellStyle name="Normal 406 3 5" xfId="30957" xr:uid="{00000000-0005-0000-0000-0000F2770000}"/>
    <cellStyle name="Normal 406 3 5 2" xfId="30958" xr:uid="{00000000-0005-0000-0000-0000F3770000}"/>
    <cellStyle name="Normal 406 3 5 2 2" xfId="30959" xr:uid="{00000000-0005-0000-0000-0000F4770000}"/>
    <cellStyle name="Normal 406 3 5 3" xfId="30960" xr:uid="{00000000-0005-0000-0000-0000F5770000}"/>
    <cellStyle name="Normal 406 3 6" xfId="30961" xr:uid="{00000000-0005-0000-0000-0000F6770000}"/>
    <cellStyle name="Normal 406 4" xfId="30962" xr:uid="{00000000-0005-0000-0000-0000F7770000}"/>
    <cellStyle name="Normal 406 4 2" xfId="30963" xr:uid="{00000000-0005-0000-0000-0000F8770000}"/>
    <cellStyle name="Normal 406 4 2 2" xfId="30964" xr:uid="{00000000-0005-0000-0000-0000F9770000}"/>
    <cellStyle name="Normal 406 4 3" xfId="30965" xr:uid="{00000000-0005-0000-0000-0000FA770000}"/>
    <cellStyle name="Normal 406 5" xfId="30966" xr:uid="{00000000-0005-0000-0000-0000FB770000}"/>
    <cellStyle name="Normal 406 5 2" xfId="30967" xr:uid="{00000000-0005-0000-0000-0000FC770000}"/>
    <cellStyle name="Normal 406 5 2 2" xfId="30968" xr:uid="{00000000-0005-0000-0000-0000FD770000}"/>
    <cellStyle name="Normal 406 5 3" xfId="30969" xr:uid="{00000000-0005-0000-0000-0000FE770000}"/>
    <cellStyle name="Normal 406 6" xfId="30970" xr:uid="{00000000-0005-0000-0000-0000FF770000}"/>
    <cellStyle name="Normal 406 6 2" xfId="30971" xr:uid="{00000000-0005-0000-0000-000000780000}"/>
    <cellStyle name="Normal 406 6 2 2" xfId="30972" xr:uid="{00000000-0005-0000-0000-000001780000}"/>
    <cellStyle name="Normal 406 6 3" xfId="30973" xr:uid="{00000000-0005-0000-0000-000002780000}"/>
    <cellStyle name="Normal 406 7" xfId="30974" xr:uid="{00000000-0005-0000-0000-000003780000}"/>
    <cellStyle name="Normal 407" xfId="30975" xr:uid="{00000000-0005-0000-0000-000004780000}"/>
    <cellStyle name="Normal 407 2" xfId="30976" xr:uid="{00000000-0005-0000-0000-000005780000}"/>
    <cellStyle name="Normal 407 2 2" xfId="30977" xr:uid="{00000000-0005-0000-0000-000006780000}"/>
    <cellStyle name="Normal 407 2 2 2" xfId="30978" xr:uid="{00000000-0005-0000-0000-000007780000}"/>
    <cellStyle name="Normal 407 2 3" xfId="30979" xr:uid="{00000000-0005-0000-0000-000008780000}"/>
    <cellStyle name="Normal 407 2 3 2" xfId="30980" xr:uid="{00000000-0005-0000-0000-000009780000}"/>
    <cellStyle name="Normal 407 2 3 2 2" xfId="30981" xr:uid="{00000000-0005-0000-0000-00000A780000}"/>
    <cellStyle name="Normal 407 2 3 3" xfId="30982" xr:uid="{00000000-0005-0000-0000-00000B780000}"/>
    <cellStyle name="Normal 407 2 4" xfId="30983" xr:uid="{00000000-0005-0000-0000-00000C780000}"/>
    <cellStyle name="Normal 407 2 4 2" xfId="30984" xr:uid="{00000000-0005-0000-0000-00000D780000}"/>
    <cellStyle name="Normal 407 2 4 2 2" xfId="30985" xr:uid="{00000000-0005-0000-0000-00000E780000}"/>
    <cellStyle name="Normal 407 2 4 3" xfId="30986" xr:uid="{00000000-0005-0000-0000-00000F780000}"/>
    <cellStyle name="Normal 407 2 5" xfId="30987" xr:uid="{00000000-0005-0000-0000-000010780000}"/>
    <cellStyle name="Normal 407 3" xfId="30988" xr:uid="{00000000-0005-0000-0000-000011780000}"/>
    <cellStyle name="Normal 407 3 2" xfId="30989" xr:uid="{00000000-0005-0000-0000-000012780000}"/>
    <cellStyle name="Normal 407 3 2 2" xfId="30990" xr:uid="{00000000-0005-0000-0000-000013780000}"/>
    <cellStyle name="Normal 407 3 2 2 2" xfId="30991" xr:uid="{00000000-0005-0000-0000-000014780000}"/>
    <cellStyle name="Normal 407 3 2 3" xfId="30992" xr:uid="{00000000-0005-0000-0000-000015780000}"/>
    <cellStyle name="Normal 407 3 2 3 2" xfId="30993" xr:uid="{00000000-0005-0000-0000-000016780000}"/>
    <cellStyle name="Normal 407 3 2 3 2 2" xfId="30994" xr:uid="{00000000-0005-0000-0000-000017780000}"/>
    <cellStyle name="Normal 407 3 2 3 3" xfId="30995" xr:uid="{00000000-0005-0000-0000-000018780000}"/>
    <cellStyle name="Normal 407 3 2 4" xfId="30996" xr:uid="{00000000-0005-0000-0000-000019780000}"/>
    <cellStyle name="Normal 407 3 3" xfId="30997" xr:uid="{00000000-0005-0000-0000-00001A780000}"/>
    <cellStyle name="Normal 407 3 3 2" xfId="30998" xr:uid="{00000000-0005-0000-0000-00001B780000}"/>
    <cellStyle name="Normal 407 3 3 2 2" xfId="30999" xr:uid="{00000000-0005-0000-0000-00001C780000}"/>
    <cellStyle name="Normal 407 3 3 3" xfId="31000" xr:uid="{00000000-0005-0000-0000-00001D780000}"/>
    <cellStyle name="Normal 407 3 4" xfId="31001" xr:uid="{00000000-0005-0000-0000-00001E780000}"/>
    <cellStyle name="Normal 407 3 4 2" xfId="31002" xr:uid="{00000000-0005-0000-0000-00001F780000}"/>
    <cellStyle name="Normal 407 3 4 2 2" xfId="31003" xr:uid="{00000000-0005-0000-0000-000020780000}"/>
    <cellStyle name="Normal 407 3 4 3" xfId="31004" xr:uid="{00000000-0005-0000-0000-000021780000}"/>
    <cellStyle name="Normal 407 3 5" xfId="31005" xr:uid="{00000000-0005-0000-0000-000022780000}"/>
    <cellStyle name="Normal 407 3 5 2" xfId="31006" xr:uid="{00000000-0005-0000-0000-000023780000}"/>
    <cellStyle name="Normal 407 3 5 2 2" xfId="31007" xr:uid="{00000000-0005-0000-0000-000024780000}"/>
    <cellStyle name="Normal 407 3 5 3" xfId="31008" xr:uid="{00000000-0005-0000-0000-000025780000}"/>
    <cellStyle name="Normal 407 3 6" xfId="31009" xr:uid="{00000000-0005-0000-0000-000026780000}"/>
    <cellStyle name="Normal 407 4" xfId="31010" xr:uid="{00000000-0005-0000-0000-000027780000}"/>
    <cellStyle name="Normal 407 4 2" xfId="31011" xr:uid="{00000000-0005-0000-0000-000028780000}"/>
    <cellStyle name="Normal 407 4 2 2" xfId="31012" xr:uid="{00000000-0005-0000-0000-000029780000}"/>
    <cellStyle name="Normal 407 4 3" xfId="31013" xr:uid="{00000000-0005-0000-0000-00002A780000}"/>
    <cellStyle name="Normal 407 5" xfId="31014" xr:uid="{00000000-0005-0000-0000-00002B780000}"/>
    <cellStyle name="Normal 407 5 2" xfId="31015" xr:uid="{00000000-0005-0000-0000-00002C780000}"/>
    <cellStyle name="Normal 407 5 2 2" xfId="31016" xr:uid="{00000000-0005-0000-0000-00002D780000}"/>
    <cellStyle name="Normal 407 5 3" xfId="31017" xr:uid="{00000000-0005-0000-0000-00002E780000}"/>
    <cellStyle name="Normal 407 6" xfId="31018" xr:uid="{00000000-0005-0000-0000-00002F780000}"/>
    <cellStyle name="Normal 407 6 2" xfId="31019" xr:uid="{00000000-0005-0000-0000-000030780000}"/>
    <cellStyle name="Normal 407 6 2 2" xfId="31020" xr:uid="{00000000-0005-0000-0000-000031780000}"/>
    <cellStyle name="Normal 407 6 3" xfId="31021" xr:uid="{00000000-0005-0000-0000-000032780000}"/>
    <cellStyle name="Normal 407 7" xfId="31022" xr:uid="{00000000-0005-0000-0000-000033780000}"/>
    <cellStyle name="Normal 408" xfId="31023" xr:uid="{00000000-0005-0000-0000-000034780000}"/>
    <cellStyle name="Normal 408 2" xfId="31024" xr:uid="{00000000-0005-0000-0000-000035780000}"/>
    <cellStyle name="Normal 408 2 2" xfId="31025" xr:uid="{00000000-0005-0000-0000-000036780000}"/>
    <cellStyle name="Normal 408 2 2 2" xfId="31026" xr:uid="{00000000-0005-0000-0000-000037780000}"/>
    <cellStyle name="Normal 408 2 3" xfId="31027" xr:uid="{00000000-0005-0000-0000-000038780000}"/>
    <cellStyle name="Normal 408 2 3 2" xfId="31028" xr:uid="{00000000-0005-0000-0000-000039780000}"/>
    <cellStyle name="Normal 408 2 3 2 2" xfId="31029" xr:uid="{00000000-0005-0000-0000-00003A780000}"/>
    <cellStyle name="Normal 408 2 3 3" xfId="31030" xr:uid="{00000000-0005-0000-0000-00003B780000}"/>
    <cellStyle name="Normal 408 2 4" xfId="31031" xr:uid="{00000000-0005-0000-0000-00003C780000}"/>
    <cellStyle name="Normal 408 2 4 2" xfId="31032" xr:uid="{00000000-0005-0000-0000-00003D780000}"/>
    <cellStyle name="Normal 408 2 4 2 2" xfId="31033" xr:uid="{00000000-0005-0000-0000-00003E780000}"/>
    <cellStyle name="Normal 408 2 4 3" xfId="31034" xr:uid="{00000000-0005-0000-0000-00003F780000}"/>
    <cellStyle name="Normal 408 2 5" xfId="31035" xr:uid="{00000000-0005-0000-0000-000040780000}"/>
    <cellStyle name="Normal 408 3" xfId="31036" xr:uid="{00000000-0005-0000-0000-000041780000}"/>
    <cellStyle name="Normal 408 3 2" xfId="31037" xr:uid="{00000000-0005-0000-0000-000042780000}"/>
    <cellStyle name="Normal 408 3 2 2" xfId="31038" xr:uid="{00000000-0005-0000-0000-000043780000}"/>
    <cellStyle name="Normal 408 3 2 2 2" xfId="31039" xr:uid="{00000000-0005-0000-0000-000044780000}"/>
    <cellStyle name="Normal 408 3 2 3" xfId="31040" xr:uid="{00000000-0005-0000-0000-000045780000}"/>
    <cellStyle name="Normal 408 3 2 3 2" xfId="31041" xr:uid="{00000000-0005-0000-0000-000046780000}"/>
    <cellStyle name="Normal 408 3 2 3 2 2" xfId="31042" xr:uid="{00000000-0005-0000-0000-000047780000}"/>
    <cellStyle name="Normal 408 3 2 3 3" xfId="31043" xr:uid="{00000000-0005-0000-0000-000048780000}"/>
    <cellStyle name="Normal 408 3 2 4" xfId="31044" xr:uid="{00000000-0005-0000-0000-000049780000}"/>
    <cellStyle name="Normal 408 3 3" xfId="31045" xr:uid="{00000000-0005-0000-0000-00004A780000}"/>
    <cellStyle name="Normal 408 3 3 2" xfId="31046" xr:uid="{00000000-0005-0000-0000-00004B780000}"/>
    <cellStyle name="Normal 408 3 3 2 2" xfId="31047" xr:uid="{00000000-0005-0000-0000-00004C780000}"/>
    <cellStyle name="Normal 408 3 3 3" xfId="31048" xr:uid="{00000000-0005-0000-0000-00004D780000}"/>
    <cellStyle name="Normal 408 3 4" xfId="31049" xr:uid="{00000000-0005-0000-0000-00004E780000}"/>
    <cellStyle name="Normal 408 3 4 2" xfId="31050" xr:uid="{00000000-0005-0000-0000-00004F780000}"/>
    <cellStyle name="Normal 408 3 4 2 2" xfId="31051" xr:uid="{00000000-0005-0000-0000-000050780000}"/>
    <cellStyle name="Normal 408 3 4 3" xfId="31052" xr:uid="{00000000-0005-0000-0000-000051780000}"/>
    <cellStyle name="Normal 408 3 5" xfId="31053" xr:uid="{00000000-0005-0000-0000-000052780000}"/>
    <cellStyle name="Normal 408 3 5 2" xfId="31054" xr:uid="{00000000-0005-0000-0000-000053780000}"/>
    <cellStyle name="Normal 408 3 5 2 2" xfId="31055" xr:uid="{00000000-0005-0000-0000-000054780000}"/>
    <cellStyle name="Normal 408 3 5 3" xfId="31056" xr:uid="{00000000-0005-0000-0000-000055780000}"/>
    <cellStyle name="Normal 408 3 6" xfId="31057" xr:uid="{00000000-0005-0000-0000-000056780000}"/>
    <cellStyle name="Normal 408 4" xfId="31058" xr:uid="{00000000-0005-0000-0000-000057780000}"/>
    <cellStyle name="Normal 408 4 2" xfId="31059" xr:uid="{00000000-0005-0000-0000-000058780000}"/>
    <cellStyle name="Normal 408 4 2 2" xfId="31060" xr:uid="{00000000-0005-0000-0000-000059780000}"/>
    <cellStyle name="Normal 408 4 3" xfId="31061" xr:uid="{00000000-0005-0000-0000-00005A780000}"/>
    <cellStyle name="Normal 408 5" xfId="31062" xr:uid="{00000000-0005-0000-0000-00005B780000}"/>
    <cellStyle name="Normal 408 5 2" xfId="31063" xr:uid="{00000000-0005-0000-0000-00005C780000}"/>
    <cellStyle name="Normal 408 5 2 2" xfId="31064" xr:uid="{00000000-0005-0000-0000-00005D780000}"/>
    <cellStyle name="Normal 408 5 3" xfId="31065" xr:uid="{00000000-0005-0000-0000-00005E780000}"/>
    <cellStyle name="Normal 408 6" xfId="31066" xr:uid="{00000000-0005-0000-0000-00005F780000}"/>
    <cellStyle name="Normal 408 6 2" xfId="31067" xr:uid="{00000000-0005-0000-0000-000060780000}"/>
    <cellStyle name="Normal 408 6 2 2" xfId="31068" xr:uid="{00000000-0005-0000-0000-000061780000}"/>
    <cellStyle name="Normal 408 6 3" xfId="31069" xr:uid="{00000000-0005-0000-0000-000062780000}"/>
    <cellStyle name="Normal 408 7" xfId="31070" xr:uid="{00000000-0005-0000-0000-000063780000}"/>
    <cellStyle name="Normal 409" xfId="31071" xr:uid="{00000000-0005-0000-0000-000064780000}"/>
    <cellStyle name="Normal 409 2" xfId="31072" xr:uid="{00000000-0005-0000-0000-000065780000}"/>
    <cellStyle name="Normal 409 2 2" xfId="31073" xr:uid="{00000000-0005-0000-0000-000066780000}"/>
    <cellStyle name="Normal 409 2 2 2" xfId="31074" xr:uid="{00000000-0005-0000-0000-000067780000}"/>
    <cellStyle name="Normal 409 2 3" xfId="31075" xr:uid="{00000000-0005-0000-0000-000068780000}"/>
    <cellStyle name="Normal 409 2 3 2" xfId="31076" xr:uid="{00000000-0005-0000-0000-000069780000}"/>
    <cellStyle name="Normal 409 2 3 2 2" xfId="31077" xr:uid="{00000000-0005-0000-0000-00006A780000}"/>
    <cellStyle name="Normal 409 2 3 3" xfId="31078" xr:uid="{00000000-0005-0000-0000-00006B780000}"/>
    <cellStyle name="Normal 409 2 4" xfId="31079" xr:uid="{00000000-0005-0000-0000-00006C780000}"/>
    <cellStyle name="Normal 409 2 4 2" xfId="31080" xr:uid="{00000000-0005-0000-0000-00006D780000}"/>
    <cellStyle name="Normal 409 2 4 2 2" xfId="31081" xr:uid="{00000000-0005-0000-0000-00006E780000}"/>
    <cellStyle name="Normal 409 2 4 3" xfId="31082" xr:uid="{00000000-0005-0000-0000-00006F780000}"/>
    <cellStyle name="Normal 409 2 5" xfId="31083" xr:uid="{00000000-0005-0000-0000-000070780000}"/>
    <cellStyle name="Normal 409 3" xfId="31084" xr:uid="{00000000-0005-0000-0000-000071780000}"/>
    <cellStyle name="Normal 409 3 2" xfId="31085" xr:uid="{00000000-0005-0000-0000-000072780000}"/>
    <cellStyle name="Normal 409 3 2 2" xfId="31086" xr:uid="{00000000-0005-0000-0000-000073780000}"/>
    <cellStyle name="Normal 409 3 2 2 2" xfId="31087" xr:uid="{00000000-0005-0000-0000-000074780000}"/>
    <cellStyle name="Normal 409 3 2 3" xfId="31088" xr:uid="{00000000-0005-0000-0000-000075780000}"/>
    <cellStyle name="Normal 409 3 2 3 2" xfId="31089" xr:uid="{00000000-0005-0000-0000-000076780000}"/>
    <cellStyle name="Normal 409 3 2 3 2 2" xfId="31090" xr:uid="{00000000-0005-0000-0000-000077780000}"/>
    <cellStyle name="Normal 409 3 2 3 3" xfId="31091" xr:uid="{00000000-0005-0000-0000-000078780000}"/>
    <cellStyle name="Normal 409 3 2 4" xfId="31092" xr:uid="{00000000-0005-0000-0000-000079780000}"/>
    <cellStyle name="Normal 409 3 3" xfId="31093" xr:uid="{00000000-0005-0000-0000-00007A780000}"/>
    <cellStyle name="Normal 409 3 3 2" xfId="31094" xr:uid="{00000000-0005-0000-0000-00007B780000}"/>
    <cellStyle name="Normal 409 3 3 2 2" xfId="31095" xr:uid="{00000000-0005-0000-0000-00007C780000}"/>
    <cellStyle name="Normal 409 3 3 3" xfId="31096" xr:uid="{00000000-0005-0000-0000-00007D780000}"/>
    <cellStyle name="Normal 409 3 4" xfId="31097" xr:uid="{00000000-0005-0000-0000-00007E780000}"/>
    <cellStyle name="Normal 409 3 4 2" xfId="31098" xr:uid="{00000000-0005-0000-0000-00007F780000}"/>
    <cellStyle name="Normal 409 3 4 2 2" xfId="31099" xr:uid="{00000000-0005-0000-0000-000080780000}"/>
    <cellStyle name="Normal 409 3 4 3" xfId="31100" xr:uid="{00000000-0005-0000-0000-000081780000}"/>
    <cellStyle name="Normal 409 3 5" xfId="31101" xr:uid="{00000000-0005-0000-0000-000082780000}"/>
    <cellStyle name="Normal 409 3 5 2" xfId="31102" xr:uid="{00000000-0005-0000-0000-000083780000}"/>
    <cellStyle name="Normal 409 3 5 2 2" xfId="31103" xr:uid="{00000000-0005-0000-0000-000084780000}"/>
    <cellStyle name="Normal 409 3 5 3" xfId="31104" xr:uid="{00000000-0005-0000-0000-000085780000}"/>
    <cellStyle name="Normal 409 3 6" xfId="31105" xr:uid="{00000000-0005-0000-0000-000086780000}"/>
    <cellStyle name="Normal 409 4" xfId="31106" xr:uid="{00000000-0005-0000-0000-000087780000}"/>
    <cellStyle name="Normal 409 4 2" xfId="31107" xr:uid="{00000000-0005-0000-0000-000088780000}"/>
    <cellStyle name="Normal 409 4 2 2" xfId="31108" xr:uid="{00000000-0005-0000-0000-000089780000}"/>
    <cellStyle name="Normal 409 4 3" xfId="31109" xr:uid="{00000000-0005-0000-0000-00008A780000}"/>
    <cellStyle name="Normal 409 5" xfId="31110" xr:uid="{00000000-0005-0000-0000-00008B780000}"/>
    <cellStyle name="Normal 409 5 2" xfId="31111" xr:uid="{00000000-0005-0000-0000-00008C780000}"/>
    <cellStyle name="Normal 409 5 2 2" xfId="31112" xr:uid="{00000000-0005-0000-0000-00008D780000}"/>
    <cellStyle name="Normal 409 5 3" xfId="31113" xr:uid="{00000000-0005-0000-0000-00008E780000}"/>
    <cellStyle name="Normal 409 6" xfId="31114" xr:uid="{00000000-0005-0000-0000-00008F780000}"/>
    <cellStyle name="Normal 409 6 2" xfId="31115" xr:uid="{00000000-0005-0000-0000-000090780000}"/>
    <cellStyle name="Normal 409 6 2 2" xfId="31116" xr:uid="{00000000-0005-0000-0000-000091780000}"/>
    <cellStyle name="Normal 409 6 3" xfId="31117" xr:uid="{00000000-0005-0000-0000-000092780000}"/>
    <cellStyle name="Normal 409 7" xfId="31118" xr:uid="{00000000-0005-0000-0000-000093780000}"/>
    <cellStyle name="Normal 41" xfId="31119" xr:uid="{00000000-0005-0000-0000-000094780000}"/>
    <cellStyle name="Normal 41 2" xfId="31120" xr:uid="{00000000-0005-0000-0000-000095780000}"/>
    <cellStyle name="Normal 41 2 2" xfId="31121" xr:uid="{00000000-0005-0000-0000-000096780000}"/>
    <cellStyle name="Normal 41 2 2 2" xfId="31122" xr:uid="{00000000-0005-0000-0000-000097780000}"/>
    <cellStyle name="Normal 41 2 2 2 2" xfId="31123" xr:uid="{00000000-0005-0000-0000-000098780000}"/>
    <cellStyle name="Normal 41 2 2 3" xfId="31124" xr:uid="{00000000-0005-0000-0000-000099780000}"/>
    <cellStyle name="Normal 41 2 2 3 2" xfId="31125" xr:uid="{00000000-0005-0000-0000-00009A780000}"/>
    <cellStyle name="Normal 41 2 2 3 2 2" xfId="31126" xr:uid="{00000000-0005-0000-0000-00009B780000}"/>
    <cellStyle name="Normal 41 2 2 3 3" xfId="31127" xr:uid="{00000000-0005-0000-0000-00009C780000}"/>
    <cellStyle name="Normal 41 2 2 4" xfId="31128" xr:uid="{00000000-0005-0000-0000-00009D780000}"/>
    <cellStyle name="Normal 41 2 2 4 2" xfId="31129" xr:uid="{00000000-0005-0000-0000-00009E780000}"/>
    <cellStyle name="Normal 41 2 2 4 2 2" xfId="31130" xr:uid="{00000000-0005-0000-0000-00009F780000}"/>
    <cellStyle name="Normal 41 2 2 4 3" xfId="31131" xr:uid="{00000000-0005-0000-0000-0000A0780000}"/>
    <cellStyle name="Normal 41 2 2 5" xfId="31132" xr:uid="{00000000-0005-0000-0000-0000A1780000}"/>
    <cellStyle name="Normal 41 2 3" xfId="31133" xr:uid="{00000000-0005-0000-0000-0000A2780000}"/>
    <cellStyle name="Normal 41 2 3 2" xfId="31134" xr:uid="{00000000-0005-0000-0000-0000A3780000}"/>
    <cellStyle name="Normal 41 2 3 2 2" xfId="31135" xr:uid="{00000000-0005-0000-0000-0000A4780000}"/>
    <cellStyle name="Normal 41 2 3 3" xfId="31136" xr:uid="{00000000-0005-0000-0000-0000A5780000}"/>
    <cellStyle name="Normal 41 2 4" xfId="31137" xr:uid="{00000000-0005-0000-0000-0000A6780000}"/>
    <cellStyle name="Normal 41 2 4 2" xfId="31138" xr:uid="{00000000-0005-0000-0000-0000A7780000}"/>
    <cellStyle name="Normal 41 2 4 2 2" xfId="31139" xr:uid="{00000000-0005-0000-0000-0000A8780000}"/>
    <cellStyle name="Normal 41 2 4 3" xfId="31140" xr:uid="{00000000-0005-0000-0000-0000A9780000}"/>
    <cellStyle name="Normal 41 2 5" xfId="31141" xr:uid="{00000000-0005-0000-0000-0000AA780000}"/>
    <cellStyle name="Normal 41 2 5 2" xfId="31142" xr:uid="{00000000-0005-0000-0000-0000AB780000}"/>
    <cellStyle name="Normal 41 2 5 2 2" xfId="31143" xr:uid="{00000000-0005-0000-0000-0000AC780000}"/>
    <cellStyle name="Normal 41 2 5 3" xfId="31144" xr:uid="{00000000-0005-0000-0000-0000AD780000}"/>
    <cellStyle name="Normal 41 2 6" xfId="31145" xr:uid="{00000000-0005-0000-0000-0000AE780000}"/>
    <cellStyle name="Normal 41 3" xfId="31146" xr:uid="{00000000-0005-0000-0000-0000AF780000}"/>
    <cellStyle name="Normal 41 3 2" xfId="31147" xr:uid="{00000000-0005-0000-0000-0000B0780000}"/>
    <cellStyle name="Normal 41 3 2 2" xfId="31148" xr:uid="{00000000-0005-0000-0000-0000B1780000}"/>
    <cellStyle name="Normal 41 3 3" xfId="31149" xr:uid="{00000000-0005-0000-0000-0000B2780000}"/>
    <cellStyle name="Normal 41 3 3 2" xfId="31150" xr:uid="{00000000-0005-0000-0000-0000B3780000}"/>
    <cellStyle name="Normal 41 3 3 2 2" xfId="31151" xr:uid="{00000000-0005-0000-0000-0000B4780000}"/>
    <cellStyle name="Normal 41 3 3 3" xfId="31152" xr:uid="{00000000-0005-0000-0000-0000B5780000}"/>
    <cellStyle name="Normal 41 3 4" xfId="31153" xr:uid="{00000000-0005-0000-0000-0000B6780000}"/>
    <cellStyle name="Normal 41 3 4 2" xfId="31154" xr:uid="{00000000-0005-0000-0000-0000B7780000}"/>
    <cellStyle name="Normal 41 3 4 2 2" xfId="31155" xr:uid="{00000000-0005-0000-0000-0000B8780000}"/>
    <cellStyle name="Normal 41 3 4 3" xfId="31156" xr:uid="{00000000-0005-0000-0000-0000B9780000}"/>
    <cellStyle name="Normal 41 3 5" xfId="31157" xr:uid="{00000000-0005-0000-0000-0000BA780000}"/>
    <cellStyle name="Normal 41 4" xfId="31158" xr:uid="{00000000-0005-0000-0000-0000BB780000}"/>
    <cellStyle name="Normal 41 4 2" xfId="31159" xr:uid="{00000000-0005-0000-0000-0000BC780000}"/>
    <cellStyle name="Normal 41 4 2 2" xfId="31160" xr:uid="{00000000-0005-0000-0000-0000BD780000}"/>
    <cellStyle name="Normal 41 4 3" xfId="31161" xr:uid="{00000000-0005-0000-0000-0000BE780000}"/>
    <cellStyle name="Normal 41 5" xfId="31162" xr:uid="{00000000-0005-0000-0000-0000BF780000}"/>
    <cellStyle name="Normal 41 5 2" xfId="31163" xr:uid="{00000000-0005-0000-0000-0000C0780000}"/>
    <cellStyle name="Normal 41 5 2 2" xfId="31164" xr:uid="{00000000-0005-0000-0000-0000C1780000}"/>
    <cellStyle name="Normal 41 5 3" xfId="31165" xr:uid="{00000000-0005-0000-0000-0000C2780000}"/>
    <cellStyle name="Normal 41 6" xfId="31166" xr:uid="{00000000-0005-0000-0000-0000C3780000}"/>
    <cellStyle name="Normal 41 6 2" xfId="31167" xr:uid="{00000000-0005-0000-0000-0000C4780000}"/>
    <cellStyle name="Normal 41 6 2 2" xfId="31168" xr:uid="{00000000-0005-0000-0000-0000C5780000}"/>
    <cellStyle name="Normal 41 6 3" xfId="31169" xr:uid="{00000000-0005-0000-0000-0000C6780000}"/>
    <cellStyle name="Normal 41 7" xfId="31170" xr:uid="{00000000-0005-0000-0000-0000C7780000}"/>
    <cellStyle name="Normal 410" xfId="31171" xr:uid="{00000000-0005-0000-0000-0000C8780000}"/>
    <cellStyle name="Normal 410 2" xfId="31172" xr:uid="{00000000-0005-0000-0000-0000C9780000}"/>
    <cellStyle name="Normal 410 2 2" xfId="31173" xr:uid="{00000000-0005-0000-0000-0000CA780000}"/>
    <cellStyle name="Normal 410 2 2 2" xfId="31174" xr:uid="{00000000-0005-0000-0000-0000CB780000}"/>
    <cellStyle name="Normal 410 2 3" xfId="31175" xr:uid="{00000000-0005-0000-0000-0000CC780000}"/>
    <cellStyle name="Normal 410 2 3 2" xfId="31176" xr:uid="{00000000-0005-0000-0000-0000CD780000}"/>
    <cellStyle name="Normal 410 2 3 2 2" xfId="31177" xr:uid="{00000000-0005-0000-0000-0000CE780000}"/>
    <cellStyle name="Normal 410 2 3 3" xfId="31178" xr:uid="{00000000-0005-0000-0000-0000CF780000}"/>
    <cellStyle name="Normal 410 2 4" xfId="31179" xr:uid="{00000000-0005-0000-0000-0000D0780000}"/>
    <cellStyle name="Normal 410 2 4 2" xfId="31180" xr:uid="{00000000-0005-0000-0000-0000D1780000}"/>
    <cellStyle name="Normal 410 2 4 2 2" xfId="31181" xr:uid="{00000000-0005-0000-0000-0000D2780000}"/>
    <cellStyle name="Normal 410 2 4 3" xfId="31182" xr:uid="{00000000-0005-0000-0000-0000D3780000}"/>
    <cellStyle name="Normal 410 2 5" xfId="31183" xr:uid="{00000000-0005-0000-0000-0000D4780000}"/>
    <cellStyle name="Normal 410 3" xfId="31184" xr:uid="{00000000-0005-0000-0000-0000D5780000}"/>
    <cellStyle name="Normal 410 3 2" xfId="31185" xr:uid="{00000000-0005-0000-0000-0000D6780000}"/>
    <cellStyle name="Normal 410 3 2 2" xfId="31186" xr:uid="{00000000-0005-0000-0000-0000D7780000}"/>
    <cellStyle name="Normal 410 3 2 2 2" xfId="31187" xr:uid="{00000000-0005-0000-0000-0000D8780000}"/>
    <cellStyle name="Normal 410 3 2 3" xfId="31188" xr:uid="{00000000-0005-0000-0000-0000D9780000}"/>
    <cellStyle name="Normal 410 3 2 3 2" xfId="31189" xr:uid="{00000000-0005-0000-0000-0000DA780000}"/>
    <cellStyle name="Normal 410 3 2 3 2 2" xfId="31190" xr:uid="{00000000-0005-0000-0000-0000DB780000}"/>
    <cellStyle name="Normal 410 3 2 3 3" xfId="31191" xr:uid="{00000000-0005-0000-0000-0000DC780000}"/>
    <cellStyle name="Normal 410 3 2 4" xfId="31192" xr:uid="{00000000-0005-0000-0000-0000DD780000}"/>
    <cellStyle name="Normal 410 3 3" xfId="31193" xr:uid="{00000000-0005-0000-0000-0000DE780000}"/>
    <cellStyle name="Normal 410 3 3 2" xfId="31194" xr:uid="{00000000-0005-0000-0000-0000DF780000}"/>
    <cellStyle name="Normal 410 3 3 2 2" xfId="31195" xr:uid="{00000000-0005-0000-0000-0000E0780000}"/>
    <cellStyle name="Normal 410 3 3 3" xfId="31196" xr:uid="{00000000-0005-0000-0000-0000E1780000}"/>
    <cellStyle name="Normal 410 3 4" xfId="31197" xr:uid="{00000000-0005-0000-0000-0000E2780000}"/>
    <cellStyle name="Normal 410 3 4 2" xfId="31198" xr:uid="{00000000-0005-0000-0000-0000E3780000}"/>
    <cellStyle name="Normal 410 3 4 2 2" xfId="31199" xr:uid="{00000000-0005-0000-0000-0000E4780000}"/>
    <cellStyle name="Normal 410 3 4 3" xfId="31200" xr:uid="{00000000-0005-0000-0000-0000E5780000}"/>
    <cellStyle name="Normal 410 3 5" xfId="31201" xr:uid="{00000000-0005-0000-0000-0000E6780000}"/>
    <cellStyle name="Normal 410 3 5 2" xfId="31202" xr:uid="{00000000-0005-0000-0000-0000E7780000}"/>
    <cellStyle name="Normal 410 3 5 2 2" xfId="31203" xr:uid="{00000000-0005-0000-0000-0000E8780000}"/>
    <cellStyle name="Normal 410 3 5 3" xfId="31204" xr:uid="{00000000-0005-0000-0000-0000E9780000}"/>
    <cellStyle name="Normal 410 3 6" xfId="31205" xr:uid="{00000000-0005-0000-0000-0000EA780000}"/>
    <cellStyle name="Normal 410 4" xfId="31206" xr:uid="{00000000-0005-0000-0000-0000EB780000}"/>
    <cellStyle name="Normal 410 4 2" xfId="31207" xr:uid="{00000000-0005-0000-0000-0000EC780000}"/>
    <cellStyle name="Normal 410 4 2 2" xfId="31208" xr:uid="{00000000-0005-0000-0000-0000ED780000}"/>
    <cellStyle name="Normal 410 4 3" xfId="31209" xr:uid="{00000000-0005-0000-0000-0000EE780000}"/>
    <cellStyle name="Normal 410 5" xfId="31210" xr:uid="{00000000-0005-0000-0000-0000EF780000}"/>
    <cellStyle name="Normal 410 5 2" xfId="31211" xr:uid="{00000000-0005-0000-0000-0000F0780000}"/>
    <cellStyle name="Normal 410 5 2 2" xfId="31212" xr:uid="{00000000-0005-0000-0000-0000F1780000}"/>
    <cellStyle name="Normal 410 5 3" xfId="31213" xr:uid="{00000000-0005-0000-0000-0000F2780000}"/>
    <cellStyle name="Normal 410 6" xfId="31214" xr:uid="{00000000-0005-0000-0000-0000F3780000}"/>
    <cellStyle name="Normal 410 6 2" xfId="31215" xr:uid="{00000000-0005-0000-0000-0000F4780000}"/>
    <cellStyle name="Normal 410 6 2 2" xfId="31216" xr:uid="{00000000-0005-0000-0000-0000F5780000}"/>
    <cellStyle name="Normal 410 6 3" xfId="31217" xr:uid="{00000000-0005-0000-0000-0000F6780000}"/>
    <cellStyle name="Normal 410 7" xfId="31218" xr:uid="{00000000-0005-0000-0000-0000F7780000}"/>
    <cellStyle name="Normal 411" xfId="31219" xr:uid="{00000000-0005-0000-0000-0000F8780000}"/>
    <cellStyle name="Normal 411 2" xfId="31220" xr:uid="{00000000-0005-0000-0000-0000F9780000}"/>
    <cellStyle name="Normal 411 2 2" xfId="31221" xr:uid="{00000000-0005-0000-0000-0000FA780000}"/>
    <cellStyle name="Normal 411 2 2 2" xfId="31222" xr:uid="{00000000-0005-0000-0000-0000FB780000}"/>
    <cellStyle name="Normal 411 2 3" xfId="31223" xr:uid="{00000000-0005-0000-0000-0000FC780000}"/>
    <cellStyle name="Normal 411 2 3 2" xfId="31224" xr:uid="{00000000-0005-0000-0000-0000FD780000}"/>
    <cellStyle name="Normal 411 2 3 2 2" xfId="31225" xr:uid="{00000000-0005-0000-0000-0000FE780000}"/>
    <cellStyle name="Normal 411 2 3 3" xfId="31226" xr:uid="{00000000-0005-0000-0000-0000FF780000}"/>
    <cellStyle name="Normal 411 2 4" xfId="31227" xr:uid="{00000000-0005-0000-0000-000000790000}"/>
    <cellStyle name="Normal 411 2 4 2" xfId="31228" xr:uid="{00000000-0005-0000-0000-000001790000}"/>
    <cellStyle name="Normal 411 2 4 2 2" xfId="31229" xr:uid="{00000000-0005-0000-0000-000002790000}"/>
    <cellStyle name="Normal 411 2 4 3" xfId="31230" xr:uid="{00000000-0005-0000-0000-000003790000}"/>
    <cellStyle name="Normal 411 2 5" xfId="31231" xr:uid="{00000000-0005-0000-0000-000004790000}"/>
    <cellStyle name="Normal 411 3" xfId="31232" xr:uid="{00000000-0005-0000-0000-000005790000}"/>
    <cellStyle name="Normal 411 3 2" xfId="31233" xr:uid="{00000000-0005-0000-0000-000006790000}"/>
    <cellStyle name="Normal 411 3 2 2" xfId="31234" xr:uid="{00000000-0005-0000-0000-000007790000}"/>
    <cellStyle name="Normal 411 3 2 2 2" xfId="31235" xr:uid="{00000000-0005-0000-0000-000008790000}"/>
    <cellStyle name="Normal 411 3 2 3" xfId="31236" xr:uid="{00000000-0005-0000-0000-000009790000}"/>
    <cellStyle name="Normal 411 3 2 3 2" xfId="31237" xr:uid="{00000000-0005-0000-0000-00000A790000}"/>
    <cellStyle name="Normal 411 3 2 3 2 2" xfId="31238" xr:uid="{00000000-0005-0000-0000-00000B790000}"/>
    <cellStyle name="Normal 411 3 2 3 3" xfId="31239" xr:uid="{00000000-0005-0000-0000-00000C790000}"/>
    <cellStyle name="Normal 411 3 2 4" xfId="31240" xr:uid="{00000000-0005-0000-0000-00000D790000}"/>
    <cellStyle name="Normal 411 3 3" xfId="31241" xr:uid="{00000000-0005-0000-0000-00000E790000}"/>
    <cellStyle name="Normal 411 3 3 2" xfId="31242" xr:uid="{00000000-0005-0000-0000-00000F790000}"/>
    <cellStyle name="Normal 411 3 3 2 2" xfId="31243" xr:uid="{00000000-0005-0000-0000-000010790000}"/>
    <cellStyle name="Normal 411 3 3 3" xfId="31244" xr:uid="{00000000-0005-0000-0000-000011790000}"/>
    <cellStyle name="Normal 411 3 4" xfId="31245" xr:uid="{00000000-0005-0000-0000-000012790000}"/>
    <cellStyle name="Normal 411 3 4 2" xfId="31246" xr:uid="{00000000-0005-0000-0000-000013790000}"/>
    <cellStyle name="Normal 411 3 4 2 2" xfId="31247" xr:uid="{00000000-0005-0000-0000-000014790000}"/>
    <cellStyle name="Normal 411 3 4 3" xfId="31248" xr:uid="{00000000-0005-0000-0000-000015790000}"/>
    <cellStyle name="Normal 411 3 5" xfId="31249" xr:uid="{00000000-0005-0000-0000-000016790000}"/>
    <cellStyle name="Normal 411 3 5 2" xfId="31250" xr:uid="{00000000-0005-0000-0000-000017790000}"/>
    <cellStyle name="Normal 411 3 5 2 2" xfId="31251" xr:uid="{00000000-0005-0000-0000-000018790000}"/>
    <cellStyle name="Normal 411 3 5 3" xfId="31252" xr:uid="{00000000-0005-0000-0000-000019790000}"/>
    <cellStyle name="Normal 411 3 6" xfId="31253" xr:uid="{00000000-0005-0000-0000-00001A790000}"/>
    <cellStyle name="Normal 411 4" xfId="31254" xr:uid="{00000000-0005-0000-0000-00001B790000}"/>
    <cellStyle name="Normal 411 4 2" xfId="31255" xr:uid="{00000000-0005-0000-0000-00001C790000}"/>
    <cellStyle name="Normal 411 4 2 2" xfId="31256" xr:uid="{00000000-0005-0000-0000-00001D790000}"/>
    <cellStyle name="Normal 411 4 3" xfId="31257" xr:uid="{00000000-0005-0000-0000-00001E790000}"/>
    <cellStyle name="Normal 411 5" xfId="31258" xr:uid="{00000000-0005-0000-0000-00001F790000}"/>
    <cellStyle name="Normal 411 5 2" xfId="31259" xr:uid="{00000000-0005-0000-0000-000020790000}"/>
    <cellStyle name="Normal 411 5 2 2" xfId="31260" xr:uid="{00000000-0005-0000-0000-000021790000}"/>
    <cellStyle name="Normal 411 5 3" xfId="31261" xr:uid="{00000000-0005-0000-0000-000022790000}"/>
    <cellStyle name="Normal 411 6" xfId="31262" xr:uid="{00000000-0005-0000-0000-000023790000}"/>
    <cellStyle name="Normal 411 6 2" xfId="31263" xr:uid="{00000000-0005-0000-0000-000024790000}"/>
    <cellStyle name="Normal 411 6 2 2" xfId="31264" xr:uid="{00000000-0005-0000-0000-000025790000}"/>
    <cellStyle name="Normal 411 6 3" xfId="31265" xr:uid="{00000000-0005-0000-0000-000026790000}"/>
    <cellStyle name="Normal 411 7" xfId="31266" xr:uid="{00000000-0005-0000-0000-000027790000}"/>
    <cellStyle name="Normal 412" xfId="31267" xr:uid="{00000000-0005-0000-0000-000028790000}"/>
    <cellStyle name="Normal 412 2" xfId="31268" xr:uid="{00000000-0005-0000-0000-000029790000}"/>
    <cellStyle name="Normal 412 2 2" xfId="31269" xr:uid="{00000000-0005-0000-0000-00002A790000}"/>
    <cellStyle name="Normal 412 2 2 2" xfId="31270" xr:uid="{00000000-0005-0000-0000-00002B790000}"/>
    <cellStyle name="Normal 412 2 3" xfId="31271" xr:uid="{00000000-0005-0000-0000-00002C790000}"/>
    <cellStyle name="Normal 412 2 3 2" xfId="31272" xr:uid="{00000000-0005-0000-0000-00002D790000}"/>
    <cellStyle name="Normal 412 2 3 2 2" xfId="31273" xr:uid="{00000000-0005-0000-0000-00002E790000}"/>
    <cellStyle name="Normal 412 2 3 3" xfId="31274" xr:uid="{00000000-0005-0000-0000-00002F790000}"/>
    <cellStyle name="Normal 412 2 4" xfId="31275" xr:uid="{00000000-0005-0000-0000-000030790000}"/>
    <cellStyle name="Normal 412 2 4 2" xfId="31276" xr:uid="{00000000-0005-0000-0000-000031790000}"/>
    <cellStyle name="Normal 412 2 4 2 2" xfId="31277" xr:uid="{00000000-0005-0000-0000-000032790000}"/>
    <cellStyle name="Normal 412 2 4 3" xfId="31278" xr:uid="{00000000-0005-0000-0000-000033790000}"/>
    <cellStyle name="Normal 412 2 5" xfId="31279" xr:uid="{00000000-0005-0000-0000-000034790000}"/>
    <cellStyle name="Normal 412 3" xfId="31280" xr:uid="{00000000-0005-0000-0000-000035790000}"/>
    <cellStyle name="Normal 412 3 2" xfId="31281" xr:uid="{00000000-0005-0000-0000-000036790000}"/>
    <cellStyle name="Normal 412 3 2 2" xfId="31282" xr:uid="{00000000-0005-0000-0000-000037790000}"/>
    <cellStyle name="Normal 412 3 2 2 2" xfId="31283" xr:uid="{00000000-0005-0000-0000-000038790000}"/>
    <cellStyle name="Normal 412 3 2 3" xfId="31284" xr:uid="{00000000-0005-0000-0000-000039790000}"/>
    <cellStyle name="Normal 412 3 2 3 2" xfId="31285" xr:uid="{00000000-0005-0000-0000-00003A790000}"/>
    <cellStyle name="Normal 412 3 2 3 2 2" xfId="31286" xr:uid="{00000000-0005-0000-0000-00003B790000}"/>
    <cellStyle name="Normal 412 3 2 3 3" xfId="31287" xr:uid="{00000000-0005-0000-0000-00003C790000}"/>
    <cellStyle name="Normal 412 3 2 4" xfId="31288" xr:uid="{00000000-0005-0000-0000-00003D790000}"/>
    <cellStyle name="Normal 412 3 3" xfId="31289" xr:uid="{00000000-0005-0000-0000-00003E790000}"/>
    <cellStyle name="Normal 412 3 3 2" xfId="31290" xr:uid="{00000000-0005-0000-0000-00003F790000}"/>
    <cellStyle name="Normal 412 3 3 2 2" xfId="31291" xr:uid="{00000000-0005-0000-0000-000040790000}"/>
    <cellStyle name="Normal 412 3 3 3" xfId="31292" xr:uid="{00000000-0005-0000-0000-000041790000}"/>
    <cellStyle name="Normal 412 3 4" xfId="31293" xr:uid="{00000000-0005-0000-0000-000042790000}"/>
    <cellStyle name="Normal 412 3 4 2" xfId="31294" xr:uid="{00000000-0005-0000-0000-000043790000}"/>
    <cellStyle name="Normal 412 3 4 2 2" xfId="31295" xr:uid="{00000000-0005-0000-0000-000044790000}"/>
    <cellStyle name="Normal 412 3 4 3" xfId="31296" xr:uid="{00000000-0005-0000-0000-000045790000}"/>
    <cellStyle name="Normal 412 3 5" xfId="31297" xr:uid="{00000000-0005-0000-0000-000046790000}"/>
    <cellStyle name="Normal 412 3 5 2" xfId="31298" xr:uid="{00000000-0005-0000-0000-000047790000}"/>
    <cellStyle name="Normal 412 3 5 2 2" xfId="31299" xr:uid="{00000000-0005-0000-0000-000048790000}"/>
    <cellStyle name="Normal 412 3 5 3" xfId="31300" xr:uid="{00000000-0005-0000-0000-000049790000}"/>
    <cellStyle name="Normal 412 3 6" xfId="31301" xr:uid="{00000000-0005-0000-0000-00004A790000}"/>
    <cellStyle name="Normal 412 4" xfId="31302" xr:uid="{00000000-0005-0000-0000-00004B790000}"/>
    <cellStyle name="Normal 412 4 2" xfId="31303" xr:uid="{00000000-0005-0000-0000-00004C790000}"/>
    <cellStyle name="Normal 412 4 2 2" xfId="31304" xr:uid="{00000000-0005-0000-0000-00004D790000}"/>
    <cellStyle name="Normal 412 4 3" xfId="31305" xr:uid="{00000000-0005-0000-0000-00004E790000}"/>
    <cellStyle name="Normal 412 5" xfId="31306" xr:uid="{00000000-0005-0000-0000-00004F790000}"/>
    <cellStyle name="Normal 412 5 2" xfId="31307" xr:uid="{00000000-0005-0000-0000-000050790000}"/>
    <cellStyle name="Normal 412 5 2 2" xfId="31308" xr:uid="{00000000-0005-0000-0000-000051790000}"/>
    <cellStyle name="Normal 412 5 3" xfId="31309" xr:uid="{00000000-0005-0000-0000-000052790000}"/>
    <cellStyle name="Normal 412 6" xfId="31310" xr:uid="{00000000-0005-0000-0000-000053790000}"/>
    <cellStyle name="Normal 412 6 2" xfId="31311" xr:uid="{00000000-0005-0000-0000-000054790000}"/>
    <cellStyle name="Normal 412 6 2 2" xfId="31312" xr:uid="{00000000-0005-0000-0000-000055790000}"/>
    <cellStyle name="Normal 412 6 3" xfId="31313" xr:uid="{00000000-0005-0000-0000-000056790000}"/>
    <cellStyle name="Normal 412 7" xfId="31314" xr:uid="{00000000-0005-0000-0000-000057790000}"/>
    <cellStyle name="Normal 413" xfId="31315" xr:uid="{00000000-0005-0000-0000-000058790000}"/>
    <cellStyle name="Normal 413 2" xfId="31316" xr:uid="{00000000-0005-0000-0000-000059790000}"/>
    <cellStyle name="Normal 413 2 2" xfId="31317" xr:uid="{00000000-0005-0000-0000-00005A790000}"/>
    <cellStyle name="Normal 413 2 2 2" xfId="31318" xr:uid="{00000000-0005-0000-0000-00005B790000}"/>
    <cellStyle name="Normal 413 2 3" xfId="31319" xr:uid="{00000000-0005-0000-0000-00005C790000}"/>
    <cellStyle name="Normal 413 2 3 2" xfId="31320" xr:uid="{00000000-0005-0000-0000-00005D790000}"/>
    <cellStyle name="Normal 413 2 3 2 2" xfId="31321" xr:uid="{00000000-0005-0000-0000-00005E790000}"/>
    <cellStyle name="Normal 413 2 3 3" xfId="31322" xr:uid="{00000000-0005-0000-0000-00005F790000}"/>
    <cellStyle name="Normal 413 2 4" xfId="31323" xr:uid="{00000000-0005-0000-0000-000060790000}"/>
    <cellStyle name="Normal 413 2 4 2" xfId="31324" xr:uid="{00000000-0005-0000-0000-000061790000}"/>
    <cellStyle name="Normal 413 2 4 2 2" xfId="31325" xr:uid="{00000000-0005-0000-0000-000062790000}"/>
    <cellStyle name="Normal 413 2 4 3" xfId="31326" xr:uid="{00000000-0005-0000-0000-000063790000}"/>
    <cellStyle name="Normal 413 2 5" xfId="31327" xr:uid="{00000000-0005-0000-0000-000064790000}"/>
    <cellStyle name="Normal 413 3" xfId="31328" xr:uid="{00000000-0005-0000-0000-000065790000}"/>
    <cellStyle name="Normal 413 3 2" xfId="31329" xr:uid="{00000000-0005-0000-0000-000066790000}"/>
    <cellStyle name="Normal 413 3 2 2" xfId="31330" xr:uid="{00000000-0005-0000-0000-000067790000}"/>
    <cellStyle name="Normal 413 3 2 2 2" xfId="31331" xr:uid="{00000000-0005-0000-0000-000068790000}"/>
    <cellStyle name="Normal 413 3 2 3" xfId="31332" xr:uid="{00000000-0005-0000-0000-000069790000}"/>
    <cellStyle name="Normal 413 3 2 3 2" xfId="31333" xr:uid="{00000000-0005-0000-0000-00006A790000}"/>
    <cellStyle name="Normal 413 3 2 3 2 2" xfId="31334" xr:uid="{00000000-0005-0000-0000-00006B790000}"/>
    <cellStyle name="Normal 413 3 2 3 3" xfId="31335" xr:uid="{00000000-0005-0000-0000-00006C790000}"/>
    <cellStyle name="Normal 413 3 2 4" xfId="31336" xr:uid="{00000000-0005-0000-0000-00006D790000}"/>
    <cellStyle name="Normal 413 3 3" xfId="31337" xr:uid="{00000000-0005-0000-0000-00006E790000}"/>
    <cellStyle name="Normal 413 3 3 2" xfId="31338" xr:uid="{00000000-0005-0000-0000-00006F790000}"/>
    <cellStyle name="Normal 413 3 3 2 2" xfId="31339" xr:uid="{00000000-0005-0000-0000-000070790000}"/>
    <cellStyle name="Normal 413 3 3 3" xfId="31340" xr:uid="{00000000-0005-0000-0000-000071790000}"/>
    <cellStyle name="Normal 413 3 4" xfId="31341" xr:uid="{00000000-0005-0000-0000-000072790000}"/>
    <cellStyle name="Normal 413 3 4 2" xfId="31342" xr:uid="{00000000-0005-0000-0000-000073790000}"/>
    <cellStyle name="Normal 413 3 4 2 2" xfId="31343" xr:uid="{00000000-0005-0000-0000-000074790000}"/>
    <cellStyle name="Normal 413 3 4 3" xfId="31344" xr:uid="{00000000-0005-0000-0000-000075790000}"/>
    <cellStyle name="Normal 413 3 5" xfId="31345" xr:uid="{00000000-0005-0000-0000-000076790000}"/>
    <cellStyle name="Normal 413 3 5 2" xfId="31346" xr:uid="{00000000-0005-0000-0000-000077790000}"/>
    <cellStyle name="Normal 413 3 5 2 2" xfId="31347" xr:uid="{00000000-0005-0000-0000-000078790000}"/>
    <cellStyle name="Normal 413 3 5 3" xfId="31348" xr:uid="{00000000-0005-0000-0000-000079790000}"/>
    <cellStyle name="Normal 413 3 6" xfId="31349" xr:uid="{00000000-0005-0000-0000-00007A790000}"/>
    <cellStyle name="Normal 413 4" xfId="31350" xr:uid="{00000000-0005-0000-0000-00007B790000}"/>
    <cellStyle name="Normal 413 4 2" xfId="31351" xr:uid="{00000000-0005-0000-0000-00007C790000}"/>
    <cellStyle name="Normal 413 4 2 2" xfId="31352" xr:uid="{00000000-0005-0000-0000-00007D790000}"/>
    <cellStyle name="Normal 413 4 3" xfId="31353" xr:uid="{00000000-0005-0000-0000-00007E790000}"/>
    <cellStyle name="Normal 413 5" xfId="31354" xr:uid="{00000000-0005-0000-0000-00007F790000}"/>
    <cellStyle name="Normal 413 5 2" xfId="31355" xr:uid="{00000000-0005-0000-0000-000080790000}"/>
    <cellStyle name="Normal 413 5 2 2" xfId="31356" xr:uid="{00000000-0005-0000-0000-000081790000}"/>
    <cellStyle name="Normal 413 5 3" xfId="31357" xr:uid="{00000000-0005-0000-0000-000082790000}"/>
    <cellStyle name="Normal 413 6" xfId="31358" xr:uid="{00000000-0005-0000-0000-000083790000}"/>
    <cellStyle name="Normal 413 6 2" xfId="31359" xr:uid="{00000000-0005-0000-0000-000084790000}"/>
    <cellStyle name="Normal 413 6 2 2" xfId="31360" xr:uid="{00000000-0005-0000-0000-000085790000}"/>
    <cellStyle name="Normal 413 6 3" xfId="31361" xr:uid="{00000000-0005-0000-0000-000086790000}"/>
    <cellStyle name="Normal 413 7" xfId="31362" xr:uid="{00000000-0005-0000-0000-000087790000}"/>
    <cellStyle name="Normal 414" xfId="31363" xr:uid="{00000000-0005-0000-0000-000088790000}"/>
    <cellStyle name="Normal 414 2" xfId="31364" xr:uid="{00000000-0005-0000-0000-000089790000}"/>
    <cellStyle name="Normal 414 2 2" xfId="31365" xr:uid="{00000000-0005-0000-0000-00008A790000}"/>
    <cellStyle name="Normal 414 2 2 2" xfId="31366" xr:uid="{00000000-0005-0000-0000-00008B790000}"/>
    <cellStyle name="Normal 414 2 3" xfId="31367" xr:uid="{00000000-0005-0000-0000-00008C790000}"/>
    <cellStyle name="Normal 414 2 3 2" xfId="31368" xr:uid="{00000000-0005-0000-0000-00008D790000}"/>
    <cellStyle name="Normal 414 2 3 2 2" xfId="31369" xr:uid="{00000000-0005-0000-0000-00008E790000}"/>
    <cellStyle name="Normal 414 2 3 3" xfId="31370" xr:uid="{00000000-0005-0000-0000-00008F790000}"/>
    <cellStyle name="Normal 414 2 4" xfId="31371" xr:uid="{00000000-0005-0000-0000-000090790000}"/>
    <cellStyle name="Normal 414 2 4 2" xfId="31372" xr:uid="{00000000-0005-0000-0000-000091790000}"/>
    <cellStyle name="Normal 414 2 4 2 2" xfId="31373" xr:uid="{00000000-0005-0000-0000-000092790000}"/>
    <cellStyle name="Normal 414 2 4 3" xfId="31374" xr:uid="{00000000-0005-0000-0000-000093790000}"/>
    <cellStyle name="Normal 414 2 5" xfId="31375" xr:uid="{00000000-0005-0000-0000-000094790000}"/>
    <cellStyle name="Normal 414 3" xfId="31376" xr:uid="{00000000-0005-0000-0000-000095790000}"/>
    <cellStyle name="Normal 414 3 2" xfId="31377" xr:uid="{00000000-0005-0000-0000-000096790000}"/>
    <cellStyle name="Normal 414 3 2 2" xfId="31378" xr:uid="{00000000-0005-0000-0000-000097790000}"/>
    <cellStyle name="Normal 414 3 2 2 2" xfId="31379" xr:uid="{00000000-0005-0000-0000-000098790000}"/>
    <cellStyle name="Normal 414 3 2 3" xfId="31380" xr:uid="{00000000-0005-0000-0000-000099790000}"/>
    <cellStyle name="Normal 414 3 2 3 2" xfId="31381" xr:uid="{00000000-0005-0000-0000-00009A790000}"/>
    <cellStyle name="Normal 414 3 2 3 2 2" xfId="31382" xr:uid="{00000000-0005-0000-0000-00009B790000}"/>
    <cellStyle name="Normal 414 3 2 3 3" xfId="31383" xr:uid="{00000000-0005-0000-0000-00009C790000}"/>
    <cellStyle name="Normal 414 3 2 4" xfId="31384" xr:uid="{00000000-0005-0000-0000-00009D790000}"/>
    <cellStyle name="Normal 414 3 3" xfId="31385" xr:uid="{00000000-0005-0000-0000-00009E790000}"/>
    <cellStyle name="Normal 414 3 3 2" xfId="31386" xr:uid="{00000000-0005-0000-0000-00009F790000}"/>
    <cellStyle name="Normal 414 3 3 2 2" xfId="31387" xr:uid="{00000000-0005-0000-0000-0000A0790000}"/>
    <cellStyle name="Normal 414 3 3 3" xfId="31388" xr:uid="{00000000-0005-0000-0000-0000A1790000}"/>
    <cellStyle name="Normal 414 3 4" xfId="31389" xr:uid="{00000000-0005-0000-0000-0000A2790000}"/>
    <cellStyle name="Normal 414 3 4 2" xfId="31390" xr:uid="{00000000-0005-0000-0000-0000A3790000}"/>
    <cellStyle name="Normal 414 3 4 2 2" xfId="31391" xr:uid="{00000000-0005-0000-0000-0000A4790000}"/>
    <cellStyle name="Normal 414 3 4 3" xfId="31392" xr:uid="{00000000-0005-0000-0000-0000A5790000}"/>
    <cellStyle name="Normal 414 3 5" xfId="31393" xr:uid="{00000000-0005-0000-0000-0000A6790000}"/>
    <cellStyle name="Normal 414 3 5 2" xfId="31394" xr:uid="{00000000-0005-0000-0000-0000A7790000}"/>
    <cellStyle name="Normal 414 3 5 2 2" xfId="31395" xr:uid="{00000000-0005-0000-0000-0000A8790000}"/>
    <cellStyle name="Normal 414 3 5 3" xfId="31396" xr:uid="{00000000-0005-0000-0000-0000A9790000}"/>
    <cellStyle name="Normal 414 3 6" xfId="31397" xr:uid="{00000000-0005-0000-0000-0000AA790000}"/>
    <cellStyle name="Normal 414 4" xfId="31398" xr:uid="{00000000-0005-0000-0000-0000AB790000}"/>
    <cellStyle name="Normal 414 4 2" xfId="31399" xr:uid="{00000000-0005-0000-0000-0000AC790000}"/>
    <cellStyle name="Normal 414 4 2 2" xfId="31400" xr:uid="{00000000-0005-0000-0000-0000AD790000}"/>
    <cellStyle name="Normal 414 4 3" xfId="31401" xr:uid="{00000000-0005-0000-0000-0000AE790000}"/>
    <cellStyle name="Normal 414 5" xfId="31402" xr:uid="{00000000-0005-0000-0000-0000AF790000}"/>
    <cellStyle name="Normal 414 5 2" xfId="31403" xr:uid="{00000000-0005-0000-0000-0000B0790000}"/>
    <cellStyle name="Normal 414 5 2 2" xfId="31404" xr:uid="{00000000-0005-0000-0000-0000B1790000}"/>
    <cellStyle name="Normal 414 5 3" xfId="31405" xr:uid="{00000000-0005-0000-0000-0000B2790000}"/>
    <cellStyle name="Normal 414 6" xfId="31406" xr:uid="{00000000-0005-0000-0000-0000B3790000}"/>
    <cellStyle name="Normal 414 6 2" xfId="31407" xr:uid="{00000000-0005-0000-0000-0000B4790000}"/>
    <cellStyle name="Normal 414 6 2 2" xfId="31408" xr:uid="{00000000-0005-0000-0000-0000B5790000}"/>
    <cellStyle name="Normal 414 6 3" xfId="31409" xr:uid="{00000000-0005-0000-0000-0000B6790000}"/>
    <cellStyle name="Normal 414 7" xfId="31410" xr:uid="{00000000-0005-0000-0000-0000B7790000}"/>
    <cellStyle name="Normal 415" xfId="31411" xr:uid="{00000000-0005-0000-0000-0000B8790000}"/>
    <cellStyle name="Normal 415 2" xfId="31412" xr:uid="{00000000-0005-0000-0000-0000B9790000}"/>
    <cellStyle name="Normal 415 2 2" xfId="31413" xr:uid="{00000000-0005-0000-0000-0000BA790000}"/>
    <cellStyle name="Normal 415 2 2 2" xfId="31414" xr:uid="{00000000-0005-0000-0000-0000BB790000}"/>
    <cellStyle name="Normal 415 2 3" xfId="31415" xr:uid="{00000000-0005-0000-0000-0000BC790000}"/>
    <cellStyle name="Normal 415 2 3 2" xfId="31416" xr:uid="{00000000-0005-0000-0000-0000BD790000}"/>
    <cellStyle name="Normal 415 2 3 2 2" xfId="31417" xr:uid="{00000000-0005-0000-0000-0000BE790000}"/>
    <cellStyle name="Normal 415 2 3 3" xfId="31418" xr:uid="{00000000-0005-0000-0000-0000BF790000}"/>
    <cellStyle name="Normal 415 2 4" xfId="31419" xr:uid="{00000000-0005-0000-0000-0000C0790000}"/>
    <cellStyle name="Normal 415 2 4 2" xfId="31420" xr:uid="{00000000-0005-0000-0000-0000C1790000}"/>
    <cellStyle name="Normal 415 2 4 2 2" xfId="31421" xr:uid="{00000000-0005-0000-0000-0000C2790000}"/>
    <cellStyle name="Normal 415 2 4 3" xfId="31422" xr:uid="{00000000-0005-0000-0000-0000C3790000}"/>
    <cellStyle name="Normal 415 2 5" xfId="31423" xr:uid="{00000000-0005-0000-0000-0000C4790000}"/>
    <cellStyle name="Normal 415 3" xfId="31424" xr:uid="{00000000-0005-0000-0000-0000C5790000}"/>
    <cellStyle name="Normal 415 3 2" xfId="31425" xr:uid="{00000000-0005-0000-0000-0000C6790000}"/>
    <cellStyle name="Normal 415 3 2 2" xfId="31426" xr:uid="{00000000-0005-0000-0000-0000C7790000}"/>
    <cellStyle name="Normal 415 3 2 2 2" xfId="31427" xr:uid="{00000000-0005-0000-0000-0000C8790000}"/>
    <cellStyle name="Normal 415 3 2 3" xfId="31428" xr:uid="{00000000-0005-0000-0000-0000C9790000}"/>
    <cellStyle name="Normal 415 3 2 3 2" xfId="31429" xr:uid="{00000000-0005-0000-0000-0000CA790000}"/>
    <cellStyle name="Normal 415 3 2 3 2 2" xfId="31430" xr:uid="{00000000-0005-0000-0000-0000CB790000}"/>
    <cellStyle name="Normal 415 3 2 3 3" xfId="31431" xr:uid="{00000000-0005-0000-0000-0000CC790000}"/>
    <cellStyle name="Normal 415 3 2 4" xfId="31432" xr:uid="{00000000-0005-0000-0000-0000CD790000}"/>
    <cellStyle name="Normal 415 3 3" xfId="31433" xr:uid="{00000000-0005-0000-0000-0000CE790000}"/>
    <cellStyle name="Normal 415 3 3 2" xfId="31434" xr:uid="{00000000-0005-0000-0000-0000CF790000}"/>
    <cellStyle name="Normal 415 3 3 2 2" xfId="31435" xr:uid="{00000000-0005-0000-0000-0000D0790000}"/>
    <cellStyle name="Normal 415 3 3 3" xfId="31436" xr:uid="{00000000-0005-0000-0000-0000D1790000}"/>
    <cellStyle name="Normal 415 3 4" xfId="31437" xr:uid="{00000000-0005-0000-0000-0000D2790000}"/>
    <cellStyle name="Normal 415 3 4 2" xfId="31438" xr:uid="{00000000-0005-0000-0000-0000D3790000}"/>
    <cellStyle name="Normal 415 3 4 2 2" xfId="31439" xr:uid="{00000000-0005-0000-0000-0000D4790000}"/>
    <cellStyle name="Normal 415 3 4 3" xfId="31440" xr:uid="{00000000-0005-0000-0000-0000D5790000}"/>
    <cellStyle name="Normal 415 3 5" xfId="31441" xr:uid="{00000000-0005-0000-0000-0000D6790000}"/>
    <cellStyle name="Normal 415 3 5 2" xfId="31442" xr:uid="{00000000-0005-0000-0000-0000D7790000}"/>
    <cellStyle name="Normal 415 3 5 2 2" xfId="31443" xr:uid="{00000000-0005-0000-0000-0000D8790000}"/>
    <cellStyle name="Normal 415 3 5 3" xfId="31444" xr:uid="{00000000-0005-0000-0000-0000D9790000}"/>
    <cellStyle name="Normal 415 3 6" xfId="31445" xr:uid="{00000000-0005-0000-0000-0000DA790000}"/>
    <cellStyle name="Normal 415 4" xfId="31446" xr:uid="{00000000-0005-0000-0000-0000DB790000}"/>
    <cellStyle name="Normal 415 4 2" xfId="31447" xr:uid="{00000000-0005-0000-0000-0000DC790000}"/>
    <cellStyle name="Normal 415 4 2 2" xfId="31448" xr:uid="{00000000-0005-0000-0000-0000DD790000}"/>
    <cellStyle name="Normal 415 4 3" xfId="31449" xr:uid="{00000000-0005-0000-0000-0000DE790000}"/>
    <cellStyle name="Normal 415 5" xfId="31450" xr:uid="{00000000-0005-0000-0000-0000DF790000}"/>
    <cellStyle name="Normal 415 5 2" xfId="31451" xr:uid="{00000000-0005-0000-0000-0000E0790000}"/>
    <cellStyle name="Normal 415 5 2 2" xfId="31452" xr:uid="{00000000-0005-0000-0000-0000E1790000}"/>
    <cellStyle name="Normal 415 5 3" xfId="31453" xr:uid="{00000000-0005-0000-0000-0000E2790000}"/>
    <cellStyle name="Normal 415 6" xfId="31454" xr:uid="{00000000-0005-0000-0000-0000E3790000}"/>
    <cellStyle name="Normal 415 6 2" xfId="31455" xr:uid="{00000000-0005-0000-0000-0000E4790000}"/>
    <cellStyle name="Normal 415 6 2 2" xfId="31456" xr:uid="{00000000-0005-0000-0000-0000E5790000}"/>
    <cellStyle name="Normal 415 6 3" xfId="31457" xr:uid="{00000000-0005-0000-0000-0000E6790000}"/>
    <cellStyle name="Normal 415 7" xfId="31458" xr:uid="{00000000-0005-0000-0000-0000E7790000}"/>
    <cellStyle name="Normal 416" xfId="31459" xr:uid="{00000000-0005-0000-0000-0000E8790000}"/>
    <cellStyle name="Normal 416 2" xfId="31460" xr:uid="{00000000-0005-0000-0000-0000E9790000}"/>
    <cellStyle name="Normal 416 2 2" xfId="31461" xr:uid="{00000000-0005-0000-0000-0000EA790000}"/>
    <cellStyle name="Normal 416 2 2 2" xfId="31462" xr:uid="{00000000-0005-0000-0000-0000EB790000}"/>
    <cellStyle name="Normal 416 2 3" xfId="31463" xr:uid="{00000000-0005-0000-0000-0000EC790000}"/>
    <cellStyle name="Normal 416 2 3 2" xfId="31464" xr:uid="{00000000-0005-0000-0000-0000ED790000}"/>
    <cellStyle name="Normal 416 2 3 2 2" xfId="31465" xr:uid="{00000000-0005-0000-0000-0000EE790000}"/>
    <cellStyle name="Normal 416 2 3 3" xfId="31466" xr:uid="{00000000-0005-0000-0000-0000EF790000}"/>
    <cellStyle name="Normal 416 2 4" xfId="31467" xr:uid="{00000000-0005-0000-0000-0000F0790000}"/>
    <cellStyle name="Normal 416 2 4 2" xfId="31468" xr:uid="{00000000-0005-0000-0000-0000F1790000}"/>
    <cellStyle name="Normal 416 2 4 2 2" xfId="31469" xr:uid="{00000000-0005-0000-0000-0000F2790000}"/>
    <cellStyle name="Normal 416 2 4 3" xfId="31470" xr:uid="{00000000-0005-0000-0000-0000F3790000}"/>
    <cellStyle name="Normal 416 2 5" xfId="31471" xr:uid="{00000000-0005-0000-0000-0000F4790000}"/>
    <cellStyle name="Normal 416 3" xfId="31472" xr:uid="{00000000-0005-0000-0000-0000F5790000}"/>
    <cellStyle name="Normal 416 3 2" xfId="31473" xr:uid="{00000000-0005-0000-0000-0000F6790000}"/>
    <cellStyle name="Normal 416 3 2 2" xfId="31474" xr:uid="{00000000-0005-0000-0000-0000F7790000}"/>
    <cellStyle name="Normal 416 3 2 2 2" xfId="31475" xr:uid="{00000000-0005-0000-0000-0000F8790000}"/>
    <cellStyle name="Normal 416 3 2 3" xfId="31476" xr:uid="{00000000-0005-0000-0000-0000F9790000}"/>
    <cellStyle name="Normal 416 3 2 3 2" xfId="31477" xr:uid="{00000000-0005-0000-0000-0000FA790000}"/>
    <cellStyle name="Normal 416 3 2 3 2 2" xfId="31478" xr:uid="{00000000-0005-0000-0000-0000FB790000}"/>
    <cellStyle name="Normal 416 3 2 3 3" xfId="31479" xr:uid="{00000000-0005-0000-0000-0000FC790000}"/>
    <cellStyle name="Normal 416 3 2 4" xfId="31480" xr:uid="{00000000-0005-0000-0000-0000FD790000}"/>
    <cellStyle name="Normal 416 3 3" xfId="31481" xr:uid="{00000000-0005-0000-0000-0000FE790000}"/>
    <cellStyle name="Normal 416 3 3 2" xfId="31482" xr:uid="{00000000-0005-0000-0000-0000FF790000}"/>
    <cellStyle name="Normal 416 3 3 2 2" xfId="31483" xr:uid="{00000000-0005-0000-0000-0000007A0000}"/>
    <cellStyle name="Normal 416 3 3 3" xfId="31484" xr:uid="{00000000-0005-0000-0000-0000017A0000}"/>
    <cellStyle name="Normal 416 3 4" xfId="31485" xr:uid="{00000000-0005-0000-0000-0000027A0000}"/>
    <cellStyle name="Normal 416 3 4 2" xfId="31486" xr:uid="{00000000-0005-0000-0000-0000037A0000}"/>
    <cellStyle name="Normal 416 3 4 2 2" xfId="31487" xr:uid="{00000000-0005-0000-0000-0000047A0000}"/>
    <cellStyle name="Normal 416 3 4 3" xfId="31488" xr:uid="{00000000-0005-0000-0000-0000057A0000}"/>
    <cellStyle name="Normal 416 3 5" xfId="31489" xr:uid="{00000000-0005-0000-0000-0000067A0000}"/>
    <cellStyle name="Normal 416 3 5 2" xfId="31490" xr:uid="{00000000-0005-0000-0000-0000077A0000}"/>
    <cellStyle name="Normal 416 3 5 2 2" xfId="31491" xr:uid="{00000000-0005-0000-0000-0000087A0000}"/>
    <cellStyle name="Normal 416 3 5 3" xfId="31492" xr:uid="{00000000-0005-0000-0000-0000097A0000}"/>
    <cellStyle name="Normal 416 3 6" xfId="31493" xr:uid="{00000000-0005-0000-0000-00000A7A0000}"/>
    <cellStyle name="Normal 416 4" xfId="31494" xr:uid="{00000000-0005-0000-0000-00000B7A0000}"/>
    <cellStyle name="Normal 416 4 2" xfId="31495" xr:uid="{00000000-0005-0000-0000-00000C7A0000}"/>
    <cellStyle name="Normal 416 4 2 2" xfId="31496" xr:uid="{00000000-0005-0000-0000-00000D7A0000}"/>
    <cellStyle name="Normal 416 4 3" xfId="31497" xr:uid="{00000000-0005-0000-0000-00000E7A0000}"/>
    <cellStyle name="Normal 416 5" xfId="31498" xr:uid="{00000000-0005-0000-0000-00000F7A0000}"/>
    <cellStyle name="Normal 416 5 2" xfId="31499" xr:uid="{00000000-0005-0000-0000-0000107A0000}"/>
    <cellStyle name="Normal 416 5 2 2" xfId="31500" xr:uid="{00000000-0005-0000-0000-0000117A0000}"/>
    <cellStyle name="Normal 416 5 3" xfId="31501" xr:uid="{00000000-0005-0000-0000-0000127A0000}"/>
    <cellStyle name="Normal 416 6" xfId="31502" xr:uid="{00000000-0005-0000-0000-0000137A0000}"/>
    <cellStyle name="Normal 416 6 2" xfId="31503" xr:uid="{00000000-0005-0000-0000-0000147A0000}"/>
    <cellStyle name="Normal 416 6 2 2" xfId="31504" xr:uid="{00000000-0005-0000-0000-0000157A0000}"/>
    <cellStyle name="Normal 416 6 3" xfId="31505" xr:uid="{00000000-0005-0000-0000-0000167A0000}"/>
    <cellStyle name="Normal 416 7" xfId="31506" xr:uid="{00000000-0005-0000-0000-0000177A0000}"/>
    <cellStyle name="Normal 417" xfId="31507" xr:uid="{00000000-0005-0000-0000-0000187A0000}"/>
    <cellStyle name="Normal 417 2" xfId="31508" xr:uid="{00000000-0005-0000-0000-0000197A0000}"/>
    <cellStyle name="Normal 417 2 2" xfId="31509" xr:uid="{00000000-0005-0000-0000-00001A7A0000}"/>
    <cellStyle name="Normal 417 2 2 2" xfId="31510" xr:uid="{00000000-0005-0000-0000-00001B7A0000}"/>
    <cellStyle name="Normal 417 2 3" xfId="31511" xr:uid="{00000000-0005-0000-0000-00001C7A0000}"/>
    <cellStyle name="Normal 417 2 3 2" xfId="31512" xr:uid="{00000000-0005-0000-0000-00001D7A0000}"/>
    <cellStyle name="Normal 417 2 3 2 2" xfId="31513" xr:uid="{00000000-0005-0000-0000-00001E7A0000}"/>
    <cellStyle name="Normal 417 2 3 3" xfId="31514" xr:uid="{00000000-0005-0000-0000-00001F7A0000}"/>
    <cellStyle name="Normal 417 2 4" xfId="31515" xr:uid="{00000000-0005-0000-0000-0000207A0000}"/>
    <cellStyle name="Normal 417 2 4 2" xfId="31516" xr:uid="{00000000-0005-0000-0000-0000217A0000}"/>
    <cellStyle name="Normal 417 2 4 2 2" xfId="31517" xr:uid="{00000000-0005-0000-0000-0000227A0000}"/>
    <cellStyle name="Normal 417 2 4 3" xfId="31518" xr:uid="{00000000-0005-0000-0000-0000237A0000}"/>
    <cellStyle name="Normal 417 2 5" xfId="31519" xr:uid="{00000000-0005-0000-0000-0000247A0000}"/>
    <cellStyle name="Normal 417 3" xfId="31520" xr:uid="{00000000-0005-0000-0000-0000257A0000}"/>
    <cellStyle name="Normal 417 3 2" xfId="31521" xr:uid="{00000000-0005-0000-0000-0000267A0000}"/>
    <cellStyle name="Normal 417 3 2 2" xfId="31522" xr:uid="{00000000-0005-0000-0000-0000277A0000}"/>
    <cellStyle name="Normal 417 3 2 2 2" xfId="31523" xr:uid="{00000000-0005-0000-0000-0000287A0000}"/>
    <cellStyle name="Normal 417 3 2 3" xfId="31524" xr:uid="{00000000-0005-0000-0000-0000297A0000}"/>
    <cellStyle name="Normal 417 3 2 3 2" xfId="31525" xr:uid="{00000000-0005-0000-0000-00002A7A0000}"/>
    <cellStyle name="Normal 417 3 2 3 2 2" xfId="31526" xr:uid="{00000000-0005-0000-0000-00002B7A0000}"/>
    <cellStyle name="Normal 417 3 2 3 3" xfId="31527" xr:uid="{00000000-0005-0000-0000-00002C7A0000}"/>
    <cellStyle name="Normal 417 3 2 4" xfId="31528" xr:uid="{00000000-0005-0000-0000-00002D7A0000}"/>
    <cellStyle name="Normal 417 3 3" xfId="31529" xr:uid="{00000000-0005-0000-0000-00002E7A0000}"/>
    <cellStyle name="Normal 417 3 3 2" xfId="31530" xr:uid="{00000000-0005-0000-0000-00002F7A0000}"/>
    <cellStyle name="Normal 417 3 3 2 2" xfId="31531" xr:uid="{00000000-0005-0000-0000-0000307A0000}"/>
    <cellStyle name="Normal 417 3 3 3" xfId="31532" xr:uid="{00000000-0005-0000-0000-0000317A0000}"/>
    <cellStyle name="Normal 417 3 4" xfId="31533" xr:uid="{00000000-0005-0000-0000-0000327A0000}"/>
    <cellStyle name="Normal 417 3 4 2" xfId="31534" xr:uid="{00000000-0005-0000-0000-0000337A0000}"/>
    <cellStyle name="Normal 417 3 4 2 2" xfId="31535" xr:uid="{00000000-0005-0000-0000-0000347A0000}"/>
    <cellStyle name="Normal 417 3 4 3" xfId="31536" xr:uid="{00000000-0005-0000-0000-0000357A0000}"/>
    <cellStyle name="Normal 417 3 5" xfId="31537" xr:uid="{00000000-0005-0000-0000-0000367A0000}"/>
    <cellStyle name="Normal 417 3 5 2" xfId="31538" xr:uid="{00000000-0005-0000-0000-0000377A0000}"/>
    <cellStyle name="Normal 417 3 5 2 2" xfId="31539" xr:uid="{00000000-0005-0000-0000-0000387A0000}"/>
    <cellStyle name="Normal 417 3 5 3" xfId="31540" xr:uid="{00000000-0005-0000-0000-0000397A0000}"/>
    <cellStyle name="Normal 417 3 6" xfId="31541" xr:uid="{00000000-0005-0000-0000-00003A7A0000}"/>
    <cellStyle name="Normal 417 4" xfId="31542" xr:uid="{00000000-0005-0000-0000-00003B7A0000}"/>
    <cellStyle name="Normal 417 4 2" xfId="31543" xr:uid="{00000000-0005-0000-0000-00003C7A0000}"/>
    <cellStyle name="Normal 417 4 2 2" xfId="31544" xr:uid="{00000000-0005-0000-0000-00003D7A0000}"/>
    <cellStyle name="Normal 417 4 3" xfId="31545" xr:uid="{00000000-0005-0000-0000-00003E7A0000}"/>
    <cellStyle name="Normal 417 5" xfId="31546" xr:uid="{00000000-0005-0000-0000-00003F7A0000}"/>
    <cellStyle name="Normal 417 5 2" xfId="31547" xr:uid="{00000000-0005-0000-0000-0000407A0000}"/>
    <cellStyle name="Normal 417 5 2 2" xfId="31548" xr:uid="{00000000-0005-0000-0000-0000417A0000}"/>
    <cellStyle name="Normal 417 5 3" xfId="31549" xr:uid="{00000000-0005-0000-0000-0000427A0000}"/>
    <cellStyle name="Normal 417 6" xfId="31550" xr:uid="{00000000-0005-0000-0000-0000437A0000}"/>
    <cellStyle name="Normal 417 6 2" xfId="31551" xr:uid="{00000000-0005-0000-0000-0000447A0000}"/>
    <cellStyle name="Normal 417 6 2 2" xfId="31552" xr:uid="{00000000-0005-0000-0000-0000457A0000}"/>
    <cellStyle name="Normal 417 6 3" xfId="31553" xr:uid="{00000000-0005-0000-0000-0000467A0000}"/>
    <cellStyle name="Normal 417 7" xfId="31554" xr:uid="{00000000-0005-0000-0000-0000477A0000}"/>
    <cellStyle name="Normal 418" xfId="31555" xr:uid="{00000000-0005-0000-0000-0000487A0000}"/>
    <cellStyle name="Normal 418 2" xfId="31556" xr:uid="{00000000-0005-0000-0000-0000497A0000}"/>
    <cellStyle name="Normal 418 2 2" xfId="31557" xr:uid="{00000000-0005-0000-0000-00004A7A0000}"/>
    <cellStyle name="Normal 418 2 2 2" xfId="31558" xr:uid="{00000000-0005-0000-0000-00004B7A0000}"/>
    <cellStyle name="Normal 418 2 3" xfId="31559" xr:uid="{00000000-0005-0000-0000-00004C7A0000}"/>
    <cellStyle name="Normal 418 2 3 2" xfId="31560" xr:uid="{00000000-0005-0000-0000-00004D7A0000}"/>
    <cellStyle name="Normal 418 2 3 2 2" xfId="31561" xr:uid="{00000000-0005-0000-0000-00004E7A0000}"/>
    <cellStyle name="Normal 418 2 3 3" xfId="31562" xr:uid="{00000000-0005-0000-0000-00004F7A0000}"/>
    <cellStyle name="Normal 418 2 4" xfId="31563" xr:uid="{00000000-0005-0000-0000-0000507A0000}"/>
    <cellStyle name="Normal 418 2 4 2" xfId="31564" xr:uid="{00000000-0005-0000-0000-0000517A0000}"/>
    <cellStyle name="Normal 418 2 4 2 2" xfId="31565" xr:uid="{00000000-0005-0000-0000-0000527A0000}"/>
    <cellStyle name="Normal 418 2 4 3" xfId="31566" xr:uid="{00000000-0005-0000-0000-0000537A0000}"/>
    <cellStyle name="Normal 418 2 5" xfId="31567" xr:uid="{00000000-0005-0000-0000-0000547A0000}"/>
    <cellStyle name="Normal 418 3" xfId="31568" xr:uid="{00000000-0005-0000-0000-0000557A0000}"/>
    <cellStyle name="Normal 418 3 2" xfId="31569" xr:uid="{00000000-0005-0000-0000-0000567A0000}"/>
    <cellStyle name="Normal 418 3 2 2" xfId="31570" xr:uid="{00000000-0005-0000-0000-0000577A0000}"/>
    <cellStyle name="Normal 418 3 2 2 2" xfId="31571" xr:uid="{00000000-0005-0000-0000-0000587A0000}"/>
    <cellStyle name="Normal 418 3 2 3" xfId="31572" xr:uid="{00000000-0005-0000-0000-0000597A0000}"/>
    <cellStyle name="Normal 418 3 2 3 2" xfId="31573" xr:uid="{00000000-0005-0000-0000-00005A7A0000}"/>
    <cellStyle name="Normal 418 3 2 3 2 2" xfId="31574" xr:uid="{00000000-0005-0000-0000-00005B7A0000}"/>
    <cellStyle name="Normal 418 3 2 3 3" xfId="31575" xr:uid="{00000000-0005-0000-0000-00005C7A0000}"/>
    <cellStyle name="Normal 418 3 2 4" xfId="31576" xr:uid="{00000000-0005-0000-0000-00005D7A0000}"/>
    <cellStyle name="Normal 418 3 3" xfId="31577" xr:uid="{00000000-0005-0000-0000-00005E7A0000}"/>
    <cellStyle name="Normal 418 3 3 2" xfId="31578" xr:uid="{00000000-0005-0000-0000-00005F7A0000}"/>
    <cellStyle name="Normal 418 3 3 2 2" xfId="31579" xr:uid="{00000000-0005-0000-0000-0000607A0000}"/>
    <cellStyle name="Normal 418 3 3 3" xfId="31580" xr:uid="{00000000-0005-0000-0000-0000617A0000}"/>
    <cellStyle name="Normal 418 3 4" xfId="31581" xr:uid="{00000000-0005-0000-0000-0000627A0000}"/>
    <cellStyle name="Normal 418 3 4 2" xfId="31582" xr:uid="{00000000-0005-0000-0000-0000637A0000}"/>
    <cellStyle name="Normal 418 3 4 2 2" xfId="31583" xr:uid="{00000000-0005-0000-0000-0000647A0000}"/>
    <cellStyle name="Normal 418 3 4 3" xfId="31584" xr:uid="{00000000-0005-0000-0000-0000657A0000}"/>
    <cellStyle name="Normal 418 3 5" xfId="31585" xr:uid="{00000000-0005-0000-0000-0000667A0000}"/>
    <cellStyle name="Normal 418 3 5 2" xfId="31586" xr:uid="{00000000-0005-0000-0000-0000677A0000}"/>
    <cellStyle name="Normal 418 3 5 2 2" xfId="31587" xr:uid="{00000000-0005-0000-0000-0000687A0000}"/>
    <cellStyle name="Normal 418 3 5 3" xfId="31588" xr:uid="{00000000-0005-0000-0000-0000697A0000}"/>
    <cellStyle name="Normal 418 3 6" xfId="31589" xr:uid="{00000000-0005-0000-0000-00006A7A0000}"/>
    <cellStyle name="Normal 418 4" xfId="31590" xr:uid="{00000000-0005-0000-0000-00006B7A0000}"/>
    <cellStyle name="Normal 418 4 2" xfId="31591" xr:uid="{00000000-0005-0000-0000-00006C7A0000}"/>
    <cellStyle name="Normal 418 4 2 2" xfId="31592" xr:uid="{00000000-0005-0000-0000-00006D7A0000}"/>
    <cellStyle name="Normal 418 4 3" xfId="31593" xr:uid="{00000000-0005-0000-0000-00006E7A0000}"/>
    <cellStyle name="Normal 418 5" xfId="31594" xr:uid="{00000000-0005-0000-0000-00006F7A0000}"/>
    <cellStyle name="Normal 418 5 2" xfId="31595" xr:uid="{00000000-0005-0000-0000-0000707A0000}"/>
    <cellStyle name="Normal 418 5 2 2" xfId="31596" xr:uid="{00000000-0005-0000-0000-0000717A0000}"/>
    <cellStyle name="Normal 418 5 3" xfId="31597" xr:uid="{00000000-0005-0000-0000-0000727A0000}"/>
    <cellStyle name="Normal 418 6" xfId="31598" xr:uid="{00000000-0005-0000-0000-0000737A0000}"/>
    <cellStyle name="Normal 418 6 2" xfId="31599" xr:uid="{00000000-0005-0000-0000-0000747A0000}"/>
    <cellStyle name="Normal 418 6 2 2" xfId="31600" xr:uid="{00000000-0005-0000-0000-0000757A0000}"/>
    <cellStyle name="Normal 418 6 3" xfId="31601" xr:uid="{00000000-0005-0000-0000-0000767A0000}"/>
    <cellStyle name="Normal 418 7" xfId="31602" xr:uid="{00000000-0005-0000-0000-0000777A0000}"/>
    <cellStyle name="Normal 419" xfId="31603" xr:uid="{00000000-0005-0000-0000-0000787A0000}"/>
    <cellStyle name="Normal 419 2" xfId="31604" xr:uid="{00000000-0005-0000-0000-0000797A0000}"/>
    <cellStyle name="Normal 419 2 2" xfId="31605" xr:uid="{00000000-0005-0000-0000-00007A7A0000}"/>
    <cellStyle name="Normal 419 2 2 2" xfId="31606" xr:uid="{00000000-0005-0000-0000-00007B7A0000}"/>
    <cellStyle name="Normal 419 2 3" xfId="31607" xr:uid="{00000000-0005-0000-0000-00007C7A0000}"/>
    <cellStyle name="Normal 419 2 3 2" xfId="31608" xr:uid="{00000000-0005-0000-0000-00007D7A0000}"/>
    <cellStyle name="Normal 419 2 3 2 2" xfId="31609" xr:uid="{00000000-0005-0000-0000-00007E7A0000}"/>
    <cellStyle name="Normal 419 2 3 3" xfId="31610" xr:uid="{00000000-0005-0000-0000-00007F7A0000}"/>
    <cellStyle name="Normal 419 2 4" xfId="31611" xr:uid="{00000000-0005-0000-0000-0000807A0000}"/>
    <cellStyle name="Normal 419 2 4 2" xfId="31612" xr:uid="{00000000-0005-0000-0000-0000817A0000}"/>
    <cellStyle name="Normal 419 2 4 2 2" xfId="31613" xr:uid="{00000000-0005-0000-0000-0000827A0000}"/>
    <cellStyle name="Normal 419 2 4 3" xfId="31614" xr:uid="{00000000-0005-0000-0000-0000837A0000}"/>
    <cellStyle name="Normal 419 2 5" xfId="31615" xr:uid="{00000000-0005-0000-0000-0000847A0000}"/>
    <cellStyle name="Normal 419 3" xfId="31616" xr:uid="{00000000-0005-0000-0000-0000857A0000}"/>
    <cellStyle name="Normal 419 3 2" xfId="31617" xr:uid="{00000000-0005-0000-0000-0000867A0000}"/>
    <cellStyle name="Normal 419 3 2 2" xfId="31618" xr:uid="{00000000-0005-0000-0000-0000877A0000}"/>
    <cellStyle name="Normal 419 3 2 2 2" xfId="31619" xr:uid="{00000000-0005-0000-0000-0000887A0000}"/>
    <cellStyle name="Normal 419 3 2 3" xfId="31620" xr:uid="{00000000-0005-0000-0000-0000897A0000}"/>
    <cellStyle name="Normal 419 3 2 3 2" xfId="31621" xr:uid="{00000000-0005-0000-0000-00008A7A0000}"/>
    <cellStyle name="Normal 419 3 2 3 2 2" xfId="31622" xr:uid="{00000000-0005-0000-0000-00008B7A0000}"/>
    <cellStyle name="Normal 419 3 2 3 3" xfId="31623" xr:uid="{00000000-0005-0000-0000-00008C7A0000}"/>
    <cellStyle name="Normal 419 3 2 4" xfId="31624" xr:uid="{00000000-0005-0000-0000-00008D7A0000}"/>
    <cellStyle name="Normal 419 3 3" xfId="31625" xr:uid="{00000000-0005-0000-0000-00008E7A0000}"/>
    <cellStyle name="Normal 419 3 3 2" xfId="31626" xr:uid="{00000000-0005-0000-0000-00008F7A0000}"/>
    <cellStyle name="Normal 419 3 3 2 2" xfId="31627" xr:uid="{00000000-0005-0000-0000-0000907A0000}"/>
    <cellStyle name="Normal 419 3 3 3" xfId="31628" xr:uid="{00000000-0005-0000-0000-0000917A0000}"/>
    <cellStyle name="Normal 419 3 4" xfId="31629" xr:uid="{00000000-0005-0000-0000-0000927A0000}"/>
    <cellStyle name="Normal 419 3 4 2" xfId="31630" xr:uid="{00000000-0005-0000-0000-0000937A0000}"/>
    <cellStyle name="Normal 419 3 4 2 2" xfId="31631" xr:uid="{00000000-0005-0000-0000-0000947A0000}"/>
    <cellStyle name="Normal 419 3 4 3" xfId="31632" xr:uid="{00000000-0005-0000-0000-0000957A0000}"/>
    <cellStyle name="Normal 419 3 5" xfId="31633" xr:uid="{00000000-0005-0000-0000-0000967A0000}"/>
    <cellStyle name="Normal 419 3 5 2" xfId="31634" xr:uid="{00000000-0005-0000-0000-0000977A0000}"/>
    <cellStyle name="Normal 419 3 5 2 2" xfId="31635" xr:uid="{00000000-0005-0000-0000-0000987A0000}"/>
    <cellStyle name="Normal 419 3 5 3" xfId="31636" xr:uid="{00000000-0005-0000-0000-0000997A0000}"/>
    <cellStyle name="Normal 419 3 6" xfId="31637" xr:uid="{00000000-0005-0000-0000-00009A7A0000}"/>
    <cellStyle name="Normal 419 4" xfId="31638" xr:uid="{00000000-0005-0000-0000-00009B7A0000}"/>
    <cellStyle name="Normal 419 4 2" xfId="31639" xr:uid="{00000000-0005-0000-0000-00009C7A0000}"/>
    <cellStyle name="Normal 419 4 2 2" xfId="31640" xr:uid="{00000000-0005-0000-0000-00009D7A0000}"/>
    <cellStyle name="Normal 419 4 3" xfId="31641" xr:uid="{00000000-0005-0000-0000-00009E7A0000}"/>
    <cellStyle name="Normal 419 5" xfId="31642" xr:uid="{00000000-0005-0000-0000-00009F7A0000}"/>
    <cellStyle name="Normal 419 5 2" xfId="31643" xr:uid="{00000000-0005-0000-0000-0000A07A0000}"/>
    <cellStyle name="Normal 419 5 2 2" xfId="31644" xr:uid="{00000000-0005-0000-0000-0000A17A0000}"/>
    <cellStyle name="Normal 419 5 3" xfId="31645" xr:uid="{00000000-0005-0000-0000-0000A27A0000}"/>
    <cellStyle name="Normal 419 6" xfId="31646" xr:uid="{00000000-0005-0000-0000-0000A37A0000}"/>
    <cellStyle name="Normal 419 6 2" xfId="31647" xr:uid="{00000000-0005-0000-0000-0000A47A0000}"/>
    <cellStyle name="Normal 419 6 2 2" xfId="31648" xr:uid="{00000000-0005-0000-0000-0000A57A0000}"/>
    <cellStyle name="Normal 419 6 3" xfId="31649" xr:uid="{00000000-0005-0000-0000-0000A67A0000}"/>
    <cellStyle name="Normal 419 7" xfId="31650" xr:uid="{00000000-0005-0000-0000-0000A77A0000}"/>
    <cellStyle name="Normal 42" xfId="31651" xr:uid="{00000000-0005-0000-0000-0000A87A0000}"/>
    <cellStyle name="Normal 42 2" xfId="31652" xr:uid="{00000000-0005-0000-0000-0000A97A0000}"/>
    <cellStyle name="Normal 42 2 2" xfId="31653" xr:uid="{00000000-0005-0000-0000-0000AA7A0000}"/>
    <cellStyle name="Normal 42 2 2 2" xfId="31654" xr:uid="{00000000-0005-0000-0000-0000AB7A0000}"/>
    <cellStyle name="Normal 42 2 2 2 2" xfId="31655" xr:uid="{00000000-0005-0000-0000-0000AC7A0000}"/>
    <cellStyle name="Normal 42 2 2 3" xfId="31656" xr:uid="{00000000-0005-0000-0000-0000AD7A0000}"/>
    <cellStyle name="Normal 42 2 2 3 2" xfId="31657" xr:uid="{00000000-0005-0000-0000-0000AE7A0000}"/>
    <cellStyle name="Normal 42 2 2 3 2 2" xfId="31658" xr:uid="{00000000-0005-0000-0000-0000AF7A0000}"/>
    <cellStyle name="Normal 42 2 2 3 3" xfId="31659" xr:uid="{00000000-0005-0000-0000-0000B07A0000}"/>
    <cellStyle name="Normal 42 2 2 4" xfId="31660" xr:uid="{00000000-0005-0000-0000-0000B17A0000}"/>
    <cellStyle name="Normal 42 2 2 4 2" xfId="31661" xr:uid="{00000000-0005-0000-0000-0000B27A0000}"/>
    <cellStyle name="Normal 42 2 2 4 2 2" xfId="31662" xr:uid="{00000000-0005-0000-0000-0000B37A0000}"/>
    <cellStyle name="Normal 42 2 2 4 3" xfId="31663" xr:uid="{00000000-0005-0000-0000-0000B47A0000}"/>
    <cellStyle name="Normal 42 2 2 5" xfId="31664" xr:uid="{00000000-0005-0000-0000-0000B57A0000}"/>
    <cellStyle name="Normal 42 2 3" xfId="31665" xr:uid="{00000000-0005-0000-0000-0000B67A0000}"/>
    <cellStyle name="Normal 42 2 3 2" xfId="31666" xr:uid="{00000000-0005-0000-0000-0000B77A0000}"/>
    <cellStyle name="Normal 42 2 3 2 2" xfId="31667" xr:uid="{00000000-0005-0000-0000-0000B87A0000}"/>
    <cellStyle name="Normal 42 2 3 3" xfId="31668" xr:uid="{00000000-0005-0000-0000-0000B97A0000}"/>
    <cellStyle name="Normal 42 2 4" xfId="31669" xr:uid="{00000000-0005-0000-0000-0000BA7A0000}"/>
    <cellStyle name="Normal 42 2 4 2" xfId="31670" xr:uid="{00000000-0005-0000-0000-0000BB7A0000}"/>
    <cellStyle name="Normal 42 2 4 2 2" xfId="31671" xr:uid="{00000000-0005-0000-0000-0000BC7A0000}"/>
    <cellStyle name="Normal 42 2 4 3" xfId="31672" xr:uid="{00000000-0005-0000-0000-0000BD7A0000}"/>
    <cellStyle name="Normal 42 2 5" xfId="31673" xr:uid="{00000000-0005-0000-0000-0000BE7A0000}"/>
    <cellStyle name="Normal 42 2 5 2" xfId="31674" xr:uid="{00000000-0005-0000-0000-0000BF7A0000}"/>
    <cellStyle name="Normal 42 2 5 2 2" xfId="31675" xr:uid="{00000000-0005-0000-0000-0000C07A0000}"/>
    <cellStyle name="Normal 42 2 5 3" xfId="31676" xr:uid="{00000000-0005-0000-0000-0000C17A0000}"/>
    <cellStyle name="Normal 42 2 6" xfId="31677" xr:uid="{00000000-0005-0000-0000-0000C27A0000}"/>
    <cellStyle name="Normal 42 3" xfId="31678" xr:uid="{00000000-0005-0000-0000-0000C37A0000}"/>
    <cellStyle name="Normal 42 3 2" xfId="31679" xr:uid="{00000000-0005-0000-0000-0000C47A0000}"/>
    <cellStyle name="Normal 42 3 2 2" xfId="31680" xr:uid="{00000000-0005-0000-0000-0000C57A0000}"/>
    <cellStyle name="Normal 42 3 3" xfId="31681" xr:uid="{00000000-0005-0000-0000-0000C67A0000}"/>
    <cellStyle name="Normal 42 3 3 2" xfId="31682" xr:uid="{00000000-0005-0000-0000-0000C77A0000}"/>
    <cellStyle name="Normal 42 3 3 2 2" xfId="31683" xr:uid="{00000000-0005-0000-0000-0000C87A0000}"/>
    <cellStyle name="Normal 42 3 3 3" xfId="31684" xr:uid="{00000000-0005-0000-0000-0000C97A0000}"/>
    <cellStyle name="Normal 42 3 4" xfId="31685" xr:uid="{00000000-0005-0000-0000-0000CA7A0000}"/>
    <cellStyle name="Normal 42 3 4 2" xfId="31686" xr:uid="{00000000-0005-0000-0000-0000CB7A0000}"/>
    <cellStyle name="Normal 42 3 4 2 2" xfId="31687" xr:uid="{00000000-0005-0000-0000-0000CC7A0000}"/>
    <cellStyle name="Normal 42 3 4 3" xfId="31688" xr:uid="{00000000-0005-0000-0000-0000CD7A0000}"/>
    <cellStyle name="Normal 42 3 5" xfId="31689" xr:uid="{00000000-0005-0000-0000-0000CE7A0000}"/>
    <cellStyle name="Normal 42 4" xfId="31690" xr:uid="{00000000-0005-0000-0000-0000CF7A0000}"/>
    <cellStyle name="Normal 42 4 2" xfId="31691" xr:uid="{00000000-0005-0000-0000-0000D07A0000}"/>
    <cellStyle name="Normal 42 4 2 2" xfId="31692" xr:uid="{00000000-0005-0000-0000-0000D17A0000}"/>
    <cellStyle name="Normal 42 4 3" xfId="31693" xr:uid="{00000000-0005-0000-0000-0000D27A0000}"/>
    <cellStyle name="Normal 42 5" xfId="31694" xr:uid="{00000000-0005-0000-0000-0000D37A0000}"/>
    <cellStyle name="Normal 42 5 2" xfId="31695" xr:uid="{00000000-0005-0000-0000-0000D47A0000}"/>
    <cellStyle name="Normal 42 5 2 2" xfId="31696" xr:uid="{00000000-0005-0000-0000-0000D57A0000}"/>
    <cellStyle name="Normal 42 5 3" xfId="31697" xr:uid="{00000000-0005-0000-0000-0000D67A0000}"/>
    <cellStyle name="Normal 42 6" xfId="31698" xr:uid="{00000000-0005-0000-0000-0000D77A0000}"/>
    <cellStyle name="Normal 42 6 2" xfId="31699" xr:uid="{00000000-0005-0000-0000-0000D87A0000}"/>
    <cellStyle name="Normal 42 6 2 2" xfId="31700" xr:uid="{00000000-0005-0000-0000-0000D97A0000}"/>
    <cellStyle name="Normal 42 6 3" xfId="31701" xr:uid="{00000000-0005-0000-0000-0000DA7A0000}"/>
    <cellStyle name="Normal 42 7" xfId="31702" xr:uid="{00000000-0005-0000-0000-0000DB7A0000}"/>
    <cellStyle name="Normal 420" xfId="31703" xr:uid="{00000000-0005-0000-0000-0000DC7A0000}"/>
    <cellStyle name="Normal 420 2" xfId="31704" xr:uid="{00000000-0005-0000-0000-0000DD7A0000}"/>
    <cellStyle name="Normal 420 2 2" xfId="31705" xr:uid="{00000000-0005-0000-0000-0000DE7A0000}"/>
    <cellStyle name="Normal 420 2 2 2" xfId="31706" xr:uid="{00000000-0005-0000-0000-0000DF7A0000}"/>
    <cellStyle name="Normal 420 2 3" xfId="31707" xr:uid="{00000000-0005-0000-0000-0000E07A0000}"/>
    <cellStyle name="Normal 420 2 3 2" xfId="31708" xr:uid="{00000000-0005-0000-0000-0000E17A0000}"/>
    <cellStyle name="Normal 420 2 3 2 2" xfId="31709" xr:uid="{00000000-0005-0000-0000-0000E27A0000}"/>
    <cellStyle name="Normal 420 2 3 3" xfId="31710" xr:uid="{00000000-0005-0000-0000-0000E37A0000}"/>
    <cellStyle name="Normal 420 2 4" xfId="31711" xr:uid="{00000000-0005-0000-0000-0000E47A0000}"/>
    <cellStyle name="Normal 420 2 4 2" xfId="31712" xr:uid="{00000000-0005-0000-0000-0000E57A0000}"/>
    <cellStyle name="Normal 420 2 4 2 2" xfId="31713" xr:uid="{00000000-0005-0000-0000-0000E67A0000}"/>
    <cellStyle name="Normal 420 2 4 3" xfId="31714" xr:uid="{00000000-0005-0000-0000-0000E77A0000}"/>
    <cellStyle name="Normal 420 2 5" xfId="31715" xr:uid="{00000000-0005-0000-0000-0000E87A0000}"/>
    <cellStyle name="Normal 420 3" xfId="31716" xr:uid="{00000000-0005-0000-0000-0000E97A0000}"/>
    <cellStyle name="Normal 420 3 2" xfId="31717" xr:uid="{00000000-0005-0000-0000-0000EA7A0000}"/>
    <cellStyle name="Normal 420 3 2 2" xfId="31718" xr:uid="{00000000-0005-0000-0000-0000EB7A0000}"/>
    <cellStyle name="Normal 420 3 2 2 2" xfId="31719" xr:uid="{00000000-0005-0000-0000-0000EC7A0000}"/>
    <cellStyle name="Normal 420 3 2 3" xfId="31720" xr:uid="{00000000-0005-0000-0000-0000ED7A0000}"/>
    <cellStyle name="Normal 420 3 2 3 2" xfId="31721" xr:uid="{00000000-0005-0000-0000-0000EE7A0000}"/>
    <cellStyle name="Normal 420 3 2 3 2 2" xfId="31722" xr:uid="{00000000-0005-0000-0000-0000EF7A0000}"/>
    <cellStyle name="Normal 420 3 2 3 3" xfId="31723" xr:uid="{00000000-0005-0000-0000-0000F07A0000}"/>
    <cellStyle name="Normal 420 3 2 4" xfId="31724" xr:uid="{00000000-0005-0000-0000-0000F17A0000}"/>
    <cellStyle name="Normal 420 3 3" xfId="31725" xr:uid="{00000000-0005-0000-0000-0000F27A0000}"/>
    <cellStyle name="Normal 420 3 3 2" xfId="31726" xr:uid="{00000000-0005-0000-0000-0000F37A0000}"/>
    <cellStyle name="Normal 420 3 3 2 2" xfId="31727" xr:uid="{00000000-0005-0000-0000-0000F47A0000}"/>
    <cellStyle name="Normal 420 3 3 3" xfId="31728" xr:uid="{00000000-0005-0000-0000-0000F57A0000}"/>
    <cellStyle name="Normal 420 3 4" xfId="31729" xr:uid="{00000000-0005-0000-0000-0000F67A0000}"/>
    <cellStyle name="Normal 420 3 4 2" xfId="31730" xr:uid="{00000000-0005-0000-0000-0000F77A0000}"/>
    <cellStyle name="Normal 420 3 4 2 2" xfId="31731" xr:uid="{00000000-0005-0000-0000-0000F87A0000}"/>
    <cellStyle name="Normal 420 3 4 3" xfId="31732" xr:uid="{00000000-0005-0000-0000-0000F97A0000}"/>
    <cellStyle name="Normal 420 3 5" xfId="31733" xr:uid="{00000000-0005-0000-0000-0000FA7A0000}"/>
    <cellStyle name="Normal 420 3 5 2" xfId="31734" xr:uid="{00000000-0005-0000-0000-0000FB7A0000}"/>
    <cellStyle name="Normal 420 3 5 2 2" xfId="31735" xr:uid="{00000000-0005-0000-0000-0000FC7A0000}"/>
    <cellStyle name="Normal 420 3 5 3" xfId="31736" xr:uid="{00000000-0005-0000-0000-0000FD7A0000}"/>
    <cellStyle name="Normal 420 3 6" xfId="31737" xr:uid="{00000000-0005-0000-0000-0000FE7A0000}"/>
    <cellStyle name="Normal 420 4" xfId="31738" xr:uid="{00000000-0005-0000-0000-0000FF7A0000}"/>
    <cellStyle name="Normal 420 4 2" xfId="31739" xr:uid="{00000000-0005-0000-0000-0000007B0000}"/>
    <cellStyle name="Normal 420 4 2 2" xfId="31740" xr:uid="{00000000-0005-0000-0000-0000017B0000}"/>
    <cellStyle name="Normal 420 4 3" xfId="31741" xr:uid="{00000000-0005-0000-0000-0000027B0000}"/>
    <cellStyle name="Normal 420 5" xfId="31742" xr:uid="{00000000-0005-0000-0000-0000037B0000}"/>
    <cellStyle name="Normal 420 5 2" xfId="31743" xr:uid="{00000000-0005-0000-0000-0000047B0000}"/>
    <cellStyle name="Normal 420 5 2 2" xfId="31744" xr:uid="{00000000-0005-0000-0000-0000057B0000}"/>
    <cellStyle name="Normal 420 5 3" xfId="31745" xr:uid="{00000000-0005-0000-0000-0000067B0000}"/>
    <cellStyle name="Normal 420 6" xfId="31746" xr:uid="{00000000-0005-0000-0000-0000077B0000}"/>
    <cellStyle name="Normal 420 6 2" xfId="31747" xr:uid="{00000000-0005-0000-0000-0000087B0000}"/>
    <cellStyle name="Normal 420 6 2 2" xfId="31748" xr:uid="{00000000-0005-0000-0000-0000097B0000}"/>
    <cellStyle name="Normal 420 6 3" xfId="31749" xr:uid="{00000000-0005-0000-0000-00000A7B0000}"/>
    <cellStyle name="Normal 420 7" xfId="31750" xr:uid="{00000000-0005-0000-0000-00000B7B0000}"/>
    <cellStyle name="Normal 421" xfId="31751" xr:uid="{00000000-0005-0000-0000-00000C7B0000}"/>
    <cellStyle name="Normal 421 2" xfId="31752" xr:uid="{00000000-0005-0000-0000-00000D7B0000}"/>
    <cellStyle name="Normal 421 2 2" xfId="31753" xr:uid="{00000000-0005-0000-0000-00000E7B0000}"/>
    <cellStyle name="Normal 421 2 2 2" xfId="31754" xr:uid="{00000000-0005-0000-0000-00000F7B0000}"/>
    <cellStyle name="Normal 421 2 2 2 2" xfId="31755" xr:uid="{00000000-0005-0000-0000-0000107B0000}"/>
    <cellStyle name="Normal 421 2 2 3" xfId="31756" xr:uid="{00000000-0005-0000-0000-0000117B0000}"/>
    <cellStyle name="Normal 421 2 2 3 2" xfId="31757" xr:uid="{00000000-0005-0000-0000-0000127B0000}"/>
    <cellStyle name="Normal 421 2 2 3 2 2" xfId="31758" xr:uid="{00000000-0005-0000-0000-0000137B0000}"/>
    <cellStyle name="Normal 421 2 2 3 3" xfId="31759" xr:uid="{00000000-0005-0000-0000-0000147B0000}"/>
    <cellStyle name="Normal 421 2 2 4" xfId="31760" xr:uid="{00000000-0005-0000-0000-0000157B0000}"/>
    <cellStyle name="Normal 421 2 2 4 2" xfId="31761" xr:uid="{00000000-0005-0000-0000-0000167B0000}"/>
    <cellStyle name="Normal 421 2 2 4 2 2" xfId="31762" xr:uid="{00000000-0005-0000-0000-0000177B0000}"/>
    <cellStyle name="Normal 421 2 2 4 3" xfId="31763" xr:uid="{00000000-0005-0000-0000-0000187B0000}"/>
    <cellStyle name="Normal 421 2 2 5" xfId="31764" xr:uid="{00000000-0005-0000-0000-0000197B0000}"/>
    <cellStyle name="Normal 421 2 3" xfId="31765" xr:uid="{00000000-0005-0000-0000-00001A7B0000}"/>
    <cellStyle name="Normal 421 2 3 2" xfId="31766" xr:uid="{00000000-0005-0000-0000-00001B7B0000}"/>
    <cellStyle name="Normal 421 2 3 2 2" xfId="31767" xr:uid="{00000000-0005-0000-0000-00001C7B0000}"/>
    <cellStyle name="Normal 421 2 3 2 2 2" xfId="31768" xr:uid="{00000000-0005-0000-0000-00001D7B0000}"/>
    <cellStyle name="Normal 421 2 3 2 3" xfId="31769" xr:uid="{00000000-0005-0000-0000-00001E7B0000}"/>
    <cellStyle name="Normal 421 2 3 2 3 2" xfId="31770" xr:uid="{00000000-0005-0000-0000-00001F7B0000}"/>
    <cellStyle name="Normal 421 2 3 2 3 2 2" xfId="31771" xr:uid="{00000000-0005-0000-0000-0000207B0000}"/>
    <cellStyle name="Normal 421 2 3 2 3 3" xfId="31772" xr:uid="{00000000-0005-0000-0000-0000217B0000}"/>
    <cellStyle name="Normal 421 2 3 2 4" xfId="31773" xr:uid="{00000000-0005-0000-0000-0000227B0000}"/>
    <cellStyle name="Normal 421 2 3 3" xfId="31774" xr:uid="{00000000-0005-0000-0000-0000237B0000}"/>
    <cellStyle name="Normal 421 2 3 3 2" xfId="31775" xr:uid="{00000000-0005-0000-0000-0000247B0000}"/>
    <cellStyle name="Normal 421 2 3 3 2 2" xfId="31776" xr:uid="{00000000-0005-0000-0000-0000257B0000}"/>
    <cellStyle name="Normal 421 2 3 3 3" xfId="31777" xr:uid="{00000000-0005-0000-0000-0000267B0000}"/>
    <cellStyle name="Normal 421 2 3 4" xfId="31778" xr:uid="{00000000-0005-0000-0000-0000277B0000}"/>
    <cellStyle name="Normal 421 2 3 4 2" xfId="31779" xr:uid="{00000000-0005-0000-0000-0000287B0000}"/>
    <cellStyle name="Normal 421 2 3 4 2 2" xfId="31780" xr:uid="{00000000-0005-0000-0000-0000297B0000}"/>
    <cellStyle name="Normal 421 2 3 4 3" xfId="31781" xr:uid="{00000000-0005-0000-0000-00002A7B0000}"/>
    <cellStyle name="Normal 421 2 3 5" xfId="31782" xr:uid="{00000000-0005-0000-0000-00002B7B0000}"/>
    <cellStyle name="Normal 421 2 3 5 2" xfId="31783" xr:uid="{00000000-0005-0000-0000-00002C7B0000}"/>
    <cellStyle name="Normal 421 2 3 5 2 2" xfId="31784" xr:uid="{00000000-0005-0000-0000-00002D7B0000}"/>
    <cellStyle name="Normal 421 2 3 5 3" xfId="31785" xr:uid="{00000000-0005-0000-0000-00002E7B0000}"/>
    <cellStyle name="Normal 421 2 3 6" xfId="31786" xr:uid="{00000000-0005-0000-0000-00002F7B0000}"/>
    <cellStyle name="Normal 421 2 4" xfId="31787" xr:uid="{00000000-0005-0000-0000-0000307B0000}"/>
    <cellStyle name="Normal 421 2 4 2" xfId="31788" xr:uid="{00000000-0005-0000-0000-0000317B0000}"/>
    <cellStyle name="Normal 421 2 4 2 2" xfId="31789" xr:uid="{00000000-0005-0000-0000-0000327B0000}"/>
    <cellStyle name="Normal 421 2 4 3" xfId="31790" xr:uid="{00000000-0005-0000-0000-0000337B0000}"/>
    <cellStyle name="Normal 421 2 5" xfId="31791" xr:uid="{00000000-0005-0000-0000-0000347B0000}"/>
    <cellStyle name="Normal 421 2 5 2" xfId="31792" xr:uid="{00000000-0005-0000-0000-0000357B0000}"/>
    <cellStyle name="Normal 421 2 5 2 2" xfId="31793" xr:uid="{00000000-0005-0000-0000-0000367B0000}"/>
    <cellStyle name="Normal 421 2 5 3" xfId="31794" xr:uid="{00000000-0005-0000-0000-0000377B0000}"/>
    <cellStyle name="Normal 421 2 6" xfId="31795" xr:uid="{00000000-0005-0000-0000-0000387B0000}"/>
    <cellStyle name="Normal 421 2 6 2" xfId="31796" xr:uid="{00000000-0005-0000-0000-0000397B0000}"/>
    <cellStyle name="Normal 421 2 6 2 2" xfId="31797" xr:uid="{00000000-0005-0000-0000-00003A7B0000}"/>
    <cellStyle name="Normal 421 2 6 3" xfId="31798" xr:uid="{00000000-0005-0000-0000-00003B7B0000}"/>
    <cellStyle name="Normal 421 2 7" xfId="31799" xr:uid="{00000000-0005-0000-0000-00003C7B0000}"/>
    <cellStyle name="Normal 421 3" xfId="31800" xr:uid="{00000000-0005-0000-0000-00003D7B0000}"/>
    <cellStyle name="Normal 421 3 2" xfId="31801" xr:uid="{00000000-0005-0000-0000-00003E7B0000}"/>
    <cellStyle name="Normal 421 3 2 2" xfId="31802" xr:uid="{00000000-0005-0000-0000-00003F7B0000}"/>
    <cellStyle name="Normal 421 3 3" xfId="31803" xr:uid="{00000000-0005-0000-0000-0000407B0000}"/>
    <cellStyle name="Normal 421 3 3 2" xfId="31804" xr:uid="{00000000-0005-0000-0000-0000417B0000}"/>
    <cellStyle name="Normal 421 3 3 2 2" xfId="31805" xr:uid="{00000000-0005-0000-0000-0000427B0000}"/>
    <cellStyle name="Normal 421 3 3 3" xfId="31806" xr:uid="{00000000-0005-0000-0000-0000437B0000}"/>
    <cellStyle name="Normal 421 3 4" xfId="31807" xr:uid="{00000000-0005-0000-0000-0000447B0000}"/>
    <cellStyle name="Normal 421 3 4 2" xfId="31808" xr:uid="{00000000-0005-0000-0000-0000457B0000}"/>
    <cellStyle name="Normal 421 3 4 2 2" xfId="31809" xr:uid="{00000000-0005-0000-0000-0000467B0000}"/>
    <cellStyle name="Normal 421 3 4 3" xfId="31810" xr:uid="{00000000-0005-0000-0000-0000477B0000}"/>
    <cellStyle name="Normal 421 3 5" xfId="31811" xr:uid="{00000000-0005-0000-0000-0000487B0000}"/>
    <cellStyle name="Normal 421 4" xfId="31812" xr:uid="{00000000-0005-0000-0000-0000497B0000}"/>
    <cellStyle name="Normal 421 4 2" xfId="31813" xr:uid="{00000000-0005-0000-0000-00004A7B0000}"/>
    <cellStyle name="Normal 421 4 2 2" xfId="31814" xr:uid="{00000000-0005-0000-0000-00004B7B0000}"/>
    <cellStyle name="Normal 421 4 2 2 2" xfId="31815" xr:uid="{00000000-0005-0000-0000-00004C7B0000}"/>
    <cellStyle name="Normal 421 4 2 3" xfId="31816" xr:uid="{00000000-0005-0000-0000-00004D7B0000}"/>
    <cellStyle name="Normal 421 4 2 3 2" xfId="31817" xr:uid="{00000000-0005-0000-0000-00004E7B0000}"/>
    <cellStyle name="Normal 421 4 2 3 2 2" xfId="31818" xr:uid="{00000000-0005-0000-0000-00004F7B0000}"/>
    <cellStyle name="Normal 421 4 2 3 3" xfId="31819" xr:uid="{00000000-0005-0000-0000-0000507B0000}"/>
    <cellStyle name="Normal 421 4 2 4" xfId="31820" xr:uid="{00000000-0005-0000-0000-0000517B0000}"/>
    <cellStyle name="Normal 421 4 3" xfId="31821" xr:uid="{00000000-0005-0000-0000-0000527B0000}"/>
    <cellStyle name="Normal 421 4 3 2" xfId="31822" xr:uid="{00000000-0005-0000-0000-0000537B0000}"/>
    <cellStyle name="Normal 421 4 3 2 2" xfId="31823" xr:uid="{00000000-0005-0000-0000-0000547B0000}"/>
    <cellStyle name="Normal 421 4 3 3" xfId="31824" xr:uid="{00000000-0005-0000-0000-0000557B0000}"/>
    <cellStyle name="Normal 421 4 4" xfId="31825" xr:uid="{00000000-0005-0000-0000-0000567B0000}"/>
    <cellStyle name="Normal 421 4 4 2" xfId="31826" xr:uid="{00000000-0005-0000-0000-0000577B0000}"/>
    <cellStyle name="Normal 421 4 4 2 2" xfId="31827" xr:uid="{00000000-0005-0000-0000-0000587B0000}"/>
    <cellStyle name="Normal 421 4 4 3" xfId="31828" xr:uid="{00000000-0005-0000-0000-0000597B0000}"/>
    <cellStyle name="Normal 421 4 5" xfId="31829" xr:uid="{00000000-0005-0000-0000-00005A7B0000}"/>
    <cellStyle name="Normal 421 4 5 2" xfId="31830" xr:uid="{00000000-0005-0000-0000-00005B7B0000}"/>
    <cellStyle name="Normal 421 4 5 2 2" xfId="31831" xr:uid="{00000000-0005-0000-0000-00005C7B0000}"/>
    <cellStyle name="Normal 421 4 5 3" xfId="31832" xr:uid="{00000000-0005-0000-0000-00005D7B0000}"/>
    <cellStyle name="Normal 421 4 6" xfId="31833" xr:uid="{00000000-0005-0000-0000-00005E7B0000}"/>
    <cellStyle name="Normal 421 5" xfId="31834" xr:uid="{00000000-0005-0000-0000-00005F7B0000}"/>
    <cellStyle name="Normal 421 5 2" xfId="31835" xr:uid="{00000000-0005-0000-0000-0000607B0000}"/>
    <cellStyle name="Normal 421 5 2 2" xfId="31836" xr:uid="{00000000-0005-0000-0000-0000617B0000}"/>
    <cellStyle name="Normal 421 5 3" xfId="31837" xr:uid="{00000000-0005-0000-0000-0000627B0000}"/>
    <cellStyle name="Normal 421 6" xfId="31838" xr:uid="{00000000-0005-0000-0000-0000637B0000}"/>
    <cellStyle name="Normal 421 6 2" xfId="31839" xr:uid="{00000000-0005-0000-0000-0000647B0000}"/>
    <cellStyle name="Normal 421 6 2 2" xfId="31840" xr:uid="{00000000-0005-0000-0000-0000657B0000}"/>
    <cellStyle name="Normal 421 6 3" xfId="31841" xr:uid="{00000000-0005-0000-0000-0000667B0000}"/>
    <cellStyle name="Normal 421 7" xfId="31842" xr:uid="{00000000-0005-0000-0000-0000677B0000}"/>
    <cellStyle name="Normal 421 7 2" xfId="31843" xr:uid="{00000000-0005-0000-0000-0000687B0000}"/>
    <cellStyle name="Normal 421 7 2 2" xfId="31844" xr:uid="{00000000-0005-0000-0000-0000697B0000}"/>
    <cellStyle name="Normal 421 7 3" xfId="31845" xr:uid="{00000000-0005-0000-0000-00006A7B0000}"/>
    <cellStyle name="Normal 421 8" xfId="31846" xr:uid="{00000000-0005-0000-0000-00006B7B0000}"/>
    <cellStyle name="Normal 421 8 2" xfId="31847" xr:uid="{00000000-0005-0000-0000-00006C7B0000}"/>
    <cellStyle name="Normal 421 8 2 2" xfId="31848" xr:uid="{00000000-0005-0000-0000-00006D7B0000}"/>
    <cellStyle name="Normal 421 8 3" xfId="31849" xr:uid="{00000000-0005-0000-0000-00006E7B0000}"/>
    <cellStyle name="Normal 421 8 3 2" xfId="31850" xr:uid="{00000000-0005-0000-0000-00006F7B0000}"/>
    <cellStyle name="Normal 421 8 4" xfId="31851" xr:uid="{00000000-0005-0000-0000-0000707B0000}"/>
    <cellStyle name="Normal 421 9" xfId="31852" xr:uid="{00000000-0005-0000-0000-0000717B0000}"/>
    <cellStyle name="Normal 422" xfId="31853" xr:uid="{00000000-0005-0000-0000-0000727B0000}"/>
    <cellStyle name="Normal 422 2" xfId="31854" xr:uid="{00000000-0005-0000-0000-0000737B0000}"/>
    <cellStyle name="Normal 422 2 2" xfId="31855" xr:uid="{00000000-0005-0000-0000-0000747B0000}"/>
    <cellStyle name="Normal 422 2 2 2" xfId="31856" xr:uid="{00000000-0005-0000-0000-0000757B0000}"/>
    <cellStyle name="Normal 422 2 2 2 2" xfId="31857" xr:uid="{00000000-0005-0000-0000-0000767B0000}"/>
    <cellStyle name="Normal 422 2 2 3" xfId="31858" xr:uid="{00000000-0005-0000-0000-0000777B0000}"/>
    <cellStyle name="Normal 422 2 2 3 2" xfId="31859" xr:uid="{00000000-0005-0000-0000-0000787B0000}"/>
    <cellStyle name="Normal 422 2 2 3 2 2" xfId="31860" xr:uid="{00000000-0005-0000-0000-0000797B0000}"/>
    <cellStyle name="Normal 422 2 2 3 3" xfId="31861" xr:uid="{00000000-0005-0000-0000-00007A7B0000}"/>
    <cellStyle name="Normal 422 2 2 4" xfId="31862" xr:uid="{00000000-0005-0000-0000-00007B7B0000}"/>
    <cellStyle name="Normal 422 2 2 4 2" xfId="31863" xr:uid="{00000000-0005-0000-0000-00007C7B0000}"/>
    <cellStyle name="Normal 422 2 2 4 2 2" xfId="31864" xr:uid="{00000000-0005-0000-0000-00007D7B0000}"/>
    <cellStyle name="Normal 422 2 2 4 3" xfId="31865" xr:uid="{00000000-0005-0000-0000-00007E7B0000}"/>
    <cellStyle name="Normal 422 2 2 5" xfId="31866" xr:uid="{00000000-0005-0000-0000-00007F7B0000}"/>
    <cellStyle name="Normal 422 2 3" xfId="31867" xr:uid="{00000000-0005-0000-0000-0000807B0000}"/>
    <cellStyle name="Normal 422 2 3 2" xfId="31868" xr:uid="{00000000-0005-0000-0000-0000817B0000}"/>
    <cellStyle name="Normal 422 2 3 2 2" xfId="31869" xr:uid="{00000000-0005-0000-0000-0000827B0000}"/>
    <cellStyle name="Normal 422 2 3 2 2 2" xfId="31870" xr:uid="{00000000-0005-0000-0000-0000837B0000}"/>
    <cellStyle name="Normal 422 2 3 2 3" xfId="31871" xr:uid="{00000000-0005-0000-0000-0000847B0000}"/>
    <cellStyle name="Normal 422 2 3 2 3 2" xfId="31872" xr:uid="{00000000-0005-0000-0000-0000857B0000}"/>
    <cellStyle name="Normal 422 2 3 2 3 2 2" xfId="31873" xr:uid="{00000000-0005-0000-0000-0000867B0000}"/>
    <cellStyle name="Normal 422 2 3 2 3 3" xfId="31874" xr:uid="{00000000-0005-0000-0000-0000877B0000}"/>
    <cellStyle name="Normal 422 2 3 2 4" xfId="31875" xr:uid="{00000000-0005-0000-0000-0000887B0000}"/>
    <cellStyle name="Normal 422 2 3 3" xfId="31876" xr:uid="{00000000-0005-0000-0000-0000897B0000}"/>
    <cellStyle name="Normal 422 2 3 3 2" xfId="31877" xr:uid="{00000000-0005-0000-0000-00008A7B0000}"/>
    <cellStyle name="Normal 422 2 3 3 2 2" xfId="31878" xr:uid="{00000000-0005-0000-0000-00008B7B0000}"/>
    <cellStyle name="Normal 422 2 3 3 3" xfId="31879" xr:uid="{00000000-0005-0000-0000-00008C7B0000}"/>
    <cellStyle name="Normal 422 2 3 4" xfId="31880" xr:uid="{00000000-0005-0000-0000-00008D7B0000}"/>
    <cellStyle name="Normal 422 2 3 4 2" xfId="31881" xr:uid="{00000000-0005-0000-0000-00008E7B0000}"/>
    <cellStyle name="Normal 422 2 3 4 2 2" xfId="31882" xr:uid="{00000000-0005-0000-0000-00008F7B0000}"/>
    <cellStyle name="Normal 422 2 3 4 3" xfId="31883" xr:uid="{00000000-0005-0000-0000-0000907B0000}"/>
    <cellStyle name="Normal 422 2 3 5" xfId="31884" xr:uid="{00000000-0005-0000-0000-0000917B0000}"/>
    <cellStyle name="Normal 422 2 3 5 2" xfId="31885" xr:uid="{00000000-0005-0000-0000-0000927B0000}"/>
    <cellStyle name="Normal 422 2 3 5 2 2" xfId="31886" xr:uid="{00000000-0005-0000-0000-0000937B0000}"/>
    <cellStyle name="Normal 422 2 3 5 3" xfId="31887" xr:uid="{00000000-0005-0000-0000-0000947B0000}"/>
    <cellStyle name="Normal 422 2 3 6" xfId="31888" xr:uid="{00000000-0005-0000-0000-0000957B0000}"/>
    <cellStyle name="Normal 422 2 4" xfId="31889" xr:uid="{00000000-0005-0000-0000-0000967B0000}"/>
    <cellStyle name="Normal 422 2 4 2" xfId="31890" xr:uid="{00000000-0005-0000-0000-0000977B0000}"/>
    <cellStyle name="Normal 422 2 4 2 2" xfId="31891" xr:uid="{00000000-0005-0000-0000-0000987B0000}"/>
    <cellStyle name="Normal 422 2 4 3" xfId="31892" xr:uid="{00000000-0005-0000-0000-0000997B0000}"/>
    <cellStyle name="Normal 422 2 5" xfId="31893" xr:uid="{00000000-0005-0000-0000-00009A7B0000}"/>
    <cellStyle name="Normal 422 2 5 2" xfId="31894" xr:uid="{00000000-0005-0000-0000-00009B7B0000}"/>
    <cellStyle name="Normal 422 2 5 2 2" xfId="31895" xr:uid="{00000000-0005-0000-0000-00009C7B0000}"/>
    <cellStyle name="Normal 422 2 5 3" xfId="31896" xr:uid="{00000000-0005-0000-0000-00009D7B0000}"/>
    <cellStyle name="Normal 422 2 6" xfId="31897" xr:uid="{00000000-0005-0000-0000-00009E7B0000}"/>
    <cellStyle name="Normal 422 2 6 2" xfId="31898" xr:uid="{00000000-0005-0000-0000-00009F7B0000}"/>
    <cellStyle name="Normal 422 2 6 2 2" xfId="31899" xr:uid="{00000000-0005-0000-0000-0000A07B0000}"/>
    <cellStyle name="Normal 422 2 6 3" xfId="31900" xr:uid="{00000000-0005-0000-0000-0000A17B0000}"/>
    <cellStyle name="Normal 422 2 7" xfId="31901" xr:uid="{00000000-0005-0000-0000-0000A27B0000}"/>
    <cellStyle name="Normal 422 3" xfId="31902" xr:uid="{00000000-0005-0000-0000-0000A37B0000}"/>
    <cellStyle name="Normal 422 3 2" xfId="31903" xr:uid="{00000000-0005-0000-0000-0000A47B0000}"/>
    <cellStyle name="Normal 422 3 2 2" xfId="31904" xr:uid="{00000000-0005-0000-0000-0000A57B0000}"/>
    <cellStyle name="Normal 422 3 3" xfId="31905" xr:uid="{00000000-0005-0000-0000-0000A67B0000}"/>
    <cellStyle name="Normal 422 3 3 2" xfId="31906" xr:uid="{00000000-0005-0000-0000-0000A77B0000}"/>
    <cellStyle name="Normal 422 3 3 2 2" xfId="31907" xr:uid="{00000000-0005-0000-0000-0000A87B0000}"/>
    <cellStyle name="Normal 422 3 3 3" xfId="31908" xr:uid="{00000000-0005-0000-0000-0000A97B0000}"/>
    <cellStyle name="Normal 422 3 4" xfId="31909" xr:uid="{00000000-0005-0000-0000-0000AA7B0000}"/>
    <cellStyle name="Normal 422 3 4 2" xfId="31910" xr:uid="{00000000-0005-0000-0000-0000AB7B0000}"/>
    <cellStyle name="Normal 422 3 4 2 2" xfId="31911" xr:uid="{00000000-0005-0000-0000-0000AC7B0000}"/>
    <cellStyle name="Normal 422 3 4 3" xfId="31912" xr:uid="{00000000-0005-0000-0000-0000AD7B0000}"/>
    <cellStyle name="Normal 422 3 5" xfId="31913" xr:uid="{00000000-0005-0000-0000-0000AE7B0000}"/>
    <cellStyle name="Normal 422 4" xfId="31914" xr:uid="{00000000-0005-0000-0000-0000AF7B0000}"/>
    <cellStyle name="Normal 422 4 2" xfId="31915" xr:uid="{00000000-0005-0000-0000-0000B07B0000}"/>
    <cellStyle name="Normal 422 4 2 2" xfId="31916" xr:uid="{00000000-0005-0000-0000-0000B17B0000}"/>
    <cellStyle name="Normal 422 4 2 2 2" xfId="31917" xr:uid="{00000000-0005-0000-0000-0000B27B0000}"/>
    <cellStyle name="Normal 422 4 2 3" xfId="31918" xr:uid="{00000000-0005-0000-0000-0000B37B0000}"/>
    <cellStyle name="Normal 422 4 2 3 2" xfId="31919" xr:uid="{00000000-0005-0000-0000-0000B47B0000}"/>
    <cellStyle name="Normal 422 4 2 3 2 2" xfId="31920" xr:uid="{00000000-0005-0000-0000-0000B57B0000}"/>
    <cellStyle name="Normal 422 4 2 3 3" xfId="31921" xr:uid="{00000000-0005-0000-0000-0000B67B0000}"/>
    <cellStyle name="Normal 422 4 2 4" xfId="31922" xr:uid="{00000000-0005-0000-0000-0000B77B0000}"/>
    <cellStyle name="Normal 422 4 3" xfId="31923" xr:uid="{00000000-0005-0000-0000-0000B87B0000}"/>
    <cellStyle name="Normal 422 4 3 2" xfId="31924" xr:uid="{00000000-0005-0000-0000-0000B97B0000}"/>
    <cellStyle name="Normal 422 4 3 2 2" xfId="31925" xr:uid="{00000000-0005-0000-0000-0000BA7B0000}"/>
    <cellStyle name="Normal 422 4 3 3" xfId="31926" xr:uid="{00000000-0005-0000-0000-0000BB7B0000}"/>
    <cellStyle name="Normal 422 4 4" xfId="31927" xr:uid="{00000000-0005-0000-0000-0000BC7B0000}"/>
    <cellStyle name="Normal 422 4 4 2" xfId="31928" xr:uid="{00000000-0005-0000-0000-0000BD7B0000}"/>
    <cellStyle name="Normal 422 4 4 2 2" xfId="31929" xr:uid="{00000000-0005-0000-0000-0000BE7B0000}"/>
    <cellStyle name="Normal 422 4 4 3" xfId="31930" xr:uid="{00000000-0005-0000-0000-0000BF7B0000}"/>
    <cellStyle name="Normal 422 4 5" xfId="31931" xr:uid="{00000000-0005-0000-0000-0000C07B0000}"/>
    <cellStyle name="Normal 422 4 5 2" xfId="31932" xr:uid="{00000000-0005-0000-0000-0000C17B0000}"/>
    <cellStyle name="Normal 422 4 5 2 2" xfId="31933" xr:uid="{00000000-0005-0000-0000-0000C27B0000}"/>
    <cellStyle name="Normal 422 4 5 3" xfId="31934" xr:uid="{00000000-0005-0000-0000-0000C37B0000}"/>
    <cellStyle name="Normal 422 4 6" xfId="31935" xr:uid="{00000000-0005-0000-0000-0000C47B0000}"/>
    <cellStyle name="Normal 422 5" xfId="31936" xr:uid="{00000000-0005-0000-0000-0000C57B0000}"/>
    <cellStyle name="Normal 422 5 2" xfId="31937" xr:uid="{00000000-0005-0000-0000-0000C67B0000}"/>
    <cellStyle name="Normal 422 5 2 2" xfId="31938" xr:uid="{00000000-0005-0000-0000-0000C77B0000}"/>
    <cellStyle name="Normal 422 5 3" xfId="31939" xr:uid="{00000000-0005-0000-0000-0000C87B0000}"/>
    <cellStyle name="Normal 422 6" xfId="31940" xr:uid="{00000000-0005-0000-0000-0000C97B0000}"/>
    <cellStyle name="Normal 422 6 2" xfId="31941" xr:uid="{00000000-0005-0000-0000-0000CA7B0000}"/>
    <cellStyle name="Normal 422 6 2 2" xfId="31942" xr:uid="{00000000-0005-0000-0000-0000CB7B0000}"/>
    <cellStyle name="Normal 422 6 3" xfId="31943" xr:uid="{00000000-0005-0000-0000-0000CC7B0000}"/>
    <cellStyle name="Normal 422 7" xfId="31944" xr:uid="{00000000-0005-0000-0000-0000CD7B0000}"/>
    <cellStyle name="Normal 422 7 2" xfId="31945" xr:uid="{00000000-0005-0000-0000-0000CE7B0000}"/>
    <cellStyle name="Normal 422 7 2 2" xfId="31946" xr:uid="{00000000-0005-0000-0000-0000CF7B0000}"/>
    <cellStyle name="Normal 422 7 3" xfId="31947" xr:uid="{00000000-0005-0000-0000-0000D07B0000}"/>
    <cellStyle name="Normal 422 8" xfId="31948" xr:uid="{00000000-0005-0000-0000-0000D17B0000}"/>
    <cellStyle name="Normal 422 8 2" xfId="31949" xr:uid="{00000000-0005-0000-0000-0000D27B0000}"/>
    <cellStyle name="Normal 422 8 2 2" xfId="31950" xr:uid="{00000000-0005-0000-0000-0000D37B0000}"/>
    <cellStyle name="Normal 422 8 3" xfId="31951" xr:uid="{00000000-0005-0000-0000-0000D47B0000}"/>
    <cellStyle name="Normal 422 8 3 2" xfId="31952" xr:uid="{00000000-0005-0000-0000-0000D57B0000}"/>
    <cellStyle name="Normal 422 8 4" xfId="31953" xr:uid="{00000000-0005-0000-0000-0000D67B0000}"/>
    <cellStyle name="Normal 422 9" xfId="31954" xr:uid="{00000000-0005-0000-0000-0000D77B0000}"/>
    <cellStyle name="Normal 423" xfId="31955" xr:uid="{00000000-0005-0000-0000-0000D87B0000}"/>
    <cellStyle name="Normal 423 2" xfId="31956" xr:uid="{00000000-0005-0000-0000-0000D97B0000}"/>
    <cellStyle name="Normal 423 2 2" xfId="31957" xr:uid="{00000000-0005-0000-0000-0000DA7B0000}"/>
    <cellStyle name="Normal 423 2 2 2" xfId="31958" xr:uid="{00000000-0005-0000-0000-0000DB7B0000}"/>
    <cellStyle name="Normal 423 2 2 2 2" xfId="31959" xr:uid="{00000000-0005-0000-0000-0000DC7B0000}"/>
    <cellStyle name="Normal 423 2 2 3" xfId="31960" xr:uid="{00000000-0005-0000-0000-0000DD7B0000}"/>
    <cellStyle name="Normal 423 2 2 3 2" xfId="31961" xr:uid="{00000000-0005-0000-0000-0000DE7B0000}"/>
    <cellStyle name="Normal 423 2 2 3 2 2" xfId="31962" xr:uid="{00000000-0005-0000-0000-0000DF7B0000}"/>
    <cellStyle name="Normal 423 2 2 3 3" xfId="31963" xr:uid="{00000000-0005-0000-0000-0000E07B0000}"/>
    <cellStyle name="Normal 423 2 2 4" xfId="31964" xr:uid="{00000000-0005-0000-0000-0000E17B0000}"/>
    <cellStyle name="Normal 423 2 2 4 2" xfId="31965" xr:uid="{00000000-0005-0000-0000-0000E27B0000}"/>
    <cellStyle name="Normal 423 2 2 4 2 2" xfId="31966" xr:uid="{00000000-0005-0000-0000-0000E37B0000}"/>
    <cellStyle name="Normal 423 2 2 4 3" xfId="31967" xr:uid="{00000000-0005-0000-0000-0000E47B0000}"/>
    <cellStyle name="Normal 423 2 2 5" xfId="31968" xr:uid="{00000000-0005-0000-0000-0000E57B0000}"/>
    <cellStyle name="Normal 423 2 3" xfId="31969" xr:uid="{00000000-0005-0000-0000-0000E67B0000}"/>
    <cellStyle name="Normal 423 2 3 2" xfId="31970" xr:uid="{00000000-0005-0000-0000-0000E77B0000}"/>
    <cellStyle name="Normal 423 2 3 2 2" xfId="31971" xr:uid="{00000000-0005-0000-0000-0000E87B0000}"/>
    <cellStyle name="Normal 423 2 3 2 2 2" xfId="31972" xr:uid="{00000000-0005-0000-0000-0000E97B0000}"/>
    <cellStyle name="Normal 423 2 3 2 3" xfId="31973" xr:uid="{00000000-0005-0000-0000-0000EA7B0000}"/>
    <cellStyle name="Normal 423 2 3 2 3 2" xfId="31974" xr:uid="{00000000-0005-0000-0000-0000EB7B0000}"/>
    <cellStyle name="Normal 423 2 3 2 3 2 2" xfId="31975" xr:uid="{00000000-0005-0000-0000-0000EC7B0000}"/>
    <cellStyle name="Normal 423 2 3 2 3 3" xfId="31976" xr:uid="{00000000-0005-0000-0000-0000ED7B0000}"/>
    <cellStyle name="Normal 423 2 3 2 4" xfId="31977" xr:uid="{00000000-0005-0000-0000-0000EE7B0000}"/>
    <cellStyle name="Normal 423 2 3 3" xfId="31978" xr:uid="{00000000-0005-0000-0000-0000EF7B0000}"/>
    <cellStyle name="Normal 423 2 3 3 2" xfId="31979" xr:uid="{00000000-0005-0000-0000-0000F07B0000}"/>
    <cellStyle name="Normal 423 2 3 3 2 2" xfId="31980" xr:uid="{00000000-0005-0000-0000-0000F17B0000}"/>
    <cellStyle name="Normal 423 2 3 3 3" xfId="31981" xr:uid="{00000000-0005-0000-0000-0000F27B0000}"/>
    <cellStyle name="Normal 423 2 3 4" xfId="31982" xr:uid="{00000000-0005-0000-0000-0000F37B0000}"/>
    <cellStyle name="Normal 423 2 3 4 2" xfId="31983" xr:uid="{00000000-0005-0000-0000-0000F47B0000}"/>
    <cellStyle name="Normal 423 2 3 4 2 2" xfId="31984" xr:uid="{00000000-0005-0000-0000-0000F57B0000}"/>
    <cellStyle name="Normal 423 2 3 4 3" xfId="31985" xr:uid="{00000000-0005-0000-0000-0000F67B0000}"/>
    <cellStyle name="Normal 423 2 3 5" xfId="31986" xr:uid="{00000000-0005-0000-0000-0000F77B0000}"/>
    <cellStyle name="Normal 423 2 3 5 2" xfId="31987" xr:uid="{00000000-0005-0000-0000-0000F87B0000}"/>
    <cellStyle name="Normal 423 2 3 5 2 2" xfId="31988" xr:uid="{00000000-0005-0000-0000-0000F97B0000}"/>
    <cellStyle name="Normal 423 2 3 5 3" xfId="31989" xr:uid="{00000000-0005-0000-0000-0000FA7B0000}"/>
    <cellStyle name="Normal 423 2 3 6" xfId="31990" xr:uid="{00000000-0005-0000-0000-0000FB7B0000}"/>
    <cellStyle name="Normal 423 2 4" xfId="31991" xr:uid="{00000000-0005-0000-0000-0000FC7B0000}"/>
    <cellStyle name="Normal 423 2 4 2" xfId="31992" xr:uid="{00000000-0005-0000-0000-0000FD7B0000}"/>
    <cellStyle name="Normal 423 2 4 2 2" xfId="31993" xr:uid="{00000000-0005-0000-0000-0000FE7B0000}"/>
    <cellStyle name="Normal 423 2 4 3" xfId="31994" xr:uid="{00000000-0005-0000-0000-0000FF7B0000}"/>
    <cellStyle name="Normal 423 2 5" xfId="31995" xr:uid="{00000000-0005-0000-0000-0000007C0000}"/>
    <cellStyle name="Normal 423 2 5 2" xfId="31996" xr:uid="{00000000-0005-0000-0000-0000017C0000}"/>
    <cellStyle name="Normal 423 2 5 2 2" xfId="31997" xr:uid="{00000000-0005-0000-0000-0000027C0000}"/>
    <cellStyle name="Normal 423 2 5 3" xfId="31998" xr:uid="{00000000-0005-0000-0000-0000037C0000}"/>
    <cellStyle name="Normal 423 2 6" xfId="31999" xr:uid="{00000000-0005-0000-0000-0000047C0000}"/>
    <cellStyle name="Normal 423 2 6 2" xfId="32000" xr:uid="{00000000-0005-0000-0000-0000057C0000}"/>
    <cellStyle name="Normal 423 2 6 2 2" xfId="32001" xr:uid="{00000000-0005-0000-0000-0000067C0000}"/>
    <cellStyle name="Normal 423 2 6 3" xfId="32002" xr:uid="{00000000-0005-0000-0000-0000077C0000}"/>
    <cellStyle name="Normal 423 2 7" xfId="32003" xr:uid="{00000000-0005-0000-0000-0000087C0000}"/>
    <cellStyle name="Normal 423 3" xfId="32004" xr:uid="{00000000-0005-0000-0000-0000097C0000}"/>
    <cellStyle name="Normal 423 3 2" xfId="32005" xr:uid="{00000000-0005-0000-0000-00000A7C0000}"/>
    <cellStyle name="Normal 423 3 2 2" xfId="32006" xr:uid="{00000000-0005-0000-0000-00000B7C0000}"/>
    <cellStyle name="Normal 423 3 3" xfId="32007" xr:uid="{00000000-0005-0000-0000-00000C7C0000}"/>
    <cellStyle name="Normal 423 3 3 2" xfId="32008" xr:uid="{00000000-0005-0000-0000-00000D7C0000}"/>
    <cellStyle name="Normal 423 3 3 2 2" xfId="32009" xr:uid="{00000000-0005-0000-0000-00000E7C0000}"/>
    <cellStyle name="Normal 423 3 3 3" xfId="32010" xr:uid="{00000000-0005-0000-0000-00000F7C0000}"/>
    <cellStyle name="Normal 423 3 4" xfId="32011" xr:uid="{00000000-0005-0000-0000-0000107C0000}"/>
    <cellStyle name="Normal 423 3 4 2" xfId="32012" xr:uid="{00000000-0005-0000-0000-0000117C0000}"/>
    <cellStyle name="Normal 423 3 4 2 2" xfId="32013" xr:uid="{00000000-0005-0000-0000-0000127C0000}"/>
    <cellStyle name="Normal 423 3 4 3" xfId="32014" xr:uid="{00000000-0005-0000-0000-0000137C0000}"/>
    <cellStyle name="Normal 423 3 5" xfId="32015" xr:uid="{00000000-0005-0000-0000-0000147C0000}"/>
    <cellStyle name="Normal 423 4" xfId="32016" xr:uid="{00000000-0005-0000-0000-0000157C0000}"/>
    <cellStyle name="Normal 423 4 2" xfId="32017" xr:uid="{00000000-0005-0000-0000-0000167C0000}"/>
    <cellStyle name="Normal 423 4 2 2" xfId="32018" xr:uid="{00000000-0005-0000-0000-0000177C0000}"/>
    <cellStyle name="Normal 423 4 2 2 2" xfId="32019" xr:uid="{00000000-0005-0000-0000-0000187C0000}"/>
    <cellStyle name="Normal 423 4 2 3" xfId="32020" xr:uid="{00000000-0005-0000-0000-0000197C0000}"/>
    <cellStyle name="Normal 423 4 2 3 2" xfId="32021" xr:uid="{00000000-0005-0000-0000-00001A7C0000}"/>
    <cellStyle name="Normal 423 4 2 3 2 2" xfId="32022" xr:uid="{00000000-0005-0000-0000-00001B7C0000}"/>
    <cellStyle name="Normal 423 4 2 3 3" xfId="32023" xr:uid="{00000000-0005-0000-0000-00001C7C0000}"/>
    <cellStyle name="Normal 423 4 2 4" xfId="32024" xr:uid="{00000000-0005-0000-0000-00001D7C0000}"/>
    <cellStyle name="Normal 423 4 3" xfId="32025" xr:uid="{00000000-0005-0000-0000-00001E7C0000}"/>
    <cellStyle name="Normal 423 4 3 2" xfId="32026" xr:uid="{00000000-0005-0000-0000-00001F7C0000}"/>
    <cellStyle name="Normal 423 4 3 2 2" xfId="32027" xr:uid="{00000000-0005-0000-0000-0000207C0000}"/>
    <cellStyle name="Normal 423 4 3 3" xfId="32028" xr:uid="{00000000-0005-0000-0000-0000217C0000}"/>
    <cellStyle name="Normal 423 4 4" xfId="32029" xr:uid="{00000000-0005-0000-0000-0000227C0000}"/>
    <cellStyle name="Normal 423 4 4 2" xfId="32030" xr:uid="{00000000-0005-0000-0000-0000237C0000}"/>
    <cellStyle name="Normal 423 4 4 2 2" xfId="32031" xr:uid="{00000000-0005-0000-0000-0000247C0000}"/>
    <cellStyle name="Normal 423 4 4 3" xfId="32032" xr:uid="{00000000-0005-0000-0000-0000257C0000}"/>
    <cellStyle name="Normal 423 4 5" xfId="32033" xr:uid="{00000000-0005-0000-0000-0000267C0000}"/>
    <cellStyle name="Normal 423 4 5 2" xfId="32034" xr:uid="{00000000-0005-0000-0000-0000277C0000}"/>
    <cellStyle name="Normal 423 4 5 2 2" xfId="32035" xr:uid="{00000000-0005-0000-0000-0000287C0000}"/>
    <cellStyle name="Normal 423 4 5 3" xfId="32036" xr:uid="{00000000-0005-0000-0000-0000297C0000}"/>
    <cellStyle name="Normal 423 4 6" xfId="32037" xr:uid="{00000000-0005-0000-0000-00002A7C0000}"/>
    <cellStyle name="Normal 423 5" xfId="32038" xr:uid="{00000000-0005-0000-0000-00002B7C0000}"/>
    <cellStyle name="Normal 423 5 2" xfId="32039" xr:uid="{00000000-0005-0000-0000-00002C7C0000}"/>
    <cellStyle name="Normal 423 5 2 2" xfId="32040" xr:uid="{00000000-0005-0000-0000-00002D7C0000}"/>
    <cellStyle name="Normal 423 5 3" xfId="32041" xr:uid="{00000000-0005-0000-0000-00002E7C0000}"/>
    <cellStyle name="Normal 423 6" xfId="32042" xr:uid="{00000000-0005-0000-0000-00002F7C0000}"/>
    <cellStyle name="Normal 423 6 2" xfId="32043" xr:uid="{00000000-0005-0000-0000-0000307C0000}"/>
    <cellStyle name="Normal 423 6 2 2" xfId="32044" xr:uid="{00000000-0005-0000-0000-0000317C0000}"/>
    <cellStyle name="Normal 423 6 3" xfId="32045" xr:uid="{00000000-0005-0000-0000-0000327C0000}"/>
    <cellStyle name="Normal 423 7" xfId="32046" xr:uid="{00000000-0005-0000-0000-0000337C0000}"/>
    <cellStyle name="Normal 423 7 2" xfId="32047" xr:uid="{00000000-0005-0000-0000-0000347C0000}"/>
    <cellStyle name="Normal 423 7 2 2" xfId="32048" xr:uid="{00000000-0005-0000-0000-0000357C0000}"/>
    <cellStyle name="Normal 423 7 3" xfId="32049" xr:uid="{00000000-0005-0000-0000-0000367C0000}"/>
    <cellStyle name="Normal 423 8" xfId="32050" xr:uid="{00000000-0005-0000-0000-0000377C0000}"/>
    <cellStyle name="Normal 423 8 2" xfId="32051" xr:uid="{00000000-0005-0000-0000-0000387C0000}"/>
    <cellStyle name="Normal 423 8 2 2" xfId="32052" xr:uid="{00000000-0005-0000-0000-0000397C0000}"/>
    <cellStyle name="Normal 423 8 3" xfId="32053" xr:uid="{00000000-0005-0000-0000-00003A7C0000}"/>
    <cellStyle name="Normal 423 8 3 2" xfId="32054" xr:uid="{00000000-0005-0000-0000-00003B7C0000}"/>
    <cellStyle name="Normal 423 8 4" xfId="32055" xr:uid="{00000000-0005-0000-0000-00003C7C0000}"/>
    <cellStyle name="Normal 423 9" xfId="32056" xr:uid="{00000000-0005-0000-0000-00003D7C0000}"/>
    <cellStyle name="Normal 424" xfId="32057" xr:uid="{00000000-0005-0000-0000-00003E7C0000}"/>
    <cellStyle name="Normal 424 2" xfId="32058" xr:uid="{00000000-0005-0000-0000-00003F7C0000}"/>
    <cellStyle name="Normal 424 2 2" xfId="32059" xr:uid="{00000000-0005-0000-0000-0000407C0000}"/>
    <cellStyle name="Normal 424 2 2 2" xfId="32060" xr:uid="{00000000-0005-0000-0000-0000417C0000}"/>
    <cellStyle name="Normal 424 2 2 2 2" xfId="32061" xr:uid="{00000000-0005-0000-0000-0000427C0000}"/>
    <cellStyle name="Normal 424 2 2 3" xfId="32062" xr:uid="{00000000-0005-0000-0000-0000437C0000}"/>
    <cellStyle name="Normal 424 2 2 3 2" xfId="32063" xr:uid="{00000000-0005-0000-0000-0000447C0000}"/>
    <cellStyle name="Normal 424 2 2 3 2 2" xfId="32064" xr:uid="{00000000-0005-0000-0000-0000457C0000}"/>
    <cellStyle name="Normal 424 2 2 3 3" xfId="32065" xr:uid="{00000000-0005-0000-0000-0000467C0000}"/>
    <cellStyle name="Normal 424 2 2 4" xfId="32066" xr:uid="{00000000-0005-0000-0000-0000477C0000}"/>
    <cellStyle name="Normal 424 2 2 4 2" xfId="32067" xr:uid="{00000000-0005-0000-0000-0000487C0000}"/>
    <cellStyle name="Normal 424 2 2 4 2 2" xfId="32068" xr:uid="{00000000-0005-0000-0000-0000497C0000}"/>
    <cellStyle name="Normal 424 2 2 4 3" xfId="32069" xr:uid="{00000000-0005-0000-0000-00004A7C0000}"/>
    <cellStyle name="Normal 424 2 2 5" xfId="32070" xr:uid="{00000000-0005-0000-0000-00004B7C0000}"/>
    <cellStyle name="Normal 424 2 3" xfId="32071" xr:uid="{00000000-0005-0000-0000-00004C7C0000}"/>
    <cellStyle name="Normal 424 2 3 2" xfId="32072" xr:uid="{00000000-0005-0000-0000-00004D7C0000}"/>
    <cellStyle name="Normal 424 2 3 2 2" xfId="32073" xr:uid="{00000000-0005-0000-0000-00004E7C0000}"/>
    <cellStyle name="Normal 424 2 3 2 2 2" xfId="32074" xr:uid="{00000000-0005-0000-0000-00004F7C0000}"/>
    <cellStyle name="Normal 424 2 3 2 3" xfId="32075" xr:uid="{00000000-0005-0000-0000-0000507C0000}"/>
    <cellStyle name="Normal 424 2 3 2 3 2" xfId="32076" xr:uid="{00000000-0005-0000-0000-0000517C0000}"/>
    <cellStyle name="Normal 424 2 3 2 3 2 2" xfId="32077" xr:uid="{00000000-0005-0000-0000-0000527C0000}"/>
    <cellStyle name="Normal 424 2 3 2 3 3" xfId="32078" xr:uid="{00000000-0005-0000-0000-0000537C0000}"/>
    <cellStyle name="Normal 424 2 3 2 4" xfId="32079" xr:uid="{00000000-0005-0000-0000-0000547C0000}"/>
    <cellStyle name="Normal 424 2 3 3" xfId="32080" xr:uid="{00000000-0005-0000-0000-0000557C0000}"/>
    <cellStyle name="Normal 424 2 3 3 2" xfId="32081" xr:uid="{00000000-0005-0000-0000-0000567C0000}"/>
    <cellStyle name="Normal 424 2 3 3 2 2" xfId="32082" xr:uid="{00000000-0005-0000-0000-0000577C0000}"/>
    <cellStyle name="Normal 424 2 3 3 3" xfId="32083" xr:uid="{00000000-0005-0000-0000-0000587C0000}"/>
    <cellStyle name="Normal 424 2 3 4" xfId="32084" xr:uid="{00000000-0005-0000-0000-0000597C0000}"/>
    <cellStyle name="Normal 424 2 3 4 2" xfId="32085" xr:uid="{00000000-0005-0000-0000-00005A7C0000}"/>
    <cellStyle name="Normal 424 2 3 4 2 2" xfId="32086" xr:uid="{00000000-0005-0000-0000-00005B7C0000}"/>
    <cellStyle name="Normal 424 2 3 4 3" xfId="32087" xr:uid="{00000000-0005-0000-0000-00005C7C0000}"/>
    <cellStyle name="Normal 424 2 3 5" xfId="32088" xr:uid="{00000000-0005-0000-0000-00005D7C0000}"/>
    <cellStyle name="Normal 424 2 3 5 2" xfId="32089" xr:uid="{00000000-0005-0000-0000-00005E7C0000}"/>
    <cellStyle name="Normal 424 2 3 5 2 2" xfId="32090" xr:uid="{00000000-0005-0000-0000-00005F7C0000}"/>
    <cellStyle name="Normal 424 2 3 5 3" xfId="32091" xr:uid="{00000000-0005-0000-0000-0000607C0000}"/>
    <cellStyle name="Normal 424 2 3 6" xfId="32092" xr:uid="{00000000-0005-0000-0000-0000617C0000}"/>
    <cellStyle name="Normal 424 2 4" xfId="32093" xr:uid="{00000000-0005-0000-0000-0000627C0000}"/>
    <cellStyle name="Normal 424 2 4 2" xfId="32094" xr:uid="{00000000-0005-0000-0000-0000637C0000}"/>
    <cellStyle name="Normal 424 2 4 2 2" xfId="32095" xr:uid="{00000000-0005-0000-0000-0000647C0000}"/>
    <cellStyle name="Normal 424 2 4 3" xfId="32096" xr:uid="{00000000-0005-0000-0000-0000657C0000}"/>
    <cellStyle name="Normal 424 2 5" xfId="32097" xr:uid="{00000000-0005-0000-0000-0000667C0000}"/>
    <cellStyle name="Normal 424 2 5 2" xfId="32098" xr:uid="{00000000-0005-0000-0000-0000677C0000}"/>
    <cellStyle name="Normal 424 2 5 2 2" xfId="32099" xr:uid="{00000000-0005-0000-0000-0000687C0000}"/>
    <cellStyle name="Normal 424 2 5 3" xfId="32100" xr:uid="{00000000-0005-0000-0000-0000697C0000}"/>
    <cellStyle name="Normal 424 2 6" xfId="32101" xr:uid="{00000000-0005-0000-0000-00006A7C0000}"/>
    <cellStyle name="Normal 424 2 6 2" xfId="32102" xr:uid="{00000000-0005-0000-0000-00006B7C0000}"/>
    <cellStyle name="Normal 424 2 6 2 2" xfId="32103" xr:uid="{00000000-0005-0000-0000-00006C7C0000}"/>
    <cellStyle name="Normal 424 2 6 3" xfId="32104" xr:uid="{00000000-0005-0000-0000-00006D7C0000}"/>
    <cellStyle name="Normal 424 2 7" xfId="32105" xr:uid="{00000000-0005-0000-0000-00006E7C0000}"/>
    <cellStyle name="Normal 424 3" xfId="32106" xr:uid="{00000000-0005-0000-0000-00006F7C0000}"/>
    <cellStyle name="Normal 424 3 2" xfId="32107" xr:uid="{00000000-0005-0000-0000-0000707C0000}"/>
    <cellStyle name="Normal 424 3 2 2" xfId="32108" xr:uid="{00000000-0005-0000-0000-0000717C0000}"/>
    <cellStyle name="Normal 424 3 3" xfId="32109" xr:uid="{00000000-0005-0000-0000-0000727C0000}"/>
    <cellStyle name="Normal 424 3 3 2" xfId="32110" xr:uid="{00000000-0005-0000-0000-0000737C0000}"/>
    <cellStyle name="Normal 424 3 3 2 2" xfId="32111" xr:uid="{00000000-0005-0000-0000-0000747C0000}"/>
    <cellStyle name="Normal 424 3 3 3" xfId="32112" xr:uid="{00000000-0005-0000-0000-0000757C0000}"/>
    <cellStyle name="Normal 424 3 4" xfId="32113" xr:uid="{00000000-0005-0000-0000-0000767C0000}"/>
    <cellStyle name="Normal 424 3 4 2" xfId="32114" xr:uid="{00000000-0005-0000-0000-0000777C0000}"/>
    <cellStyle name="Normal 424 3 4 2 2" xfId="32115" xr:uid="{00000000-0005-0000-0000-0000787C0000}"/>
    <cellStyle name="Normal 424 3 4 3" xfId="32116" xr:uid="{00000000-0005-0000-0000-0000797C0000}"/>
    <cellStyle name="Normal 424 3 5" xfId="32117" xr:uid="{00000000-0005-0000-0000-00007A7C0000}"/>
    <cellStyle name="Normal 424 4" xfId="32118" xr:uid="{00000000-0005-0000-0000-00007B7C0000}"/>
    <cellStyle name="Normal 424 4 2" xfId="32119" xr:uid="{00000000-0005-0000-0000-00007C7C0000}"/>
    <cellStyle name="Normal 424 4 2 2" xfId="32120" xr:uid="{00000000-0005-0000-0000-00007D7C0000}"/>
    <cellStyle name="Normal 424 4 2 2 2" xfId="32121" xr:uid="{00000000-0005-0000-0000-00007E7C0000}"/>
    <cellStyle name="Normal 424 4 2 3" xfId="32122" xr:uid="{00000000-0005-0000-0000-00007F7C0000}"/>
    <cellStyle name="Normal 424 4 2 3 2" xfId="32123" xr:uid="{00000000-0005-0000-0000-0000807C0000}"/>
    <cellStyle name="Normal 424 4 2 3 2 2" xfId="32124" xr:uid="{00000000-0005-0000-0000-0000817C0000}"/>
    <cellStyle name="Normal 424 4 2 3 3" xfId="32125" xr:uid="{00000000-0005-0000-0000-0000827C0000}"/>
    <cellStyle name="Normal 424 4 2 4" xfId="32126" xr:uid="{00000000-0005-0000-0000-0000837C0000}"/>
    <cellStyle name="Normal 424 4 3" xfId="32127" xr:uid="{00000000-0005-0000-0000-0000847C0000}"/>
    <cellStyle name="Normal 424 4 3 2" xfId="32128" xr:uid="{00000000-0005-0000-0000-0000857C0000}"/>
    <cellStyle name="Normal 424 4 3 2 2" xfId="32129" xr:uid="{00000000-0005-0000-0000-0000867C0000}"/>
    <cellStyle name="Normal 424 4 3 3" xfId="32130" xr:uid="{00000000-0005-0000-0000-0000877C0000}"/>
    <cellStyle name="Normal 424 4 4" xfId="32131" xr:uid="{00000000-0005-0000-0000-0000887C0000}"/>
    <cellStyle name="Normal 424 4 4 2" xfId="32132" xr:uid="{00000000-0005-0000-0000-0000897C0000}"/>
    <cellStyle name="Normal 424 4 4 2 2" xfId="32133" xr:uid="{00000000-0005-0000-0000-00008A7C0000}"/>
    <cellStyle name="Normal 424 4 4 3" xfId="32134" xr:uid="{00000000-0005-0000-0000-00008B7C0000}"/>
    <cellStyle name="Normal 424 4 5" xfId="32135" xr:uid="{00000000-0005-0000-0000-00008C7C0000}"/>
    <cellStyle name="Normal 424 4 5 2" xfId="32136" xr:uid="{00000000-0005-0000-0000-00008D7C0000}"/>
    <cellStyle name="Normal 424 4 5 2 2" xfId="32137" xr:uid="{00000000-0005-0000-0000-00008E7C0000}"/>
    <cellStyle name="Normal 424 4 5 3" xfId="32138" xr:uid="{00000000-0005-0000-0000-00008F7C0000}"/>
    <cellStyle name="Normal 424 4 6" xfId="32139" xr:uid="{00000000-0005-0000-0000-0000907C0000}"/>
    <cellStyle name="Normal 424 5" xfId="32140" xr:uid="{00000000-0005-0000-0000-0000917C0000}"/>
    <cellStyle name="Normal 424 5 2" xfId="32141" xr:uid="{00000000-0005-0000-0000-0000927C0000}"/>
    <cellStyle name="Normal 424 5 2 2" xfId="32142" xr:uid="{00000000-0005-0000-0000-0000937C0000}"/>
    <cellStyle name="Normal 424 5 3" xfId="32143" xr:uid="{00000000-0005-0000-0000-0000947C0000}"/>
    <cellStyle name="Normal 424 6" xfId="32144" xr:uid="{00000000-0005-0000-0000-0000957C0000}"/>
    <cellStyle name="Normal 424 6 2" xfId="32145" xr:uid="{00000000-0005-0000-0000-0000967C0000}"/>
    <cellStyle name="Normal 424 6 2 2" xfId="32146" xr:uid="{00000000-0005-0000-0000-0000977C0000}"/>
    <cellStyle name="Normal 424 6 3" xfId="32147" xr:uid="{00000000-0005-0000-0000-0000987C0000}"/>
    <cellStyle name="Normal 424 7" xfId="32148" xr:uid="{00000000-0005-0000-0000-0000997C0000}"/>
    <cellStyle name="Normal 424 7 2" xfId="32149" xr:uid="{00000000-0005-0000-0000-00009A7C0000}"/>
    <cellStyle name="Normal 424 7 2 2" xfId="32150" xr:uid="{00000000-0005-0000-0000-00009B7C0000}"/>
    <cellStyle name="Normal 424 7 3" xfId="32151" xr:uid="{00000000-0005-0000-0000-00009C7C0000}"/>
    <cellStyle name="Normal 424 8" xfId="32152" xr:uid="{00000000-0005-0000-0000-00009D7C0000}"/>
    <cellStyle name="Normal 424 8 2" xfId="32153" xr:uid="{00000000-0005-0000-0000-00009E7C0000}"/>
    <cellStyle name="Normal 424 8 2 2" xfId="32154" xr:uid="{00000000-0005-0000-0000-00009F7C0000}"/>
    <cellStyle name="Normal 424 8 3" xfId="32155" xr:uid="{00000000-0005-0000-0000-0000A07C0000}"/>
    <cellStyle name="Normal 424 8 3 2" xfId="32156" xr:uid="{00000000-0005-0000-0000-0000A17C0000}"/>
    <cellStyle name="Normal 424 8 4" xfId="32157" xr:uid="{00000000-0005-0000-0000-0000A27C0000}"/>
    <cellStyle name="Normal 424 9" xfId="32158" xr:uid="{00000000-0005-0000-0000-0000A37C0000}"/>
    <cellStyle name="Normal 425" xfId="32159" xr:uid="{00000000-0005-0000-0000-0000A47C0000}"/>
    <cellStyle name="Normal 425 10" xfId="32160" xr:uid="{00000000-0005-0000-0000-0000A57C0000}"/>
    <cellStyle name="Normal 425 2" xfId="32161" xr:uid="{00000000-0005-0000-0000-0000A67C0000}"/>
    <cellStyle name="Normal 425 2 2" xfId="32162" xr:uid="{00000000-0005-0000-0000-0000A77C0000}"/>
    <cellStyle name="Normal 425 2 2 2" xfId="32163" xr:uid="{00000000-0005-0000-0000-0000A87C0000}"/>
    <cellStyle name="Normal 425 2 2 2 2" xfId="32164" xr:uid="{00000000-0005-0000-0000-0000A97C0000}"/>
    <cellStyle name="Normal 425 2 2 3" xfId="32165" xr:uid="{00000000-0005-0000-0000-0000AA7C0000}"/>
    <cellStyle name="Normal 425 2 2 3 2" xfId="32166" xr:uid="{00000000-0005-0000-0000-0000AB7C0000}"/>
    <cellStyle name="Normal 425 2 2 3 2 2" xfId="32167" xr:uid="{00000000-0005-0000-0000-0000AC7C0000}"/>
    <cellStyle name="Normal 425 2 2 3 3" xfId="32168" xr:uid="{00000000-0005-0000-0000-0000AD7C0000}"/>
    <cellStyle name="Normal 425 2 2 4" xfId="32169" xr:uid="{00000000-0005-0000-0000-0000AE7C0000}"/>
    <cellStyle name="Normal 425 2 3" xfId="32170" xr:uid="{00000000-0005-0000-0000-0000AF7C0000}"/>
    <cellStyle name="Normal 425 2 3 2" xfId="32171" xr:uid="{00000000-0005-0000-0000-0000B07C0000}"/>
    <cellStyle name="Normal 425 2 3 2 2" xfId="32172" xr:uid="{00000000-0005-0000-0000-0000B17C0000}"/>
    <cellStyle name="Normal 425 2 3 3" xfId="32173" xr:uid="{00000000-0005-0000-0000-0000B27C0000}"/>
    <cellStyle name="Normal 425 2 4" xfId="32174" xr:uid="{00000000-0005-0000-0000-0000B37C0000}"/>
    <cellStyle name="Normal 425 2 4 2" xfId="32175" xr:uid="{00000000-0005-0000-0000-0000B47C0000}"/>
    <cellStyle name="Normal 425 2 4 2 2" xfId="32176" xr:uid="{00000000-0005-0000-0000-0000B57C0000}"/>
    <cellStyle name="Normal 425 2 4 3" xfId="32177" xr:uid="{00000000-0005-0000-0000-0000B67C0000}"/>
    <cellStyle name="Normal 425 2 5" xfId="32178" xr:uid="{00000000-0005-0000-0000-0000B77C0000}"/>
    <cellStyle name="Normal 425 2 5 2" xfId="32179" xr:uid="{00000000-0005-0000-0000-0000B87C0000}"/>
    <cellStyle name="Normal 425 2 5 2 2" xfId="32180" xr:uid="{00000000-0005-0000-0000-0000B97C0000}"/>
    <cellStyle name="Normal 425 2 5 3" xfId="32181" xr:uid="{00000000-0005-0000-0000-0000BA7C0000}"/>
    <cellStyle name="Normal 425 2 6" xfId="32182" xr:uid="{00000000-0005-0000-0000-0000BB7C0000}"/>
    <cellStyle name="Normal 425 3" xfId="32183" xr:uid="{00000000-0005-0000-0000-0000BC7C0000}"/>
    <cellStyle name="Normal 425 3 2" xfId="32184" xr:uid="{00000000-0005-0000-0000-0000BD7C0000}"/>
    <cellStyle name="Normal 425 3 2 2" xfId="32185" xr:uid="{00000000-0005-0000-0000-0000BE7C0000}"/>
    <cellStyle name="Normal 425 3 3" xfId="32186" xr:uid="{00000000-0005-0000-0000-0000BF7C0000}"/>
    <cellStyle name="Normal 425 3 3 2" xfId="32187" xr:uid="{00000000-0005-0000-0000-0000C07C0000}"/>
    <cellStyle name="Normal 425 3 3 2 2" xfId="32188" xr:uid="{00000000-0005-0000-0000-0000C17C0000}"/>
    <cellStyle name="Normal 425 3 3 3" xfId="32189" xr:uid="{00000000-0005-0000-0000-0000C27C0000}"/>
    <cellStyle name="Normal 425 3 4" xfId="32190" xr:uid="{00000000-0005-0000-0000-0000C37C0000}"/>
    <cellStyle name="Normal 425 3 4 2" xfId="32191" xr:uid="{00000000-0005-0000-0000-0000C47C0000}"/>
    <cellStyle name="Normal 425 3 4 2 2" xfId="32192" xr:uid="{00000000-0005-0000-0000-0000C57C0000}"/>
    <cellStyle name="Normal 425 3 4 3" xfId="32193" xr:uid="{00000000-0005-0000-0000-0000C67C0000}"/>
    <cellStyle name="Normal 425 3 5" xfId="32194" xr:uid="{00000000-0005-0000-0000-0000C77C0000}"/>
    <cellStyle name="Normal 425 4" xfId="32195" xr:uid="{00000000-0005-0000-0000-0000C87C0000}"/>
    <cellStyle name="Normal 425 4 2" xfId="32196" xr:uid="{00000000-0005-0000-0000-0000C97C0000}"/>
    <cellStyle name="Normal 425 4 2 2" xfId="32197" xr:uid="{00000000-0005-0000-0000-0000CA7C0000}"/>
    <cellStyle name="Normal 425 4 2 2 2" xfId="32198" xr:uid="{00000000-0005-0000-0000-0000CB7C0000}"/>
    <cellStyle name="Normal 425 4 2 3" xfId="32199" xr:uid="{00000000-0005-0000-0000-0000CC7C0000}"/>
    <cellStyle name="Normal 425 4 2 3 2" xfId="32200" xr:uid="{00000000-0005-0000-0000-0000CD7C0000}"/>
    <cellStyle name="Normal 425 4 2 3 2 2" xfId="32201" xr:uid="{00000000-0005-0000-0000-0000CE7C0000}"/>
    <cellStyle name="Normal 425 4 2 3 3" xfId="32202" xr:uid="{00000000-0005-0000-0000-0000CF7C0000}"/>
    <cellStyle name="Normal 425 4 2 4" xfId="32203" xr:uid="{00000000-0005-0000-0000-0000D07C0000}"/>
    <cellStyle name="Normal 425 4 3" xfId="32204" xr:uid="{00000000-0005-0000-0000-0000D17C0000}"/>
    <cellStyle name="Normal 425 4 3 2" xfId="32205" xr:uid="{00000000-0005-0000-0000-0000D27C0000}"/>
    <cellStyle name="Normal 425 4 3 2 2" xfId="32206" xr:uid="{00000000-0005-0000-0000-0000D37C0000}"/>
    <cellStyle name="Normal 425 4 3 3" xfId="32207" xr:uid="{00000000-0005-0000-0000-0000D47C0000}"/>
    <cellStyle name="Normal 425 4 4" xfId="32208" xr:uid="{00000000-0005-0000-0000-0000D57C0000}"/>
    <cellStyle name="Normal 425 4 4 2" xfId="32209" xr:uid="{00000000-0005-0000-0000-0000D67C0000}"/>
    <cellStyle name="Normal 425 4 4 2 2" xfId="32210" xr:uid="{00000000-0005-0000-0000-0000D77C0000}"/>
    <cellStyle name="Normal 425 4 4 3" xfId="32211" xr:uid="{00000000-0005-0000-0000-0000D87C0000}"/>
    <cellStyle name="Normal 425 4 5" xfId="32212" xr:uid="{00000000-0005-0000-0000-0000D97C0000}"/>
    <cellStyle name="Normal 425 4 5 2" xfId="32213" xr:uid="{00000000-0005-0000-0000-0000DA7C0000}"/>
    <cellStyle name="Normal 425 4 5 2 2" xfId="32214" xr:uid="{00000000-0005-0000-0000-0000DB7C0000}"/>
    <cellStyle name="Normal 425 4 5 3" xfId="32215" xr:uid="{00000000-0005-0000-0000-0000DC7C0000}"/>
    <cellStyle name="Normal 425 4 6" xfId="32216" xr:uid="{00000000-0005-0000-0000-0000DD7C0000}"/>
    <cellStyle name="Normal 425 5" xfId="32217" xr:uid="{00000000-0005-0000-0000-0000DE7C0000}"/>
    <cellStyle name="Normal 425 5 2" xfId="32218" xr:uid="{00000000-0005-0000-0000-0000DF7C0000}"/>
    <cellStyle name="Normal 425 5 2 2" xfId="32219" xr:uid="{00000000-0005-0000-0000-0000E07C0000}"/>
    <cellStyle name="Normal 425 5 3" xfId="32220" xr:uid="{00000000-0005-0000-0000-0000E17C0000}"/>
    <cellStyle name="Normal 425 6" xfId="32221" xr:uid="{00000000-0005-0000-0000-0000E27C0000}"/>
    <cellStyle name="Normal 425 6 2" xfId="32222" xr:uid="{00000000-0005-0000-0000-0000E37C0000}"/>
    <cellStyle name="Normal 425 6 2 2" xfId="32223" xr:uid="{00000000-0005-0000-0000-0000E47C0000}"/>
    <cellStyle name="Normal 425 6 3" xfId="32224" xr:uid="{00000000-0005-0000-0000-0000E57C0000}"/>
    <cellStyle name="Normal 425 7" xfId="32225" xr:uid="{00000000-0005-0000-0000-0000E67C0000}"/>
    <cellStyle name="Normal 425 7 2" xfId="32226" xr:uid="{00000000-0005-0000-0000-0000E77C0000}"/>
    <cellStyle name="Normal 425 7 2 2" xfId="32227" xr:uid="{00000000-0005-0000-0000-0000E87C0000}"/>
    <cellStyle name="Normal 425 7 3" xfId="32228" xr:uid="{00000000-0005-0000-0000-0000E97C0000}"/>
    <cellStyle name="Normal 425 8" xfId="32229" xr:uid="{00000000-0005-0000-0000-0000EA7C0000}"/>
    <cellStyle name="Normal 425 8 2" xfId="32230" xr:uid="{00000000-0005-0000-0000-0000EB7C0000}"/>
    <cellStyle name="Normal 425 8 2 2" xfId="32231" xr:uid="{00000000-0005-0000-0000-0000EC7C0000}"/>
    <cellStyle name="Normal 425 8 3" xfId="32232" xr:uid="{00000000-0005-0000-0000-0000ED7C0000}"/>
    <cellStyle name="Normal 425 8 3 2" xfId="32233" xr:uid="{00000000-0005-0000-0000-0000EE7C0000}"/>
    <cellStyle name="Normal 425 8 4" xfId="32234" xr:uid="{00000000-0005-0000-0000-0000EF7C0000}"/>
    <cellStyle name="Normal 425 9" xfId="32235" xr:uid="{00000000-0005-0000-0000-0000F07C0000}"/>
    <cellStyle name="Normal 426" xfId="32236" xr:uid="{00000000-0005-0000-0000-0000F17C0000}"/>
    <cellStyle name="Normal 426 10" xfId="32237" xr:uid="{00000000-0005-0000-0000-0000F27C0000}"/>
    <cellStyle name="Normal 426 2" xfId="32238" xr:uid="{00000000-0005-0000-0000-0000F37C0000}"/>
    <cellStyle name="Normal 426 2 2" xfId="32239" xr:uid="{00000000-0005-0000-0000-0000F47C0000}"/>
    <cellStyle name="Normal 426 2 2 2" xfId="32240" xr:uid="{00000000-0005-0000-0000-0000F57C0000}"/>
    <cellStyle name="Normal 426 2 2 2 2" xfId="32241" xr:uid="{00000000-0005-0000-0000-0000F67C0000}"/>
    <cellStyle name="Normal 426 2 2 3" xfId="32242" xr:uid="{00000000-0005-0000-0000-0000F77C0000}"/>
    <cellStyle name="Normal 426 2 2 3 2" xfId="32243" xr:uid="{00000000-0005-0000-0000-0000F87C0000}"/>
    <cellStyle name="Normal 426 2 2 3 2 2" xfId="32244" xr:uid="{00000000-0005-0000-0000-0000F97C0000}"/>
    <cellStyle name="Normal 426 2 2 3 3" xfId="32245" xr:uid="{00000000-0005-0000-0000-0000FA7C0000}"/>
    <cellStyle name="Normal 426 2 2 4" xfId="32246" xr:uid="{00000000-0005-0000-0000-0000FB7C0000}"/>
    <cellStyle name="Normal 426 2 3" xfId="32247" xr:uid="{00000000-0005-0000-0000-0000FC7C0000}"/>
    <cellStyle name="Normal 426 2 3 2" xfId="32248" xr:uid="{00000000-0005-0000-0000-0000FD7C0000}"/>
    <cellStyle name="Normal 426 2 3 2 2" xfId="32249" xr:uid="{00000000-0005-0000-0000-0000FE7C0000}"/>
    <cellStyle name="Normal 426 2 3 3" xfId="32250" xr:uid="{00000000-0005-0000-0000-0000FF7C0000}"/>
    <cellStyle name="Normal 426 2 4" xfId="32251" xr:uid="{00000000-0005-0000-0000-0000007D0000}"/>
    <cellStyle name="Normal 426 2 4 2" xfId="32252" xr:uid="{00000000-0005-0000-0000-0000017D0000}"/>
    <cellStyle name="Normal 426 2 4 2 2" xfId="32253" xr:uid="{00000000-0005-0000-0000-0000027D0000}"/>
    <cellStyle name="Normal 426 2 4 3" xfId="32254" xr:uid="{00000000-0005-0000-0000-0000037D0000}"/>
    <cellStyle name="Normal 426 2 5" xfId="32255" xr:uid="{00000000-0005-0000-0000-0000047D0000}"/>
    <cellStyle name="Normal 426 2 5 2" xfId="32256" xr:uid="{00000000-0005-0000-0000-0000057D0000}"/>
    <cellStyle name="Normal 426 2 5 2 2" xfId="32257" xr:uid="{00000000-0005-0000-0000-0000067D0000}"/>
    <cellStyle name="Normal 426 2 5 3" xfId="32258" xr:uid="{00000000-0005-0000-0000-0000077D0000}"/>
    <cellStyle name="Normal 426 2 6" xfId="32259" xr:uid="{00000000-0005-0000-0000-0000087D0000}"/>
    <cellStyle name="Normal 426 3" xfId="32260" xr:uid="{00000000-0005-0000-0000-0000097D0000}"/>
    <cellStyle name="Normal 426 3 2" xfId="32261" xr:uid="{00000000-0005-0000-0000-00000A7D0000}"/>
    <cellStyle name="Normal 426 3 2 2" xfId="32262" xr:uid="{00000000-0005-0000-0000-00000B7D0000}"/>
    <cellStyle name="Normal 426 3 3" xfId="32263" xr:uid="{00000000-0005-0000-0000-00000C7D0000}"/>
    <cellStyle name="Normal 426 3 3 2" xfId="32264" xr:uid="{00000000-0005-0000-0000-00000D7D0000}"/>
    <cellStyle name="Normal 426 3 3 2 2" xfId="32265" xr:uid="{00000000-0005-0000-0000-00000E7D0000}"/>
    <cellStyle name="Normal 426 3 3 3" xfId="32266" xr:uid="{00000000-0005-0000-0000-00000F7D0000}"/>
    <cellStyle name="Normal 426 3 4" xfId="32267" xr:uid="{00000000-0005-0000-0000-0000107D0000}"/>
    <cellStyle name="Normal 426 3 4 2" xfId="32268" xr:uid="{00000000-0005-0000-0000-0000117D0000}"/>
    <cellStyle name="Normal 426 3 4 2 2" xfId="32269" xr:uid="{00000000-0005-0000-0000-0000127D0000}"/>
    <cellStyle name="Normal 426 3 4 3" xfId="32270" xr:uid="{00000000-0005-0000-0000-0000137D0000}"/>
    <cellStyle name="Normal 426 3 5" xfId="32271" xr:uid="{00000000-0005-0000-0000-0000147D0000}"/>
    <cellStyle name="Normal 426 4" xfId="32272" xr:uid="{00000000-0005-0000-0000-0000157D0000}"/>
    <cellStyle name="Normal 426 4 2" xfId="32273" xr:uid="{00000000-0005-0000-0000-0000167D0000}"/>
    <cellStyle name="Normal 426 4 2 2" xfId="32274" xr:uid="{00000000-0005-0000-0000-0000177D0000}"/>
    <cellStyle name="Normal 426 4 2 2 2" xfId="32275" xr:uid="{00000000-0005-0000-0000-0000187D0000}"/>
    <cellStyle name="Normal 426 4 2 3" xfId="32276" xr:uid="{00000000-0005-0000-0000-0000197D0000}"/>
    <cellStyle name="Normal 426 4 2 3 2" xfId="32277" xr:uid="{00000000-0005-0000-0000-00001A7D0000}"/>
    <cellStyle name="Normal 426 4 2 3 2 2" xfId="32278" xr:uid="{00000000-0005-0000-0000-00001B7D0000}"/>
    <cellStyle name="Normal 426 4 2 3 3" xfId="32279" xr:uid="{00000000-0005-0000-0000-00001C7D0000}"/>
    <cellStyle name="Normal 426 4 2 4" xfId="32280" xr:uid="{00000000-0005-0000-0000-00001D7D0000}"/>
    <cellStyle name="Normal 426 4 3" xfId="32281" xr:uid="{00000000-0005-0000-0000-00001E7D0000}"/>
    <cellStyle name="Normal 426 4 3 2" xfId="32282" xr:uid="{00000000-0005-0000-0000-00001F7D0000}"/>
    <cellStyle name="Normal 426 4 3 2 2" xfId="32283" xr:uid="{00000000-0005-0000-0000-0000207D0000}"/>
    <cellStyle name="Normal 426 4 3 3" xfId="32284" xr:uid="{00000000-0005-0000-0000-0000217D0000}"/>
    <cellStyle name="Normal 426 4 4" xfId="32285" xr:uid="{00000000-0005-0000-0000-0000227D0000}"/>
    <cellStyle name="Normal 426 4 4 2" xfId="32286" xr:uid="{00000000-0005-0000-0000-0000237D0000}"/>
    <cellStyle name="Normal 426 4 4 2 2" xfId="32287" xr:uid="{00000000-0005-0000-0000-0000247D0000}"/>
    <cellStyle name="Normal 426 4 4 3" xfId="32288" xr:uid="{00000000-0005-0000-0000-0000257D0000}"/>
    <cellStyle name="Normal 426 4 5" xfId="32289" xr:uid="{00000000-0005-0000-0000-0000267D0000}"/>
    <cellStyle name="Normal 426 4 5 2" xfId="32290" xr:uid="{00000000-0005-0000-0000-0000277D0000}"/>
    <cellStyle name="Normal 426 4 5 2 2" xfId="32291" xr:uid="{00000000-0005-0000-0000-0000287D0000}"/>
    <cellStyle name="Normal 426 4 5 3" xfId="32292" xr:uid="{00000000-0005-0000-0000-0000297D0000}"/>
    <cellStyle name="Normal 426 4 6" xfId="32293" xr:uid="{00000000-0005-0000-0000-00002A7D0000}"/>
    <cellStyle name="Normal 426 5" xfId="32294" xr:uid="{00000000-0005-0000-0000-00002B7D0000}"/>
    <cellStyle name="Normal 426 5 2" xfId="32295" xr:uid="{00000000-0005-0000-0000-00002C7D0000}"/>
    <cellStyle name="Normal 426 5 2 2" xfId="32296" xr:uid="{00000000-0005-0000-0000-00002D7D0000}"/>
    <cellStyle name="Normal 426 5 3" xfId="32297" xr:uid="{00000000-0005-0000-0000-00002E7D0000}"/>
    <cellStyle name="Normal 426 6" xfId="32298" xr:uid="{00000000-0005-0000-0000-00002F7D0000}"/>
    <cellStyle name="Normal 426 6 2" xfId="32299" xr:uid="{00000000-0005-0000-0000-0000307D0000}"/>
    <cellStyle name="Normal 426 6 2 2" xfId="32300" xr:uid="{00000000-0005-0000-0000-0000317D0000}"/>
    <cellStyle name="Normal 426 6 3" xfId="32301" xr:uid="{00000000-0005-0000-0000-0000327D0000}"/>
    <cellStyle name="Normal 426 7" xfId="32302" xr:uid="{00000000-0005-0000-0000-0000337D0000}"/>
    <cellStyle name="Normal 426 7 2" xfId="32303" xr:uid="{00000000-0005-0000-0000-0000347D0000}"/>
    <cellStyle name="Normal 426 7 2 2" xfId="32304" xr:uid="{00000000-0005-0000-0000-0000357D0000}"/>
    <cellStyle name="Normal 426 7 3" xfId="32305" xr:uid="{00000000-0005-0000-0000-0000367D0000}"/>
    <cellStyle name="Normal 426 8" xfId="32306" xr:uid="{00000000-0005-0000-0000-0000377D0000}"/>
    <cellStyle name="Normal 426 8 2" xfId="32307" xr:uid="{00000000-0005-0000-0000-0000387D0000}"/>
    <cellStyle name="Normal 426 8 2 2" xfId="32308" xr:uid="{00000000-0005-0000-0000-0000397D0000}"/>
    <cellStyle name="Normal 426 8 3" xfId="32309" xr:uid="{00000000-0005-0000-0000-00003A7D0000}"/>
    <cellStyle name="Normal 426 8 3 2" xfId="32310" xr:uid="{00000000-0005-0000-0000-00003B7D0000}"/>
    <cellStyle name="Normal 426 8 4" xfId="32311" xr:uid="{00000000-0005-0000-0000-00003C7D0000}"/>
    <cellStyle name="Normal 426 9" xfId="32312" xr:uid="{00000000-0005-0000-0000-00003D7D0000}"/>
    <cellStyle name="Normal 427" xfId="32313" xr:uid="{00000000-0005-0000-0000-00003E7D0000}"/>
    <cellStyle name="Normal 427 10" xfId="32314" xr:uid="{00000000-0005-0000-0000-00003F7D0000}"/>
    <cellStyle name="Normal 427 2" xfId="32315" xr:uid="{00000000-0005-0000-0000-0000407D0000}"/>
    <cellStyle name="Normal 427 2 2" xfId="32316" xr:uid="{00000000-0005-0000-0000-0000417D0000}"/>
    <cellStyle name="Normal 427 2 2 2" xfId="32317" xr:uid="{00000000-0005-0000-0000-0000427D0000}"/>
    <cellStyle name="Normal 427 2 2 2 2" xfId="32318" xr:uid="{00000000-0005-0000-0000-0000437D0000}"/>
    <cellStyle name="Normal 427 2 2 3" xfId="32319" xr:uid="{00000000-0005-0000-0000-0000447D0000}"/>
    <cellStyle name="Normal 427 2 2 3 2" xfId="32320" xr:uid="{00000000-0005-0000-0000-0000457D0000}"/>
    <cellStyle name="Normal 427 2 2 3 2 2" xfId="32321" xr:uid="{00000000-0005-0000-0000-0000467D0000}"/>
    <cellStyle name="Normal 427 2 2 3 3" xfId="32322" xr:uid="{00000000-0005-0000-0000-0000477D0000}"/>
    <cellStyle name="Normal 427 2 2 4" xfId="32323" xr:uid="{00000000-0005-0000-0000-0000487D0000}"/>
    <cellStyle name="Normal 427 2 3" xfId="32324" xr:uid="{00000000-0005-0000-0000-0000497D0000}"/>
    <cellStyle name="Normal 427 2 3 2" xfId="32325" xr:uid="{00000000-0005-0000-0000-00004A7D0000}"/>
    <cellStyle name="Normal 427 2 3 2 2" xfId="32326" xr:uid="{00000000-0005-0000-0000-00004B7D0000}"/>
    <cellStyle name="Normal 427 2 3 3" xfId="32327" xr:uid="{00000000-0005-0000-0000-00004C7D0000}"/>
    <cellStyle name="Normal 427 2 4" xfId="32328" xr:uid="{00000000-0005-0000-0000-00004D7D0000}"/>
    <cellStyle name="Normal 427 2 4 2" xfId="32329" xr:uid="{00000000-0005-0000-0000-00004E7D0000}"/>
    <cellStyle name="Normal 427 2 4 2 2" xfId="32330" xr:uid="{00000000-0005-0000-0000-00004F7D0000}"/>
    <cellStyle name="Normal 427 2 4 3" xfId="32331" xr:uid="{00000000-0005-0000-0000-0000507D0000}"/>
    <cellStyle name="Normal 427 2 5" xfId="32332" xr:uid="{00000000-0005-0000-0000-0000517D0000}"/>
    <cellStyle name="Normal 427 2 5 2" xfId="32333" xr:uid="{00000000-0005-0000-0000-0000527D0000}"/>
    <cellStyle name="Normal 427 2 5 2 2" xfId="32334" xr:uid="{00000000-0005-0000-0000-0000537D0000}"/>
    <cellStyle name="Normal 427 2 5 3" xfId="32335" xr:uid="{00000000-0005-0000-0000-0000547D0000}"/>
    <cellStyle name="Normal 427 2 6" xfId="32336" xr:uid="{00000000-0005-0000-0000-0000557D0000}"/>
    <cellStyle name="Normal 427 3" xfId="32337" xr:uid="{00000000-0005-0000-0000-0000567D0000}"/>
    <cellStyle name="Normal 427 3 2" xfId="32338" xr:uid="{00000000-0005-0000-0000-0000577D0000}"/>
    <cellStyle name="Normal 427 3 2 2" xfId="32339" xr:uid="{00000000-0005-0000-0000-0000587D0000}"/>
    <cellStyle name="Normal 427 3 3" xfId="32340" xr:uid="{00000000-0005-0000-0000-0000597D0000}"/>
    <cellStyle name="Normal 427 3 3 2" xfId="32341" xr:uid="{00000000-0005-0000-0000-00005A7D0000}"/>
    <cellStyle name="Normal 427 3 3 2 2" xfId="32342" xr:uid="{00000000-0005-0000-0000-00005B7D0000}"/>
    <cellStyle name="Normal 427 3 3 3" xfId="32343" xr:uid="{00000000-0005-0000-0000-00005C7D0000}"/>
    <cellStyle name="Normal 427 3 4" xfId="32344" xr:uid="{00000000-0005-0000-0000-00005D7D0000}"/>
    <cellStyle name="Normal 427 3 4 2" xfId="32345" xr:uid="{00000000-0005-0000-0000-00005E7D0000}"/>
    <cellStyle name="Normal 427 3 4 2 2" xfId="32346" xr:uid="{00000000-0005-0000-0000-00005F7D0000}"/>
    <cellStyle name="Normal 427 3 4 3" xfId="32347" xr:uid="{00000000-0005-0000-0000-0000607D0000}"/>
    <cellStyle name="Normal 427 3 5" xfId="32348" xr:uid="{00000000-0005-0000-0000-0000617D0000}"/>
    <cellStyle name="Normal 427 4" xfId="32349" xr:uid="{00000000-0005-0000-0000-0000627D0000}"/>
    <cellStyle name="Normal 427 4 2" xfId="32350" xr:uid="{00000000-0005-0000-0000-0000637D0000}"/>
    <cellStyle name="Normal 427 4 2 2" xfId="32351" xr:uid="{00000000-0005-0000-0000-0000647D0000}"/>
    <cellStyle name="Normal 427 4 2 2 2" xfId="32352" xr:uid="{00000000-0005-0000-0000-0000657D0000}"/>
    <cellStyle name="Normal 427 4 2 3" xfId="32353" xr:uid="{00000000-0005-0000-0000-0000667D0000}"/>
    <cellStyle name="Normal 427 4 2 3 2" xfId="32354" xr:uid="{00000000-0005-0000-0000-0000677D0000}"/>
    <cellStyle name="Normal 427 4 2 3 2 2" xfId="32355" xr:uid="{00000000-0005-0000-0000-0000687D0000}"/>
    <cellStyle name="Normal 427 4 2 3 3" xfId="32356" xr:uid="{00000000-0005-0000-0000-0000697D0000}"/>
    <cellStyle name="Normal 427 4 2 4" xfId="32357" xr:uid="{00000000-0005-0000-0000-00006A7D0000}"/>
    <cellStyle name="Normal 427 4 3" xfId="32358" xr:uid="{00000000-0005-0000-0000-00006B7D0000}"/>
    <cellStyle name="Normal 427 4 3 2" xfId="32359" xr:uid="{00000000-0005-0000-0000-00006C7D0000}"/>
    <cellStyle name="Normal 427 4 3 2 2" xfId="32360" xr:uid="{00000000-0005-0000-0000-00006D7D0000}"/>
    <cellStyle name="Normal 427 4 3 3" xfId="32361" xr:uid="{00000000-0005-0000-0000-00006E7D0000}"/>
    <cellStyle name="Normal 427 4 4" xfId="32362" xr:uid="{00000000-0005-0000-0000-00006F7D0000}"/>
    <cellStyle name="Normal 427 4 4 2" xfId="32363" xr:uid="{00000000-0005-0000-0000-0000707D0000}"/>
    <cellStyle name="Normal 427 4 4 2 2" xfId="32364" xr:uid="{00000000-0005-0000-0000-0000717D0000}"/>
    <cellStyle name="Normal 427 4 4 3" xfId="32365" xr:uid="{00000000-0005-0000-0000-0000727D0000}"/>
    <cellStyle name="Normal 427 4 5" xfId="32366" xr:uid="{00000000-0005-0000-0000-0000737D0000}"/>
    <cellStyle name="Normal 427 4 5 2" xfId="32367" xr:uid="{00000000-0005-0000-0000-0000747D0000}"/>
    <cellStyle name="Normal 427 4 5 2 2" xfId="32368" xr:uid="{00000000-0005-0000-0000-0000757D0000}"/>
    <cellStyle name="Normal 427 4 5 3" xfId="32369" xr:uid="{00000000-0005-0000-0000-0000767D0000}"/>
    <cellStyle name="Normal 427 4 6" xfId="32370" xr:uid="{00000000-0005-0000-0000-0000777D0000}"/>
    <cellStyle name="Normal 427 5" xfId="32371" xr:uid="{00000000-0005-0000-0000-0000787D0000}"/>
    <cellStyle name="Normal 427 5 2" xfId="32372" xr:uid="{00000000-0005-0000-0000-0000797D0000}"/>
    <cellStyle name="Normal 427 5 2 2" xfId="32373" xr:uid="{00000000-0005-0000-0000-00007A7D0000}"/>
    <cellStyle name="Normal 427 5 3" xfId="32374" xr:uid="{00000000-0005-0000-0000-00007B7D0000}"/>
    <cellStyle name="Normal 427 6" xfId="32375" xr:uid="{00000000-0005-0000-0000-00007C7D0000}"/>
    <cellStyle name="Normal 427 6 2" xfId="32376" xr:uid="{00000000-0005-0000-0000-00007D7D0000}"/>
    <cellStyle name="Normal 427 6 2 2" xfId="32377" xr:uid="{00000000-0005-0000-0000-00007E7D0000}"/>
    <cellStyle name="Normal 427 6 3" xfId="32378" xr:uid="{00000000-0005-0000-0000-00007F7D0000}"/>
    <cellStyle name="Normal 427 7" xfId="32379" xr:uid="{00000000-0005-0000-0000-0000807D0000}"/>
    <cellStyle name="Normal 427 7 2" xfId="32380" xr:uid="{00000000-0005-0000-0000-0000817D0000}"/>
    <cellStyle name="Normal 427 7 2 2" xfId="32381" xr:uid="{00000000-0005-0000-0000-0000827D0000}"/>
    <cellStyle name="Normal 427 7 3" xfId="32382" xr:uid="{00000000-0005-0000-0000-0000837D0000}"/>
    <cellStyle name="Normal 427 8" xfId="32383" xr:uid="{00000000-0005-0000-0000-0000847D0000}"/>
    <cellStyle name="Normal 427 8 2" xfId="32384" xr:uid="{00000000-0005-0000-0000-0000857D0000}"/>
    <cellStyle name="Normal 427 8 2 2" xfId="32385" xr:uid="{00000000-0005-0000-0000-0000867D0000}"/>
    <cellStyle name="Normal 427 8 3" xfId="32386" xr:uid="{00000000-0005-0000-0000-0000877D0000}"/>
    <cellStyle name="Normal 427 8 3 2" xfId="32387" xr:uid="{00000000-0005-0000-0000-0000887D0000}"/>
    <cellStyle name="Normal 427 8 4" xfId="32388" xr:uid="{00000000-0005-0000-0000-0000897D0000}"/>
    <cellStyle name="Normal 427 9" xfId="32389" xr:uid="{00000000-0005-0000-0000-00008A7D0000}"/>
    <cellStyle name="Normal 428" xfId="32390" xr:uid="{00000000-0005-0000-0000-00008B7D0000}"/>
    <cellStyle name="Normal 428 10" xfId="32391" xr:uid="{00000000-0005-0000-0000-00008C7D0000}"/>
    <cellStyle name="Normal 428 2" xfId="32392" xr:uid="{00000000-0005-0000-0000-00008D7D0000}"/>
    <cellStyle name="Normal 428 2 2" xfId="32393" xr:uid="{00000000-0005-0000-0000-00008E7D0000}"/>
    <cellStyle name="Normal 428 2 2 2" xfId="32394" xr:uid="{00000000-0005-0000-0000-00008F7D0000}"/>
    <cellStyle name="Normal 428 2 2 2 2" xfId="32395" xr:uid="{00000000-0005-0000-0000-0000907D0000}"/>
    <cellStyle name="Normal 428 2 2 3" xfId="32396" xr:uid="{00000000-0005-0000-0000-0000917D0000}"/>
    <cellStyle name="Normal 428 2 2 3 2" xfId="32397" xr:uid="{00000000-0005-0000-0000-0000927D0000}"/>
    <cellStyle name="Normal 428 2 2 3 2 2" xfId="32398" xr:uid="{00000000-0005-0000-0000-0000937D0000}"/>
    <cellStyle name="Normal 428 2 2 3 3" xfId="32399" xr:uid="{00000000-0005-0000-0000-0000947D0000}"/>
    <cellStyle name="Normal 428 2 2 4" xfId="32400" xr:uid="{00000000-0005-0000-0000-0000957D0000}"/>
    <cellStyle name="Normal 428 2 3" xfId="32401" xr:uid="{00000000-0005-0000-0000-0000967D0000}"/>
    <cellStyle name="Normal 428 2 3 2" xfId="32402" xr:uid="{00000000-0005-0000-0000-0000977D0000}"/>
    <cellStyle name="Normal 428 2 3 2 2" xfId="32403" xr:uid="{00000000-0005-0000-0000-0000987D0000}"/>
    <cellStyle name="Normal 428 2 3 3" xfId="32404" xr:uid="{00000000-0005-0000-0000-0000997D0000}"/>
    <cellStyle name="Normal 428 2 4" xfId="32405" xr:uid="{00000000-0005-0000-0000-00009A7D0000}"/>
    <cellStyle name="Normal 428 2 4 2" xfId="32406" xr:uid="{00000000-0005-0000-0000-00009B7D0000}"/>
    <cellStyle name="Normal 428 2 4 2 2" xfId="32407" xr:uid="{00000000-0005-0000-0000-00009C7D0000}"/>
    <cellStyle name="Normal 428 2 4 3" xfId="32408" xr:uid="{00000000-0005-0000-0000-00009D7D0000}"/>
    <cellStyle name="Normal 428 2 5" xfId="32409" xr:uid="{00000000-0005-0000-0000-00009E7D0000}"/>
    <cellStyle name="Normal 428 2 5 2" xfId="32410" xr:uid="{00000000-0005-0000-0000-00009F7D0000}"/>
    <cellStyle name="Normal 428 2 5 2 2" xfId="32411" xr:uid="{00000000-0005-0000-0000-0000A07D0000}"/>
    <cellStyle name="Normal 428 2 5 3" xfId="32412" xr:uid="{00000000-0005-0000-0000-0000A17D0000}"/>
    <cellStyle name="Normal 428 2 6" xfId="32413" xr:uid="{00000000-0005-0000-0000-0000A27D0000}"/>
    <cellStyle name="Normal 428 3" xfId="32414" xr:uid="{00000000-0005-0000-0000-0000A37D0000}"/>
    <cellStyle name="Normal 428 3 2" xfId="32415" xr:uid="{00000000-0005-0000-0000-0000A47D0000}"/>
    <cellStyle name="Normal 428 3 2 2" xfId="32416" xr:uid="{00000000-0005-0000-0000-0000A57D0000}"/>
    <cellStyle name="Normal 428 3 3" xfId="32417" xr:uid="{00000000-0005-0000-0000-0000A67D0000}"/>
    <cellStyle name="Normal 428 3 3 2" xfId="32418" xr:uid="{00000000-0005-0000-0000-0000A77D0000}"/>
    <cellStyle name="Normal 428 3 3 2 2" xfId="32419" xr:uid="{00000000-0005-0000-0000-0000A87D0000}"/>
    <cellStyle name="Normal 428 3 3 3" xfId="32420" xr:uid="{00000000-0005-0000-0000-0000A97D0000}"/>
    <cellStyle name="Normal 428 3 4" xfId="32421" xr:uid="{00000000-0005-0000-0000-0000AA7D0000}"/>
    <cellStyle name="Normal 428 3 4 2" xfId="32422" xr:uid="{00000000-0005-0000-0000-0000AB7D0000}"/>
    <cellStyle name="Normal 428 3 4 2 2" xfId="32423" xr:uid="{00000000-0005-0000-0000-0000AC7D0000}"/>
    <cellStyle name="Normal 428 3 4 3" xfId="32424" xr:uid="{00000000-0005-0000-0000-0000AD7D0000}"/>
    <cellStyle name="Normal 428 3 5" xfId="32425" xr:uid="{00000000-0005-0000-0000-0000AE7D0000}"/>
    <cellStyle name="Normal 428 4" xfId="32426" xr:uid="{00000000-0005-0000-0000-0000AF7D0000}"/>
    <cellStyle name="Normal 428 4 2" xfId="32427" xr:uid="{00000000-0005-0000-0000-0000B07D0000}"/>
    <cellStyle name="Normal 428 4 2 2" xfId="32428" xr:uid="{00000000-0005-0000-0000-0000B17D0000}"/>
    <cellStyle name="Normal 428 4 2 2 2" xfId="32429" xr:uid="{00000000-0005-0000-0000-0000B27D0000}"/>
    <cellStyle name="Normal 428 4 2 3" xfId="32430" xr:uid="{00000000-0005-0000-0000-0000B37D0000}"/>
    <cellStyle name="Normal 428 4 2 3 2" xfId="32431" xr:uid="{00000000-0005-0000-0000-0000B47D0000}"/>
    <cellStyle name="Normal 428 4 2 3 2 2" xfId="32432" xr:uid="{00000000-0005-0000-0000-0000B57D0000}"/>
    <cellStyle name="Normal 428 4 2 3 3" xfId="32433" xr:uid="{00000000-0005-0000-0000-0000B67D0000}"/>
    <cellStyle name="Normal 428 4 2 4" xfId="32434" xr:uid="{00000000-0005-0000-0000-0000B77D0000}"/>
    <cellStyle name="Normal 428 4 3" xfId="32435" xr:uid="{00000000-0005-0000-0000-0000B87D0000}"/>
    <cellStyle name="Normal 428 4 3 2" xfId="32436" xr:uid="{00000000-0005-0000-0000-0000B97D0000}"/>
    <cellStyle name="Normal 428 4 3 2 2" xfId="32437" xr:uid="{00000000-0005-0000-0000-0000BA7D0000}"/>
    <cellStyle name="Normal 428 4 3 3" xfId="32438" xr:uid="{00000000-0005-0000-0000-0000BB7D0000}"/>
    <cellStyle name="Normal 428 4 4" xfId="32439" xr:uid="{00000000-0005-0000-0000-0000BC7D0000}"/>
    <cellStyle name="Normal 428 4 4 2" xfId="32440" xr:uid="{00000000-0005-0000-0000-0000BD7D0000}"/>
    <cellStyle name="Normal 428 4 4 2 2" xfId="32441" xr:uid="{00000000-0005-0000-0000-0000BE7D0000}"/>
    <cellStyle name="Normal 428 4 4 3" xfId="32442" xr:uid="{00000000-0005-0000-0000-0000BF7D0000}"/>
    <cellStyle name="Normal 428 4 5" xfId="32443" xr:uid="{00000000-0005-0000-0000-0000C07D0000}"/>
    <cellStyle name="Normal 428 4 5 2" xfId="32444" xr:uid="{00000000-0005-0000-0000-0000C17D0000}"/>
    <cellStyle name="Normal 428 4 5 2 2" xfId="32445" xr:uid="{00000000-0005-0000-0000-0000C27D0000}"/>
    <cellStyle name="Normal 428 4 5 3" xfId="32446" xr:uid="{00000000-0005-0000-0000-0000C37D0000}"/>
    <cellStyle name="Normal 428 4 6" xfId="32447" xr:uid="{00000000-0005-0000-0000-0000C47D0000}"/>
    <cellStyle name="Normal 428 5" xfId="32448" xr:uid="{00000000-0005-0000-0000-0000C57D0000}"/>
    <cellStyle name="Normal 428 5 2" xfId="32449" xr:uid="{00000000-0005-0000-0000-0000C67D0000}"/>
    <cellStyle name="Normal 428 5 2 2" xfId="32450" xr:uid="{00000000-0005-0000-0000-0000C77D0000}"/>
    <cellStyle name="Normal 428 5 3" xfId="32451" xr:uid="{00000000-0005-0000-0000-0000C87D0000}"/>
    <cellStyle name="Normal 428 6" xfId="32452" xr:uid="{00000000-0005-0000-0000-0000C97D0000}"/>
    <cellStyle name="Normal 428 6 2" xfId="32453" xr:uid="{00000000-0005-0000-0000-0000CA7D0000}"/>
    <cellStyle name="Normal 428 6 2 2" xfId="32454" xr:uid="{00000000-0005-0000-0000-0000CB7D0000}"/>
    <cellStyle name="Normal 428 6 3" xfId="32455" xr:uid="{00000000-0005-0000-0000-0000CC7D0000}"/>
    <cellStyle name="Normal 428 7" xfId="32456" xr:uid="{00000000-0005-0000-0000-0000CD7D0000}"/>
    <cellStyle name="Normal 428 7 2" xfId="32457" xr:uid="{00000000-0005-0000-0000-0000CE7D0000}"/>
    <cellStyle name="Normal 428 7 2 2" xfId="32458" xr:uid="{00000000-0005-0000-0000-0000CF7D0000}"/>
    <cellStyle name="Normal 428 7 3" xfId="32459" xr:uid="{00000000-0005-0000-0000-0000D07D0000}"/>
    <cellStyle name="Normal 428 8" xfId="32460" xr:uid="{00000000-0005-0000-0000-0000D17D0000}"/>
    <cellStyle name="Normal 428 8 2" xfId="32461" xr:uid="{00000000-0005-0000-0000-0000D27D0000}"/>
    <cellStyle name="Normal 428 8 2 2" xfId="32462" xr:uid="{00000000-0005-0000-0000-0000D37D0000}"/>
    <cellStyle name="Normal 428 8 3" xfId="32463" xr:uid="{00000000-0005-0000-0000-0000D47D0000}"/>
    <cellStyle name="Normal 428 8 3 2" xfId="32464" xr:uid="{00000000-0005-0000-0000-0000D57D0000}"/>
    <cellStyle name="Normal 428 8 4" xfId="32465" xr:uid="{00000000-0005-0000-0000-0000D67D0000}"/>
    <cellStyle name="Normal 428 9" xfId="32466" xr:uid="{00000000-0005-0000-0000-0000D77D0000}"/>
    <cellStyle name="Normal 429" xfId="32467" xr:uid="{00000000-0005-0000-0000-0000D87D0000}"/>
    <cellStyle name="Normal 429 10" xfId="32468" xr:uid="{00000000-0005-0000-0000-0000D97D0000}"/>
    <cellStyle name="Normal 429 2" xfId="32469" xr:uid="{00000000-0005-0000-0000-0000DA7D0000}"/>
    <cellStyle name="Normal 429 2 2" xfId="32470" xr:uid="{00000000-0005-0000-0000-0000DB7D0000}"/>
    <cellStyle name="Normal 429 2 2 2" xfId="32471" xr:uid="{00000000-0005-0000-0000-0000DC7D0000}"/>
    <cellStyle name="Normal 429 2 2 2 2" xfId="32472" xr:uid="{00000000-0005-0000-0000-0000DD7D0000}"/>
    <cellStyle name="Normal 429 2 2 3" xfId="32473" xr:uid="{00000000-0005-0000-0000-0000DE7D0000}"/>
    <cellStyle name="Normal 429 2 2 3 2" xfId="32474" xr:uid="{00000000-0005-0000-0000-0000DF7D0000}"/>
    <cellStyle name="Normal 429 2 2 3 2 2" xfId="32475" xr:uid="{00000000-0005-0000-0000-0000E07D0000}"/>
    <cellStyle name="Normal 429 2 2 3 3" xfId="32476" xr:uid="{00000000-0005-0000-0000-0000E17D0000}"/>
    <cellStyle name="Normal 429 2 2 4" xfId="32477" xr:uid="{00000000-0005-0000-0000-0000E27D0000}"/>
    <cellStyle name="Normal 429 2 3" xfId="32478" xr:uid="{00000000-0005-0000-0000-0000E37D0000}"/>
    <cellStyle name="Normal 429 2 3 2" xfId="32479" xr:uid="{00000000-0005-0000-0000-0000E47D0000}"/>
    <cellStyle name="Normal 429 2 3 2 2" xfId="32480" xr:uid="{00000000-0005-0000-0000-0000E57D0000}"/>
    <cellStyle name="Normal 429 2 3 3" xfId="32481" xr:uid="{00000000-0005-0000-0000-0000E67D0000}"/>
    <cellStyle name="Normal 429 2 4" xfId="32482" xr:uid="{00000000-0005-0000-0000-0000E77D0000}"/>
    <cellStyle name="Normal 429 2 4 2" xfId="32483" xr:uid="{00000000-0005-0000-0000-0000E87D0000}"/>
    <cellStyle name="Normal 429 2 4 2 2" xfId="32484" xr:uid="{00000000-0005-0000-0000-0000E97D0000}"/>
    <cellStyle name="Normal 429 2 4 3" xfId="32485" xr:uid="{00000000-0005-0000-0000-0000EA7D0000}"/>
    <cellStyle name="Normal 429 2 5" xfId="32486" xr:uid="{00000000-0005-0000-0000-0000EB7D0000}"/>
    <cellStyle name="Normal 429 2 5 2" xfId="32487" xr:uid="{00000000-0005-0000-0000-0000EC7D0000}"/>
    <cellStyle name="Normal 429 2 5 2 2" xfId="32488" xr:uid="{00000000-0005-0000-0000-0000ED7D0000}"/>
    <cellStyle name="Normal 429 2 5 3" xfId="32489" xr:uid="{00000000-0005-0000-0000-0000EE7D0000}"/>
    <cellStyle name="Normal 429 2 6" xfId="32490" xr:uid="{00000000-0005-0000-0000-0000EF7D0000}"/>
    <cellStyle name="Normal 429 3" xfId="32491" xr:uid="{00000000-0005-0000-0000-0000F07D0000}"/>
    <cellStyle name="Normal 429 3 2" xfId="32492" xr:uid="{00000000-0005-0000-0000-0000F17D0000}"/>
    <cellStyle name="Normal 429 3 2 2" xfId="32493" xr:uid="{00000000-0005-0000-0000-0000F27D0000}"/>
    <cellStyle name="Normal 429 3 3" xfId="32494" xr:uid="{00000000-0005-0000-0000-0000F37D0000}"/>
    <cellStyle name="Normal 429 3 3 2" xfId="32495" xr:uid="{00000000-0005-0000-0000-0000F47D0000}"/>
    <cellStyle name="Normal 429 3 3 2 2" xfId="32496" xr:uid="{00000000-0005-0000-0000-0000F57D0000}"/>
    <cellStyle name="Normal 429 3 3 3" xfId="32497" xr:uid="{00000000-0005-0000-0000-0000F67D0000}"/>
    <cellStyle name="Normal 429 3 4" xfId="32498" xr:uid="{00000000-0005-0000-0000-0000F77D0000}"/>
    <cellStyle name="Normal 429 3 4 2" xfId="32499" xr:uid="{00000000-0005-0000-0000-0000F87D0000}"/>
    <cellStyle name="Normal 429 3 4 2 2" xfId="32500" xr:uid="{00000000-0005-0000-0000-0000F97D0000}"/>
    <cellStyle name="Normal 429 3 4 3" xfId="32501" xr:uid="{00000000-0005-0000-0000-0000FA7D0000}"/>
    <cellStyle name="Normal 429 3 5" xfId="32502" xr:uid="{00000000-0005-0000-0000-0000FB7D0000}"/>
    <cellStyle name="Normal 429 4" xfId="32503" xr:uid="{00000000-0005-0000-0000-0000FC7D0000}"/>
    <cellStyle name="Normal 429 4 2" xfId="32504" xr:uid="{00000000-0005-0000-0000-0000FD7D0000}"/>
    <cellStyle name="Normal 429 4 2 2" xfId="32505" xr:uid="{00000000-0005-0000-0000-0000FE7D0000}"/>
    <cellStyle name="Normal 429 4 2 2 2" xfId="32506" xr:uid="{00000000-0005-0000-0000-0000FF7D0000}"/>
    <cellStyle name="Normal 429 4 2 3" xfId="32507" xr:uid="{00000000-0005-0000-0000-0000007E0000}"/>
    <cellStyle name="Normal 429 4 2 3 2" xfId="32508" xr:uid="{00000000-0005-0000-0000-0000017E0000}"/>
    <cellStyle name="Normal 429 4 2 3 2 2" xfId="32509" xr:uid="{00000000-0005-0000-0000-0000027E0000}"/>
    <cellStyle name="Normal 429 4 2 3 3" xfId="32510" xr:uid="{00000000-0005-0000-0000-0000037E0000}"/>
    <cellStyle name="Normal 429 4 2 4" xfId="32511" xr:uid="{00000000-0005-0000-0000-0000047E0000}"/>
    <cellStyle name="Normal 429 4 3" xfId="32512" xr:uid="{00000000-0005-0000-0000-0000057E0000}"/>
    <cellStyle name="Normal 429 4 3 2" xfId="32513" xr:uid="{00000000-0005-0000-0000-0000067E0000}"/>
    <cellStyle name="Normal 429 4 3 2 2" xfId="32514" xr:uid="{00000000-0005-0000-0000-0000077E0000}"/>
    <cellStyle name="Normal 429 4 3 3" xfId="32515" xr:uid="{00000000-0005-0000-0000-0000087E0000}"/>
    <cellStyle name="Normal 429 4 4" xfId="32516" xr:uid="{00000000-0005-0000-0000-0000097E0000}"/>
    <cellStyle name="Normal 429 4 4 2" xfId="32517" xr:uid="{00000000-0005-0000-0000-00000A7E0000}"/>
    <cellStyle name="Normal 429 4 4 2 2" xfId="32518" xr:uid="{00000000-0005-0000-0000-00000B7E0000}"/>
    <cellStyle name="Normal 429 4 4 3" xfId="32519" xr:uid="{00000000-0005-0000-0000-00000C7E0000}"/>
    <cellStyle name="Normal 429 4 5" xfId="32520" xr:uid="{00000000-0005-0000-0000-00000D7E0000}"/>
    <cellStyle name="Normal 429 4 5 2" xfId="32521" xr:uid="{00000000-0005-0000-0000-00000E7E0000}"/>
    <cellStyle name="Normal 429 4 5 2 2" xfId="32522" xr:uid="{00000000-0005-0000-0000-00000F7E0000}"/>
    <cellStyle name="Normal 429 4 5 3" xfId="32523" xr:uid="{00000000-0005-0000-0000-0000107E0000}"/>
    <cellStyle name="Normal 429 4 6" xfId="32524" xr:uid="{00000000-0005-0000-0000-0000117E0000}"/>
    <cellStyle name="Normal 429 5" xfId="32525" xr:uid="{00000000-0005-0000-0000-0000127E0000}"/>
    <cellStyle name="Normal 429 5 2" xfId="32526" xr:uid="{00000000-0005-0000-0000-0000137E0000}"/>
    <cellStyle name="Normal 429 5 2 2" xfId="32527" xr:uid="{00000000-0005-0000-0000-0000147E0000}"/>
    <cellStyle name="Normal 429 5 3" xfId="32528" xr:uid="{00000000-0005-0000-0000-0000157E0000}"/>
    <cellStyle name="Normal 429 6" xfId="32529" xr:uid="{00000000-0005-0000-0000-0000167E0000}"/>
    <cellStyle name="Normal 429 6 2" xfId="32530" xr:uid="{00000000-0005-0000-0000-0000177E0000}"/>
    <cellStyle name="Normal 429 6 2 2" xfId="32531" xr:uid="{00000000-0005-0000-0000-0000187E0000}"/>
    <cellStyle name="Normal 429 6 3" xfId="32532" xr:uid="{00000000-0005-0000-0000-0000197E0000}"/>
    <cellStyle name="Normal 429 7" xfId="32533" xr:uid="{00000000-0005-0000-0000-00001A7E0000}"/>
    <cellStyle name="Normal 429 7 2" xfId="32534" xr:uid="{00000000-0005-0000-0000-00001B7E0000}"/>
    <cellStyle name="Normal 429 7 2 2" xfId="32535" xr:uid="{00000000-0005-0000-0000-00001C7E0000}"/>
    <cellStyle name="Normal 429 7 3" xfId="32536" xr:uid="{00000000-0005-0000-0000-00001D7E0000}"/>
    <cellStyle name="Normal 429 8" xfId="32537" xr:uid="{00000000-0005-0000-0000-00001E7E0000}"/>
    <cellStyle name="Normal 429 8 2" xfId="32538" xr:uid="{00000000-0005-0000-0000-00001F7E0000}"/>
    <cellStyle name="Normal 429 8 2 2" xfId="32539" xr:uid="{00000000-0005-0000-0000-0000207E0000}"/>
    <cellStyle name="Normal 429 8 3" xfId="32540" xr:uid="{00000000-0005-0000-0000-0000217E0000}"/>
    <cellStyle name="Normal 429 8 3 2" xfId="32541" xr:uid="{00000000-0005-0000-0000-0000227E0000}"/>
    <cellStyle name="Normal 429 8 4" xfId="32542" xr:uid="{00000000-0005-0000-0000-0000237E0000}"/>
    <cellStyle name="Normal 429 9" xfId="32543" xr:uid="{00000000-0005-0000-0000-0000247E0000}"/>
    <cellStyle name="Normal 43" xfId="32544" xr:uid="{00000000-0005-0000-0000-0000257E0000}"/>
    <cellStyle name="Normal 43 2" xfId="32545" xr:uid="{00000000-0005-0000-0000-0000267E0000}"/>
    <cellStyle name="Normal 43 2 2" xfId="32546" xr:uid="{00000000-0005-0000-0000-0000277E0000}"/>
    <cellStyle name="Normal 43 2 2 2" xfId="32547" xr:uid="{00000000-0005-0000-0000-0000287E0000}"/>
    <cellStyle name="Normal 43 2 2 2 2" xfId="32548" xr:uid="{00000000-0005-0000-0000-0000297E0000}"/>
    <cellStyle name="Normal 43 2 2 3" xfId="32549" xr:uid="{00000000-0005-0000-0000-00002A7E0000}"/>
    <cellStyle name="Normal 43 2 2 3 2" xfId="32550" xr:uid="{00000000-0005-0000-0000-00002B7E0000}"/>
    <cellStyle name="Normal 43 2 2 3 2 2" xfId="32551" xr:uid="{00000000-0005-0000-0000-00002C7E0000}"/>
    <cellStyle name="Normal 43 2 2 3 3" xfId="32552" xr:uid="{00000000-0005-0000-0000-00002D7E0000}"/>
    <cellStyle name="Normal 43 2 2 4" xfId="32553" xr:uid="{00000000-0005-0000-0000-00002E7E0000}"/>
    <cellStyle name="Normal 43 2 2 4 2" xfId="32554" xr:uid="{00000000-0005-0000-0000-00002F7E0000}"/>
    <cellStyle name="Normal 43 2 2 4 2 2" xfId="32555" xr:uid="{00000000-0005-0000-0000-0000307E0000}"/>
    <cellStyle name="Normal 43 2 2 4 3" xfId="32556" xr:uid="{00000000-0005-0000-0000-0000317E0000}"/>
    <cellStyle name="Normal 43 2 2 5" xfId="32557" xr:uid="{00000000-0005-0000-0000-0000327E0000}"/>
    <cellStyle name="Normal 43 2 3" xfId="32558" xr:uid="{00000000-0005-0000-0000-0000337E0000}"/>
    <cellStyle name="Normal 43 2 3 2" xfId="32559" xr:uid="{00000000-0005-0000-0000-0000347E0000}"/>
    <cellStyle name="Normal 43 2 3 2 2" xfId="32560" xr:uid="{00000000-0005-0000-0000-0000357E0000}"/>
    <cellStyle name="Normal 43 2 3 3" xfId="32561" xr:uid="{00000000-0005-0000-0000-0000367E0000}"/>
    <cellStyle name="Normal 43 2 4" xfId="32562" xr:uid="{00000000-0005-0000-0000-0000377E0000}"/>
    <cellStyle name="Normal 43 2 4 2" xfId="32563" xr:uid="{00000000-0005-0000-0000-0000387E0000}"/>
    <cellStyle name="Normal 43 2 4 2 2" xfId="32564" xr:uid="{00000000-0005-0000-0000-0000397E0000}"/>
    <cellStyle name="Normal 43 2 4 3" xfId="32565" xr:uid="{00000000-0005-0000-0000-00003A7E0000}"/>
    <cellStyle name="Normal 43 2 5" xfId="32566" xr:uid="{00000000-0005-0000-0000-00003B7E0000}"/>
    <cellStyle name="Normal 43 2 5 2" xfId="32567" xr:uid="{00000000-0005-0000-0000-00003C7E0000}"/>
    <cellStyle name="Normal 43 2 5 2 2" xfId="32568" xr:uid="{00000000-0005-0000-0000-00003D7E0000}"/>
    <cellStyle name="Normal 43 2 5 3" xfId="32569" xr:uid="{00000000-0005-0000-0000-00003E7E0000}"/>
    <cellStyle name="Normal 43 2 6" xfId="32570" xr:uid="{00000000-0005-0000-0000-00003F7E0000}"/>
    <cellStyle name="Normal 43 3" xfId="32571" xr:uid="{00000000-0005-0000-0000-0000407E0000}"/>
    <cellStyle name="Normal 43 3 2" xfId="32572" xr:uid="{00000000-0005-0000-0000-0000417E0000}"/>
    <cellStyle name="Normal 43 3 2 2" xfId="32573" xr:uid="{00000000-0005-0000-0000-0000427E0000}"/>
    <cellStyle name="Normal 43 3 3" xfId="32574" xr:uid="{00000000-0005-0000-0000-0000437E0000}"/>
    <cellStyle name="Normal 43 3 3 2" xfId="32575" xr:uid="{00000000-0005-0000-0000-0000447E0000}"/>
    <cellStyle name="Normal 43 3 3 2 2" xfId="32576" xr:uid="{00000000-0005-0000-0000-0000457E0000}"/>
    <cellStyle name="Normal 43 3 3 3" xfId="32577" xr:uid="{00000000-0005-0000-0000-0000467E0000}"/>
    <cellStyle name="Normal 43 3 4" xfId="32578" xr:uid="{00000000-0005-0000-0000-0000477E0000}"/>
    <cellStyle name="Normal 43 3 4 2" xfId="32579" xr:uid="{00000000-0005-0000-0000-0000487E0000}"/>
    <cellStyle name="Normal 43 3 4 2 2" xfId="32580" xr:uid="{00000000-0005-0000-0000-0000497E0000}"/>
    <cellStyle name="Normal 43 3 4 3" xfId="32581" xr:uid="{00000000-0005-0000-0000-00004A7E0000}"/>
    <cellStyle name="Normal 43 3 5" xfId="32582" xr:uid="{00000000-0005-0000-0000-00004B7E0000}"/>
    <cellStyle name="Normal 43 4" xfId="32583" xr:uid="{00000000-0005-0000-0000-00004C7E0000}"/>
    <cellStyle name="Normal 43 4 2" xfId="32584" xr:uid="{00000000-0005-0000-0000-00004D7E0000}"/>
    <cellStyle name="Normal 43 4 2 2" xfId="32585" xr:uid="{00000000-0005-0000-0000-00004E7E0000}"/>
    <cellStyle name="Normal 43 4 3" xfId="32586" xr:uid="{00000000-0005-0000-0000-00004F7E0000}"/>
    <cellStyle name="Normal 43 5" xfId="32587" xr:uid="{00000000-0005-0000-0000-0000507E0000}"/>
    <cellStyle name="Normal 43 5 2" xfId="32588" xr:uid="{00000000-0005-0000-0000-0000517E0000}"/>
    <cellStyle name="Normal 43 5 2 2" xfId="32589" xr:uid="{00000000-0005-0000-0000-0000527E0000}"/>
    <cellStyle name="Normal 43 5 3" xfId="32590" xr:uid="{00000000-0005-0000-0000-0000537E0000}"/>
    <cellStyle name="Normal 43 6" xfId="32591" xr:uid="{00000000-0005-0000-0000-0000547E0000}"/>
    <cellStyle name="Normal 43 6 2" xfId="32592" xr:uid="{00000000-0005-0000-0000-0000557E0000}"/>
    <cellStyle name="Normal 43 6 2 2" xfId="32593" xr:uid="{00000000-0005-0000-0000-0000567E0000}"/>
    <cellStyle name="Normal 43 6 3" xfId="32594" xr:uid="{00000000-0005-0000-0000-0000577E0000}"/>
    <cellStyle name="Normal 43 7" xfId="32595" xr:uid="{00000000-0005-0000-0000-0000587E0000}"/>
    <cellStyle name="Normal 430" xfId="32596" xr:uid="{00000000-0005-0000-0000-0000597E0000}"/>
    <cellStyle name="Normal 430 10" xfId="32597" xr:uid="{00000000-0005-0000-0000-00005A7E0000}"/>
    <cellStyle name="Normal 430 2" xfId="32598" xr:uid="{00000000-0005-0000-0000-00005B7E0000}"/>
    <cellStyle name="Normal 430 2 2" xfId="32599" xr:uid="{00000000-0005-0000-0000-00005C7E0000}"/>
    <cellStyle name="Normal 430 2 2 2" xfId="32600" xr:uid="{00000000-0005-0000-0000-00005D7E0000}"/>
    <cellStyle name="Normal 430 2 2 2 2" xfId="32601" xr:uid="{00000000-0005-0000-0000-00005E7E0000}"/>
    <cellStyle name="Normal 430 2 2 3" xfId="32602" xr:uid="{00000000-0005-0000-0000-00005F7E0000}"/>
    <cellStyle name="Normal 430 2 2 3 2" xfId="32603" xr:uid="{00000000-0005-0000-0000-0000607E0000}"/>
    <cellStyle name="Normal 430 2 2 3 2 2" xfId="32604" xr:uid="{00000000-0005-0000-0000-0000617E0000}"/>
    <cellStyle name="Normal 430 2 2 3 3" xfId="32605" xr:uid="{00000000-0005-0000-0000-0000627E0000}"/>
    <cellStyle name="Normal 430 2 2 4" xfId="32606" xr:uid="{00000000-0005-0000-0000-0000637E0000}"/>
    <cellStyle name="Normal 430 2 3" xfId="32607" xr:uid="{00000000-0005-0000-0000-0000647E0000}"/>
    <cellStyle name="Normal 430 2 3 2" xfId="32608" xr:uid="{00000000-0005-0000-0000-0000657E0000}"/>
    <cellStyle name="Normal 430 2 3 2 2" xfId="32609" xr:uid="{00000000-0005-0000-0000-0000667E0000}"/>
    <cellStyle name="Normal 430 2 3 3" xfId="32610" xr:uid="{00000000-0005-0000-0000-0000677E0000}"/>
    <cellStyle name="Normal 430 2 4" xfId="32611" xr:uid="{00000000-0005-0000-0000-0000687E0000}"/>
    <cellStyle name="Normal 430 2 4 2" xfId="32612" xr:uid="{00000000-0005-0000-0000-0000697E0000}"/>
    <cellStyle name="Normal 430 2 4 2 2" xfId="32613" xr:uid="{00000000-0005-0000-0000-00006A7E0000}"/>
    <cellStyle name="Normal 430 2 4 3" xfId="32614" xr:uid="{00000000-0005-0000-0000-00006B7E0000}"/>
    <cellStyle name="Normal 430 2 5" xfId="32615" xr:uid="{00000000-0005-0000-0000-00006C7E0000}"/>
    <cellStyle name="Normal 430 2 5 2" xfId="32616" xr:uid="{00000000-0005-0000-0000-00006D7E0000}"/>
    <cellStyle name="Normal 430 2 5 2 2" xfId="32617" xr:uid="{00000000-0005-0000-0000-00006E7E0000}"/>
    <cellStyle name="Normal 430 2 5 3" xfId="32618" xr:uid="{00000000-0005-0000-0000-00006F7E0000}"/>
    <cellStyle name="Normal 430 2 6" xfId="32619" xr:uid="{00000000-0005-0000-0000-0000707E0000}"/>
    <cellStyle name="Normal 430 3" xfId="32620" xr:uid="{00000000-0005-0000-0000-0000717E0000}"/>
    <cellStyle name="Normal 430 3 2" xfId="32621" xr:uid="{00000000-0005-0000-0000-0000727E0000}"/>
    <cellStyle name="Normal 430 3 2 2" xfId="32622" xr:uid="{00000000-0005-0000-0000-0000737E0000}"/>
    <cellStyle name="Normal 430 3 3" xfId="32623" xr:uid="{00000000-0005-0000-0000-0000747E0000}"/>
    <cellStyle name="Normal 430 3 3 2" xfId="32624" xr:uid="{00000000-0005-0000-0000-0000757E0000}"/>
    <cellStyle name="Normal 430 3 3 2 2" xfId="32625" xr:uid="{00000000-0005-0000-0000-0000767E0000}"/>
    <cellStyle name="Normal 430 3 3 3" xfId="32626" xr:uid="{00000000-0005-0000-0000-0000777E0000}"/>
    <cellStyle name="Normal 430 3 4" xfId="32627" xr:uid="{00000000-0005-0000-0000-0000787E0000}"/>
    <cellStyle name="Normal 430 3 4 2" xfId="32628" xr:uid="{00000000-0005-0000-0000-0000797E0000}"/>
    <cellStyle name="Normal 430 3 4 2 2" xfId="32629" xr:uid="{00000000-0005-0000-0000-00007A7E0000}"/>
    <cellStyle name="Normal 430 3 4 3" xfId="32630" xr:uid="{00000000-0005-0000-0000-00007B7E0000}"/>
    <cellStyle name="Normal 430 3 5" xfId="32631" xr:uid="{00000000-0005-0000-0000-00007C7E0000}"/>
    <cellStyle name="Normal 430 4" xfId="32632" xr:uid="{00000000-0005-0000-0000-00007D7E0000}"/>
    <cellStyle name="Normal 430 4 2" xfId="32633" xr:uid="{00000000-0005-0000-0000-00007E7E0000}"/>
    <cellStyle name="Normal 430 4 2 2" xfId="32634" xr:uid="{00000000-0005-0000-0000-00007F7E0000}"/>
    <cellStyle name="Normal 430 4 2 2 2" xfId="32635" xr:uid="{00000000-0005-0000-0000-0000807E0000}"/>
    <cellStyle name="Normal 430 4 2 3" xfId="32636" xr:uid="{00000000-0005-0000-0000-0000817E0000}"/>
    <cellStyle name="Normal 430 4 2 3 2" xfId="32637" xr:uid="{00000000-0005-0000-0000-0000827E0000}"/>
    <cellStyle name="Normal 430 4 2 3 2 2" xfId="32638" xr:uid="{00000000-0005-0000-0000-0000837E0000}"/>
    <cellStyle name="Normal 430 4 2 3 3" xfId="32639" xr:uid="{00000000-0005-0000-0000-0000847E0000}"/>
    <cellStyle name="Normal 430 4 2 4" xfId="32640" xr:uid="{00000000-0005-0000-0000-0000857E0000}"/>
    <cellStyle name="Normal 430 4 3" xfId="32641" xr:uid="{00000000-0005-0000-0000-0000867E0000}"/>
    <cellStyle name="Normal 430 4 3 2" xfId="32642" xr:uid="{00000000-0005-0000-0000-0000877E0000}"/>
    <cellStyle name="Normal 430 4 3 2 2" xfId="32643" xr:uid="{00000000-0005-0000-0000-0000887E0000}"/>
    <cellStyle name="Normal 430 4 3 3" xfId="32644" xr:uid="{00000000-0005-0000-0000-0000897E0000}"/>
    <cellStyle name="Normal 430 4 4" xfId="32645" xr:uid="{00000000-0005-0000-0000-00008A7E0000}"/>
    <cellStyle name="Normal 430 4 4 2" xfId="32646" xr:uid="{00000000-0005-0000-0000-00008B7E0000}"/>
    <cellStyle name="Normal 430 4 4 2 2" xfId="32647" xr:uid="{00000000-0005-0000-0000-00008C7E0000}"/>
    <cellStyle name="Normal 430 4 4 3" xfId="32648" xr:uid="{00000000-0005-0000-0000-00008D7E0000}"/>
    <cellStyle name="Normal 430 4 5" xfId="32649" xr:uid="{00000000-0005-0000-0000-00008E7E0000}"/>
    <cellStyle name="Normal 430 4 5 2" xfId="32650" xr:uid="{00000000-0005-0000-0000-00008F7E0000}"/>
    <cellStyle name="Normal 430 4 5 2 2" xfId="32651" xr:uid="{00000000-0005-0000-0000-0000907E0000}"/>
    <cellStyle name="Normal 430 4 5 3" xfId="32652" xr:uid="{00000000-0005-0000-0000-0000917E0000}"/>
    <cellStyle name="Normal 430 4 6" xfId="32653" xr:uid="{00000000-0005-0000-0000-0000927E0000}"/>
    <cellStyle name="Normal 430 5" xfId="32654" xr:uid="{00000000-0005-0000-0000-0000937E0000}"/>
    <cellStyle name="Normal 430 5 2" xfId="32655" xr:uid="{00000000-0005-0000-0000-0000947E0000}"/>
    <cellStyle name="Normal 430 5 2 2" xfId="32656" xr:uid="{00000000-0005-0000-0000-0000957E0000}"/>
    <cellStyle name="Normal 430 5 3" xfId="32657" xr:uid="{00000000-0005-0000-0000-0000967E0000}"/>
    <cellStyle name="Normal 430 6" xfId="32658" xr:uid="{00000000-0005-0000-0000-0000977E0000}"/>
    <cellStyle name="Normal 430 6 2" xfId="32659" xr:uid="{00000000-0005-0000-0000-0000987E0000}"/>
    <cellStyle name="Normal 430 6 2 2" xfId="32660" xr:uid="{00000000-0005-0000-0000-0000997E0000}"/>
    <cellStyle name="Normal 430 6 3" xfId="32661" xr:uid="{00000000-0005-0000-0000-00009A7E0000}"/>
    <cellStyle name="Normal 430 7" xfId="32662" xr:uid="{00000000-0005-0000-0000-00009B7E0000}"/>
    <cellStyle name="Normal 430 7 2" xfId="32663" xr:uid="{00000000-0005-0000-0000-00009C7E0000}"/>
    <cellStyle name="Normal 430 7 2 2" xfId="32664" xr:uid="{00000000-0005-0000-0000-00009D7E0000}"/>
    <cellStyle name="Normal 430 7 3" xfId="32665" xr:uid="{00000000-0005-0000-0000-00009E7E0000}"/>
    <cellStyle name="Normal 430 8" xfId="32666" xr:uid="{00000000-0005-0000-0000-00009F7E0000}"/>
    <cellStyle name="Normal 430 8 2" xfId="32667" xr:uid="{00000000-0005-0000-0000-0000A07E0000}"/>
    <cellStyle name="Normal 430 8 2 2" xfId="32668" xr:uid="{00000000-0005-0000-0000-0000A17E0000}"/>
    <cellStyle name="Normal 430 8 3" xfId="32669" xr:uid="{00000000-0005-0000-0000-0000A27E0000}"/>
    <cellStyle name="Normal 430 8 3 2" xfId="32670" xr:uid="{00000000-0005-0000-0000-0000A37E0000}"/>
    <cellStyle name="Normal 430 8 4" xfId="32671" xr:uid="{00000000-0005-0000-0000-0000A47E0000}"/>
    <cellStyle name="Normal 430 9" xfId="32672" xr:uid="{00000000-0005-0000-0000-0000A57E0000}"/>
    <cellStyle name="Normal 431" xfId="32673" xr:uid="{00000000-0005-0000-0000-0000A67E0000}"/>
    <cellStyle name="Normal 431 10" xfId="32674" xr:uid="{00000000-0005-0000-0000-0000A77E0000}"/>
    <cellStyle name="Normal 431 2" xfId="32675" xr:uid="{00000000-0005-0000-0000-0000A87E0000}"/>
    <cellStyle name="Normal 431 2 2" xfId="32676" xr:uid="{00000000-0005-0000-0000-0000A97E0000}"/>
    <cellStyle name="Normal 431 2 2 2" xfId="32677" xr:uid="{00000000-0005-0000-0000-0000AA7E0000}"/>
    <cellStyle name="Normal 431 2 2 2 2" xfId="32678" xr:uid="{00000000-0005-0000-0000-0000AB7E0000}"/>
    <cellStyle name="Normal 431 2 2 3" xfId="32679" xr:uid="{00000000-0005-0000-0000-0000AC7E0000}"/>
    <cellStyle name="Normal 431 2 2 3 2" xfId="32680" xr:uid="{00000000-0005-0000-0000-0000AD7E0000}"/>
    <cellStyle name="Normal 431 2 2 3 2 2" xfId="32681" xr:uid="{00000000-0005-0000-0000-0000AE7E0000}"/>
    <cellStyle name="Normal 431 2 2 3 3" xfId="32682" xr:uid="{00000000-0005-0000-0000-0000AF7E0000}"/>
    <cellStyle name="Normal 431 2 2 4" xfId="32683" xr:uid="{00000000-0005-0000-0000-0000B07E0000}"/>
    <cellStyle name="Normal 431 2 3" xfId="32684" xr:uid="{00000000-0005-0000-0000-0000B17E0000}"/>
    <cellStyle name="Normal 431 2 3 2" xfId="32685" xr:uid="{00000000-0005-0000-0000-0000B27E0000}"/>
    <cellStyle name="Normal 431 2 3 2 2" xfId="32686" xr:uid="{00000000-0005-0000-0000-0000B37E0000}"/>
    <cellStyle name="Normal 431 2 3 3" xfId="32687" xr:uid="{00000000-0005-0000-0000-0000B47E0000}"/>
    <cellStyle name="Normal 431 2 4" xfId="32688" xr:uid="{00000000-0005-0000-0000-0000B57E0000}"/>
    <cellStyle name="Normal 431 2 4 2" xfId="32689" xr:uid="{00000000-0005-0000-0000-0000B67E0000}"/>
    <cellStyle name="Normal 431 2 4 2 2" xfId="32690" xr:uid="{00000000-0005-0000-0000-0000B77E0000}"/>
    <cellStyle name="Normal 431 2 4 3" xfId="32691" xr:uid="{00000000-0005-0000-0000-0000B87E0000}"/>
    <cellStyle name="Normal 431 2 5" xfId="32692" xr:uid="{00000000-0005-0000-0000-0000B97E0000}"/>
    <cellStyle name="Normal 431 2 5 2" xfId="32693" xr:uid="{00000000-0005-0000-0000-0000BA7E0000}"/>
    <cellStyle name="Normal 431 2 5 2 2" xfId="32694" xr:uid="{00000000-0005-0000-0000-0000BB7E0000}"/>
    <cellStyle name="Normal 431 2 5 3" xfId="32695" xr:uid="{00000000-0005-0000-0000-0000BC7E0000}"/>
    <cellStyle name="Normal 431 2 6" xfId="32696" xr:uid="{00000000-0005-0000-0000-0000BD7E0000}"/>
    <cellStyle name="Normal 431 3" xfId="32697" xr:uid="{00000000-0005-0000-0000-0000BE7E0000}"/>
    <cellStyle name="Normal 431 3 2" xfId="32698" xr:uid="{00000000-0005-0000-0000-0000BF7E0000}"/>
    <cellStyle name="Normal 431 3 2 2" xfId="32699" xr:uid="{00000000-0005-0000-0000-0000C07E0000}"/>
    <cellStyle name="Normal 431 3 3" xfId="32700" xr:uid="{00000000-0005-0000-0000-0000C17E0000}"/>
    <cellStyle name="Normal 431 3 3 2" xfId="32701" xr:uid="{00000000-0005-0000-0000-0000C27E0000}"/>
    <cellStyle name="Normal 431 3 3 2 2" xfId="32702" xr:uid="{00000000-0005-0000-0000-0000C37E0000}"/>
    <cellStyle name="Normal 431 3 3 3" xfId="32703" xr:uid="{00000000-0005-0000-0000-0000C47E0000}"/>
    <cellStyle name="Normal 431 3 4" xfId="32704" xr:uid="{00000000-0005-0000-0000-0000C57E0000}"/>
    <cellStyle name="Normal 431 3 4 2" xfId="32705" xr:uid="{00000000-0005-0000-0000-0000C67E0000}"/>
    <cellStyle name="Normal 431 3 4 2 2" xfId="32706" xr:uid="{00000000-0005-0000-0000-0000C77E0000}"/>
    <cellStyle name="Normal 431 3 4 3" xfId="32707" xr:uid="{00000000-0005-0000-0000-0000C87E0000}"/>
    <cellStyle name="Normal 431 3 5" xfId="32708" xr:uid="{00000000-0005-0000-0000-0000C97E0000}"/>
    <cellStyle name="Normal 431 4" xfId="32709" xr:uid="{00000000-0005-0000-0000-0000CA7E0000}"/>
    <cellStyle name="Normal 431 4 2" xfId="32710" xr:uid="{00000000-0005-0000-0000-0000CB7E0000}"/>
    <cellStyle name="Normal 431 4 2 2" xfId="32711" xr:uid="{00000000-0005-0000-0000-0000CC7E0000}"/>
    <cellStyle name="Normal 431 4 2 2 2" xfId="32712" xr:uid="{00000000-0005-0000-0000-0000CD7E0000}"/>
    <cellStyle name="Normal 431 4 2 3" xfId="32713" xr:uid="{00000000-0005-0000-0000-0000CE7E0000}"/>
    <cellStyle name="Normal 431 4 2 3 2" xfId="32714" xr:uid="{00000000-0005-0000-0000-0000CF7E0000}"/>
    <cellStyle name="Normal 431 4 2 3 2 2" xfId="32715" xr:uid="{00000000-0005-0000-0000-0000D07E0000}"/>
    <cellStyle name="Normal 431 4 2 3 3" xfId="32716" xr:uid="{00000000-0005-0000-0000-0000D17E0000}"/>
    <cellStyle name="Normal 431 4 2 4" xfId="32717" xr:uid="{00000000-0005-0000-0000-0000D27E0000}"/>
    <cellStyle name="Normal 431 4 3" xfId="32718" xr:uid="{00000000-0005-0000-0000-0000D37E0000}"/>
    <cellStyle name="Normal 431 4 3 2" xfId="32719" xr:uid="{00000000-0005-0000-0000-0000D47E0000}"/>
    <cellStyle name="Normal 431 4 3 2 2" xfId="32720" xr:uid="{00000000-0005-0000-0000-0000D57E0000}"/>
    <cellStyle name="Normal 431 4 3 3" xfId="32721" xr:uid="{00000000-0005-0000-0000-0000D67E0000}"/>
    <cellStyle name="Normal 431 4 4" xfId="32722" xr:uid="{00000000-0005-0000-0000-0000D77E0000}"/>
    <cellStyle name="Normal 431 4 4 2" xfId="32723" xr:uid="{00000000-0005-0000-0000-0000D87E0000}"/>
    <cellStyle name="Normal 431 4 4 2 2" xfId="32724" xr:uid="{00000000-0005-0000-0000-0000D97E0000}"/>
    <cellStyle name="Normal 431 4 4 3" xfId="32725" xr:uid="{00000000-0005-0000-0000-0000DA7E0000}"/>
    <cellStyle name="Normal 431 4 5" xfId="32726" xr:uid="{00000000-0005-0000-0000-0000DB7E0000}"/>
    <cellStyle name="Normal 431 4 5 2" xfId="32727" xr:uid="{00000000-0005-0000-0000-0000DC7E0000}"/>
    <cellStyle name="Normal 431 4 5 2 2" xfId="32728" xr:uid="{00000000-0005-0000-0000-0000DD7E0000}"/>
    <cellStyle name="Normal 431 4 5 3" xfId="32729" xr:uid="{00000000-0005-0000-0000-0000DE7E0000}"/>
    <cellStyle name="Normal 431 4 6" xfId="32730" xr:uid="{00000000-0005-0000-0000-0000DF7E0000}"/>
    <cellStyle name="Normal 431 5" xfId="32731" xr:uid="{00000000-0005-0000-0000-0000E07E0000}"/>
    <cellStyle name="Normal 431 5 2" xfId="32732" xr:uid="{00000000-0005-0000-0000-0000E17E0000}"/>
    <cellStyle name="Normal 431 5 2 2" xfId="32733" xr:uid="{00000000-0005-0000-0000-0000E27E0000}"/>
    <cellStyle name="Normal 431 5 3" xfId="32734" xr:uid="{00000000-0005-0000-0000-0000E37E0000}"/>
    <cellStyle name="Normal 431 6" xfId="32735" xr:uid="{00000000-0005-0000-0000-0000E47E0000}"/>
    <cellStyle name="Normal 431 6 2" xfId="32736" xr:uid="{00000000-0005-0000-0000-0000E57E0000}"/>
    <cellStyle name="Normal 431 6 2 2" xfId="32737" xr:uid="{00000000-0005-0000-0000-0000E67E0000}"/>
    <cellStyle name="Normal 431 6 3" xfId="32738" xr:uid="{00000000-0005-0000-0000-0000E77E0000}"/>
    <cellStyle name="Normal 431 7" xfId="32739" xr:uid="{00000000-0005-0000-0000-0000E87E0000}"/>
    <cellStyle name="Normal 431 7 2" xfId="32740" xr:uid="{00000000-0005-0000-0000-0000E97E0000}"/>
    <cellStyle name="Normal 431 7 2 2" xfId="32741" xr:uid="{00000000-0005-0000-0000-0000EA7E0000}"/>
    <cellStyle name="Normal 431 7 3" xfId="32742" xr:uid="{00000000-0005-0000-0000-0000EB7E0000}"/>
    <cellStyle name="Normal 431 8" xfId="32743" xr:uid="{00000000-0005-0000-0000-0000EC7E0000}"/>
    <cellStyle name="Normal 431 8 2" xfId="32744" xr:uid="{00000000-0005-0000-0000-0000ED7E0000}"/>
    <cellStyle name="Normal 431 8 2 2" xfId="32745" xr:uid="{00000000-0005-0000-0000-0000EE7E0000}"/>
    <cellStyle name="Normal 431 8 3" xfId="32746" xr:uid="{00000000-0005-0000-0000-0000EF7E0000}"/>
    <cellStyle name="Normal 431 8 3 2" xfId="32747" xr:uid="{00000000-0005-0000-0000-0000F07E0000}"/>
    <cellStyle name="Normal 431 8 4" xfId="32748" xr:uid="{00000000-0005-0000-0000-0000F17E0000}"/>
    <cellStyle name="Normal 431 9" xfId="32749" xr:uid="{00000000-0005-0000-0000-0000F27E0000}"/>
    <cellStyle name="Normal 432" xfId="32750" xr:uid="{00000000-0005-0000-0000-0000F37E0000}"/>
    <cellStyle name="Normal 432 10" xfId="32751" xr:uid="{00000000-0005-0000-0000-0000F47E0000}"/>
    <cellStyle name="Normal 432 2" xfId="32752" xr:uid="{00000000-0005-0000-0000-0000F57E0000}"/>
    <cellStyle name="Normal 432 2 2" xfId="32753" xr:uid="{00000000-0005-0000-0000-0000F67E0000}"/>
    <cellStyle name="Normal 432 2 2 2" xfId="32754" xr:uid="{00000000-0005-0000-0000-0000F77E0000}"/>
    <cellStyle name="Normal 432 2 2 2 2" xfId="32755" xr:uid="{00000000-0005-0000-0000-0000F87E0000}"/>
    <cellStyle name="Normal 432 2 2 3" xfId="32756" xr:uid="{00000000-0005-0000-0000-0000F97E0000}"/>
    <cellStyle name="Normal 432 2 2 3 2" xfId="32757" xr:uid="{00000000-0005-0000-0000-0000FA7E0000}"/>
    <cellStyle name="Normal 432 2 2 3 2 2" xfId="32758" xr:uid="{00000000-0005-0000-0000-0000FB7E0000}"/>
    <cellStyle name="Normal 432 2 2 3 3" xfId="32759" xr:uid="{00000000-0005-0000-0000-0000FC7E0000}"/>
    <cellStyle name="Normal 432 2 2 4" xfId="32760" xr:uid="{00000000-0005-0000-0000-0000FD7E0000}"/>
    <cellStyle name="Normal 432 2 3" xfId="32761" xr:uid="{00000000-0005-0000-0000-0000FE7E0000}"/>
    <cellStyle name="Normal 432 2 3 2" xfId="32762" xr:uid="{00000000-0005-0000-0000-0000FF7E0000}"/>
    <cellStyle name="Normal 432 2 3 2 2" xfId="32763" xr:uid="{00000000-0005-0000-0000-0000007F0000}"/>
    <cellStyle name="Normal 432 2 3 3" xfId="32764" xr:uid="{00000000-0005-0000-0000-0000017F0000}"/>
    <cellStyle name="Normal 432 2 4" xfId="32765" xr:uid="{00000000-0005-0000-0000-0000027F0000}"/>
    <cellStyle name="Normal 432 2 4 2" xfId="32766" xr:uid="{00000000-0005-0000-0000-0000037F0000}"/>
    <cellStyle name="Normal 432 2 4 2 2" xfId="32767" xr:uid="{00000000-0005-0000-0000-0000047F0000}"/>
    <cellStyle name="Normal 432 2 4 3" xfId="32768" xr:uid="{00000000-0005-0000-0000-0000057F0000}"/>
    <cellStyle name="Normal 432 2 5" xfId="32769" xr:uid="{00000000-0005-0000-0000-0000067F0000}"/>
    <cellStyle name="Normal 432 2 5 2" xfId="32770" xr:uid="{00000000-0005-0000-0000-0000077F0000}"/>
    <cellStyle name="Normal 432 2 5 2 2" xfId="32771" xr:uid="{00000000-0005-0000-0000-0000087F0000}"/>
    <cellStyle name="Normal 432 2 5 3" xfId="32772" xr:uid="{00000000-0005-0000-0000-0000097F0000}"/>
    <cellStyle name="Normal 432 2 6" xfId="32773" xr:uid="{00000000-0005-0000-0000-00000A7F0000}"/>
    <cellStyle name="Normal 432 3" xfId="32774" xr:uid="{00000000-0005-0000-0000-00000B7F0000}"/>
    <cellStyle name="Normal 432 3 2" xfId="32775" xr:uid="{00000000-0005-0000-0000-00000C7F0000}"/>
    <cellStyle name="Normal 432 3 2 2" xfId="32776" xr:uid="{00000000-0005-0000-0000-00000D7F0000}"/>
    <cellStyle name="Normal 432 3 3" xfId="32777" xr:uid="{00000000-0005-0000-0000-00000E7F0000}"/>
    <cellStyle name="Normal 432 3 3 2" xfId="32778" xr:uid="{00000000-0005-0000-0000-00000F7F0000}"/>
    <cellStyle name="Normal 432 3 3 2 2" xfId="32779" xr:uid="{00000000-0005-0000-0000-0000107F0000}"/>
    <cellStyle name="Normal 432 3 3 3" xfId="32780" xr:uid="{00000000-0005-0000-0000-0000117F0000}"/>
    <cellStyle name="Normal 432 3 4" xfId="32781" xr:uid="{00000000-0005-0000-0000-0000127F0000}"/>
    <cellStyle name="Normal 432 3 4 2" xfId="32782" xr:uid="{00000000-0005-0000-0000-0000137F0000}"/>
    <cellStyle name="Normal 432 3 4 2 2" xfId="32783" xr:uid="{00000000-0005-0000-0000-0000147F0000}"/>
    <cellStyle name="Normal 432 3 4 3" xfId="32784" xr:uid="{00000000-0005-0000-0000-0000157F0000}"/>
    <cellStyle name="Normal 432 3 5" xfId="32785" xr:uid="{00000000-0005-0000-0000-0000167F0000}"/>
    <cellStyle name="Normal 432 4" xfId="32786" xr:uid="{00000000-0005-0000-0000-0000177F0000}"/>
    <cellStyle name="Normal 432 4 2" xfId="32787" xr:uid="{00000000-0005-0000-0000-0000187F0000}"/>
    <cellStyle name="Normal 432 4 2 2" xfId="32788" xr:uid="{00000000-0005-0000-0000-0000197F0000}"/>
    <cellStyle name="Normal 432 4 2 2 2" xfId="32789" xr:uid="{00000000-0005-0000-0000-00001A7F0000}"/>
    <cellStyle name="Normal 432 4 2 3" xfId="32790" xr:uid="{00000000-0005-0000-0000-00001B7F0000}"/>
    <cellStyle name="Normal 432 4 2 3 2" xfId="32791" xr:uid="{00000000-0005-0000-0000-00001C7F0000}"/>
    <cellStyle name="Normal 432 4 2 3 2 2" xfId="32792" xr:uid="{00000000-0005-0000-0000-00001D7F0000}"/>
    <cellStyle name="Normal 432 4 2 3 3" xfId="32793" xr:uid="{00000000-0005-0000-0000-00001E7F0000}"/>
    <cellStyle name="Normal 432 4 2 4" xfId="32794" xr:uid="{00000000-0005-0000-0000-00001F7F0000}"/>
    <cellStyle name="Normal 432 4 3" xfId="32795" xr:uid="{00000000-0005-0000-0000-0000207F0000}"/>
    <cellStyle name="Normal 432 4 3 2" xfId="32796" xr:uid="{00000000-0005-0000-0000-0000217F0000}"/>
    <cellStyle name="Normal 432 4 3 2 2" xfId="32797" xr:uid="{00000000-0005-0000-0000-0000227F0000}"/>
    <cellStyle name="Normal 432 4 3 3" xfId="32798" xr:uid="{00000000-0005-0000-0000-0000237F0000}"/>
    <cellStyle name="Normal 432 4 4" xfId="32799" xr:uid="{00000000-0005-0000-0000-0000247F0000}"/>
    <cellStyle name="Normal 432 4 4 2" xfId="32800" xr:uid="{00000000-0005-0000-0000-0000257F0000}"/>
    <cellStyle name="Normal 432 4 4 2 2" xfId="32801" xr:uid="{00000000-0005-0000-0000-0000267F0000}"/>
    <cellStyle name="Normal 432 4 4 3" xfId="32802" xr:uid="{00000000-0005-0000-0000-0000277F0000}"/>
    <cellStyle name="Normal 432 4 5" xfId="32803" xr:uid="{00000000-0005-0000-0000-0000287F0000}"/>
    <cellStyle name="Normal 432 4 5 2" xfId="32804" xr:uid="{00000000-0005-0000-0000-0000297F0000}"/>
    <cellStyle name="Normal 432 4 5 2 2" xfId="32805" xr:uid="{00000000-0005-0000-0000-00002A7F0000}"/>
    <cellStyle name="Normal 432 4 5 3" xfId="32806" xr:uid="{00000000-0005-0000-0000-00002B7F0000}"/>
    <cellStyle name="Normal 432 4 6" xfId="32807" xr:uid="{00000000-0005-0000-0000-00002C7F0000}"/>
    <cellStyle name="Normal 432 5" xfId="32808" xr:uid="{00000000-0005-0000-0000-00002D7F0000}"/>
    <cellStyle name="Normal 432 5 2" xfId="32809" xr:uid="{00000000-0005-0000-0000-00002E7F0000}"/>
    <cellStyle name="Normal 432 5 2 2" xfId="32810" xr:uid="{00000000-0005-0000-0000-00002F7F0000}"/>
    <cellStyle name="Normal 432 5 3" xfId="32811" xr:uid="{00000000-0005-0000-0000-0000307F0000}"/>
    <cellStyle name="Normal 432 6" xfId="32812" xr:uid="{00000000-0005-0000-0000-0000317F0000}"/>
    <cellStyle name="Normal 432 6 2" xfId="32813" xr:uid="{00000000-0005-0000-0000-0000327F0000}"/>
    <cellStyle name="Normal 432 6 2 2" xfId="32814" xr:uid="{00000000-0005-0000-0000-0000337F0000}"/>
    <cellStyle name="Normal 432 6 3" xfId="32815" xr:uid="{00000000-0005-0000-0000-0000347F0000}"/>
    <cellStyle name="Normal 432 7" xfId="32816" xr:uid="{00000000-0005-0000-0000-0000357F0000}"/>
    <cellStyle name="Normal 432 7 2" xfId="32817" xr:uid="{00000000-0005-0000-0000-0000367F0000}"/>
    <cellStyle name="Normal 432 7 2 2" xfId="32818" xr:uid="{00000000-0005-0000-0000-0000377F0000}"/>
    <cellStyle name="Normal 432 7 3" xfId="32819" xr:uid="{00000000-0005-0000-0000-0000387F0000}"/>
    <cellStyle name="Normal 432 8" xfId="32820" xr:uid="{00000000-0005-0000-0000-0000397F0000}"/>
    <cellStyle name="Normal 432 8 2" xfId="32821" xr:uid="{00000000-0005-0000-0000-00003A7F0000}"/>
    <cellStyle name="Normal 432 8 2 2" xfId="32822" xr:uid="{00000000-0005-0000-0000-00003B7F0000}"/>
    <cellStyle name="Normal 432 8 3" xfId="32823" xr:uid="{00000000-0005-0000-0000-00003C7F0000}"/>
    <cellStyle name="Normal 432 8 3 2" xfId="32824" xr:uid="{00000000-0005-0000-0000-00003D7F0000}"/>
    <cellStyle name="Normal 432 8 4" xfId="32825" xr:uid="{00000000-0005-0000-0000-00003E7F0000}"/>
    <cellStyle name="Normal 432 9" xfId="32826" xr:uid="{00000000-0005-0000-0000-00003F7F0000}"/>
    <cellStyle name="Normal 433" xfId="32827" xr:uid="{00000000-0005-0000-0000-0000407F0000}"/>
    <cellStyle name="Normal 433 10" xfId="32828" xr:uid="{00000000-0005-0000-0000-0000417F0000}"/>
    <cellStyle name="Normal 433 2" xfId="32829" xr:uid="{00000000-0005-0000-0000-0000427F0000}"/>
    <cellStyle name="Normal 433 2 2" xfId="32830" xr:uid="{00000000-0005-0000-0000-0000437F0000}"/>
    <cellStyle name="Normal 433 2 2 2" xfId="32831" xr:uid="{00000000-0005-0000-0000-0000447F0000}"/>
    <cellStyle name="Normal 433 2 2 2 2" xfId="32832" xr:uid="{00000000-0005-0000-0000-0000457F0000}"/>
    <cellStyle name="Normal 433 2 2 3" xfId="32833" xr:uid="{00000000-0005-0000-0000-0000467F0000}"/>
    <cellStyle name="Normal 433 2 2 3 2" xfId="32834" xr:uid="{00000000-0005-0000-0000-0000477F0000}"/>
    <cellStyle name="Normal 433 2 2 3 2 2" xfId="32835" xr:uid="{00000000-0005-0000-0000-0000487F0000}"/>
    <cellStyle name="Normal 433 2 2 3 3" xfId="32836" xr:uid="{00000000-0005-0000-0000-0000497F0000}"/>
    <cellStyle name="Normal 433 2 2 4" xfId="32837" xr:uid="{00000000-0005-0000-0000-00004A7F0000}"/>
    <cellStyle name="Normal 433 2 3" xfId="32838" xr:uid="{00000000-0005-0000-0000-00004B7F0000}"/>
    <cellStyle name="Normal 433 2 3 2" xfId="32839" xr:uid="{00000000-0005-0000-0000-00004C7F0000}"/>
    <cellStyle name="Normal 433 2 3 2 2" xfId="32840" xr:uid="{00000000-0005-0000-0000-00004D7F0000}"/>
    <cellStyle name="Normal 433 2 3 3" xfId="32841" xr:uid="{00000000-0005-0000-0000-00004E7F0000}"/>
    <cellStyle name="Normal 433 2 4" xfId="32842" xr:uid="{00000000-0005-0000-0000-00004F7F0000}"/>
    <cellStyle name="Normal 433 2 4 2" xfId="32843" xr:uid="{00000000-0005-0000-0000-0000507F0000}"/>
    <cellStyle name="Normal 433 2 4 2 2" xfId="32844" xr:uid="{00000000-0005-0000-0000-0000517F0000}"/>
    <cellStyle name="Normal 433 2 4 3" xfId="32845" xr:uid="{00000000-0005-0000-0000-0000527F0000}"/>
    <cellStyle name="Normal 433 2 5" xfId="32846" xr:uid="{00000000-0005-0000-0000-0000537F0000}"/>
    <cellStyle name="Normal 433 2 5 2" xfId="32847" xr:uid="{00000000-0005-0000-0000-0000547F0000}"/>
    <cellStyle name="Normal 433 2 5 2 2" xfId="32848" xr:uid="{00000000-0005-0000-0000-0000557F0000}"/>
    <cellStyle name="Normal 433 2 5 3" xfId="32849" xr:uid="{00000000-0005-0000-0000-0000567F0000}"/>
    <cellStyle name="Normal 433 2 6" xfId="32850" xr:uid="{00000000-0005-0000-0000-0000577F0000}"/>
    <cellStyle name="Normal 433 3" xfId="32851" xr:uid="{00000000-0005-0000-0000-0000587F0000}"/>
    <cellStyle name="Normal 433 3 2" xfId="32852" xr:uid="{00000000-0005-0000-0000-0000597F0000}"/>
    <cellStyle name="Normal 433 3 2 2" xfId="32853" xr:uid="{00000000-0005-0000-0000-00005A7F0000}"/>
    <cellStyle name="Normal 433 3 3" xfId="32854" xr:uid="{00000000-0005-0000-0000-00005B7F0000}"/>
    <cellStyle name="Normal 433 3 3 2" xfId="32855" xr:uid="{00000000-0005-0000-0000-00005C7F0000}"/>
    <cellStyle name="Normal 433 3 3 2 2" xfId="32856" xr:uid="{00000000-0005-0000-0000-00005D7F0000}"/>
    <cellStyle name="Normal 433 3 3 3" xfId="32857" xr:uid="{00000000-0005-0000-0000-00005E7F0000}"/>
    <cellStyle name="Normal 433 3 4" xfId="32858" xr:uid="{00000000-0005-0000-0000-00005F7F0000}"/>
    <cellStyle name="Normal 433 3 4 2" xfId="32859" xr:uid="{00000000-0005-0000-0000-0000607F0000}"/>
    <cellStyle name="Normal 433 3 4 2 2" xfId="32860" xr:uid="{00000000-0005-0000-0000-0000617F0000}"/>
    <cellStyle name="Normal 433 3 4 3" xfId="32861" xr:uid="{00000000-0005-0000-0000-0000627F0000}"/>
    <cellStyle name="Normal 433 3 5" xfId="32862" xr:uid="{00000000-0005-0000-0000-0000637F0000}"/>
    <cellStyle name="Normal 433 4" xfId="32863" xr:uid="{00000000-0005-0000-0000-0000647F0000}"/>
    <cellStyle name="Normal 433 4 2" xfId="32864" xr:uid="{00000000-0005-0000-0000-0000657F0000}"/>
    <cellStyle name="Normal 433 4 2 2" xfId="32865" xr:uid="{00000000-0005-0000-0000-0000667F0000}"/>
    <cellStyle name="Normal 433 4 2 2 2" xfId="32866" xr:uid="{00000000-0005-0000-0000-0000677F0000}"/>
    <cellStyle name="Normal 433 4 2 3" xfId="32867" xr:uid="{00000000-0005-0000-0000-0000687F0000}"/>
    <cellStyle name="Normal 433 4 2 3 2" xfId="32868" xr:uid="{00000000-0005-0000-0000-0000697F0000}"/>
    <cellStyle name="Normal 433 4 2 3 2 2" xfId="32869" xr:uid="{00000000-0005-0000-0000-00006A7F0000}"/>
    <cellStyle name="Normal 433 4 2 3 3" xfId="32870" xr:uid="{00000000-0005-0000-0000-00006B7F0000}"/>
    <cellStyle name="Normal 433 4 2 4" xfId="32871" xr:uid="{00000000-0005-0000-0000-00006C7F0000}"/>
    <cellStyle name="Normal 433 4 3" xfId="32872" xr:uid="{00000000-0005-0000-0000-00006D7F0000}"/>
    <cellStyle name="Normal 433 4 3 2" xfId="32873" xr:uid="{00000000-0005-0000-0000-00006E7F0000}"/>
    <cellStyle name="Normal 433 4 3 2 2" xfId="32874" xr:uid="{00000000-0005-0000-0000-00006F7F0000}"/>
    <cellStyle name="Normal 433 4 3 3" xfId="32875" xr:uid="{00000000-0005-0000-0000-0000707F0000}"/>
    <cellStyle name="Normal 433 4 4" xfId="32876" xr:uid="{00000000-0005-0000-0000-0000717F0000}"/>
    <cellStyle name="Normal 433 4 4 2" xfId="32877" xr:uid="{00000000-0005-0000-0000-0000727F0000}"/>
    <cellStyle name="Normal 433 4 4 2 2" xfId="32878" xr:uid="{00000000-0005-0000-0000-0000737F0000}"/>
    <cellStyle name="Normal 433 4 4 3" xfId="32879" xr:uid="{00000000-0005-0000-0000-0000747F0000}"/>
    <cellStyle name="Normal 433 4 5" xfId="32880" xr:uid="{00000000-0005-0000-0000-0000757F0000}"/>
    <cellStyle name="Normal 433 4 5 2" xfId="32881" xr:uid="{00000000-0005-0000-0000-0000767F0000}"/>
    <cellStyle name="Normal 433 4 5 2 2" xfId="32882" xr:uid="{00000000-0005-0000-0000-0000777F0000}"/>
    <cellStyle name="Normal 433 4 5 3" xfId="32883" xr:uid="{00000000-0005-0000-0000-0000787F0000}"/>
    <cellStyle name="Normal 433 4 6" xfId="32884" xr:uid="{00000000-0005-0000-0000-0000797F0000}"/>
    <cellStyle name="Normal 433 5" xfId="32885" xr:uid="{00000000-0005-0000-0000-00007A7F0000}"/>
    <cellStyle name="Normal 433 5 2" xfId="32886" xr:uid="{00000000-0005-0000-0000-00007B7F0000}"/>
    <cellStyle name="Normal 433 5 2 2" xfId="32887" xr:uid="{00000000-0005-0000-0000-00007C7F0000}"/>
    <cellStyle name="Normal 433 5 3" xfId="32888" xr:uid="{00000000-0005-0000-0000-00007D7F0000}"/>
    <cellStyle name="Normal 433 6" xfId="32889" xr:uid="{00000000-0005-0000-0000-00007E7F0000}"/>
    <cellStyle name="Normal 433 6 2" xfId="32890" xr:uid="{00000000-0005-0000-0000-00007F7F0000}"/>
    <cellStyle name="Normal 433 6 2 2" xfId="32891" xr:uid="{00000000-0005-0000-0000-0000807F0000}"/>
    <cellStyle name="Normal 433 6 3" xfId="32892" xr:uid="{00000000-0005-0000-0000-0000817F0000}"/>
    <cellStyle name="Normal 433 7" xfId="32893" xr:uid="{00000000-0005-0000-0000-0000827F0000}"/>
    <cellStyle name="Normal 433 7 2" xfId="32894" xr:uid="{00000000-0005-0000-0000-0000837F0000}"/>
    <cellStyle name="Normal 433 7 2 2" xfId="32895" xr:uid="{00000000-0005-0000-0000-0000847F0000}"/>
    <cellStyle name="Normal 433 7 3" xfId="32896" xr:uid="{00000000-0005-0000-0000-0000857F0000}"/>
    <cellStyle name="Normal 433 8" xfId="32897" xr:uid="{00000000-0005-0000-0000-0000867F0000}"/>
    <cellStyle name="Normal 433 8 2" xfId="32898" xr:uid="{00000000-0005-0000-0000-0000877F0000}"/>
    <cellStyle name="Normal 433 8 2 2" xfId="32899" xr:uid="{00000000-0005-0000-0000-0000887F0000}"/>
    <cellStyle name="Normal 433 8 3" xfId="32900" xr:uid="{00000000-0005-0000-0000-0000897F0000}"/>
    <cellStyle name="Normal 433 8 3 2" xfId="32901" xr:uid="{00000000-0005-0000-0000-00008A7F0000}"/>
    <cellStyle name="Normal 433 8 4" xfId="32902" xr:uid="{00000000-0005-0000-0000-00008B7F0000}"/>
    <cellStyle name="Normal 433 9" xfId="32903" xr:uid="{00000000-0005-0000-0000-00008C7F0000}"/>
    <cellStyle name="Normal 434" xfId="32904" xr:uid="{00000000-0005-0000-0000-00008D7F0000}"/>
    <cellStyle name="Normal 434 10" xfId="32905" xr:uid="{00000000-0005-0000-0000-00008E7F0000}"/>
    <cellStyle name="Normal 434 2" xfId="32906" xr:uid="{00000000-0005-0000-0000-00008F7F0000}"/>
    <cellStyle name="Normal 434 2 2" xfId="32907" xr:uid="{00000000-0005-0000-0000-0000907F0000}"/>
    <cellStyle name="Normal 434 2 2 2" xfId="32908" xr:uid="{00000000-0005-0000-0000-0000917F0000}"/>
    <cellStyle name="Normal 434 2 2 2 2" xfId="32909" xr:uid="{00000000-0005-0000-0000-0000927F0000}"/>
    <cellStyle name="Normal 434 2 2 3" xfId="32910" xr:uid="{00000000-0005-0000-0000-0000937F0000}"/>
    <cellStyle name="Normal 434 2 2 3 2" xfId="32911" xr:uid="{00000000-0005-0000-0000-0000947F0000}"/>
    <cellStyle name="Normal 434 2 2 3 2 2" xfId="32912" xr:uid="{00000000-0005-0000-0000-0000957F0000}"/>
    <cellStyle name="Normal 434 2 2 3 3" xfId="32913" xr:uid="{00000000-0005-0000-0000-0000967F0000}"/>
    <cellStyle name="Normal 434 2 2 4" xfId="32914" xr:uid="{00000000-0005-0000-0000-0000977F0000}"/>
    <cellStyle name="Normal 434 2 3" xfId="32915" xr:uid="{00000000-0005-0000-0000-0000987F0000}"/>
    <cellStyle name="Normal 434 2 3 2" xfId="32916" xr:uid="{00000000-0005-0000-0000-0000997F0000}"/>
    <cellStyle name="Normal 434 2 3 2 2" xfId="32917" xr:uid="{00000000-0005-0000-0000-00009A7F0000}"/>
    <cellStyle name="Normal 434 2 3 3" xfId="32918" xr:uid="{00000000-0005-0000-0000-00009B7F0000}"/>
    <cellStyle name="Normal 434 2 4" xfId="32919" xr:uid="{00000000-0005-0000-0000-00009C7F0000}"/>
    <cellStyle name="Normal 434 2 4 2" xfId="32920" xr:uid="{00000000-0005-0000-0000-00009D7F0000}"/>
    <cellStyle name="Normal 434 2 4 2 2" xfId="32921" xr:uid="{00000000-0005-0000-0000-00009E7F0000}"/>
    <cellStyle name="Normal 434 2 4 3" xfId="32922" xr:uid="{00000000-0005-0000-0000-00009F7F0000}"/>
    <cellStyle name="Normal 434 2 5" xfId="32923" xr:uid="{00000000-0005-0000-0000-0000A07F0000}"/>
    <cellStyle name="Normal 434 2 5 2" xfId="32924" xr:uid="{00000000-0005-0000-0000-0000A17F0000}"/>
    <cellStyle name="Normal 434 2 5 2 2" xfId="32925" xr:uid="{00000000-0005-0000-0000-0000A27F0000}"/>
    <cellStyle name="Normal 434 2 5 3" xfId="32926" xr:uid="{00000000-0005-0000-0000-0000A37F0000}"/>
    <cellStyle name="Normal 434 2 6" xfId="32927" xr:uid="{00000000-0005-0000-0000-0000A47F0000}"/>
    <cellStyle name="Normal 434 3" xfId="32928" xr:uid="{00000000-0005-0000-0000-0000A57F0000}"/>
    <cellStyle name="Normal 434 3 2" xfId="32929" xr:uid="{00000000-0005-0000-0000-0000A67F0000}"/>
    <cellStyle name="Normal 434 3 2 2" xfId="32930" xr:uid="{00000000-0005-0000-0000-0000A77F0000}"/>
    <cellStyle name="Normal 434 3 3" xfId="32931" xr:uid="{00000000-0005-0000-0000-0000A87F0000}"/>
    <cellStyle name="Normal 434 3 3 2" xfId="32932" xr:uid="{00000000-0005-0000-0000-0000A97F0000}"/>
    <cellStyle name="Normal 434 3 3 2 2" xfId="32933" xr:uid="{00000000-0005-0000-0000-0000AA7F0000}"/>
    <cellStyle name="Normal 434 3 3 3" xfId="32934" xr:uid="{00000000-0005-0000-0000-0000AB7F0000}"/>
    <cellStyle name="Normal 434 3 4" xfId="32935" xr:uid="{00000000-0005-0000-0000-0000AC7F0000}"/>
    <cellStyle name="Normal 434 3 4 2" xfId="32936" xr:uid="{00000000-0005-0000-0000-0000AD7F0000}"/>
    <cellStyle name="Normal 434 3 4 2 2" xfId="32937" xr:uid="{00000000-0005-0000-0000-0000AE7F0000}"/>
    <cellStyle name="Normal 434 3 4 3" xfId="32938" xr:uid="{00000000-0005-0000-0000-0000AF7F0000}"/>
    <cellStyle name="Normal 434 3 5" xfId="32939" xr:uid="{00000000-0005-0000-0000-0000B07F0000}"/>
    <cellStyle name="Normal 434 4" xfId="32940" xr:uid="{00000000-0005-0000-0000-0000B17F0000}"/>
    <cellStyle name="Normal 434 4 2" xfId="32941" xr:uid="{00000000-0005-0000-0000-0000B27F0000}"/>
    <cellStyle name="Normal 434 4 2 2" xfId="32942" xr:uid="{00000000-0005-0000-0000-0000B37F0000}"/>
    <cellStyle name="Normal 434 4 2 2 2" xfId="32943" xr:uid="{00000000-0005-0000-0000-0000B47F0000}"/>
    <cellStyle name="Normal 434 4 2 3" xfId="32944" xr:uid="{00000000-0005-0000-0000-0000B57F0000}"/>
    <cellStyle name="Normal 434 4 2 3 2" xfId="32945" xr:uid="{00000000-0005-0000-0000-0000B67F0000}"/>
    <cellStyle name="Normal 434 4 2 3 2 2" xfId="32946" xr:uid="{00000000-0005-0000-0000-0000B77F0000}"/>
    <cellStyle name="Normal 434 4 2 3 3" xfId="32947" xr:uid="{00000000-0005-0000-0000-0000B87F0000}"/>
    <cellStyle name="Normal 434 4 2 4" xfId="32948" xr:uid="{00000000-0005-0000-0000-0000B97F0000}"/>
    <cellStyle name="Normal 434 4 3" xfId="32949" xr:uid="{00000000-0005-0000-0000-0000BA7F0000}"/>
    <cellStyle name="Normal 434 4 3 2" xfId="32950" xr:uid="{00000000-0005-0000-0000-0000BB7F0000}"/>
    <cellStyle name="Normal 434 4 3 2 2" xfId="32951" xr:uid="{00000000-0005-0000-0000-0000BC7F0000}"/>
    <cellStyle name="Normal 434 4 3 3" xfId="32952" xr:uid="{00000000-0005-0000-0000-0000BD7F0000}"/>
    <cellStyle name="Normal 434 4 4" xfId="32953" xr:uid="{00000000-0005-0000-0000-0000BE7F0000}"/>
    <cellStyle name="Normal 434 4 4 2" xfId="32954" xr:uid="{00000000-0005-0000-0000-0000BF7F0000}"/>
    <cellStyle name="Normal 434 4 4 2 2" xfId="32955" xr:uid="{00000000-0005-0000-0000-0000C07F0000}"/>
    <cellStyle name="Normal 434 4 4 3" xfId="32956" xr:uid="{00000000-0005-0000-0000-0000C17F0000}"/>
    <cellStyle name="Normal 434 4 5" xfId="32957" xr:uid="{00000000-0005-0000-0000-0000C27F0000}"/>
    <cellStyle name="Normal 434 4 5 2" xfId="32958" xr:uid="{00000000-0005-0000-0000-0000C37F0000}"/>
    <cellStyle name="Normal 434 4 5 2 2" xfId="32959" xr:uid="{00000000-0005-0000-0000-0000C47F0000}"/>
    <cellStyle name="Normal 434 4 5 3" xfId="32960" xr:uid="{00000000-0005-0000-0000-0000C57F0000}"/>
    <cellStyle name="Normal 434 4 6" xfId="32961" xr:uid="{00000000-0005-0000-0000-0000C67F0000}"/>
    <cellStyle name="Normal 434 5" xfId="32962" xr:uid="{00000000-0005-0000-0000-0000C77F0000}"/>
    <cellStyle name="Normal 434 5 2" xfId="32963" xr:uid="{00000000-0005-0000-0000-0000C87F0000}"/>
    <cellStyle name="Normal 434 5 2 2" xfId="32964" xr:uid="{00000000-0005-0000-0000-0000C97F0000}"/>
    <cellStyle name="Normal 434 5 3" xfId="32965" xr:uid="{00000000-0005-0000-0000-0000CA7F0000}"/>
    <cellStyle name="Normal 434 6" xfId="32966" xr:uid="{00000000-0005-0000-0000-0000CB7F0000}"/>
    <cellStyle name="Normal 434 6 2" xfId="32967" xr:uid="{00000000-0005-0000-0000-0000CC7F0000}"/>
    <cellStyle name="Normal 434 6 2 2" xfId="32968" xr:uid="{00000000-0005-0000-0000-0000CD7F0000}"/>
    <cellStyle name="Normal 434 6 3" xfId="32969" xr:uid="{00000000-0005-0000-0000-0000CE7F0000}"/>
    <cellStyle name="Normal 434 7" xfId="32970" xr:uid="{00000000-0005-0000-0000-0000CF7F0000}"/>
    <cellStyle name="Normal 434 7 2" xfId="32971" xr:uid="{00000000-0005-0000-0000-0000D07F0000}"/>
    <cellStyle name="Normal 434 7 2 2" xfId="32972" xr:uid="{00000000-0005-0000-0000-0000D17F0000}"/>
    <cellStyle name="Normal 434 7 3" xfId="32973" xr:uid="{00000000-0005-0000-0000-0000D27F0000}"/>
    <cellStyle name="Normal 434 8" xfId="32974" xr:uid="{00000000-0005-0000-0000-0000D37F0000}"/>
    <cellStyle name="Normal 434 8 2" xfId="32975" xr:uid="{00000000-0005-0000-0000-0000D47F0000}"/>
    <cellStyle name="Normal 434 8 2 2" xfId="32976" xr:uid="{00000000-0005-0000-0000-0000D57F0000}"/>
    <cellStyle name="Normal 434 8 3" xfId="32977" xr:uid="{00000000-0005-0000-0000-0000D67F0000}"/>
    <cellStyle name="Normal 434 8 3 2" xfId="32978" xr:uid="{00000000-0005-0000-0000-0000D77F0000}"/>
    <cellStyle name="Normal 434 8 4" xfId="32979" xr:uid="{00000000-0005-0000-0000-0000D87F0000}"/>
    <cellStyle name="Normal 434 9" xfId="32980" xr:uid="{00000000-0005-0000-0000-0000D97F0000}"/>
    <cellStyle name="Normal 435" xfId="32981" xr:uid="{00000000-0005-0000-0000-0000DA7F0000}"/>
    <cellStyle name="Normal 435 10" xfId="32982" xr:uid="{00000000-0005-0000-0000-0000DB7F0000}"/>
    <cellStyle name="Normal 435 2" xfId="32983" xr:uid="{00000000-0005-0000-0000-0000DC7F0000}"/>
    <cellStyle name="Normal 435 2 2" xfId="32984" xr:uid="{00000000-0005-0000-0000-0000DD7F0000}"/>
    <cellStyle name="Normal 435 2 2 2" xfId="32985" xr:uid="{00000000-0005-0000-0000-0000DE7F0000}"/>
    <cellStyle name="Normal 435 2 2 2 2" xfId="32986" xr:uid="{00000000-0005-0000-0000-0000DF7F0000}"/>
    <cellStyle name="Normal 435 2 2 3" xfId="32987" xr:uid="{00000000-0005-0000-0000-0000E07F0000}"/>
    <cellStyle name="Normal 435 2 2 3 2" xfId="32988" xr:uid="{00000000-0005-0000-0000-0000E17F0000}"/>
    <cellStyle name="Normal 435 2 2 3 2 2" xfId="32989" xr:uid="{00000000-0005-0000-0000-0000E27F0000}"/>
    <cellStyle name="Normal 435 2 2 3 3" xfId="32990" xr:uid="{00000000-0005-0000-0000-0000E37F0000}"/>
    <cellStyle name="Normal 435 2 2 4" xfId="32991" xr:uid="{00000000-0005-0000-0000-0000E47F0000}"/>
    <cellStyle name="Normal 435 2 3" xfId="32992" xr:uid="{00000000-0005-0000-0000-0000E57F0000}"/>
    <cellStyle name="Normal 435 2 3 2" xfId="32993" xr:uid="{00000000-0005-0000-0000-0000E67F0000}"/>
    <cellStyle name="Normal 435 2 3 2 2" xfId="32994" xr:uid="{00000000-0005-0000-0000-0000E77F0000}"/>
    <cellStyle name="Normal 435 2 3 3" xfId="32995" xr:uid="{00000000-0005-0000-0000-0000E87F0000}"/>
    <cellStyle name="Normal 435 2 4" xfId="32996" xr:uid="{00000000-0005-0000-0000-0000E97F0000}"/>
    <cellStyle name="Normal 435 2 4 2" xfId="32997" xr:uid="{00000000-0005-0000-0000-0000EA7F0000}"/>
    <cellStyle name="Normal 435 2 4 2 2" xfId="32998" xr:uid="{00000000-0005-0000-0000-0000EB7F0000}"/>
    <cellStyle name="Normal 435 2 4 3" xfId="32999" xr:uid="{00000000-0005-0000-0000-0000EC7F0000}"/>
    <cellStyle name="Normal 435 2 5" xfId="33000" xr:uid="{00000000-0005-0000-0000-0000ED7F0000}"/>
    <cellStyle name="Normal 435 2 5 2" xfId="33001" xr:uid="{00000000-0005-0000-0000-0000EE7F0000}"/>
    <cellStyle name="Normal 435 2 5 2 2" xfId="33002" xr:uid="{00000000-0005-0000-0000-0000EF7F0000}"/>
    <cellStyle name="Normal 435 2 5 3" xfId="33003" xr:uid="{00000000-0005-0000-0000-0000F07F0000}"/>
    <cellStyle name="Normal 435 2 6" xfId="33004" xr:uid="{00000000-0005-0000-0000-0000F17F0000}"/>
    <cellStyle name="Normal 435 3" xfId="33005" xr:uid="{00000000-0005-0000-0000-0000F27F0000}"/>
    <cellStyle name="Normal 435 3 2" xfId="33006" xr:uid="{00000000-0005-0000-0000-0000F37F0000}"/>
    <cellStyle name="Normal 435 3 2 2" xfId="33007" xr:uid="{00000000-0005-0000-0000-0000F47F0000}"/>
    <cellStyle name="Normal 435 3 3" xfId="33008" xr:uid="{00000000-0005-0000-0000-0000F57F0000}"/>
    <cellStyle name="Normal 435 3 3 2" xfId="33009" xr:uid="{00000000-0005-0000-0000-0000F67F0000}"/>
    <cellStyle name="Normal 435 3 3 2 2" xfId="33010" xr:uid="{00000000-0005-0000-0000-0000F77F0000}"/>
    <cellStyle name="Normal 435 3 3 3" xfId="33011" xr:uid="{00000000-0005-0000-0000-0000F87F0000}"/>
    <cellStyle name="Normal 435 3 4" xfId="33012" xr:uid="{00000000-0005-0000-0000-0000F97F0000}"/>
    <cellStyle name="Normal 435 3 4 2" xfId="33013" xr:uid="{00000000-0005-0000-0000-0000FA7F0000}"/>
    <cellStyle name="Normal 435 3 4 2 2" xfId="33014" xr:uid="{00000000-0005-0000-0000-0000FB7F0000}"/>
    <cellStyle name="Normal 435 3 4 3" xfId="33015" xr:uid="{00000000-0005-0000-0000-0000FC7F0000}"/>
    <cellStyle name="Normal 435 3 5" xfId="33016" xr:uid="{00000000-0005-0000-0000-0000FD7F0000}"/>
    <cellStyle name="Normal 435 4" xfId="33017" xr:uid="{00000000-0005-0000-0000-0000FE7F0000}"/>
    <cellStyle name="Normal 435 4 2" xfId="33018" xr:uid="{00000000-0005-0000-0000-0000FF7F0000}"/>
    <cellStyle name="Normal 435 4 2 2" xfId="33019" xr:uid="{00000000-0005-0000-0000-000000800000}"/>
    <cellStyle name="Normal 435 4 2 2 2" xfId="33020" xr:uid="{00000000-0005-0000-0000-000001800000}"/>
    <cellStyle name="Normal 435 4 2 3" xfId="33021" xr:uid="{00000000-0005-0000-0000-000002800000}"/>
    <cellStyle name="Normal 435 4 2 3 2" xfId="33022" xr:uid="{00000000-0005-0000-0000-000003800000}"/>
    <cellStyle name="Normal 435 4 2 3 2 2" xfId="33023" xr:uid="{00000000-0005-0000-0000-000004800000}"/>
    <cellStyle name="Normal 435 4 2 3 3" xfId="33024" xr:uid="{00000000-0005-0000-0000-000005800000}"/>
    <cellStyle name="Normal 435 4 2 4" xfId="33025" xr:uid="{00000000-0005-0000-0000-000006800000}"/>
    <cellStyle name="Normal 435 4 3" xfId="33026" xr:uid="{00000000-0005-0000-0000-000007800000}"/>
    <cellStyle name="Normal 435 4 3 2" xfId="33027" xr:uid="{00000000-0005-0000-0000-000008800000}"/>
    <cellStyle name="Normal 435 4 3 2 2" xfId="33028" xr:uid="{00000000-0005-0000-0000-000009800000}"/>
    <cellStyle name="Normal 435 4 3 3" xfId="33029" xr:uid="{00000000-0005-0000-0000-00000A800000}"/>
    <cellStyle name="Normal 435 4 4" xfId="33030" xr:uid="{00000000-0005-0000-0000-00000B800000}"/>
    <cellStyle name="Normal 435 4 4 2" xfId="33031" xr:uid="{00000000-0005-0000-0000-00000C800000}"/>
    <cellStyle name="Normal 435 4 4 2 2" xfId="33032" xr:uid="{00000000-0005-0000-0000-00000D800000}"/>
    <cellStyle name="Normal 435 4 4 3" xfId="33033" xr:uid="{00000000-0005-0000-0000-00000E800000}"/>
    <cellStyle name="Normal 435 4 5" xfId="33034" xr:uid="{00000000-0005-0000-0000-00000F800000}"/>
    <cellStyle name="Normal 435 4 5 2" xfId="33035" xr:uid="{00000000-0005-0000-0000-000010800000}"/>
    <cellStyle name="Normal 435 4 5 2 2" xfId="33036" xr:uid="{00000000-0005-0000-0000-000011800000}"/>
    <cellStyle name="Normal 435 4 5 3" xfId="33037" xr:uid="{00000000-0005-0000-0000-000012800000}"/>
    <cellStyle name="Normal 435 4 6" xfId="33038" xr:uid="{00000000-0005-0000-0000-000013800000}"/>
    <cellStyle name="Normal 435 5" xfId="33039" xr:uid="{00000000-0005-0000-0000-000014800000}"/>
    <cellStyle name="Normal 435 5 2" xfId="33040" xr:uid="{00000000-0005-0000-0000-000015800000}"/>
    <cellStyle name="Normal 435 5 2 2" xfId="33041" xr:uid="{00000000-0005-0000-0000-000016800000}"/>
    <cellStyle name="Normal 435 5 3" xfId="33042" xr:uid="{00000000-0005-0000-0000-000017800000}"/>
    <cellStyle name="Normal 435 6" xfId="33043" xr:uid="{00000000-0005-0000-0000-000018800000}"/>
    <cellStyle name="Normal 435 6 2" xfId="33044" xr:uid="{00000000-0005-0000-0000-000019800000}"/>
    <cellStyle name="Normal 435 6 2 2" xfId="33045" xr:uid="{00000000-0005-0000-0000-00001A800000}"/>
    <cellStyle name="Normal 435 6 3" xfId="33046" xr:uid="{00000000-0005-0000-0000-00001B800000}"/>
    <cellStyle name="Normal 435 7" xfId="33047" xr:uid="{00000000-0005-0000-0000-00001C800000}"/>
    <cellStyle name="Normal 435 7 2" xfId="33048" xr:uid="{00000000-0005-0000-0000-00001D800000}"/>
    <cellStyle name="Normal 435 7 2 2" xfId="33049" xr:uid="{00000000-0005-0000-0000-00001E800000}"/>
    <cellStyle name="Normal 435 7 3" xfId="33050" xr:uid="{00000000-0005-0000-0000-00001F800000}"/>
    <cellStyle name="Normal 435 8" xfId="33051" xr:uid="{00000000-0005-0000-0000-000020800000}"/>
    <cellStyle name="Normal 435 8 2" xfId="33052" xr:uid="{00000000-0005-0000-0000-000021800000}"/>
    <cellStyle name="Normal 435 8 2 2" xfId="33053" xr:uid="{00000000-0005-0000-0000-000022800000}"/>
    <cellStyle name="Normal 435 8 3" xfId="33054" xr:uid="{00000000-0005-0000-0000-000023800000}"/>
    <cellStyle name="Normal 435 8 3 2" xfId="33055" xr:uid="{00000000-0005-0000-0000-000024800000}"/>
    <cellStyle name="Normal 435 8 4" xfId="33056" xr:uid="{00000000-0005-0000-0000-000025800000}"/>
    <cellStyle name="Normal 435 9" xfId="33057" xr:uid="{00000000-0005-0000-0000-000026800000}"/>
    <cellStyle name="Normal 436" xfId="33058" xr:uid="{00000000-0005-0000-0000-000027800000}"/>
    <cellStyle name="Normal 436 10" xfId="33059" xr:uid="{00000000-0005-0000-0000-000028800000}"/>
    <cellStyle name="Normal 436 2" xfId="33060" xr:uid="{00000000-0005-0000-0000-000029800000}"/>
    <cellStyle name="Normal 436 2 2" xfId="33061" xr:uid="{00000000-0005-0000-0000-00002A800000}"/>
    <cellStyle name="Normal 436 2 2 2" xfId="33062" xr:uid="{00000000-0005-0000-0000-00002B800000}"/>
    <cellStyle name="Normal 436 2 2 2 2" xfId="33063" xr:uid="{00000000-0005-0000-0000-00002C800000}"/>
    <cellStyle name="Normal 436 2 2 3" xfId="33064" xr:uid="{00000000-0005-0000-0000-00002D800000}"/>
    <cellStyle name="Normal 436 2 2 3 2" xfId="33065" xr:uid="{00000000-0005-0000-0000-00002E800000}"/>
    <cellStyle name="Normal 436 2 2 3 2 2" xfId="33066" xr:uid="{00000000-0005-0000-0000-00002F800000}"/>
    <cellStyle name="Normal 436 2 2 3 3" xfId="33067" xr:uid="{00000000-0005-0000-0000-000030800000}"/>
    <cellStyle name="Normal 436 2 2 4" xfId="33068" xr:uid="{00000000-0005-0000-0000-000031800000}"/>
    <cellStyle name="Normal 436 2 3" xfId="33069" xr:uid="{00000000-0005-0000-0000-000032800000}"/>
    <cellStyle name="Normal 436 2 3 2" xfId="33070" xr:uid="{00000000-0005-0000-0000-000033800000}"/>
    <cellStyle name="Normal 436 2 3 2 2" xfId="33071" xr:uid="{00000000-0005-0000-0000-000034800000}"/>
    <cellStyle name="Normal 436 2 3 3" xfId="33072" xr:uid="{00000000-0005-0000-0000-000035800000}"/>
    <cellStyle name="Normal 436 2 4" xfId="33073" xr:uid="{00000000-0005-0000-0000-000036800000}"/>
    <cellStyle name="Normal 436 2 4 2" xfId="33074" xr:uid="{00000000-0005-0000-0000-000037800000}"/>
    <cellStyle name="Normal 436 2 4 2 2" xfId="33075" xr:uid="{00000000-0005-0000-0000-000038800000}"/>
    <cellStyle name="Normal 436 2 4 3" xfId="33076" xr:uid="{00000000-0005-0000-0000-000039800000}"/>
    <cellStyle name="Normal 436 2 5" xfId="33077" xr:uid="{00000000-0005-0000-0000-00003A800000}"/>
    <cellStyle name="Normal 436 2 5 2" xfId="33078" xr:uid="{00000000-0005-0000-0000-00003B800000}"/>
    <cellStyle name="Normal 436 2 5 2 2" xfId="33079" xr:uid="{00000000-0005-0000-0000-00003C800000}"/>
    <cellStyle name="Normal 436 2 5 3" xfId="33080" xr:uid="{00000000-0005-0000-0000-00003D800000}"/>
    <cellStyle name="Normal 436 2 6" xfId="33081" xr:uid="{00000000-0005-0000-0000-00003E800000}"/>
    <cellStyle name="Normal 436 3" xfId="33082" xr:uid="{00000000-0005-0000-0000-00003F800000}"/>
    <cellStyle name="Normal 436 3 2" xfId="33083" xr:uid="{00000000-0005-0000-0000-000040800000}"/>
    <cellStyle name="Normal 436 3 2 2" xfId="33084" xr:uid="{00000000-0005-0000-0000-000041800000}"/>
    <cellStyle name="Normal 436 3 3" xfId="33085" xr:uid="{00000000-0005-0000-0000-000042800000}"/>
    <cellStyle name="Normal 436 3 3 2" xfId="33086" xr:uid="{00000000-0005-0000-0000-000043800000}"/>
    <cellStyle name="Normal 436 3 3 2 2" xfId="33087" xr:uid="{00000000-0005-0000-0000-000044800000}"/>
    <cellStyle name="Normal 436 3 3 3" xfId="33088" xr:uid="{00000000-0005-0000-0000-000045800000}"/>
    <cellStyle name="Normal 436 3 4" xfId="33089" xr:uid="{00000000-0005-0000-0000-000046800000}"/>
    <cellStyle name="Normal 436 3 4 2" xfId="33090" xr:uid="{00000000-0005-0000-0000-000047800000}"/>
    <cellStyle name="Normal 436 3 4 2 2" xfId="33091" xr:uid="{00000000-0005-0000-0000-000048800000}"/>
    <cellStyle name="Normal 436 3 4 3" xfId="33092" xr:uid="{00000000-0005-0000-0000-000049800000}"/>
    <cellStyle name="Normal 436 3 5" xfId="33093" xr:uid="{00000000-0005-0000-0000-00004A800000}"/>
    <cellStyle name="Normal 436 4" xfId="33094" xr:uid="{00000000-0005-0000-0000-00004B800000}"/>
    <cellStyle name="Normal 436 4 2" xfId="33095" xr:uid="{00000000-0005-0000-0000-00004C800000}"/>
    <cellStyle name="Normal 436 4 2 2" xfId="33096" xr:uid="{00000000-0005-0000-0000-00004D800000}"/>
    <cellStyle name="Normal 436 4 2 2 2" xfId="33097" xr:uid="{00000000-0005-0000-0000-00004E800000}"/>
    <cellStyle name="Normal 436 4 2 3" xfId="33098" xr:uid="{00000000-0005-0000-0000-00004F800000}"/>
    <cellStyle name="Normal 436 4 2 3 2" xfId="33099" xr:uid="{00000000-0005-0000-0000-000050800000}"/>
    <cellStyle name="Normal 436 4 2 3 2 2" xfId="33100" xr:uid="{00000000-0005-0000-0000-000051800000}"/>
    <cellStyle name="Normal 436 4 2 3 3" xfId="33101" xr:uid="{00000000-0005-0000-0000-000052800000}"/>
    <cellStyle name="Normal 436 4 2 4" xfId="33102" xr:uid="{00000000-0005-0000-0000-000053800000}"/>
    <cellStyle name="Normal 436 4 3" xfId="33103" xr:uid="{00000000-0005-0000-0000-000054800000}"/>
    <cellStyle name="Normal 436 4 3 2" xfId="33104" xr:uid="{00000000-0005-0000-0000-000055800000}"/>
    <cellStyle name="Normal 436 4 3 2 2" xfId="33105" xr:uid="{00000000-0005-0000-0000-000056800000}"/>
    <cellStyle name="Normal 436 4 3 3" xfId="33106" xr:uid="{00000000-0005-0000-0000-000057800000}"/>
    <cellStyle name="Normal 436 4 4" xfId="33107" xr:uid="{00000000-0005-0000-0000-000058800000}"/>
    <cellStyle name="Normal 436 4 4 2" xfId="33108" xr:uid="{00000000-0005-0000-0000-000059800000}"/>
    <cellStyle name="Normal 436 4 4 2 2" xfId="33109" xr:uid="{00000000-0005-0000-0000-00005A800000}"/>
    <cellStyle name="Normal 436 4 4 3" xfId="33110" xr:uid="{00000000-0005-0000-0000-00005B800000}"/>
    <cellStyle name="Normal 436 4 5" xfId="33111" xr:uid="{00000000-0005-0000-0000-00005C800000}"/>
    <cellStyle name="Normal 436 4 5 2" xfId="33112" xr:uid="{00000000-0005-0000-0000-00005D800000}"/>
    <cellStyle name="Normal 436 4 5 2 2" xfId="33113" xr:uid="{00000000-0005-0000-0000-00005E800000}"/>
    <cellStyle name="Normal 436 4 5 3" xfId="33114" xr:uid="{00000000-0005-0000-0000-00005F800000}"/>
    <cellStyle name="Normal 436 4 6" xfId="33115" xr:uid="{00000000-0005-0000-0000-000060800000}"/>
    <cellStyle name="Normal 436 5" xfId="33116" xr:uid="{00000000-0005-0000-0000-000061800000}"/>
    <cellStyle name="Normal 436 5 2" xfId="33117" xr:uid="{00000000-0005-0000-0000-000062800000}"/>
    <cellStyle name="Normal 436 5 2 2" xfId="33118" xr:uid="{00000000-0005-0000-0000-000063800000}"/>
    <cellStyle name="Normal 436 5 3" xfId="33119" xr:uid="{00000000-0005-0000-0000-000064800000}"/>
    <cellStyle name="Normal 436 6" xfId="33120" xr:uid="{00000000-0005-0000-0000-000065800000}"/>
    <cellStyle name="Normal 436 6 2" xfId="33121" xr:uid="{00000000-0005-0000-0000-000066800000}"/>
    <cellStyle name="Normal 436 6 2 2" xfId="33122" xr:uid="{00000000-0005-0000-0000-000067800000}"/>
    <cellStyle name="Normal 436 6 3" xfId="33123" xr:uid="{00000000-0005-0000-0000-000068800000}"/>
    <cellStyle name="Normal 436 7" xfId="33124" xr:uid="{00000000-0005-0000-0000-000069800000}"/>
    <cellStyle name="Normal 436 7 2" xfId="33125" xr:uid="{00000000-0005-0000-0000-00006A800000}"/>
    <cellStyle name="Normal 436 7 2 2" xfId="33126" xr:uid="{00000000-0005-0000-0000-00006B800000}"/>
    <cellStyle name="Normal 436 7 3" xfId="33127" xr:uid="{00000000-0005-0000-0000-00006C800000}"/>
    <cellStyle name="Normal 436 8" xfId="33128" xr:uid="{00000000-0005-0000-0000-00006D800000}"/>
    <cellStyle name="Normal 436 8 2" xfId="33129" xr:uid="{00000000-0005-0000-0000-00006E800000}"/>
    <cellStyle name="Normal 436 8 2 2" xfId="33130" xr:uid="{00000000-0005-0000-0000-00006F800000}"/>
    <cellStyle name="Normal 436 8 3" xfId="33131" xr:uid="{00000000-0005-0000-0000-000070800000}"/>
    <cellStyle name="Normal 436 8 3 2" xfId="33132" xr:uid="{00000000-0005-0000-0000-000071800000}"/>
    <cellStyle name="Normal 436 8 4" xfId="33133" xr:uid="{00000000-0005-0000-0000-000072800000}"/>
    <cellStyle name="Normal 436 9" xfId="33134" xr:uid="{00000000-0005-0000-0000-000073800000}"/>
    <cellStyle name="Normal 437" xfId="33135" xr:uid="{00000000-0005-0000-0000-000074800000}"/>
    <cellStyle name="Normal 437 10" xfId="33136" xr:uid="{00000000-0005-0000-0000-000075800000}"/>
    <cellStyle name="Normal 437 2" xfId="33137" xr:uid="{00000000-0005-0000-0000-000076800000}"/>
    <cellStyle name="Normal 437 2 2" xfId="33138" xr:uid="{00000000-0005-0000-0000-000077800000}"/>
    <cellStyle name="Normal 437 2 2 2" xfId="33139" xr:uid="{00000000-0005-0000-0000-000078800000}"/>
    <cellStyle name="Normal 437 2 2 2 2" xfId="33140" xr:uid="{00000000-0005-0000-0000-000079800000}"/>
    <cellStyle name="Normal 437 2 2 3" xfId="33141" xr:uid="{00000000-0005-0000-0000-00007A800000}"/>
    <cellStyle name="Normal 437 2 2 3 2" xfId="33142" xr:uid="{00000000-0005-0000-0000-00007B800000}"/>
    <cellStyle name="Normal 437 2 2 3 2 2" xfId="33143" xr:uid="{00000000-0005-0000-0000-00007C800000}"/>
    <cellStyle name="Normal 437 2 2 3 3" xfId="33144" xr:uid="{00000000-0005-0000-0000-00007D800000}"/>
    <cellStyle name="Normal 437 2 2 4" xfId="33145" xr:uid="{00000000-0005-0000-0000-00007E800000}"/>
    <cellStyle name="Normal 437 2 3" xfId="33146" xr:uid="{00000000-0005-0000-0000-00007F800000}"/>
    <cellStyle name="Normal 437 2 3 2" xfId="33147" xr:uid="{00000000-0005-0000-0000-000080800000}"/>
    <cellStyle name="Normal 437 2 3 2 2" xfId="33148" xr:uid="{00000000-0005-0000-0000-000081800000}"/>
    <cellStyle name="Normal 437 2 3 3" xfId="33149" xr:uid="{00000000-0005-0000-0000-000082800000}"/>
    <cellStyle name="Normal 437 2 4" xfId="33150" xr:uid="{00000000-0005-0000-0000-000083800000}"/>
    <cellStyle name="Normal 437 2 4 2" xfId="33151" xr:uid="{00000000-0005-0000-0000-000084800000}"/>
    <cellStyle name="Normal 437 2 4 2 2" xfId="33152" xr:uid="{00000000-0005-0000-0000-000085800000}"/>
    <cellStyle name="Normal 437 2 4 3" xfId="33153" xr:uid="{00000000-0005-0000-0000-000086800000}"/>
    <cellStyle name="Normal 437 2 5" xfId="33154" xr:uid="{00000000-0005-0000-0000-000087800000}"/>
    <cellStyle name="Normal 437 2 5 2" xfId="33155" xr:uid="{00000000-0005-0000-0000-000088800000}"/>
    <cellStyle name="Normal 437 2 5 2 2" xfId="33156" xr:uid="{00000000-0005-0000-0000-000089800000}"/>
    <cellStyle name="Normal 437 2 5 3" xfId="33157" xr:uid="{00000000-0005-0000-0000-00008A800000}"/>
    <cellStyle name="Normal 437 2 6" xfId="33158" xr:uid="{00000000-0005-0000-0000-00008B800000}"/>
    <cellStyle name="Normal 437 3" xfId="33159" xr:uid="{00000000-0005-0000-0000-00008C800000}"/>
    <cellStyle name="Normal 437 3 2" xfId="33160" xr:uid="{00000000-0005-0000-0000-00008D800000}"/>
    <cellStyle name="Normal 437 3 2 2" xfId="33161" xr:uid="{00000000-0005-0000-0000-00008E800000}"/>
    <cellStyle name="Normal 437 3 3" xfId="33162" xr:uid="{00000000-0005-0000-0000-00008F800000}"/>
    <cellStyle name="Normal 437 3 3 2" xfId="33163" xr:uid="{00000000-0005-0000-0000-000090800000}"/>
    <cellStyle name="Normal 437 3 3 2 2" xfId="33164" xr:uid="{00000000-0005-0000-0000-000091800000}"/>
    <cellStyle name="Normal 437 3 3 3" xfId="33165" xr:uid="{00000000-0005-0000-0000-000092800000}"/>
    <cellStyle name="Normal 437 3 4" xfId="33166" xr:uid="{00000000-0005-0000-0000-000093800000}"/>
    <cellStyle name="Normal 437 3 4 2" xfId="33167" xr:uid="{00000000-0005-0000-0000-000094800000}"/>
    <cellStyle name="Normal 437 3 4 2 2" xfId="33168" xr:uid="{00000000-0005-0000-0000-000095800000}"/>
    <cellStyle name="Normal 437 3 4 3" xfId="33169" xr:uid="{00000000-0005-0000-0000-000096800000}"/>
    <cellStyle name="Normal 437 3 5" xfId="33170" xr:uid="{00000000-0005-0000-0000-000097800000}"/>
    <cellStyle name="Normal 437 4" xfId="33171" xr:uid="{00000000-0005-0000-0000-000098800000}"/>
    <cellStyle name="Normal 437 4 2" xfId="33172" xr:uid="{00000000-0005-0000-0000-000099800000}"/>
    <cellStyle name="Normal 437 4 2 2" xfId="33173" xr:uid="{00000000-0005-0000-0000-00009A800000}"/>
    <cellStyle name="Normal 437 4 2 2 2" xfId="33174" xr:uid="{00000000-0005-0000-0000-00009B800000}"/>
    <cellStyle name="Normal 437 4 2 3" xfId="33175" xr:uid="{00000000-0005-0000-0000-00009C800000}"/>
    <cellStyle name="Normal 437 4 2 3 2" xfId="33176" xr:uid="{00000000-0005-0000-0000-00009D800000}"/>
    <cellStyle name="Normal 437 4 2 3 2 2" xfId="33177" xr:uid="{00000000-0005-0000-0000-00009E800000}"/>
    <cellStyle name="Normal 437 4 2 3 3" xfId="33178" xr:uid="{00000000-0005-0000-0000-00009F800000}"/>
    <cellStyle name="Normal 437 4 2 4" xfId="33179" xr:uid="{00000000-0005-0000-0000-0000A0800000}"/>
    <cellStyle name="Normal 437 4 3" xfId="33180" xr:uid="{00000000-0005-0000-0000-0000A1800000}"/>
    <cellStyle name="Normal 437 4 3 2" xfId="33181" xr:uid="{00000000-0005-0000-0000-0000A2800000}"/>
    <cellStyle name="Normal 437 4 3 2 2" xfId="33182" xr:uid="{00000000-0005-0000-0000-0000A3800000}"/>
    <cellStyle name="Normal 437 4 3 3" xfId="33183" xr:uid="{00000000-0005-0000-0000-0000A4800000}"/>
    <cellStyle name="Normal 437 4 4" xfId="33184" xr:uid="{00000000-0005-0000-0000-0000A5800000}"/>
    <cellStyle name="Normal 437 4 4 2" xfId="33185" xr:uid="{00000000-0005-0000-0000-0000A6800000}"/>
    <cellStyle name="Normal 437 4 4 2 2" xfId="33186" xr:uid="{00000000-0005-0000-0000-0000A7800000}"/>
    <cellStyle name="Normal 437 4 4 3" xfId="33187" xr:uid="{00000000-0005-0000-0000-0000A8800000}"/>
    <cellStyle name="Normal 437 4 5" xfId="33188" xr:uid="{00000000-0005-0000-0000-0000A9800000}"/>
    <cellStyle name="Normal 437 4 5 2" xfId="33189" xr:uid="{00000000-0005-0000-0000-0000AA800000}"/>
    <cellStyle name="Normal 437 4 5 2 2" xfId="33190" xr:uid="{00000000-0005-0000-0000-0000AB800000}"/>
    <cellStyle name="Normal 437 4 5 3" xfId="33191" xr:uid="{00000000-0005-0000-0000-0000AC800000}"/>
    <cellStyle name="Normal 437 4 6" xfId="33192" xr:uid="{00000000-0005-0000-0000-0000AD800000}"/>
    <cellStyle name="Normal 437 5" xfId="33193" xr:uid="{00000000-0005-0000-0000-0000AE800000}"/>
    <cellStyle name="Normal 437 5 2" xfId="33194" xr:uid="{00000000-0005-0000-0000-0000AF800000}"/>
    <cellStyle name="Normal 437 5 2 2" xfId="33195" xr:uid="{00000000-0005-0000-0000-0000B0800000}"/>
    <cellStyle name="Normal 437 5 3" xfId="33196" xr:uid="{00000000-0005-0000-0000-0000B1800000}"/>
    <cellStyle name="Normal 437 6" xfId="33197" xr:uid="{00000000-0005-0000-0000-0000B2800000}"/>
    <cellStyle name="Normal 437 6 2" xfId="33198" xr:uid="{00000000-0005-0000-0000-0000B3800000}"/>
    <cellStyle name="Normal 437 6 2 2" xfId="33199" xr:uid="{00000000-0005-0000-0000-0000B4800000}"/>
    <cellStyle name="Normal 437 6 3" xfId="33200" xr:uid="{00000000-0005-0000-0000-0000B5800000}"/>
    <cellStyle name="Normal 437 7" xfId="33201" xr:uid="{00000000-0005-0000-0000-0000B6800000}"/>
    <cellStyle name="Normal 437 7 2" xfId="33202" xr:uid="{00000000-0005-0000-0000-0000B7800000}"/>
    <cellStyle name="Normal 437 7 2 2" xfId="33203" xr:uid="{00000000-0005-0000-0000-0000B8800000}"/>
    <cellStyle name="Normal 437 7 3" xfId="33204" xr:uid="{00000000-0005-0000-0000-0000B9800000}"/>
    <cellStyle name="Normal 437 8" xfId="33205" xr:uid="{00000000-0005-0000-0000-0000BA800000}"/>
    <cellStyle name="Normal 437 8 2" xfId="33206" xr:uid="{00000000-0005-0000-0000-0000BB800000}"/>
    <cellStyle name="Normal 437 8 2 2" xfId="33207" xr:uid="{00000000-0005-0000-0000-0000BC800000}"/>
    <cellStyle name="Normal 437 8 3" xfId="33208" xr:uid="{00000000-0005-0000-0000-0000BD800000}"/>
    <cellStyle name="Normal 437 8 3 2" xfId="33209" xr:uid="{00000000-0005-0000-0000-0000BE800000}"/>
    <cellStyle name="Normal 437 8 4" xfId="33210" xr:uid="{00000000-0005-0000-0000-0000BF800000}"/>
    <cellStyle name="Normal 437 9" xfId="33211" xr:uid="{00000000-0005-0000-0000-0000C0800000}"/>
    <cellStyle name="Normal 438" xfId="33212" xr:uid="{00000000-0005-0000-0000-0000C1800000}"/>
    <cellStyle name="Normal 438 10" xfId="33213" xr:uid="{00000000-0005-0000-0000-0000C2800000}"/>
    <cellStyle name="Normal 438 2" xfId="33214" xr:uid="{00000000-0005-0000-0000-0000C3800000}"/>
    <cellStyle name="Normal 438 2 2" xfId="33215" xr:uid="{00000000-0005-0000-0000-0000C4800000}"/>
    <cellStyle name="Normal 438 2 2 2" xfId="33216" xr:uid="{00000000-0005-0000-0000-0000C5800000}"/>
    <cellStyle name="Normal 438 2 2 2 2" xfId="33217" xr:uid="{00000000-0005-0000-0000-0000C6800000}"/>
    <cellStyle name="Normal 438 2 2 3" xfId="33218" xr:uid="{00000000-0005-0000-0000-0000C7800000}"/>
    <cellStyle name="Normal 438 2 2 3 2" xfId="33219" xr:uid="{00000000-0005-0000-0000-0000C8800000}"/>
    <cellStyle name="Normal 438 2 2 3 2 2" xfId="33220" xr:uid="{00000000-0005-0000-0000-0000C9800000}"/>
    <cellStyle name="Normal 438 2 2 3 3" xfId="33221" xr:uid="{00000000-0005-0000-0000-0000CA800000}"/>
    <cellStyle name="Normal 438 2 2 4" xfId="33222" xr:uid="{00000000-0005-0000-0000-0000CB800000}"/>
    <cellStyle name="Normal 438 2 3" xfId="33223" xr:uid="{00000000-0005-0000-0000-0000CC800000}"/>
    <cellStyle name="Normal 438 2 3 2" xfId="33224" xr:uid="{00000000-0005-0000-0000-0000CD800000}"/>
    <cellStyle name="Normal 438 2 3 2 2" xfId="33225" xr:uid="{00000000-0005-0000-0000-0000CE800000}"/>
    <cellStyle name="Normal 438 2 3 3" xfId="33226" xr:uid="{00000000-0005-0000-0000-0000CF800000}"/>
    <cellStyle name="Normal 438 2 4" xfId="33227" xr:uid="{00000000-0005-0000-0000-0000D0800000}"/>
    <cellStyle name="Normal 438 2 4 2" xfId="33228" xr:uid="{00000000-0005-0000-0000-0000D1800000}"/>
    <cellStyle name="Normal 438 2 4 2 2" xfId="33229" xr:uid="{00000000-0005-0000-0000-0000D2800000}"/>
    <cellStyle name="Normal 438 2 4 3" xfId="33230" xr:uid="{00000000-0005-0000-0000-0000D3800000}"/>
    <cellStyle name="Normal 438 2 5" xfId="33231" xr:uid="{00000000-0005-0000-0000-0000D4800000}"/>
    <cellStyle name="Normal 438 2 5 2" xfId="33232" xr:uid="{00000000-0005-0000-0000-0000D5800000}"/>
    <cellStyle name="Normal 438 2 5 2 2" xfId="33233" xr:uid="{00000000-0005-0000-0000-0000D6800000}"/>
    <cellStyle name="Normal 438 2 5 3" xfId="33234" xr:uid="{00000000-0005-0000-0000-0000D7800000}"/>
    <cellStyle name="Normal 438 2 6" xfId="33235" xr:uid="{00000000-0005-0000-0000-0000D8800000}"/>
    <cellStyle name="Normal 438 3" xfId="33236" xr:uid="{00000000-0005-0000-0000-0000D9800000}"/>
    <cellStyle name="Normal 438 3 2" xfId="33237" xr:uid="{00000000-0005-0000-0000-0000DA800000}"/>
    <cellStyle name="Normal 438 3 2 2" xfId="33238" xr:uid="{00000000-0005-0000-0000-0000DB800000}"/>
    <cellStyle name="Normal 438 3 3" xfId="33239" xr:uid="{00000000-0005-0000-0000-0000DC800000}"/>
    <cellStyle name="Normal 438 3 3 2" xfId="33240" xr:uid="{00000000-0005-0000-0000-0000DD800000}"/>
    <cellStyle name="Normal 438 3 3 2 2" xfId="33241" xr:uid="{00000000-0005-0000-0000-0000DE800000}"/>
    <cellStyle name="Normal 438 3 3 3" xfId="33242" xr:uid="{00000000-0005-0000-0000-0000DF800000}"/>
    <cellStyle name="Normal 438 3 4" xfId="33243" xr:uid="{00000000-0005-0000-0000-0000E0800000}"/>
    <cellStyle name="Normal 438 3 4 2" xfId="33244" xr:uid="{00000000-0005-0000-0000-0000E1800000}"/>
    <cellStyle name="Normal 438 3 4 2 2" xfId="33245" xr:uid="{00000000-0005-0000-0000-0000E2800000}"/>
    <cellStyle name="Normal 438 3 4 3" xfId="33246" xr:uid="{00000000-0005-0000-0000-0000E3800000}"/>
    <cellStyle name="Normal 438 3 5" xfId="33247" xr:uid="{00000000-0005-0000-0000-0000E4800000}"/>
    <cellStyle name="Normal 438 4" xfId="33248" xr:uid="{00000000-0005-0000-0000-0000E5800000}"/>
    <cellStyle name="Normal 438 4 2" xfId="33249" xr:uid="{00000000-0005-0000-0000-0000E6800000}"/>
    <cellStyle name="Normal 438 4 2 2" xfId="33250" xr:uid="{00000000-0005-0000-0000-0000E7800000}"/>
    <cellStyle name="Normal 438 4 2 2 2" xfId="33251" xr:uid="{00000000-0005-0000-0000-0000E8800000}"/>
    <cellStyle name="Normal 438 4 2 3" xfId="33252" xr:uid="{00000000-0005-0000-0000-0000E9800000}"/>
    <cellStyle name="Normal 438 4 2 3 2" xfId="33253" xr:uid="{00000000-0005-0000-0000-0000EA800000}"/>
    <cellStyle name="Normal 438 4 2 3 2 2" xfId="33254" xr:uid="{00000000-0005-0000-0000-0000EB800000}"/>
    <cellStyle name="Normal 438 4 2 3 3" xfId="33255" xr:uid="{00000000-0005-0000-0000-0000EC800000}"/>
    <cellStyle name="Normal 438 4 2 4" xfId="33256" xr:uid="{00000000-0005-0000-0000-0000ED800000}"/>
    <cellStyle name="Normal 438 4 3" xfId="33257" xr:uid="{00000000-0005-0000-0000-0000EE800000}"/>
    <cellStyle name="Normal 438 4 3 2" xfId="33258" xr:uid="{00000000-0005-0000-0000-0000EF800000}"/>
    <cellStyle name="Normal 438 4 3 2 2" xfId="33259" xr:uid="{00000000-0005-0000-0000-0000F0800000}"/>
    <cellStyle name="Normal 438 4 3 3" xfId="33260" xr:uid="{00000000-0005-0000-0000-0000F1800000}"/>
    <cellStyle name="Normal 438 4 4" xfId="33261" xr:uid="{00000000-0005-0000-0000-0000F2800000}"/>
    <cellStyle name="Normal 438 4 4 2" xfId="33262" xr:uid="{00000000-0005-0000-0000-0000F3800000}"/>
    <cellStyle name="Normal 438 4 4 2 2" xfId="33263" xr:uid="{00000000-0005-0000-0000-0000F4800000}"/>
    <cellStyle name="Normal 438 4 4 3" xfId="33264" xr:uid="{00000000-0005-0000-0000-0000F5800000}"/>
    <cellStyle name="Normal 438 4 5" xfId="33265" xr:uid="{00000000-0005-0000-0000-0000F6800000}"/>
    <cellStyle name="Normal 438 4 5 2" xfId="33266" xr:uid="{00000000-0005-0000-0000-0000F7800000}"/>
    <cellStyle name="Normal 438 4 5 2 2" xfId="33267" xr:uid="{00000000-0005-0000-0000-0000F8800000}"/>
    <cellStyle name="Normal 438 4 5 3" xfId="33268" xr:uid="{00000000-0005-0000-0000-0000F9800000}"/>
    <cellStyle name="Normal 438 4 6" xfId="33269" xr:uid="{00000000-0005-0000-0000-0000FA800000}"/>
    <cellStyle name="Normal 438 5" xfId="33270" xr:uid="{00000000-0005-0000-0000-0000FB800000}"/>
    <cellStyle name="Normal 438 5 2" xfId="33271" xr:uid="{00000000-0005-0000-0000-0000FC800000}"/>
    <cellStyle name="Normal 438 5 2 2" xfId="33272" xr:uid="{00000000-0005-0000-0000-0000FD800000}"/>
    <cellStyle name="Normal 438 5 3" xfId="33273" xr:uid="{00000000-0005-0000-0000-0000FE800000}"/>
    <cellStyle name="Normal 438 6" xfId="33274" xr:uid="{00000000-0005-0000-0000-0000FF800000}"/>
    <cellStyle name="Normal 438 6 2" xfId="33275" xr:uid="{00000000-0005-0000-0000-000000810000}"/>
    <cellStyle name="Normal 438 6 2 2" xfId="33276" xr:uid="{00000000-0005-0000-0000-000001810000}"/>
    <cellStyle name="Normal 438 6 3" xfId="33277" xr:uid="{00000000-0005-0000-0000-000002810000}"/>
    <cellStyle name="Normal 438 7" xfId="33278" xr:uid="{00000000-0005-0000-0000-000003810000}"/>
    <cellStyle name="Normal 438 7 2" xfId="33279" xr:uid="{00000000-0005-0000-0000-000004810000}"/>
    <cellStyle name="Normal 438 7 2 2" xfId="33280" xr:uid="{00000000-0005-0000-0000-000005810000}"/>
    <cellStyle name="Normal 438 7 3" xfId="33281" xr:uid="{00000000-0005-0000-0000-000006810000}"/>
    <cellStyle name="Normal 438 8" xfId="33282" xr:uid="{00000000-0005-0000-0000-000007810000}"/>
    <cellStyle name="Normal 438 8 2" xfId="33283" xr:uid="{00000000-0005-0000-0000-000008810000}"/>
    <cellStyle name="Normal 438 8 2 2" xfId="33284" xr:uid="{00000000-0005-0000-0000-000009810000}"/>
    <cellStyle name="Normal 438 8 3" xfId="33285" xr:uid="{00000000-0005-0000-0000-00000A810000}"/>
    <cellStyle name="Normal 438 8 3 2" xfId="33286" xr:uid="{00000000-0005-0000-0000-00000B810000}"/>
    <cellStyle name="Normal 438 8 4" xfId="33287" xr:uid="{00000000-0005-0000-0000-00000C810000}"/>
    <cellStyle name="Normal 438 9" xfId="33288" xr:uid="{00000000-0005-0000-0000-00000D810000}"/>
    <cellStyle name="Normal 439" xfId="33289" xr:uid="{00000000-0005-0000-0000-00000E810000}"/>
    <cellStyle name="Normal 439 10" xfId="33290" xr:uid="{00000000-0005-0000-0000-00000F810000}"/>
    <cellStyle name="Normal 439 2" xfId="33291" xr:uid="{00000000-0005-0000-0000-000010810000}"/>
    <cellStyle name="Normal 439 2 2" xfId="33292" xr:uid="{00000000-0005-0000-0000-000011810000}"/>
    <cellStyle name="Normal 439 2 2 2" xfId="33293" xr:uid="{00000000-0005-0000-0000-000012810000}"/>
    <cellStyle name="Normal 439 2 2 2 2" xfId="33294" xr:uid="{00000000-0005-0000-0000-000013810000}"/>
    <cellStyle name="Normal 439 2 2 3" xfId="33295" xr:uid="{00000000-0005-0000-0000-000014810000}"/>
    <cellStyle name="Normal 439 2 2 3 2" xfId="33296" xr:uid="{00000000-0005-0000-0000-000015810000}"/>
    <cellStyle name="Normal 439 2 2 3 2 2" xfId="33297" xr:uid="{00000000-0005-0000-0000-000016810000}"/>
    <cellStyle name="Normal 439 2 2 3 3" xfId="33298" xr:uid="{00000000-0005-0000-0000-000017810000}"/>
    <cellStyle name="Normal 439 2 2 4" xfId="33299" xr:uid="{00000000-0005-0000-0000-000018810000}"/>
    <cellStyle name="Normal 439 2 3" xfId="33300" xr:uid="{00000000-0005-0000-0000-000019810000}"/>
    <cellStyle name="Normal 439 2 3 2" xfId="33301" xr:uid="{00000000-0005-0000-0000-00001A810000}"/>
    <cellStyle name="Normal 439 2 3 2 2" xfId="33302" xr:uid="{00000000-0005-0000-0000-00001B810000}"/>
    <cellStyle name="Normal 439 2 3 3" xfId="33303" xr:uid="{00000000-0005-0000-0000-00001C810000}"/>
    <cellStyle name="Normal 439 2 4" xfId="33304" xr:uid="{00000000-0005-0000-0000-00001D810000}"/>
    <cellStyle name="Normal 439 2 4 2" xfId="33305" xr:uid="{00000000-0005-0000-0000-00001E810000}"/>
    <cellStyle name="Normal 439 2 4 2 2" xfId="33306" xr:uid="{00000000-0005-0000-0000-00001F810000}"/>
    <cellStyle name="Normal 439 2 4 3" xfId="33307" xr:uid="{00000000-0005-0000-0000-000020810000}"/>
    <cellStyle name="Normal 439 2 5" xfId="33308" xr:uid="{00000000-0005-0000-0000-000021810000}"/>
    <cellStyle name="Normal 439 2 5 2" xfId="33309" xr:uid="{00000000-0005-0000-0000-000022810000}"/>
    <cellStyle name="Normal 439 2 5 2 2" xfId="33310" xr:uid="{00000000-0005-0000-0000-000023810000}"/>
    <cellStyle name="Normal 439 2 5 3" xfId="33311" xr:uid="{00000000-0005-0000-0000-000024810000}"/>
    <cellStyle name="Normal 439 2 6" xfId="33312" xr:uid="{00000000-0005-0000-0000-000025810000}"/>
    <cellStyle name="Normal 439 3" xfId="33313" xr:uid="{00000000-0005-0000-0000-000026810000}"/>
    <cellStyle name="Normal 439 3 2" xfId="33314" xr:uid="{00000000-0005-0000-0000-000027810000}"/>
    <cellStyle name="Normal 439 3 2 2" xfId="33315" xr:uid="{00000000-0005-0000-0000-000028810000}"/>
    <cellStyle name="Normal 439 3 3" xfId="33316" xr:uid="{00000000-0005-0000-0000-000029810000}"/>
    <cellStyle name="Normal 439 3 3 2" xfId="33317" xr:uid="{00000000-0005-0000-0000-00002A810000}"/>
    <cellStyle name="Normal 439 3 3 2 2" xfId="33318" xr:uid="{00000000-0005-0000-0000-00002B810000}"/>
    <cellStyle name="Normal 439 3 3 3" xfId="33319" xr:uid="{00000000-0005-0000-0000-00002C810000}"/>
    <cellStyle name="Normal 439 3 4" xfId="33320" xr:uid="{00000000-0005-0000-0000-00002D810000}"/>
    <cellStyle name="Normal 439 3 4 2" xfId="33321" xr:uid="{00000000-0005-0000-0000-00002E810000}"/>
    <cellStyle name="Normal 439 3 4 2 2" xfId="33322" xr:uid="{00000000-0005-0000-0000-00002F810000}"/>
    <cellStyle name="Normal 439 3 4 3" xfId="33323" xr:uid="{00000000-0005-0000-0000-000030810000}"/>
    <cellStyle name="Normal 439 3 5" xfId="33324" xr:uid="{00000000-0005-0000-0000-000031810000}"/>
    <cellStyle name="Normal 439 4" xfId="33325" xr:uid="{00000000-0005-0000-0000-000032810000}"/>
    <cellStyle name="Normal 439 4 2" xfId="33326" xr:uid="{00000000-0005-0000-0000-000033810000}"/>
    <cellStyle name="Normal 439 4 2 2" xfId="33327" xr:uid="{00000000-0005-0000-0000-000034810000}"/>
    <cellStyle name="Normal 439 4 2 2 2" xfId="33328" xr:uid="{00000000-0005-0000-0000-000035810000}"/>
    <cellStyle name="Normal 439 4 2 3" xfId="33329" xr:uid="{00000000-0005-0000-0000-000036810000}"/>
    <cellStyle name="Normal 439 4 2 3 2" xfId="33330" xr:uid="{00000000-0005-0000-0000-000037810000}"/>
    <cellStyle name="Normal 439 4 2 3 2 2" xfId="33331" xr:uid="{00000000-0005-0000-0000-000038810000}"/>
    <cellStyle name="Normal 439 4 2 3 3" xfId="33332" xr:uid="{00000000-0005-0000-0000-000039810000}"/>
    <cellStyle name="Normal 439 4 2 4" xfId="33333" xr:uid="{00000000-0005-0000-0000-00003A810000}"/>
    <cellStyle name="Normal 439 4 3" xfId="33334" xr:uid="{00000000-0005-0000-0000-00003B810000}"/>
    <cellStyle name="Normal 439 4 3 2" xfId="33335" xr:uid="{00000000-0005-0000-0000-00003C810000}"/>
    <cellStyle name="Normal 439 4 3 2 2" xfId="33336" xr:uid="{00000000-0005-0000-0000-00003D810000}"/>
    <cellStyle name="Normal 439 4 3 3" xfId="33337" xr:uid="{00000000-0005-0000-0000-00003E810000}"/>
    <cellStyle name="Normal 439 4 4" xfId="33338" xr:uid="{00000000-0005-0000-0000-00003F810000}"/>
    <cellStyle name="Normal 439 4 4 2" xfId="33339" xr:uid="{00000000-0005-0000-0000-000040810000}"/>
    <cellStyle name="Normal 439 4 4 2 2" xfId="33340" xr:uid="{00000000-0005-0000-0000-000041810000}"/>
    <cellStyle name="Normal 439 4 4 3" xfId="33341" xr:uid="{00000000-0005-0000-0000-000042810000}"/>
    <cellStyle name="Normal 439 4 5" xfId="33342" xr:uid="{00000000-0005-0000-0000-000043810000}"/>
    <cellStyle name="Normal 439 4 5 2" xfId="33343" xr:uid="{00000000-0005-0000-0000-000044810000}"/>
    <cellStyle name="Normal 439 4 5 2 2" xfId="33344" xr:uid="{00000000-0005-0000-0000-000045810000}"/>
    <cellStyle name="Normal 439 4 5 3" xfId="33345" xr:uid="{00000000-0005-0000-0000-000046810000}"/>
    <cellStyle name="Normal 439 4 6" xfId="33346" xr:uid="{00000000-0005-0000-0000-000047810000}"/>
    <cellStyle name="Normal 439 5" xfId="33347" xr:uid="{00000000-0005-0000-0000-000048810000}"/>
    <cellStyle name="Normal 439 5 2" xfId="33348" xr:uid="{00000000-0005-0000-0000-000049810000}"/>
    <cellStyle name="Normal 439 5 2 2" xfId="33349" xr:uid="{00000000-0005-0000-0000-00004A810000}"/>
    <cellStyle name="Normal 439 5 3" xfId="33350" xr:uid="{00000000-0005-0000-0000-00004B810000}"/>
    <cellStyle name="Normal 439 6" xfId="33351" xr:uid="{00000000-0005-0000-0000-00004C810000}"/>
    <cellStyle name="Normal 439 6 2" xfId="33352" xr:uid="{00000000-0005-0000-0000-00004D810000}"/>
    <cellStyle name="Normal 439 6 2 2" xfId="33353" xr:uid="{00000000-0005-0000-0000-00004E810000}"/>
    <cellStyle name="Normal 439 6 3" xfId="33354" xr:uid="{00000000-0005-0000-0000-00004F810000}"/>
    <cellStyle name="Normal 439 7" xfId="33355" xr:uid="{00000000-0005-0000-0000-000050810000}"/>
    <cellStyle name="Normal 439 7 2" xfId="33356" xr:uid="{00000000-0005-0000-0000-000051810000}"/>
    <cellStyle name="Normal 439 7 2 2" xfId="33357" xr:uid="{00000000-0005-0000-0000-000052810000}"/>
    <cellStyle name="Normal 439 7 3" xfId="33358" xr:uid="{00000000-0005-0000-0000-000053810000}"/>
    <cellStyle name="Normal 439 8" xfId="33359" xr:uid="{00000000-0005-0000-0000-000054810000}"/>
    <cellStyle name="Normal 439 8 2" xfId="33360" xr:uid="{00000000-0005-0000-0000-000055810000}"/>
    <cellStyle name="Normal 439 8 2 2" xfId="33361" xr:uid="{00000000-0005-0000-0000-000056810000}"/>
    <cellStyle name="Normal 439 8 3" xfId="33362" xr:uid="{00000000-0005-0000-0000-000057810000}"/>
    <cellStyle name="Normal 439 8 3 2" xfId="33363" xr:uid="{00000000-0005-0000-0000-000058810000}"/>
    <cellStyle name="Normal 439 8 4" xfId="33364" xr:uid="{00000000-0005-0000-0000-000059810000}"/>
    <cellStyle name="Normal 439 9" xfId="33365" xr:uid="{00000000-0005-0000-0000-00005A810000}"/>
    <cellStyle name="Normal 44" xfId="33366" xr:uid="{00000000-0005-0000-0000-00005B810000}"/>
    <cellStyle name="Normal 44 2" xfId="33367" xr:uid="{00000000-0005-0000-0000-00005C810000}"/>
    <cellStyle name="Normal 44 2 2" xfId="33368" xr:uid="{00000000-0005-0000-0000-00005D810000}"/>
    <cellStyle name="Normal 44 2 2 2" xfId="33369" xr:uid="{00000000-0005-0000-0000-00005E810000}"/>
    <cellStyle name="Normal 44 2 2 2 2" xfId="33370" xr:uid="{00000000-0005-0000-0000-00005F810000}"/>
    <cellStyle name="Normal 44 2 2 3" xfId="33371" xr:uid="{00000000-0005-0000-0000-000060810000}"/>
    <cellStyle name="Normal 44 2 2 3 2" xfId="33372" xr:uid="{00000000-0005-0000-0000-000061810000}"/>
    <cellStyle name="Normal 44 2 2 3 2 2" xfId="33373" xr:uid="{00000000-0005-0000-0000-000062810000}"/>
    <cellStyle name="Normal 44 2 2 3 3" xfId="33374" xr:uid="{00000000-0005-0000-0000-000063810000}"/>
    <cellStyle name="Normal 44 2 2 4" xfId="33375" xr:uid="{00000000-0005-0000-0000-000064810000}"/>
    <cellStyle name="Normal 44 2 2 4 2" xfId="33376" xr:uid="{00000000-0005-0000-0000-000065810000}"/>
    <cellStyle name="Normal 44 2 2 4 2 2" xfId="33377" xr:uid="{00000000-0005-0000-0000-000066810000}"/>
    <cellStyle name="Normal 44 2 2 4 3" xfId="33378" xr:uid="{00000000-0005-0000-0000-000067810000}"/>
    <cellStyle name="Normal 44 2 2 5" xfId="33379" xr:uid="{00000000-0005-0000-0000-000068810000}"/>
    <cellStyle name="Normal 44 2 3" xfId="33380" xr:uid="{00000000-0005-0000-0000-000069810000}"/>
    <cellStyle name="Normal 44 2 3 2" xfId="33381" xr:uid="{00000000-0005-0000-0000-00006A810000}"/>
    <cellStyle name="Normal 44 2 3 2 2" xfId="33382" xr:uid="{00000000-0005-0000-0000-00006B810000}"/>
    <cellStyle name="Normal 44 2 3 3" xfId="33383" xr:uid="{00000000-0005-0000-0000-00006C810000}"/>
    <cellStyle name="Normal 44 2 4" xfId="33384" xr:uid="{00000000-0005-0000-0000-00006D810000}"/>
    <cellStyle name="Normal 44 2 4 2" xfId="33385" xr:uid="{00000000-0005-0000-0000-00006E810000}"/>
    <cellStyle name="Normal 44 2 4 2 2" xfId="33386" xr:uid="{00000000-0005-0000-0000-00006F810000}"/>
    <cellStyle name="Normal 44 2 4 3" xfId="33387" xr:uid="{00000000-0005-0000-0000-000070810000}"/>
    <cellStyle name="Normal 44 2 5" xfId="33388" xr:uid="{00000000-0005-0000-0000-000071810000}"/>
    <cellStyle name="Normal 44 2 5 2" xfId="33389" xr:uid="{00000000-0005-0000-0000-000072810000}"/>
    <cellStyle name="Normal 44 2 5 2 2" xfId="33390" xr:uid="{00000000-0005-0000-0000-000073810000}"/>
    <cellStyle name="Normal 44 2 5 3" xfId="33391" xr:uid="{00000000-0005-0000-0000-000074810000}"/>
    <cellStyle name="Normal 44 2 6" xfId="33392" xr:uid="{00000000-0005-0000-0000-000075810000}"/>
    <cellStyle name="Normal 44 3" xfId="33393" xr:uid="{00000000-0005-0000-0000-000076810000}"/>
    <cellStyle name="Normal 44 3 2" xfId="33394" xr:uid="{00000000-0005-0000-0000-000077810000}"/>
    <cellStyle name="Normal 44 3 2 2" xfId="33395" xr:uid="{00000000-0005-0000-0000-000078810000}"/>
    <cellStyle name="Normal 44 3 3" xfId="33396" xr:uid="{00000000-0005-0000-0000-000079810000}"/>
    <cellStyle name="Normal 44 3 3 2" xfId="33397" xr:uid="{00000000-0005-0000-0000-00007A810000}"/>
    <cellStyle name="Normal 44 3 3 2 2" xfId="33398" xr:uid="{00000000-0005-0000-0000-00007B810000}"/>
    <cellStyle name="Normal 44 3 3 3" xfId="33399" xr:uid="{00000000-0005-0000-0000-00007C810000}"/>
    <cellStyle name="Normal 44 3 4" xfId="33400" xr:uid="{00000000-0005-0000-0000-00007D810000}"/>
    <cellStyle name="Normal 44 3 4 2" xfId="33401" xr:uid="{00000000-0005-0000-0000-00007E810000}"/>
    <cellStyle name="Normal 44 3 4 2 2" xfId="33402" xr:uid="{00000000-0005-0000-0000-00007F810000}"/>
    <cellStyle name="Normal 44 3 4 3" xfId="33403" xr:uid="{00000000-0005-0000-0000-000080810000}"/>
    <cellStyle name="Normal 44 3 5" xfId="33404" xr:uid="{00000000-0005-0000-0000-000081810000}"/>
    <cellStyle name="Normal 44 4" xfId="33405" xr:uid="{00000000-0005-0000-0000-000082810000}"/>
    <cellStyle name="Normal 44 4 2" xfId="33406" xr:uid="{00000000-0005-0000-0000-000083810000}"/>
    <cellStyle name="Normal 44 4 2 2" xfId="33407" xr:uid="{00000000-0005-0000-0000-000084810000}"/>
    <cellStyle name="Normal 44 4 3" xfId="33408" xr:uid="{00000000-0005-0000-0000-000085810000}"/>
    <cellStyle name="Normal 44 5" xfId="33409" xr:uid="{00000000-0005-0000-0000-000086810000}"/>
    <cellStyle name="Normal 44 5 2" xfId="33410" xr:uid="{00000000-0005-0000-0000-000087810000}"/>
    <cellStyle name="Normal 44 5 2 2" xfId="33411" xr:uid="{00000000-0005-0000-0000-000088810000}"/>
    <cellStyle name="Normal 44 5 3" xfId="33412" xr:uid="{00000000-0005-0000-0000-000089810000}"/>
    <cellStyle name="Normal 44 6" xfId="33413" xr:uid="{00000000-0005-0000-0000-00008A810000}"/>
    <cellStyle name="Normal 44 6 2" xfId="33414" xr:uid="{00000000-0005-0000-0000-00008B810000}"/>
    <cellStyle name="Normal 44 6 2 2" xfId="33415" xr:uid="{00000000-0005-0000-0000-00008C810000}"/>
    <cellStyle name="Normal 44 6 3" xfId="33416" xr:uid="{00000000-0005-0000-0000-00008D810000}"/>
    <cellStyle name="Normal 44 7" xfId="33417" xr:uid="{00000000-0005-0000-0000-00008E810000}"/>
    <cellStyle name="Normal 440" xfId="33418" xr:uid="{00000000-0005-0000-0000-00008F810000}"/>
    <cellStyle name="Normal 440 10" xfId="33419" xr:uid="{00000000-0005-0000-0000-000090810000}"/>
    <cellStyle name="Normal 440 2" xfId="33420" xr:uid="{00000000-0005-0000-0000-000091810000}"/>
    <cellStyle name="Normal 440 2 2" xfId="33421" xr:uid="{00000000-0005-0000-0000-000092810000}"/>
    <cellStyle name="Normal 440 2 2 2" xfId="33422" xr:uid="{00000000-0005-0000-0000-000093810000}"/>
    <cellStyle name="Normal 440 2 2 2 2" xfId="33423" xr:uid="{00000000-0005-0000-0000-000094810000}"/>
    <cellStyle name="Normal 440 2 2 3" xfId="33424" xr:uid="{00000000-0005-0000-0000-000095810000}"/>
    <cellStyle name="Normal 440 2 2 3 2" xfId="33425" xr:uid="{00000000-0005-0000-0000-000096810000}"/>
    <cellStyle name="Normal 440 2 2 3 2 2" xfId="33426" xr:uid="{00000000-0005-0000-0000-000097810000}"/>
    <cellStyle name="Normal 440 2 2 3 3" xfId="33427" xr:uid="{00000000-0005-0000-0000-000098810000}"/>
    <cellStyle name="Normal 440 2 2 4" xfId="33428" xr:uid="{00000000-0005-0000-0000-000099810000}"/>
    <cellStyle name="Normal 440 2 3" xfId="33429" xr:uid="{00000000-0005-0000-0000-00009A810000}"/>
    <cellStyle name="Normal 440 2 3 2" xfId="33430" xr:uid="{00000000-0005-0000-0000-00009B810000}"/>
    <cellStyle name="Normal 440 2 3 2 2" xfId="33431" xr:uid="{00000000-0005-0000-0000-00009C810000}"/>
    <cellStyle name="Normal 440 2 3 3" xfId="33432" xr:uid="{00000000-0005-0000-0000-00009D810000}"/>
    <cellStyle name="Normal 440 2 4" xfId="33433" xr:uid="{00000000-0005-0000-0000-00009E810000}"/>
    <cellStyle name="Normal 440 2 4 2" xfId="33434" xr:uid="{00000000-0005-0000-0000-00009F810000}"/>
    <cellStyle name="Normal 440 2 4 2 2" xfId="33435" xr:uid="{00000000-0005-0000-0000-0000A0810000}"/>
    <cellStyle name="Normal 440 2 4 3" xfId="33436" xr:uid="{00000000-0005-0000-0000-0000A1810000}"/>
    <cellStyle name="Normal 440 2 5" xfId="33437" xr:uid="{00000000-0005-0000-0000-0000A2810000}"/>
    <cellStyle name="Normal 440 2 5 2" xfId="33438" xr:uid="{00000000-0005-0000-0000-0000A3810000}"/>
    <cellStyle name="Normal 440 2 5 2 2" xfId="33439" xr:uid="{00000000-0005-0000-0000-0000A4810000}"/>
    <cellStyle name="Normal 440 2 5 3" xfId="33440" xr:uid="{00000000-0005-0000-0000-0000A5810000}"/>
    <cellStyle name="Normal 440 2 6" xfId="33441" xr:uid="{00000000-0005-0000-0000-0000A6810000}"/>
    <cellStyle name="Normal 440 3" xfId="33442" xr:uid="{00000000-0005-0000-0000-0000A7810000}"/>
    <cellStyle name="Normal 440 3 2" xfId="33443" xr:uid="{00000000-0005-0000-0000-0000A8810000}"/>
    <cellStyle name="Normal 440 3 2 2" xfId="33444" xr:uid="{00000000-0005-0000-0000-0000A9810000}"/>
    <cellStyle name="Normal 440 3 3" xfId="33445" xr:uid="{00000000-0005-0000-0000-0000AA810000}"/>
    <cellStyle name="Normal 440 3 3 2" xfId="33446" xr:uid="{00000000-0005-0000-0000-0000AB810000}"/>
    <cellStyle name="Normal 440 3 3 2 2" xfId="33447" xr:uid="{00000000-0005-0000-0000-0000AC810000}"/>
    <cellStyle name="Normal 440 3 3 3" xfId="33448" xr:uid="{00000000-0005-0000-0000-0000AD810000}"/>
    <cellStyle name="Normal 440 3 4" xfId="33449" xr:uid="{00000000-0005-0000-0000-0000AE810000}"/>
    <cellStyle name="Normal 440 3 4 2" xfId="33450" xr:uid="{00000000-0005-0000-0000-0000AF810000}"/>
    <cellStyle name="Normal 440 3 4 2 2" xfId="33451" xr:uid="{00000000-0005-0000-0000-0000B0810000}"/>
    <cellStyle name="Normal 440 3 4 3" xfId="33452" xr:uid="{00000000-0005-0000-0000-0000B1810000}"/>
    <cellStyle name="Normal 440 3 5" xfId="33453" xr:uid="{00000000-0005-0000-0000-0000B2810000}"/>
    <cellStyle name="Normal 440 4" xfId="33454" xr:uid="{00000000-0005-0000-0000-0000B3810000}"/>
    <cellStyle name="Normal 440 4 2" xfId="33455" xr:uid="{00000000-0005-0000-0000-0000B4810000}"/>
    <cellStyle name="Normal 440 4 2 2" xfId="33456" xr:uid="{00000000-0005-0000-0000-0000B5810000}"/>
    <cellStyle name="Normal 440 4 2 2 2" xfId="33457" xr:uid="{00000000-0005-0000-0000-0000B6810000}"/>
    <cellStyle name="Normal 440 4 2 3" xfId="33458" xr:uid="{00000000-0005-0000-0000-0000B7810000}"/>
    <cellStyle name="Normal 440 4 2 3 2" xfId="33459" xr:uid="{00000000-0005-0000-0000-0000B8810000}"/>
    <cellStyle name="Normal 440 4 2 3 2 2" xfId="33460" xr:uid="{00000000-0005-0000-0000-0000B9810000}"/>
    <cellStyle name="Normal 440 4 2 3 3" xfId="33461" xr:uid="{00000000-0005-0000-0000-0000BA810000}"/>
    <cellStyle name="Normal 440 4 2 4" xfId="33462" xr:uid="{00000000-0005-0000-0000-0000BB810000}"/>
    <cellStyle name="Normal 440 4 3" xfId="33463" xr:uid="{00000000-0005-0000-0000-0000BC810000}"/>
    <cellStyle name="Normal 440 4 3 2" xfId="33464" xr:uid="{00000000-0005-0000-0000-0000BD810000}"/>
    <cellStyle name="Normal 440 4 3 2 2" xfId="33465" xr:uid="{00000000-0005-0000-0000-0000BE810000}"/>
    <cellStyle name="Normal 440 4 3 3" xfId="33466" xr:uid="{00000000-0005-0000-0000-0000BF810000}"/>
    <cellStyle name="Normal 440 4 4" xfId="33467" xr:uid="{00000000-0005-0000-0000-0000C0810000}"/>
    <cellStyle name="Normal 440 4 4 2" xfId="33468" xr:uid="{00000000-0005-0000-0000-0000C1810000}"/>
    <cellStyle name="Normal 440 4 4 2 2" xfId="33469" xr:uid="{00000000-0005-0000-0000-0000C2810000}"/>
    <cellStyle name="Normal 440 4 4 3" xfId="33470" xr:uid="{00000000-0005-0000-0000-0000C3810000}"/>
    <cellStyle name="Normal 440 4 5" xfId="33471" xr:uid="{00000000-0005-0000-0000-0000C4810000}"/>
    <cellStyle name="Normal 440 4 5 2" xfId="33472" xr:uid="{00000000-0005-0000-0000-0000C5810000}"/>
    <cellStyle name="Normal 440 4 5 2 2" xfId="33473" xr:uid="{00000000-0005-0000-0000-0000C6810000}"/>
    <cellStyle name="Normal 440 4 5 3" xfId="33474" xr:uid="{00000000-0005-0000-0000-0000C7810000}"/>
    <cellStyle name="Normal 440 4 6" xfId="33475" xr:uid="{00000000-0005-0000-0000-0000C8810000}"/>
    <cellStyle name="Normal 440 5" xfId="33476" xr:uid="{00000000-0005-0000-0000-0000C9810000}"/>
    <cellStyle name="Normal 440 5 2" xfId="33477" xr:uid="{00000000-0005-0000-0000-0000CA810000}"/>
    <cellStyle name="Normal 440 5 2 2" xfId="33478" xr:uid="{00000000-0005-0000-0000-0000CB810000}"/>
    <cellStyle name="Normal 440 5 3" xfId="33479" xr:uid="{00000000-0005-0000-0000-0000CC810000}"/>
    <cellStyle name="Normal 440 6" xfId="33480" xr:uid="{00000000-0005-0000-0000-0000CD810000}"/>
    <cellStyle name="Normal 440 6 2" xfId="33481" xr:uid="{00000000-0005-0000-0000-0000CE810000}"/>
    <cellStyle name="Normal 440 6 2 2" xfId="33482" xr:uid="{00000000-0005-0000-0000-0000CF810000}"/>
    <cellStyle name="Normal 440 6 3" xfId="33483" xr:uid="{00000000-0005-0000-0000-0000D0810000}"/>
    <cellStyle name="Normal 440 7" xfId="33484" xr:uid="{00000000-0005-0000-0000-0000D1810000}"/>
    <cellStyle name="Normal 440 7 2" xfId="33485" xr:uid="{00000000-0005-0000-0000-0000D2810000}"/>
    <cellStyle name="Normal 440 7 2 2" xfId="33486" xr:uid="{00000000-0005-0000-0000-0000D3810000}"/>
    <cellStyle name="Normal 440 7 3" xfId="33487" xr:uid="{00000000-0005-0000-0000-0000D4810000}"/>
    <cellStyle name="Normal 440 8" xfId="33488" xr:uid="{00000000-0005-0000-0000-0000D5810000}"/>
    <cellStyle name="Normal 440 8 2" xfId="33489" xr:uid="{00000000-0005-0000-0000-0000D6810000}"/>
    <cellStyle name="Normal 440 8 2 2" xfId="33490" xr:uid="{00000000-0005-0000-0000-0000D7810000}"/>
    <cellStyle name="Normal 440 8 3" xfId="33491" xr:uid="{00000000-0005-0000-0000-0000D8810000}"/>
    <cellStyle name="Normal 440 8 3 2" xfId="33492" xr:uid="{00000000-0005-0000-0000-0000D9810000}"/>
    <cellStyle name="Normal 440 8 4" xfId="33493" xr:uid="{00000000-0005-0000-0000-0000DA810000}"/>
    <cellStyle name="Normal 440 9" xfId="33494" xr:uid="{00000000-0005-0000-0000-0000DB810000}"/>
    <cellStyle name="Normal 441" xfId="33495" xr:uid="{00000000-0005-0000-0000-0000DC810000}"/>
    <cellStyle name="Normal 441 2" xfId="33496" xr:uid="{00000000-0005-0000-0000-0000DD810000}"/>
    <cellStyle name="Normal 441 2 2" xfId="33497" xr:uid="{00000000-0005-0000-0000-0000DE810000}"/>
    <cellStyle name="Normal 441 2 2 2" xfId="33498" xr:uid="{00000000-0005-0000-0000-0000DF810000}"/>
    <cellStyle name="Normal 441 2 3" xfId="33499" xr:uid="{00000000-0005-0000-0000-0000E0810000}"/>
    <cellStyle name="Normal 441 2 3 2" xfId="33500" xr:uid="{00000000-0005-0000-0000-0000E1810000}"/>
    <cellStyle name="Normal 441 2 3 2 2" xfId="33501" xr:uid="{00000000-0005-0000-0000-0000E2810000}"/>
    <cellStyle name="Normal 441 2 3 3" xfId="33502" xr:uid="{00000000-0005-0000-0000-0000E3810000}"/>
    <cellStyle name="Normal 441 2 4" xfId="33503" xr:uid="{00000000-0005-0000-0000-0000E4810000}"/>
    <cellStyle name="Normal 441 2 4 2" xfId="33504" xr:uid="{00000000-0005-0000-0000-0000E5810000}"/>
    <cellStyle name="Normal 441 2 4 2 2" xfId="33505" xr:uid="{00000000-0005-0000-0000-0000E6810000}"/>
    <cellStyle name="Normal 441 2 4 3" xfId="33506" xr:uid="{00000000-0005-0000-0000-0000E7810000}"/>
    <cellStyle name="Normal 441 2 5" xfId="33507" xr:uid="{00000000-0005-0000-0000-0000E8810000}"/>
    <cellStyle name="Normal 441 3" xfId="33508" xr:uid="{00000000-0005-0000-0000-0000E9810000}"/>
    <cellStyle name="Normal 441 3 2" xfId="33509" xr:uid="{00000000-0005-0000-0000-0000EA810000}"/>
    <cellStyle name="Normal 441 3 2 2" xfId="33510" xr:uid="{00000000-0005-0000-0000-0000EB810000}"/>
    <cellStyle name="Normal 441 3 2 2 2" xfId="33511" xr:uid="{00000000-0005-0000-0000-0000EC810000}"/>
    <cellStyle name="Normal 441 3 2 3" xfId="33512" xr:uid="{00000000-0005-0000-0000-0000ED810000}"/>
    <cellStyle name="Normal 441 3 2 3 2" xfId="33513" xr:uid="{00000000-0005-0000-0000-0000EE810000}"/>
    <cellStyle name="Normal 441 3 2 3 2 2" xfId="33514" xr:uid="{00000000-0005-0000-0000-0000EF810000}"/>
    <cellStyle name="Normal 441 3 2 3 3" xfId="33515" xr:uid="{00000000-0005-0000-0000-0000F0810000}"/>
    <cellStyle name="Normal 441 3 2 4" xfId="33516" xr:uid="{00000000-0005-0000-0000-0000F1810000}"/>
    <cellStyle name="Normal 441 3 3" xfId="33517" xr:uid="{00000000-0005-0000-0000-0000F2810000}"/>
    <cellStyle name="Normal 441 3 3 2" xfId="33518" xr:uid="{00000000-0005-0000-0000-0000F3810000}"/>
    <cellStyle name="Normal 441 3 3 2 2" xfId="33519" xr:uid="{00000000-0005-0000-0000-0000F4810000}"/>
    <cellStyle name="Normal 441 3 3 3" xfId="33520" xr:uid="{00000000-0005-0000-0000-0000F5810000}"/>
    <cellStyle name="Normal 441 3 4" xfId="33521" xr:uid="{00000000-0005-0000-0000-0000F6810000}"/>
    <cellStyle name="Normal 441 3 4 2" xfId="33522" xr:uid="{00000000-0005-0000-0000-0000F7810000}"/>
    <cellStyle name="Normal 441 3 4 2 2" xfId="33523" xr:uid="{00000000-0005-0000-0000-0000F8810000}"/>
    <cellStyle name="Normal 441 3 4 3" xfId="33524" xr:uid="{00000000-0005-0000-0000-0000F9810000}"/>
    <cellStyle name="Normal 441 3 5" xfId="33525" xr:uid="{00000000-0005-0000-0000-0000FA810000}"/>
    <cellStyle name="Normal 441 3 5 2" xfId="33526" xr:uid="{00000000-0005-0000-0000-0000FB810000}"/>
    <cellStyle name="Normal 441 3 5 2 2" xfId="33527" xr:uid="{00000000-0005-0000-0000-0000FC810000}"/>
    <cellStyle name="Normal 441 3 5 3" xfId="33528" xr:uid="{00000000-0005-0000-0000-0000FD810000}"/>
    <cellStyle name="Normal 441 3 6" xfId="33529" xr:uid="{00000000-0005-0000-0000-0000FE810000}"/>
    <cellStyle name="Normal 441 4" xfId="33530" xr:uid="{00000000-0005-0000-0000-0000FF810000}"/>
    <cellStyle name="Normal 441 4 2" xfId="33531" xr:uid="{00000000-0005-0000-0000-000000820000}"/>
    <cellStyle name="Normal 441 4 2 2" xfId="33532" xr:uid="{00000000-0005-0000-0000-000001820000}"/>
    <cellStyle name="Normal 441 4 3" xfId="33533" xr:uid="{00000000-0005-0000-0000-000002820000}"/>
    <cellStyle name="Normal 441 5" xfId="33534" xr:uid="{00000000-0005-0000-0000-000003820000}"/>
    <cellStyle name="Normal 441 5 2" xfId="33535" xr:uid="{00000000-0005-0000-0000-000004820000}"/>
    <cellStyle name="Normal 441 5 2 2" xfId="33536" xr:uid="{00000000-0005-0000-0000-000005820000}"/>
    <cellStyle name="Normal 441 5 3" xfId="33537" xr:uid="{00000000-0005-0000-0000-000006820000}"/>
    <cellStyle name="Normal 441 6" xfId="33538" xr:uid="{00000000-0005-0000-0000-000007820000}"/>
    <cellStyle name="Normal 441 6 2" xfId="33539" xr:uid="{00000000-0005-0000-0000-000008820000}"/>
    <cellStyle name="Normal 441 6 2 2" xfId="33540" xr:uid="{00000000-0005-0000-0000-000009820000}"/>
    <cellStyle name="Normal 441 6 3" xfId="33541" xr:uid="{00000000-0005-0000-0000-00000A820000}"/>
    <cellStyle name="Normal 441 7" xfId="33542" xr:uid="{00000000-0005-0000-0000-00000B820000}"/>
    <cellStyle name="Normal 442" xfId="33543" xr:uid="{00000000-0005-0000-0000-00000C820000}"/>
    <cellStyle name="Normal 442 2" xfId="33544" xr:uid="{00000000-0005-0000-0000-00000D820000}"/>
    <cellStyle name="Normal 442 2 2" xfId="33545" xr:uid="{00000000-0005-0000-0000-00000E820000}"/>
    <cellStyle name="Normal 442 2 2 2" xfId="33546" xr:uid="{00000000-0005-0000-0000-00000F820000}"/>
    <cellStyle name="Normal 442 2 3" xfId="33547" xr:uid="{00000000-0005-0000-0000-000010820000}"/>
    <cellStyle name="Normal 442 2 3 2" xfId="33548" xr:uid="{00000000-0005-0000-0000-000011820000}"/>
    <cellStyle name="Normal 442 2 3 2 2" xfId="33549" xr:uid="{00000000-0005-0000-0000-000012820000}"/>
    <cellStyle name="Normal 442 2 3 3" xfId="33550" xr:uid="{00000000-0005-0000-0000-000013820000}"/>
    <cellStyle name="Normal 442 2 4" xfId="33551" xr:uid="{00000000-0005-0000-0000-000014820000}"/>
    <cellStyle name="Normal 442 2 4 2" xfId="33552" xr:uid="{00000000-0005-0000-0000-000015820000}"/>
    <cellStyle name="Normal 442 2 4 2 2" xfId="33553" xr:uid="{00000000-0005-0000-0000-000016820000}"/>
    <cellStyle name="Normal 442 2 4 3" xfId="33554" xr:uid="{00000000-0005-0000-0000-000017820000}"/>
    <cellStyle name="Normal 442 2 5" xfId="33555" xr:uid="{00000000-0005-0000-0000-000018820000}"/>
    <cellStyle name="Normal 442 3" xfId="33556" xr:uid="{00000000-0005-0000-0000-000019820000}"/>
    <cellStyle name="Normal 442 3 2" xfId="33557" xr:uid="{00000000-0005-0000-0000-00001A820000}"/>
    <cellStyle name="Normal 442 3 2 2" xfId="33558" xr:uid="{00000000-0005-0000-0000-00001B820000}"/>
    <cellStyle name="Normal 442 3 2 2 2" xfId="33559" xr:uid="{00000000-0005-0000-0000-00001C820000}"/>
    <cellStyle name="Normal 442 3 2 3" xfId="33560" xr:uid="{00000000-0005-0000-0000-00001D820000}"/>
    <cellStyle name="Normal 442 3 2 3 2" xfId="33561" xr:uid="{00000000-0005-0000-0000-00001E820000}"/>
    <cellStyle name="Normal 442 3 2 3 2 2" xfId="33562" xr:uid="{00000000-0005-0000-0000-00001F820000}"/>
    <cellStyle name="Normal 442 3 2 3 3" xfId="33563" xr:uid="{00000000-0005-0000-0000-000020820000}"/>
    <cellStyle name="Normal 442 3 2 4" xfId="33564" xr:uid="{00000000-0005-0000-0000-000021820000}"/>
    <cellStyle name="Normal 442 3 3" xfId="33565" xr:uid="{00000000-0005-0000-0000-000022820000}"/>
    <cellStyle name="Normal 442 3 3 2" xfId="33566" xr:uid="{00000000-0005-0000-0000-000023820000}"/>
    <cellStyle name="Normal 442 3 3 2 2" xfId="33567" xr:uid="{00000000-0005-0000-0000-000024820000}"/>
    <cellStyle name="Normal 442 3 3 3" xfId="33568" xr:uid="{00000000-0005-0000-0000-000025820000}"/>
    <cellStyle name="Normal 442 3 4" xfId="33569" xr:uid="{00000000-0005-0000-0000-000026820000}"/>
    <cellStyle name="Normal 442 3 4 2" xfId="33570" xr:uid="{00000000-0005-0000-0000-000027820000}"/>
    <cellStyle name="Normal 442 3 4 2 2" xfId="33571" xr:uid="{00000000-0005-0000-0000-000028820000}"/>
    <cellStyle name="Normal 442 3 4 3" xfId="33572" xr:uid="{00000000-0005-0000-0000-000029820000}"/>
    <cellStyle name="Normal 442 3 5" xfId="33573" xr:uid="{00000000-0005-0000-0000-00002A820000}"/>
    <cellStyle name="Normal 442 3 5 2" xfId="33574" xr:uid="{00000000-0005-0000-0000-00002B820000}"/>
    <cellStyle name="Normal 442 3 5 2 2" xfId="33575" xr:uid="{00000000-0005-0000-0000-00002C820000}"/>
    <cellStyle name="Normal 442 3 5 3" xfId="33576" xr:uid="{00000000-0005-0000-0000-00002D820000}"/>
    <cellStyle name="Normal 442 3 6" xfId="33577" xr:uid="{00000000-0005-0000-0000-00002E820000}"/>
    <cellStyle name="Normal 442 4" xfId="33578" xr:uid="{00000000-0005-0000-0000-00002F820000}"/>
    <cellStyle name="Normal 442 4 2" xfId="33579" xr:uid="{00000000-0005-0000-0000-000030820000}"/>
    <cellStyle name="Normal 442 4 2 2" xfId="33580" xr:uid="{00000000-0005-0000-0000-000031820000}"/>
    <cellStyle name="Normal 442 4 3" xfId="33581" xr:uid="{00000000-0005-0000-0000-000032820000}"/>
    <cellStyle name="Normal 442 5" xfId="33582" xr:uid="{00000000-0005-0000-0000-000033820000}"/>
    <cellStyle name="Normal 442 5 2" xfId="33583" xr:uid="{00000000-0005-0000-0000-000034820000}"/>
    <cellStyle name="Normal 442 5 2 2" xfId="33584" xr:uid="{00000000-0005-0000-0000-000035820000}"/>
    <cellStyle name="Normal 442 5 3" xfId="33585" xr:uid="{00000000-0005-0000-0000-000036820000}"/>
    <cellStyle name="Normal 442 6" xfId="33586" xr:uid="{00000000-0005-0000-0000-000037820000}"/>
    <cellStyle name="Normal 442 6 2" xfId="33587" xr:uid="{00000000-0005-0000-0000-000038820000}"/>
    <cellStyle name="Normal 442 6 2 2" xfId="33588" xr:uid="{00000000-0005-0000-0000-000039820000}"/>
    <cellStyle name="Normal 442 6 3" xfId="33589" xr:uid="{00000000-0005-0000-0000-00003A820000}"/>
    <cellStyle name="Normal 442 7" xfId="33590" xr:uid="{00000000-0005-0000-0000-00003B820000}"/>
    <cellStyle name="Normal 443" xfId="33591" xr:uid="{00000000-0005-0000-0000-00003C820000}"/>
    <cellStyle name="Normal 443 2" xfId="33592" xr:uid="{00000000-0005-0000-0000-00003D820000}"/>
    <cellStyle name="Normal 443 2 2" xfId="33593" xr:uid="{00000000-0005-0000-0000-00003E820000}"/>
    <cellStyle name="Normal 443 2 2 2" xfId="33594" xr:uid="{00000000-0005-0000-0000-00003F820000}"/>
    <cellStyle name="Normal 443 2 3" xfId="33595" xr:uid="{00000000-0005-0000-0000-000040820000}"/>
    <cellStyle name="Normal 443 2 3 2" xfId="33596" xr:uid="{00000000-0005-0000-0000-000041820000}"/>
    <cellStyle name="Normal 443 2 3 2 2" xfId="33597" xr:uid="{00000000-0005-0000-0000-000042820000}"/>
    <cellStyle name="Normal 443 2 3 3" xfId="33598" xr:uid="{00000000-0005-0000-0000-000043820000}"/>
    <cellStyle name="Normal 443 2 4" xfId="33599" xr:uid="{00000000-0005-0000-0000-000044820000}"/>
    <cellStyle name="Normal 443 2 4 2" xfId="33600" xr:uid="{00000000-0005-0000-0000-000045820000}"/>
    <cellStyle name="Normal 443 2 4 2 2" xfId="33601" xr:uid="{00000000-0005-0000-0000-000046820000}"/>
    <cellStyle name="Normal 443 2 4 3" xfId="33602" xr:uid="{00000000-0005-0000-0000-000047820000}"/>
    <cellStyle name="Normal 443 2 5" xfId="33603" xr:uid="{00000000-0005-0000-0000-000048820000}"/>
    <cellStyle name="Normal 443 3" xfId="33604" xr:uid="{00000000-0005-0000-0000-000049820000}"/>
    <cellStyle name="Normal 443 3 2" xfId="33605" xr:uid="{00000000-0005-0000-0000-00004A820000}"/>
    <cellStyle name="Normal 443 3 2 2" xfId="33606" xr:uid="{00000000-0005-0000-0000-00004B820000}"/>
    <cellStyle name="Normal 443 3 2 2 2" xfId="33607" xr:uid="{00000000-0005-0000-0000-00004C820000}"/>
    <cellStyle name="Normal 443 3 2 3" xfId="33608" xr:uid="{00000000-0005-0000-0000-00004D820000}"/>
    <cellStyle name="Normal 443 3 2 3 2" xfId="33609" xr:uid="{00000000-0005-0000-0000-00004E820000}"/>
    <cellStyle name="Normal 443 3 2 3 2 2" xfId="33610" xr:uid="{00000000-0005-0000-0000-00004F820000}"/>
    <cellStyle name="Normal 443 3 2 3 3" xfId="33611" xr:uid="{00000000-0005-0000-0000-000050820000}"/>
    <cellStyle name="Normal 443 3 2 4" xfId="33612" xr:uid="{00000000-0005-0000-0000-000051820000}"/>
    <cellStyle name="Normal 443 3 3" xfId="33613" xr:uid="{00000000-0005-0000-0000-000052820000}"/>
    <cellStyle name="Normal 443 3 3 2" xfId="33614" xr:uid="{00000000-0005-0000-0000-000053820000}"/>
    <cellStyle name="Normal 443 3 3 2 2" xfId="33615" xr:uid="{00000000-0005-0000-0000-000054820000}"/>
    <cellStyle name="Normal 443 3 3 3" xfId="33616" xr:uid="{00000000-0005-0000-0000-000055820000}"/>
    <cellStyle name="Normal 443 3 4" xfId="33617" xr:uid="{00000000-0005-0000-0000-000056820000}"/>
    <cellStyle name="Normal 443 3 4 2" xfId="33618" xr:uid="{00000000-0005-0000-0000-000057820000}"/>
    <cellStyle name="Normal 443 3 4 2 2" xfId="33619" xr:uid="{00000000-0005-0000-0000-000058820000}"/>
    <cellStyle name="Normal 443 3 4 3" xfId="33620" xr:uid="{00000000-0005-0000-0000-000059820000}"/>
    <cellStyle name="Normal 443 3 5" xfId="33621" xr:uid="{00000000-0005-0000-0000-00005A820000}"/>
    <cellStyle name="Normal 443 3 5 2" xfId="33622" xr:uid="{00000000-0005-0000-0000-00005B820000}"/>
    <cellStyle name="Normal 443 3 5 2 2" xfId="33623" xr:uid="{00000000-0005-0000-0000-00005C820000}"/>
    <cellStyle name="Normal 443 3 5 3" xfId="33624" xr:uid="{00000000-0005-0000-0000-00005D820000}"/>
    <cellStyle name="Normal 443 3 6" xfId="33625" xr:uid="{00000000-0005-0000-0000-00005E820000}"/>
    <cellStyle name="Normal 443 4" xfId="33626" xr:uid="{00000000-0005-0000-0000-00005F820000}"/>
    <cellStyle name="Normal 443 4 2" xfId="33627" xr:uid="{00000000-0005-0000-0000-000060820000}"/>
    <cellStyle name="Normal 443 4 2 2" xfId="33628" xr:uid="{00000000-0005-0000-0000-000061820000}"/>
    <cellStyle name="Normal 443 4 3" xfId="33629" xr:uid="{00000000-0005-0000-0000-000062820000}"/>
    <cellStyle name="Normal 443 5" xfId="33630" xr:uid="{00000000-0005-0000-0000-000063820000}"/>
    <cellStyle name="Normal 443 5 2" xfId="33631" xr:uid="{00000000-0005-0000-0000-000064820000}"/>
    <cellStyle name="Normal 443 5 2 2" xfId="33632" xr:uid="{00000000-0005-0000-0000-000065820000}"/>
    <cellStyle name="Normal 443 5 3" xfId="33633" xr:uid="{00000000-0005-0000-0000-000066820000}"/>
    <cellStyle name="Normal 443 6" xfId="33634" xr:uid="{00000000-0005-0000-0000-000067820000}"/>
    <cellStyle name="Normal 443 6 2" xfId="33635" xr:uid="{00000000-0005-0000-0000-000068820000}"/>
    <cellStyle name="Normal 443 6 2 2" xfId="33636" xr:uid="{00000000-0005-0000-0000-000069820000}"/>
    <cellStyle name="Normal 443 6 3" xfId="33637" xr:uid="{00000000-0005-0000-0000-00006A820000}"/>
    <cellStyle name="Normal 443 7" xfId="33638" xr:uid="{00000000-0005-0000-0000-00006B820000}"/>
    <cellStyle name="Normal 444" xfId="33639" xr:uid="{00000000-0005-0000-0000-00006C820000}"/>
    <cellStyle name="Normal 444 2" xfId="33640" xr:uid="{00000000-0005-0000-0000-00006D820000}"/>
    <cellStyle name="Normal 444 2 2" xfId="33641" xr:uid="{00000000-0005-0000-0000-00006E820000}"/>
    <cellStyle name="Normal 444 2 2 2" xfId="33642" xr:uid="{00000000-0005-0000-0000-00006F820000}"/>
    <cellStyle name="Normal 444 2 3" xfId="33643" xr:uid="{00000000-0005-0000-0000-000070820000}"/>
    <cellStyle name="Normal 444 2 3 2" xfId="33644" xr:uid="{00000000-0005-0000-0000-000071820000}"/>
    <cellStyle name="Normal 444 2 3 2 2" xfId="33645" xr:uid="{00000000-0005-0000-0000-000072820000}"/>
    <cellStyle name="Normal 444 2 3 3" xfId="33646" xr:uid="{00000000-0005-0000-0000-000073820000}"/>
    <cellStyle name="Normal 444 2 4" xfId="33647" xr:uid="{00000000-0005-0000-0000-000074820000}"/>
    <cellStyle name="Normal 444 2 4 2" xfId="33648" xr:uid="{00000000-0005-0000-0000-000075820000}"/>
    <cellStyle name="Normal 444 2 4 2 2" xfId="33649" xr:uid="{00000000-0005-0000-0000-000076820000}"/>
    <cellStyle name="Normal 444 2 4 3" xfId="33650" xr:uid="{00000000-0005-0000-0000-000077820000}"/>
    <cellStyle name="Normal 444 2 5" xfId="33651" xr:uid="{00000000-0005-0000-0000-000078820000}"/>
    <cellStyle name="Normal 444 3" xfId="33652" xr:uid="{00000000-0005-0000-0000-000079820000}"/>
    <cellStyle name="Normal 444 3 2" xfId="33653" xr:uid="{00000000-0005-0000-0000-00007A820000}"/>
    <cellStyle name="Normal 444 3 2 2" xfId="33654" xr:uid="{00000000-0005-0000-0000-00007B820000}"/>
    <cellStyle name="Normal 444 3 2 2 2" xfId="33655" xr:uid="{00000000-0005-0000-0000-00007C820000}"/>
    <cellStyle name="Normal 444 3 2 3" xfId="33656" xr:uid="{00000000-0005-0000-0000-00007D820000}"/>
    <cellStyle name="Normal 444 3 2 3 2" xfId="33657" xr:uid="{00000000-0005-0000-0000-00007E820000}"/>
    <cellStyle name="Normal 444 3 2 3 2 2" xfId="33658" xr:uid="{00000000-0005-0000-0000-00007F820000}"/>
    <cellStyle name="Normal 444 3 2 3 3" xfId="33659" xr:uid="{00000000-0005-0000-0000-000080820000}"/>
    <cellStyle name="Normal 444 3 2 4" xfId="33660" xr:uid="{00000000-0005-0000-0000-000081820000}"/>
    <cellStyle name="Normal 444 3 3" xfId="33661" xr:uid="{00000000-0005-0000-0000-000082820000}"/>
    <cellStyle name="Normal 444 3 3 2" xfId="33662" xr:uid="{00000000-0005-0000-0000-000083820000}"/>
    <cellStyle name="Normal 444 3 3 2 2" xfId="33663" xr:uid="{00000000-0005-0000-0000-000084820000}"/>
    <cellStyle name="Normal 444 3 3 3" xfId="33664" xr:uid="{00000000-0005-0000-0000-000085820000}"/>
    <cellStyle name="Normal 444 3 4" xfId="33665" xr:uid="{00000000-0005-0000-0000-000086820000}"/>
    <cellStyle name="Normal 444 3 4 2" xfId="33666" xr:uid="{00000000-0005-0000-0000-000087820000}"/>
    <cellStyle name="Normal 444 3 4 2 2" xfId="33667" xr:uid="{00000000-0005-0000-0000-000088820000}"/>
    <cellStyle name="Normal 444 3 4 3" xfId="33668" xr:uid="{00000000-0005-0000-0000-000089820000}"/>
    <cellStyle name="Normal 444 3 5" xfId="33669" xr:uid="{00000000-0005-0000-0000-00008A820000}"/>
    <cellStyle name="Normal 444 3 5 2" xfId="33670" xr:uid="{00000000-0005-0000-0000-00008B820000}"/>
    <cellStyle name="Normal 444 3 5 2 2" xfId="33671" xr:uid="{00000000-0005-0000-0000-00008C820000}"/>
    <cellStyle name="Normal 444 3 5 3" xfId="33672" xr:uid="{00000000-0005-0000-0000-00008D820000}"/>
    <cellStyle name="Normal 444 3 6" xfId="33673" xr:uid="{00000000-0005-0000-0000-00008E820000}"/>
    <cellStyle name="Normal 444 4" xfId="33674" xr:uid="{00000000-0005-0000-0000-00008F820000}"/>
    <cellStyle name="Normal 444 4 2" xfId="33675" xr:uid="{00000000-0005-0000-0000-000090820000}"/>
    <cellStyle name="Normal 444 4 2 2" xfId="33676" xr:uid="{00000000-0005-0000-0000-000091820000}"/>
    <cellStyle name="Normal 444 4 3" xfId="33677" xr:uid="{00000000-0005-0000-0000-000092820000}"/>
    <cellStyle name="Normal 444 5" xfId="33678" xr:uid="{00000000-0005-0000-0000-000093820000}"/>
    <cellStyle name="Normal 444 5 2" xfId="33679" xr:uid="{00000000-0005-0000-0000-000094820000}"/>
    <cellStyle name="Normal 444 5 2 2" xfId="33680" xr:uid="{00000000-0005-0000-0000-000095820000}"/>
    <cellStyle name="Normal 444 5 3" xfId="33681" xr:uid="{00000000-0005-0000-0000-000096820000}"/>
    <cellStyle name="Normal 444 6" xfId="33682" xr:uid="{00000000-0005-0000-0000-000097820000}"/>
    <cellStyle name="Normal 444 6 2" xfId="33683" xr:uid="{00000000-0005-0000-0000-000098820000}"/>
    <cellStyle name="Normal 444 6 2 2" xfId="33684" xr:uid="{00000000-0005-0000-0000-000099820000}"/>
    <cellStyle name="Normal 444 6 3" xfId="33685" xr:uid="{00000000-0005-0000-0000-00009A820000}"/>
    <cellStyle name="Normal 444 7" xfId="33686" xr:uid="{00000000-0005-0000-0000-00009B820000}"/>
    <cellStyle name="Normal 445" xfId="33687" xr:uid="{00000000-0005-0000-0000-00009C820000}"/>
    <cellStyle name="Normal 445 2" xfId="33688" xr:uid="{00000000-0005-0000-0000-00009D820000}"/>
    <cellStyle name="Normal 445 2 2" xfId="33689" xr:uid="{00000000-0005-0000-0000-00009E820000}"/>
    <cellStyle name="Normal 445 2 2 2" xfId="33690" xr:uid="{00000000-0005-0000-0000-00009F820000}"/>
    <cellStyle name="Normal 445 2 3" xfId="33691" xr:uid="{00000000-0005-0000-0000-0000A0820000}"/>
    <cellStyle name="Normal 445 2 3 2" xfId="33692" xr:uid="{00000000-0005-0000-0000-0000A1820000}"/>
    <cellStyle name="Normal 445 2 3 2 2" xfId="33693" xr:uid="{00000000-0005-0000-0000-0000A2820000}"/>
    <cellStyle name="Normal 445 2 3 3" xfId="33694" xr:uid="{00000000-0005-0000-0000-0000A3820000}"/>
    <cellStyle name="Normal 445 2 4" xfId="33695" xr:uid="{00000000-0005-0000-0000-0000A4820000}"/>
    <cellStyle name="Normal 445 2 4 2" xfId="33696" xr:uid="{00000000-0005-0000-0000-0000A5820000}"/>
    <cellStyle name="Normal 445 2 4 2 2" xfId="33697" xr:uid="{00000000-0005-0000-0000-0000A6820000}"/>
    <cellStyle name="Normal 445 2 4 3" xfId="33698" xr:uid="{00000000-0005-0000-0000-0000A7820000}"/>
    <cellStyle name="Normal 445 2 5" xfId="33699" xr:uid="{00000000-0005-0000-0000-0000A8820000}"/>
    <cellStyle name="Normal 445 3" xfId="33700" xr:uid="{00000000-0005-0000-0000-0000A9820000}"/>
    <cellStyle name="Normal 445 3 2" xfId="33701" xr:uid="{00000000-0005-0000-0000-0000AA820000}"/>
    <cellStyle name="Normal 445 3 2 2" xfId="33702" xr:uid="{00000000-0005-0000-0000-0000AB820000}"/>
    <cellStyle name="Normal 445 3 2 2 2" xfId="33703" xr:uid="{00000000-0005-0000-0000-0000AC820000}"/>
    <cellStyle name="Normal 445 3 2 3" xfId="33704" xr:uid="{00000000-0005-0000-0000-0000AD820000}"/>
    <cellStyle name="Normal 445 3 2 3 2" xfId="33705" xr:uid="{00000000-0005-0000-0000-0000AE820000}"/>
    <cellStyle name="Normal 445 3 2 3 2 2" xfId="33706" xr:uid="{00000000-0005-0000-0000-0000AF820000}"/>
    <cellStyle name="Normal 445 3 2 3 3" xfId="33707" xr:uid="{00000000-0005-0000-0000-0000B0820000}"/>
    <cellStyle name="Normal 445 3 2 4" xfId="33708" xr:uid="{00000000-0005-0000-0000-0000B1820000}"/>
    <cellStyle name="Normal 445 3 3" xfId="33709" xr:uid="{00000000-0005-0000-0000-0000B2820000}"/>
    <cellStyle name="Normal 445 3 3 2" xfId="33710" xr:uid="{00000000-0005-0000-0000-0000B3820000}"/>
    <cellStyle name="Normal 445 3 3 2 2" xfId="33711" xr:uid="{00000000-0005-0000-0000-0000B4820000}"/>
    <cellStyle name="Normal 445 3 3 3" xfId="33712" xr:uid="{00000000-0005-0000-0000-0000B5820000}"/>
    <cellStyle name="Normal 445 3 4" xfId="33713" xr:uid="{00000000-0005-0000-0000-0000B6820000}"/>
    <cellStyle name="Normal 445 3 4 2" xfId="33714" xr:uid="{00000000-0005-0000-0000-0000B7820000}"/>
    <cellStyle name="Normal 445 3 4 2 2" xfId="33715" xr:uid="{00000000-0005-0000-0000-0000B8820000}"/>
    <cellStyle name="Normal 445 3 4 3" xfId="33716" xr:uid="{00000000-0005-0000-0000-0000B9820000}"/>
    <cellStyle name="Normal 445 3 5" xfId="33717" xr:uid="{00000000-0005-0000-0000-0000BA820000}"/>
    <cellStyle name="Normal 445 3 5 2" xfId="33718" xr:uid="{00000000-0005-0000-0000-0000BB820000}"/>
    <cellStyle name="Normal 445 3 5 2 2" xfId="33719" xr:uid="{00000000-0005-0000-0000-0000BC820000}"/>
    <cellStyle name="Normal 445 3 5 3" xfId="33720" xr:uid="{00000000-0005-0000-0000-0000BD820000}"/>
    <cellStyle name="Normal 445 3 6" xfId="33721" xr:uid="{00000000-0005-0000-0000-0000BE820000}"/>
    <cellStyle name="Normal 445 4" xfId="33722" xr:uid="{00000000-0005-0000-0000-0000BF820000}"/>
    <cellStyle name="Normal 445 4 2" xfId="33723" xr:uid="{00000000-0005-0000-0000-0000C0820000}"/>
    <cellStyle name="Normal 445 4 2 2" xfId="33724" xr:uid="{00000000-0005-0000-0000-0000C1820000}"/>
    <cellStyle name="Normal 445 4 3" xfId="33725" xr:uid="{00000000-0005-0000-0000-0000C2820000}"/>
    <cellStyle name="Normal 445 5" xfId="33726" xr:uid="{00000000-0005-0000-0000-0000C3820000}"/>
    <cellStyle name="Normal 445 5 2" xfId="33727" xr:uid="{00000000-0005-0000-0000-0000C4820000}"/>
    <cellStyle name="Normal 445 5 2 2" xfId="33728" xr:uid="{00000000-0005-0000-0000-0000C5820000}"/>
    <cellStyle name="Normal 445 5 3" xfId="33729" xr:uid="{00000000-0005-0000-0000-0000C6820000}"/>
    <cellStyle name="Normal 445 6" xfId="33730" xr:uid="{00000000-0005-0000-0000-0000C7820000}"/>
    <cellStyle name="Normal 445 6 2" xfId="33731" xr:uid="{00000000-0005-0000-0000-0000C8820000}"/>
    <cellStyle name="Normal 445 6 2 2" xfId="33732" xr:uid="{00000000-0005-0000-0000-0000C9820000}"/>
    <cellStyle name="Normal 445 6 3" xfId="33733" xr:uid="{00000000-0005-0000-0000-0000CA820000}"/>
    <cellStyle name="Normal 445 7" xfId="33734" xr:uid="{00000000-0005-0000-0000-0000CB820000}"/>
    <cellStyle name="Normal 446" xfId="33735" xr:uid="{00000000-0005-0000-0000-0000CC820000}"/>
    <cellStyle name="Normal 446 2" xfId="33736" xr:uid="{00000000-0005-0000-0000-0000CD820000}"/>
    <cellStyle name="Normal 446 2 2" xfId="33737" xr:uid="{00000000-0005-0000-0000-0000CE820000}"/>
    <cellStyle name="Normal 446 2 2 2" xfId="33738" xr:uid="{00000000-0005-0000-0000-0000CF820000}"/>
    <cellStyle name="Normal 446 2 3" xfId="33739" xr:uid="{00000000-0005-0000-0000-0000D0820000}"/>
    <cellStyle name="Normal 446 2 3 2" xfId="33740" xr:uid="{00000000-0005-0000-0000-0000D1820000}"/>
    <cellStyle name="Normal 446 2 3 2 2" xfId="33741" xr:uid="{00000000-0005-0000-0000-0000D2820000}"/>
    <cellStyle name="Normal 446 2 3 3" xfId="33742" xr:uid="{00000000-0005-0000-0000-0000D3820000}"/>
    <cellStyle name="Normal 446 2 4" xfId="33743" xr:uid="{00000000-0005-0000-0000-0000D4820000}"/>
    <cellStyle name="Normal 446 2 4 2" xfId="33744" xr:uid="{00000000-0005-0000-0000-0000D5820000}"/>
    <cellStyle name="Normal 446 2 4 2 2" xfId="33745" xr:uid="{00000000-0005-0000-0000-0000D6820000}"/>
    <cellStyle name="Normal 446 2 4 3" xfId="33746" xr:uid="{00000000-0005-0000-0000-0000D7820000}"/>
    <cellStyle name="Normal 446 2 5" xfId="33747" xr:uid="{00000000-0005-0000-0000-0000D8820000}"/>
    <cellStyle name="Normal 446 3" xfId="33748" xr:uid="{00000000-0005-0000-0000-0000D9820000}"/>
    <cellStyle name="Normal 446 3 2" xfId="33749" xr:uid="{00000000-0005-0000-0000-0000DA820000}"/>
    <cellStyle name="Normal 446 3 2 2" xfId="33750" xr:uid="{00000000-0005-0000-0000-0000DB820000}"/>
    <cellStyle name="Normal 446 3 2 2 2" xfId="33751" xr:uid="{00000000-0005-0000-0000-0000DC820000}"/>
    <cellStyle name="Normal 446 3 2 3" xfId="33752" xr:uid="{00000000-0005-0000-0000-0000DD820000}"/>
    <cellStyle name="Normal 446 3 2 3 2" xfId="33753" xr:uid="{00000000-0005-0000-0000-0000DE820000}"/>
    <cellStyle name="Normal 446 3 2 3 2 2" xfId="33754" xr:uid="{00000000-0005-0000-0000-0000DF820000}"/>
    <cellStyle name="Normal 446 3 2 3 3" xfId="33755" xr:uid="{00000000-0005-0000-0000-0000E0820000}"/>
    <cellStyle name="Normal 446 3 2 4" xfId="33756" xr:uid="{00000000-0005-0000-0000-0000E1820000}"/>
    <cellStyle name="Normal 446 3 3" xfId="33757" xr:uid="{00000000-0005-0000-0000-0000E2820000}"/>
    <cellStyle name="Normal 446 3 3 2" xfId="33758" xr:uid="{00000000-0005-0000-0000-0000E3820000}"/>
    <cellStyle name="Normal 446 3 3 2 2" xfId="33759" xr:uid="{00000000-0005-0000-0000-0000E4820000}"/>
    <cellStyle name="Normal 446 3 3 3" xfId="33760" xr:uid="{00000000-0005-0000-0000-0000E5820000}"/>
    <cellStyle name="Normal 446 3 4" xfId="33761" xr:uid="{00000000-0005-0000-0000-0000E6820000}"/>
    <cellStyle name="Normal 446 3 4 2" xfId="33762" xr:uid="{00000000-0005-0000-0000-0000E7820000}"/>
    <cellStyle name="Normal 446 3 4 2 2" xfId="33763" xr:uid="{00000000-0005-0000-0000-0000E8820000}"/>
    <cellStyle name="Normal 446 3 4 3" xfId="33764" xr:uid="{00000000-0005-0000-0000-0000E9820000}"/>
    <cellStyle name="Normal 446 3 5" xfId="33765" xr:uid="{00000000-0005-0000-0000-0000EA820000}"/>
    <cellStyle name="Normal 446 3 5 2" xfId="33766" xr:uid="{00000000-0005-0000-0000-0000EB820000}"/>
    <cellStyle name="Normal 446 3 5 2 2" xfId="33767" xr:uid="{00000000-0005-0000-0000-0000EC820000}"/>
    <cellStyle name="Normal 446 3 5 3" xfId="33768" xr:uid="{00000000-0005-0000-0000-0000ED820000}"/>
    <cellStyle name="Normal 446 3 6" xfId="33769" xr:uid="{00000000-0005-0000-0000-0000EE820000}"/>
    <cellStyle name="Normal 446 4" xfId="33770" xr:uid="{00000000-0005-0000-0000-0000EF820000}"/>
    <cellStyle name="Normal 446 4 2" xfId="33771" xr:uid="{00000000-0005-0000-0000-0000F0820000}"/>
    <cellStyle name="Normal 446 4 2 2" xfId="33772" xr:uid="{00000000-0005-0000-0000-0000F1820000}"/>
    <cellStyle name="Normal 446 4 3" xfId="33773" xr:uid="{00000000-0005-0000-0000-0000F2820000}"/>
    <cellStyle name="Normal 446 5" xfId="33774" xr:uid="{00000000-0005-0000-0000-0000F3820000}"/>
    <cellStyle name="Normal 446 5 2" xfId="33775" xr:uid="{00000000-0005-0000-0000-0000F4820000}"/>
    <cellStyle name="Normal 446 5 2 2" xfId="33776" xr:uid="{00000000-0005-0000-0000-0000F5820000}"/>
    <cellStyle name="Normal 446 5 3" xfId="33777" xr:uid="{00000000-0005-0000-0000-0000F6820000}"/>
    <cellStyle name="Normal 446 6" xfId="33778" xr:uid="{00000000-0005-0000-0000-0000F7820000}"/>
    <cellStyle name="Normal 446 6 2" xfId="33779" xr:uid="{00000000-0005-0000-0000-0000F8820000}"/>
    <cellStyle name="Normal 446 6 2 2" xfId="33780" xr:uid="{00000000-0005-0000-0000-0000F9820000}"/>
    <cellStyle name="Normal 446 6 3" xfId="33781" xr:uid="{00000000-0005-0000-0000-0000FA820000}"/>
    <cellStyle name="Normal 446 7" xfId="33782" xr:uid="{00000000-0005-0000-0000-0000FB820000}"/>
    <cellStyle name="Normal 447" xfId="33783" xr:uid="{00000000-0005-0000-0000-0000FC820000}"/>
    <cellStyle name="Normal 447 2" xfId="33784" xr:uid="{00000000-0005-0000-0000-0000FD820000}"/>
    <cellStyle name="Normal 447 2 2" xfId="33785" xr:uid="{00000000-0005-0000-0000-0000FE820000}"/>
    <cellStyle name="Normal 447 2 2 2" xfId="33786" xr:uid="{00000000-0005-0000-0000-0000FF820000}"/>
    <cellStyle name="Normal 447 2 3" xfId="33787" xr:uid="{00000000-0005-0000-0000-000000830000}"/>
    <cellStyle name="Normal 447 2 3 2" xfId="33788" xr:uid="{00000000-0005-0000-0000-000001830000}"/>
    <cellStyle name="Normal 447 2 3 2 2" xfId="33789" xr:uid="{00000000-0005-0000-0000-000002830000}"/>
    <cellStyle name="Normal 447 2 3 3" xfId="33790" xr:uid="{00000000-0005-0000-0000-000003830000}"/>
    <cellStyle name="Normal 447 2 4" xfId="33791" xr:uid="{00000000-0005-0000-0000-000004830000}"/>
    <cellStyle name="Normal 447 2 4 2" xfId="33792" xr:uid="{00000000-0005-0000-0000-000005830000}"/>
    <cellStyle name="Normal 447 2 4 2 2" xfId="33793" xr:uid="{00000000-0005-0000-0000-000006830000}"/>
    <cellStyle name="Normal 447 2 4 3" xfId="33794" xr:uid="{00000000-0005-0000-0000-000007830000}"/>
    <cellStyle name="Normal 447 2 5" xfId="33795" xr:uid="{00000000-0005-0000-0000-000008830000}"/>
    <cellStyle name="Normal 447 3" xfId="33796" xr:uid="{00000000-0005-0000-0000-000009830000}"/>
    <cellStyle name="Normal 447 3 2" xfId="33797" xr:uid="{00000000-0005-0000-0000-00000A830000}"/>
    <cellStyle name="Normal 447 3 2 2" xfId="33798" xr:uid="{00000000-0005-0000-0000-00000B830000}"/>
    <cellStyle name="Normal 447 3 2 2 2" xfId="33799" xr:uid="{00000000-0005-0000-0000-00000C830000}"/>
    <cellStyle name="Normal 447 3 2 3" xfId="33800" xr:uid="{00000000-0005-0000-0000-00000D830000}"/>
    <cellStyle name="Normal 447 3 2 3 2" xfId="33801" xr:uid="{00000000-0005-0000-0000-00000E830000}"/>
    <cellStyle name="Normal 447 3 2 3 2 2" xfId="33802" xr:uid="{00000000-0005-0000-0000-00000F830000}"/>
    <cellStyle name="Normal 447 3 2 3 3" xfId="33803" xr:uid="{00000000-0005-0000-0000-000010830000}"/>
    <cellStyle name="Normal 447 3 2 4" xfId="33804" xr:uid="{00000000-0005-0000-0000-000011830000}"/>
    <cellStyle name="Normal 447 3 3" xfId="33805" xr:uid="{00000000-0005-0000-0000-000012830000}"/>
    <cellStyle name="Normal 447 3 3 2" xfId="33806" xr:uid="{00000000-0005-0000-0000-000013830000}"/>
    <cellStyle name="Normal 447 3 3 2 2" xfId="33807" xr:uid="{00000000-0005-0000-0000-000014830000}"/>
    <cellStyle name="Normal 447 3 3 3" xfId="33808" xr:uid="{00000000-0005-0000-0000-000015830000}"/>
    <cellStyle name="Normal 447 3 4" xfId="33809" xr:uid="{00000000-0005-0000-0000-000016830000}"/>
    <cellStyle name="Normal 447 3 4 2" xfId="33810" xr:uid="{00000000-0005-0000-0000-000017830000}"/>
    <cellStyle name="Normal 447 3 4 2 2" xfId="33811" xr:uid="{00000000-0005-0000-0000-000018830000}"/>
    <cellStyle name="Normal 447 3 4 3" xfId="33812" xr:uid="{00000000-0005-0000-0000-000019830000}"/>
    <cellStyle name="Normal 447 3 5" xfId="33813" xr:uid="{00000000-0005-0000-0000-00001A830000}"/>
    <cellStyle name="Normal 447 3 5 2" xfId="33814" xr:uid="{00000000-0005-0000-0000-00001B830000}"/>
    <cellStyle name="Normal 447 3 5 2 2" xfId="33815" xr:uid="{00000000-0005-0000-0000-00001C830000}"/>
    <cellStyle name="Normal 447 3 5 3" xfId="33816" xr:uid="{00000000-0005-0000-0000-00001D830000}"/>
    <cellStyle name="Normal 447 3 6" xfId="33817" xr:uid="{00000000-0005-0000-0000-00001E830000}"/>
    <cellStyle name="Normal 447 4" xfId="33818" xr:uid="{00000000-0005-0000-0000-00001F830000}"/>
    <cellStyle name="Normal 447 4 2" xfId="33819" xr:uid="{00000000-0005-0000-0000-000020830000}"/>
    <cellStyle name="Normal 447 4 2 2" xfId="33820" xr:uid="{00000000-0005-0000-0000-000021830000}"/>
    <cellStyle name="Normal 447 4 3" xfId="33821" xr:uid="{00000000-0005-0000-0000-000022830000}"/>
    <cellStyle name="Normal 447 5" xfId="33822" xr:uid="{00000000-0005-0000-0000-000023830000}"/>
    <cellStyle name="Normal 447 5 2" xfId="33823" xr:uid="{00000000-0005-0000-0000-000024830000}"/>
    <cellStyle name="Normal 447 5 2 2" xfId="33824" xr:uid="{00000000-0005-0000-0000-000025830000}"/>
    <cellStyle name="Normal 447 5 3" xfId="33825" xr:uid="{00000000-0005-0000-0000-000026830000}"/>
    <cellStyle name="Normal 447 6" xfId="33826" xr:uid="{00000000-0005-0000-0000-000027830000}"/>
    <cellStyle name="Normal 447 6 2" xfId="33827" xr:uid="{00000000-0005-0000-0000-000028830000}"/>
    <cellStyle name="Normal 447 6 2 2" xfId="33828" xr:uid="{00000000-0005-0000-0000-000029830000}"/>
    <cellStyle name="Normal 447 6 3" xfId="33829" xr:uid="{00000000-0005-0000-0000-00002A830000}"/>
    <cellStyle name="Normal 447 7" xfId="33830" xr:uid="{00000000-0005-0000-0000-00002B830000}"/>
    <cellStyle name="Normal 448" xfId="33831" xr:uid="{00000000-0005-0000-0000-00002C830000}"/>
    <cellStyle name="Normal 448 2" xfId="33832" xr:uid="{00000000-0005-0000-0000-00002D830000}"/>
    <cellStyle name="Normal 448 2 2" xfId="33833" xr:uid="{00000000-0005-0000-0000-00002E830000}"/>
    <cellStyle name="Normal 448 2 2 2" xfId="33834" xr:uid="{00000000-0005-0000-0000-00002F830000}"/>
    <cellStyle name="Normal 448 2 3" xfId="33835" xr:uid="{00000000-0005-0000-0000-000030830000}"/>
    <cellStyle name="Normal 448 2 3 2" xfId="33836" xr:uid="{00000000-0005-0000-0000-000031830000}"/>
    <cellStyle name="Normal 448 2 3 2 2" xfId="33837" xr:uid="{00000000-0005-0000-0000-000032830000}"/>
    <cellStyle name="Normal 448 2 3 3" xfId="33838" xr:uid="{00000000-0005-0000-0000-000033830000}"/>
    <cellStyle name="Normal 448 2 4" xfId="33839" xr:uid="{00000000-0005-0000-0000-000034830000}"/>
    <cellStyle name="Normal 448 2 4 2" xfId="33840" xr:uid="{00000000-0005-0000-0000-000035830000}"/>
    <cellStyle name="Normal 448 2 4 2 2" xfId="33841" xr:uid="{00000000-0005-0000-0000-000036830000}"/>
    <cellStyle name="Normal 448 2 4 3" xfId="33842" xr:uid="{00000000-0005-0000-0000-000037830000}"/>
    <cellStyle name="Normal 448 2 5" xfId="33843" xr:uid="{00000000-0005-0000-0000-000038830000}"/>
    <cellStyle name="Normal 448 3" xfId="33844" xr:uid="{00000000-0005-0000-0000-000039830000}"/>
    <cellStyle name="Normal 448 3 2" xfId="33845" xr:uid="{00000000-0005-0000-0000-00003A830000}"/>
    <cellStyle name="Normal 448 3 2 2" xfId="33846" xr:uid="{00000000-0005-0000-0000-00003B830000}"/>
    <cellStyle name="Normal 448 3 2 2 2" xfId="33847" xr:uid="{00000000-0005-0000-0000-00003C830000}"/>
    <cellStyle name="Normal 448 3 2 3" xfId="33848" xr:uid="{00000000-0005-0000-0000-00003D830000}"/>
    <cellStyle name="Normal 448 3 2 3 2" xfId="33849" xr:uid="{00000000-0005-0000-0000-00003E830000}"/>
    <cellStyle name="Normal 448 3 2 3 2 2" xfId="33850" xr:uid="{00000000-0005-0000-0000-00003F830000}"/>
    <cellStyle name="Normal 448 3 2 3 3" xfId="33851" xr:uid="{00000000-0005-0000-0000-000040830000}"/>
    <cellStyle name="Normal 448 3 2 4" xfId="33852" xr:uid="{00000000-0005-0000-0000-000041830000}"/>
    <cellStyle name="Normal 448 3 3" xfId="33853" xr:uid="{00000000-0005-0000-0000-000042830000}"/>
    <cellStyle name="Normal 448 3 3 2" xfId="33854" xr:uid="{00000000-0005-0000-0000-000043830000}"/>
    <cellStyle name="Normal 448 3 3 2 2" xfId="33855" xr:uid="{00000000-0005-0000-0000-000044830000}"/>
    <cellStyle name="Normal 448 3 3 3" xfId="33856" xr:uid="{00000000-0005-0000-0000-000045830000}"/>
    <cellStyle name="Normal 448 3 4" xfId="33857" xr:uid="{00000000-0005-0000-0000-000046830000}"/>
    <cellStyle name="Normal 448 3 4 2" xfId="33858" xr:uid="{00000000-0005-0000-0000-000047830000}"/>
    <cellStyle name="Normal 448 3 4 2 2" xfId="33859" xr:uid="{00000000-0005-0000-0000-000048830000}"/>
    <cellStyle name="Normal 448 3 4 3" xfId="33860" xr:uid="{00000000-0005-0000-0000-000049830000}"/>
    <cellStyle name="Normal 448 3 5" xfId="33861" xr:uid="{00000000-0005-0000-0000-00004A830000}"/>
    <cellStyle name="Normal 448 3 5 2" xfId="33862" xr:uid="{00000000-0005-0000-0000-00004B830000}"/>
    <cellStyle name="Normal 448 3 5 2 2" xfId="33863" xr:uid="{00000000-0005-0000-0000-00004C830000}"/>
    <cellStyle name="Normal 448 3 5 3" xfId="33864" xr:uid="{00000000-0005-0000-0000-00004D830000}"/>
    <cellStyle name="Normal 448 3 6" xfId="33865" xr:uid="{00000000-0005-0000-0000-00004E830000}"/>
    <cellStyle name="Normal 448 4" xfId="33866" xr:uid="{00000000-0005-0000-0000-00004F830000}"/>
    <cellStyle name="Normal 448 4 2" xfId="33867" xr:uid="{00000000-0005-0000-0000-000050830000}"/>
    <cellStyle name="Normal 448 4 2 2" xfId="33868" xr:uid="{00000000-0005-0000-0000-000051830000}"/>
    <cellStyle name="Normal 448 4 3" xfId="33869" xr:uid="{00000000-0005-0000-0000-000052830000}"/>
    <cellStyle name="Normal 448 5" xfId="33870" xr:uid="{00000000-0005-0000-0000-000053830000}"/>
    <cellStyle name="Normal 448 5 2" xfId="33871" xr:uid="{00000000-0005-0000-0000-000054830000}"/>
    <cellStyle name="Normal 448 5 2 2" xfId="33872" xr:uid="{00000000-0005-0000-0000-000055830000}"/>
    <cellStyle name="Normal 448 5 3" xfId="33873" xr:uid="{00000000-0005-0000-0000-000056830000}"/>
    <cellStyle name="Normal 448 6" xfId="33874" xr:uid="{00000000-0005-0000-0000-000057830000}"/>
    <cellStyle name="Normal 448 6 2" xfId="33875" xr:uid="{00000000-0005-0000-0000-000058830000}"/>
    <cellStyle name="Normal 448 6 2 2" xfId="33876" xr:uid="{00000000-0005-0000-0000-000059830000}"/>
    <cellStyle name="Normal 448 6 3" xfId="33877" xr:uid="{00000000-0005-0000-0000-00005A830000}"/>
    <cellStyle name="Normal 448 7" xfId="33878" xr:uid="{00000000-0005-0000-0000-00005B830000}"/>
    <cellStyle name="Normal 449" xfId="33879" xr:uid="{00000000-0005-0000-0000-00005C830000}"/>
    <cellStyle name="Normal 449 2" xfId="33880" xr:uid="{00000000-0005-0000-0000-00005D830000}"/>
    <cellStyle name="Normal 449 2 2" xfId="33881" xr:uid="{00000000-0005-0000-0000-00005E830000}"/>
    <cellStyle name="Normal 449 2 2 2" xfId="33882" xr:uid="{00000000-0005-0000-0000-00005F830000}"/>
    <cellStyle name="Normal 449 2 3" xfId="33883" xr:uid="{00000000-0005-0000-0000-000060830000}"/>
    <cellStyle name="Normal 449 2 3 2" xfId="33884" xr:uid="{00000000-0005-0000-0000-000061830000}"/>
    <cellStyle name="Normal 449 2 3 2 2" xfId="33885" xr:uid="{00000000-0005-0000-0000-000062830000}"/>
    <cellStyle name="Normal 449 2 3 3" xfId="33886" xr:uid="{00000000-0005-0000-0000-000063830000}"/>
    <cellStyle name="Normal 449 2 4" xfId="33887" xr:uid="{00000000-0005-0000-0000-000064830000}"/>
    <cellStyle name="Normal 449 2 4 2" xfId="33888" xr:uid="{00000000-0005-0000-0000-000065830000}"/>
    <cellStyle name="Normal 449 2 4 2 2" xfId="33889" xr:uid="{00000000-0005-0000-0000-000066830000}"/>
    <cellStyle name="Normal 449 2 4 3" xfId="33890" xr:uid="{00000000-0005-0000-0000-000067830000}"/>
    <cellStyle name="Normal 449 2 5" xfId="33891" xr:uid="{00000000-0005-0000-0000-000068830000}"/>
    <cellStyle name="Normal 449 3" xfId="33892" xr:uid="{00000000-0005-0000-0000-000069830000}"/>
    <cellStyle name="Normal 449 3 2" xfId="33893" xr:uid="{00000000-0005-0000-0000-00006A830000}"/>
    <cellStyle name="Normal 449 3 2 2" xfId="33894" xr:uid="{00000000-0005-0000-0000-00006B830000}"/>
    <cellStyle name="Normal 449 3 2 2 2" xfId="33895" xr:uid="{00000000-0005-0000-0000-00006C830000}"/>
    <cellStyle name="Normal 449 3 2 3" xfId="33896" xr:uid="{00000000-0005-0000-0000-00006D830000}"/>
    <cellStyle name="Normal 449 3 2 3 2" xfId="33897" xr:uid="{00000000-0005-0000-0000-00006E830000}"/>
    <cellStyle name="Normal 449 3 2 3 2 2" xfId="33898" xr:uid="{00000000-0005-0000-0000-00006F830000}"/>
    <cellStyle name="Normal 449 3 2 3 3" xfId="33899" xr:uid="{00000000-0005-0000-0000-000070830000}"/>
    <cellStyle name="Normal 449 3 2 4" xfId="33900" xr:uid="{00000000-0005-0000-0000-000071830000}"/>
    <cellStyle name="Normal 449 3 3" xfId="33901" xr:uid="{00000000-0005-0000-0000-000072830000}"/>
    <cellStyle name="Normal 449 3 3 2" xfId="33902" xr:uid="{00000000-0005-0000-0000-000073830000}"/>
    <cellStyle name="Normal 449 3 3 2 2" xfId="33903" xr:uid="{00000000-0005-0000-0000-000074830000}"/>
    <cellStyle name="Normal 449 3 3 3" xfId="33904" xr:uid="{00000000-0005-0000-0000-000075830000}"/>
    <cellStyle name="Normal 449 3 4" xfId="33905" xr:uid="{00000000-0005-0000-0000-000076830000}"/>
    <cellStyle name="Normal 449 3 4 2" xfId="33906" xr:uid="{00000000-0005-0000-0000-000077830000}"/>
    <cellStyle name="Normal 449 3 4 2 2" xfId="33907" xr:uid="{00000000-0005-0000-0000-000078830000}"/>
    <cellStyle name="Normal 449 3 4 3" xfId="33908" xr:uid="{00000000-0005-0000-0000-000079830000}"/>
    <cellStyle name="Normal 449 3 5" xfId="33909" xr:uid="{00000000-0005-0000-0000-00007A830000}"/>
    <cellStyle name="Normal 449 3 5 2" xfId="33910" xr:uid="{00000000-0005-0000-0000-00007B830000}"/>
    <cellStyle name="Normal 449 3 5 2 2" xfId="33911" xr:uid="{00000000-0005-0000-0000-00007C830000}"/>
    <cellStyle name="Normal 449 3 5 3" xfId="33912" xr:uid="{00000000-0005-0000-0000-00007D830000}"/>
    <cellStyle name="Normal 449 3 6" xfId="33913" xr:uid="{00000000-0005-0000-0000-00007E830000}"/>
    <cellStyle name="Normal 449 4" xfId="33914" xr:uid="{00000000-0005-0000-0000-00007F830000}"/>
    <cellStyle name="Normal 449 4 2" xfId="33915" xr:uid="{00000000-0005-0000-0000-000080830000}"/>
    <cellStyle name="Normal 449 4 2 2" xfId="33916" xr:uid="{00000000-0005-0000-0000-000081830000}"/>
    <cellStyle name="Normal 449 4 3" xfId="33917" xr:uid="{00000000-0005-0000-0000-000082830000}"/>
    <cellStyle name="Normal 449 5" xfId="33918" xr:uid="{00000000-0005-0000-0000-000083830000}"/>
    <cellStyle name="Normal 449 5 2" xfId="33919" xr:uid="{00000000-0005-0000-0000-000084830000}"/>
    <cellStyle name="Normal 449 5 2 2" xfId="33920" xr:uid="{00000000-0005-0000-0000-000085830000}"/>
    <cellStyle name="Normal 449 5 3" xfId="33921" xr:uid="{00000000-0005-0000-0000-000086830000}"/>
    <cellStyle name="Normal 449 6" xfId="33922" xr:uid="{00000000-0005-0000-0000-000087830000}"/>
    <cellStyle name="Normal 449 6 2" xfId="33923" xr:uid="{00000000-0005-0000-0000-000088830000}"/>
    <cellStyle name="Normal 449 6 2 2" xfId="33924" xr:uid="{00000000-0005-0000-0000-000089830000}"/>
    <cellStyle name="Normal 449 6 3" xfId="33925" xr:uid="{00000000-0005-0000-0000-00008A830000}"/>
    <cellStyle name="Normal 449 7" xfId="33926" xr:uid="{00000000-0005-0000-0000-00008B830000}"/>
    <cellStyle name="Normal 45" xfId="33927" xr:uid="{00000000-0005-0000-0000-00008C830000}"/>
    <cellStyle name="Normal 45 2" xfId="33928" xr:uid="{00000000-0005-0000-0000-00008D830000}"/>
    <cellStyle name="Normal 45 2 2" xfId="33929" xr:uid="{00000000-0005-0000-0000-00008E830000}"/>
    <cellStyle name="Normal 45 2 2 2" xfId="33930" xr:uid="{00000000-0005-0000-0000-00008F830000}"/>
    <cellStyle name="Normal 45 2 2 2 2" xfId="33931" xr:uid="{00000000-0005-0000-0000-000090830000}"/>
    <cellStyle name="Normal 45 2 2 3" xfId="33932" xr:uid="{00000000-0005-0000-0000-000091830000}"/>
    <cellStyle name="Normal 45 2 2 3 2" xfId="33933" xr:uid="{00000000-0005-0000-0000-000092830000}"/>
    <cellStyle name="Normal 45 2 2 3 2 2" xfId="33934" xr:uid="{00000000-0005-0000-0000-000093830000}"/>
    <cellStyle name="Normal 45 2 2 3 3" xfId="33935" xr:uid="{00000000-0005-0000-0000-000094830000}"/>
    <cellStyle name="Normal 45 2 2 4" xfId="33936" xr:uid="{00000000-0005-0000-0000-000095830000}"/>
    <cellStyle name="Normal 45 2 2 4 2" xfId="33937" xr:uid="{00000000-0005-0000-0000-000096830000}"/>
    <cellStyle name="Normal 45 2 2 4 2 2" xfId="33938" xr:uid="{00000000-0005-0000-0000-000097830000}"/>
    <cellStyle name="Normal 45 2 2 4 3" xfId="33939" xr:uid="{00000000-0005-0000-0000-000098830000}"/>
    <cellStyle name="Normal 45 2 2 5" xfId="33940" xr:uid="{00000000-0005-0000-0000-000099830000}"/>
    <cellStyle name="Normal 45 2 3" xfId="33941" xr:uid="{00000000-0005-0000-0000-00009A830000}"/>
    <cellStyle name="Normal 45 2 3 2" xfId="33942" xr:uid="{00000000-0005-0000-0000-00009B830000}"/>
    <cellStyle name="Normal 45 2 3 2 2" xfId="33943" xr:uid="{00000000-0005-0000-0000-00009C830000}"/>
    <cellStyle name="Normal 45 2 3 3" xfId="33944" xr:uid="{00000000-0005-0000-0000-00009D830000}"/>
    <cellStyle name="Normal 45 2 4" xfId="33945" xr:uid="{00000000-0005-0000-0000-00009E830000}"/>
    <cellStyle name="Normal 45 2 4 2" xfId="33946" xr:uid="{00000000-0005-0000-0000-00009F830000}"/>
    <cellStyle name="Normal 45 2 4 2 2" xfId="33947" xr:uid="{00000000-0005-0000-0000-0000A0830000}"/>
    <cellStyle name="Normal 45 2 4 3" xfId="33948" xr:uid="{00000000-0005-0000-0000-0000A1830000}"/>
    <cellStyle name="Normal 45 2 5" xfId="33949" xr:uid="{00000000-0005-0000-0000-0000A2830000}"/>
    <cellStyle name="Normal 45 2 5 2" xfId="33950" xr:uid="{00000000-0005-0000-0000-0000A3830000}"/>
    <cellStyle name="Normal 45 2 5 2 2" xfId="33951" xr:uid="{00000000-0005-0000-0000-0000A4830000}"/>
    <cellStyle name="Normal 45 2 5 3" xfId="33952" xr:uid="{00000000-0005-0000-0000-0000A5830000}"/>
    <cellStyle name="Normal 45 2 6" xfId="33953" xr:uid="{00000000-0005-0000-0000-0000A6830000}"/>
    <cellStyle name="Normal 45 3" xfId="33954" xr:uid="{00000000-0005-0000-0000-0000A7830000}"/>
    <cellStyle name="Normal 45 3 2" xfId="33955" xr:uid="{00000000-0005-0000-0000-0000A8830000}"/>
    <cellStyle name="Normal 45 3 2 2" xfId="33956" xr:uid="{00000000-0005-0000-0000-0000A9830000}"/>
    <cellStyle name="Normal 45 3 3" xfId="33957" xr:uid="{00000000-0005-0000-0000-0000AA830000}"/>
    <cellStyle name="Normal 45 3 3 2" xfId="33958" xr:uid="{00000000-0005-0000-0000-0000AB830000}"/>
    <cellStyle name="Normal 45 3 3 2 2" xfId="33959" xr:uid="{00000000-0005-0000-0000-0000AC830000}"/>
    <cellStyle name="Normal 45 3 3 3" xfId="33960" xr:uid="{00000000-0005-0000-0000-0000AD830000}"/>
    <cellStyle name="Normal 45 3 4" xfId="33961" xr:uid="{00000000-0005-0000-0000-0000AE830000}"/>
    <cellStyle name="Normal 45 3 4 2" xfId="33962" xr:uid="{00000000-0005-0000-0000-0000AF830000}"/>
    <cellStyle name="Normal 45 3 4 2 2" xfId="33963" xr:uid="{00000000-0005-0000-0000-0000B0830000}"/>
    <cellStyle name="Normal 45 3 4 3" xfId="33964" xr:uid="{00000000-0005-0000-0000-0000B1830000}"/>
    <cellStyle name="Normal 45 3 5" xfId="33965" xr:uid="{00000000-0005-0000-0000-0000B2830000}"/>
    <cellStyle name="Normal 45 4" xfId="33966" xr:uid="{00000000-0005-0000-0000-0000B3830000}"/>
    <cellStyle name="Normal 45 4 2" xfId="33967" xr:uid="{00000000-0005-0000-0000-0000B4830000}"/>
    <cellStyle name="Normal 45 4 2 2" xfId="33968" xr:uid="{00000000-0005-0000-0000-0000B5830000}"/>
    <cellStyle name="Normal 45 4 3" xfId="33969" xr:uid="{00000000-0005-0000-0000-0000B6830000}"/>
    <cellStyle name="Normal 45 5" xfId="33970" xr:uid="{00000000-0005-0000-0000-0000B7830000}"/>
    <cellStyle name="Normal 45 5 2" xfId="33971" xr:uid="{00000000-0005-0000-0000-0000B8830000}"/>
    <cellStyle name="Normal 45 5 2 2" xfId="33972" xr:uid="{00000000-0005-0000-0000-0000B9830000}"/>
    <cellStyle name="Normal 45 5 3" xfId="33973" xr:uid="{00000000-0005-0000-0000-0000BA830000}"/>
    <cellStyle name="Normal 45 6" xfId="33974" xr:uid="{00000000-0005-0000-0000-0000BB830000}"/>
    <cellStyle name="Normal 45 6 2" xfId="33975" xr:uid="{00000000-0005-0000-0000-0000BC830000}"/>
    <cellStyle name="Normal 45 6 2 2" xfId="33976" xr:uid="{00000000-0005-0000-0000-0000BD830000}"/>
    <cellStyle name="Normal 45 6 3" xfId="33977" xr:uid="{00000000-0005-0000-0000-0000BE830000}"/>
    <cellStyle name="Normal 45 7" xfId="33978" xr:uid="{00000000-0005-0000-0000-0000BF830000}"/>
    <cellStyle name="Normal 450" xfId="33979" xr:uid="{00000000-0005-0000-0000-0000C0830000}"/>
    <cellStyle name="Normal 450 2" xfId="33980" xr:uid="{00000000-0005-0000-0000-0000C1830000}"/>
    <cellStyle name="Normal 450 2 2" xfId="33981" xr:uid="{00000000-0005-0000-0000-0000C2830000}"/>
    <cellStyle name="Normal 450 2 2 2" xfId="33982" xr:uid="{00000000-0005-0000-0000-0000C3830000}"/>
    <cellStyle name="Normal 450 2 3" xfId="33983" xr:uid="{00000000-0005-0000-0000-0000C4830000}"/>
    <cellStyle name="Normal 450 2 3 2" xfId="33984" xr:uid="{00000000-0005-0000-0000-0000C5830000}"/>
    <cellStyle name="Normal 450 2 3 2 2" xfId="33985" xr:uid="{00000000-0005-0000-0000-0000C6830000}"/>
    <cellStyle name="Normal 450 2 3 3" xfId="33986" xr:uid="{00000000-0005-0000-0000-0000C7830000}"/>
    <cellStyle name="Normal 450 2 4" xfId="33987" xr:uid="{00000000-0005-0000-0000-0000C8830000}"/>
    <cellStyle name="Normal 450 2 4 2" xfId="33988" xr:uid="{00000000-0005-0000-0000-0000C9830000}"/>
    <cellStyle name="Normal 450 2 4 2 2" xfId="33989" xr:uid="{00000000-0005-0000-0000-0000CA830000}"/>
    <cellStyle name="Normal 450 2 4 3" xfId="33990" xr:uid="{00000000-0005-0000-0000-0000CB830000}"/>
    <cellStyle name="Normal 450 2 5" xfId="33991" xr:uid="{00000000-0005-0000-0000-0000CC830000}"/>
    <cellStyle name="Normal 450 3" xfId="33992" xr:uid="{00000000-0005-0000-0000-0000CD830000}"/>
    <cellStyle name="Normal 450 3 2" xfId="33993" xr:uid="{00000000-0005-0000-0000-0000CE830000}"/>
    <cellStyle name="Normal 450 3 2 2" xfId="33994" xr:uid="{00000000-0005-0000-0000-0000CF830000}"/>
    <cellStyle name="Normal 450 3 2 2 2" xfId="33995" xr:uid="{00000000-0005-0000-0000-0000D0830000}"/>
    <cellStyle name="Normal 450 3 2 3" xfId="33996" xr:uid="{00000000-0005-0000-0000-0000D1830000}"/>
    <cellStyle name="Normal 450 3 2 3 2" xfId="33997" xr:uid="{00000000-0005-0000-0000-0000D2830000}"/>
    <cellStyle name="Normal 450 3 2 3 2 2" xfId="33998" xr:uid="{00000000-0005-0000-0000-0000D3830000}"/>
    <cellStyle name="Normal 450 3 2 3 3" xfId="33999" xr:uid="{00000000-0005-0000-0000-0000D4830000}"/>
    <cellStyle name="Normal 450 3 2 4" xfId="34000" xr:uid="{00000000-0005-0000-0000-0000D5830000}"/>
    <cellStyle name="Normal 450 3 3" xfId="34001" xr:uid="{00000000-0005-0000-0000-0000D6830000}"/>
    <cellStyle name="Normal 450 3 3 2" xfId="34002" xr:uid="{00000000-0005-0000-0000-0000D7830000}"/>
    <cellStyle name="Normal 450 3 3 2 2" xfId="34003" xr:uid="{00000000-0005-0000-0000-0000D8830000}"/>
    <cellStyle name="Normal 450 3 3 3" xfId="34004" xr:uid="{00000000-0005-0000-0000-0000D9830000}"/>
    <cellStyle name="Normal 450 3 4" xfId="34005" xr:uid="{00000000-0005-0000-0000-0000DA830000}"/>
    <cellStyle name="Normal 450 3 4 2" xfId="34006" xr:uid="{00000000-0005-0000-0000-0000DB830000}"/>
    <cellStyle name="Normal 450 3 4 2 2" xfId="34007" xr:uid="{00000000-0005-0000-0000-0000DC830000}"/>
    <cellStyle name="Normal 450 3 4 3" xfId="34008" xr:uid="{00000000-0005-0000-0000-0000DD830000}"/>
    <cellStyle name="Normal 450 3 5" xfId="34009" xr:uid="{00000000-0005-0000-0000-0000DE830000}"/>
    <cellStyle name="Normal 450 3 5 2" xfId="34010" xr:uid="{00000000-0005-0000-0000-0000DF830000}"/>
    <cellStyle name="Normal 450 3 5 2 2" xfId="34011" xr:uid="{00000000-0005-0000-0000-0000E0830000}"/>
    <cellStyle name="Normal 450 3 5 3" xfId="34012" xr:uid="{00000000-0005-0000-0000-0000E1830000}"/>
    <cellStyle name="Normal 450 3 6" xfId="34013" xr:uid="{00000000-0005-0000-0000-0000E2830000}"/>
    <cellStyle name="Normal 450 4" xfId="34014" xr:uid="{00000000-0005-0000-0000-0000E3830000}"/>
    <cellStyle name="Normal 450 4 2" xfId="34015" xr:uid="{00000000-0005-0000-0000-0000E4830000}"/>
    <cellStyle name="Normal 450 4 2 2" xfId="34016" xr:uid="{00000000-0005-0000-0000-0000E5830000}"/>
    <cellStyle name="Normal 450 4 3" xfId="34017" xr:uid="{00000000-0005-0000-0000-0000E6830000}"/>
    <cellStyle name="Normal 450 5" xfId="34018" xr:uid="{00000000-0005-0000-0000-0000E7830000}"/>
    <cellStyle name="Normal 450 5 2" xfId="34019" xr:uid="{00000000-0005-0000-0000-0000E8830000}"/>
    <cellStyle name="Normal 450 5 2 2" xfId="34020" xr:uid="{00000000-0005-0000-0000-0000E9830000}"/>
    <cellStyle name="Normal 450 5 3" xfId="34021" xr:uid="{00000000-0005-0000-0000-0000EA830000}"/>
    <cellStyle name="Normal 450 6" xfId="34022" xr:uid="{00000000-0005-0000-0000-0000EB830000}"/>
    <cellStyle name="Normal 450 6 2" xfId="34023" xr:uid="{00000000-0005-0000-0000-0000EC830000}"/>
    <cellStyle name="Normal 450 6 2 2" xfId="34024" xr:uid="{00000000-0005-0000-0000-0000ED830000}"/>
    <cellStyle name="Normal 450 6 3" xfId="34025" xr:uid="{00000000-0005-0000-0000-0000EE830000}"/>
    <cellStyle name="Normal 450 7" xfId="34026" xr:uid="{00000000-0005-0000-0000-0000EF830000}"/>
    <cellStyle name="Normal 451" xfId="34027" xr:uid="{00000000-0005-0000-0000-0000F0830000}"/>
    <cellStyle name="Normal 451 2" xfId="34028" xr:uid="{00000000-0005-0000-0000-0000F1830000}"/>
    <cellStyle name="Normal 451 2 2" xfId="34029" xr:uid="{00000000-0005-0000-0000-0000F2830000}"/>
    <cellStyle name="Normal 451 2 2 2" xfId="34030" xr:uid="{00000000-0005-0000-0000-0000F3830000}"/>
    <cellStyle name="Normal 451 2 3" xfId="34031" xr:uid="{00000000-0005-0000-0000-0000F4830000}"/>
    <cellStyle name="Normal 451 2 3 2" xfId="34032" xr:uid="{00000000-0005-0000-0000-0000F5830000}"/>
    <cellStyle name="Normal 451 2 3 2 2" xfId="34033" xr:uid="{00000000-0005-0000-0000-0000F6830000}"/>
    <cellStyle name="Normal 451 2 3 3" xfId="34034" xr:uid="{00000000-0005-0000-0000-0000F7830000}"/>
    <cellStyle name="Normal 451 2 4" xfId="34035" xr:uid="{00000000-0005-0000-0000-0000F8830000}"/>
    <cellStyle name="Normal 451 3" xfId="34036" xr:uid="{00000000-0005-0000-0000-0000F9830000}"/>
    <cellStyle name="Normal 451 3 2" xfId="34037" xr:uid="{00000000-0005-0000-0000-0000FA830000}"/>
    <cellStyle name="Normal 451 3 2 2" xfId="34038" xr:uid="{00000000-0005-0000-0000-0000FB830000}"/>
    <cellStyle name="Normal 451 3 3" xfId="34039" xr:uid="{00000000-0005-0000-0000-0000FC830000}"/>
    <cellStyle name="Normal 451 4" xfId="34040" xr:uid="{00000000-0005-0000-0000-0000FD830000}"/>
    <cellStyle name="Normal 451 4 2" xfId="34041" xr:uid="{00000000-0005-0000-0000-0000FE830000}"/>
    <cellStyle name="Normal 451 4 2 2" xfId="34042" xr:uid="{00000000-0005-0000-0000-0000FF830000}"/>
    <cellStyle name="Normal 451 4 3" xfId="34043" xr:uid="{00000000-0005-0000-0000-000000840000}"/>
    <cellStyle name="Normal 451 5" xfId="34044" xr:uid="{00000000-0005-0000-0000-000001840000}"/>
    <cellStyle name="Normal 451 5 2" xfId="34045" xr:uid="{00000000-0005-0000-0000-000002840000}"/>
    <cellStyle name="Normal 451 5 2 2" xfId="34046" xr:uid="{00000000-0005-0000-0000-000003840000}"/>
    <cellStyle name="Normal 451 5 3" xfId="34047" xr:uid="{00000000-0005-0000-0000-000004840000}"/>
    <cellStyle name="Normal 451 6" xfId="34048" xr:uid="{00000000-0005-0000-0000-000005840000}"/>
    <cellStyle name="Normal 452" xfId="34049" xr:uid="{00000000-0005-0000-0000-000006840000}"/>
    <cellStyle name="Normal 452 2" xfId="34050" xr:uid="{00000000-0005-0000-0000-000007840000}"/>
    <cellStyle name="Normal 452 2 2" xfId="34051" xr:uid="{00000000-0005-0000-0000-000008840000}"/>
    <cellStyle name="Normal 452 2 2 2" xfId="34052" xr:uid="{00000000-0005-0000-0000-000009840000}"/>
    <cellStyle name="Normal 452 2 3" xfId="34053" xr:uid="{00000000-0005-0000-0000-00000A840000}"/>
    <cellStyle name="Normal 452 2 3 2" xfId="34054" xr:uid="{00000000-0005-0000-0000-00000B840000}"/>
    <cellStyle name="Normal 452 2 3 2 2" xfId="34055" xr:uid="{00000000-0005-0000-0000-00000C840000}"/>
    <cellStyle name="Normal 452 2 3 3" xfId="34056" xr:uid="{00000000-0005-0000-0000-00000D840000}"/>
    <cellStyle name="Normal 452 2 4" xfId="34057" xr:uid="{00000000-0005-0000-0000-00000E840000}"/>
    <cellStyle name="Normal 452 3" xfId="34058" xr:uid="{00000000-0005-0000-0000-00000F840000}"/>
    <cellStyle name="Normal 452 3 2" xfId="34059" xr:uid="{00000000-0005-0000-0000-000010840000}"/>
    <cellStyle name="Normal 452 3 2 2" xfId="34060" xr:uid="{00000000-0005-0000-0000-000011840000}"/>
    <cellStyle name="Normal 452 3 3" xfId="34061" xr:uid="{00000000-0005-0000-0000-000012840000}"/>
    <cellStyle name="Normal 452 4" xfId="34062" xr:uid="{00000000-0005-0000-0000-000013840000}"/>
    <cellStyle name="Normal 452 4 2" xfId="34063" xr:uid="{00000000-0005-0000-0000-000014840000}"/>
    <cellStyle name="Normal 452 4 2 2" xfId="34064" xr:uid="{00000000-0005-0000-0000-000015840000}"/>
    <cellStyle name="Normal 452 4 3" xfId="34065" xr:uid="{00000000-0005-0000-0000-000016840000}"/>
    <cellStyle name="Normal 452 5" xfId="34066" xr:uid="{00000000-0005-0000-0000-000017840000}"/>
    <cellStyle name="Normal 452 5 2" xfId="34067" xr:uid="{00000000-0005-0000-0000-000018840000}"/>
    <cellStyle name="Normal 452 5 2 2" xfId="34068" xr:uid="{00000000-0005-0000-0000-000019840000}"/>
    <cellStyle name="Normal 452 5 3" xfId="34069" xr:uid="{00000000-0005-0000-0000-00001A840000}"/>
    <cellStyle name="Normal 452 6" xfId="34070" xr:uid="{00000000-0005-0000-0000-00001B840000}"/>
    <cellStyle name="Normal 453" xfId="34071" xr:uid="{00000000-0005-0000-0000-00001C840000}"/>
    <cellStyle name="Normal 453 2" xfId="34072" xr:uid="{00000000-0005-0000-0000-00001D840000}"/>
    <cellStyle name="Normal 453 2 2" xfId="34073" xr:uid="{00000000-0005-0000-0000-00001E840000}"/>
    <cellStyle name="Normal 453 2 2 2" xfId="34074" xr:uid="{00000000-0005-0000-0000-00001F840000}"/>
    <cellStyle name="Normal 453 2 3" xfId="34075" xr:uid="{00000000-0005-0000-0000-000020840000}"/>
    <cellStyle name="Normal 453 2 3 2" xfId="34076" xr:uid="{00000000-0005-0000-0000-000021840000}"/>
    <cellStyle name="Normal 453 2 3 2 2" xfId="34077" xr:uid="{00000000-0005-0000-0000-000022840000}"/>
    <cellStyle name="Normal 453 2 3 3" xfId="34078" xr:uid="{00000000-0005-0000-0000-000023840000}"/>
    <cellStyle name="Normal 453 2 4" xfId="34079" xr:uid="{00000000-0005-0000-0000-000024840000}"/>
    <cellStyle name="Normal 453 3" xfId="34080" xr:uid="{00000000-0005-0000-0000-000025840000}"/>
    <cellStyle name="Normal 453 3 2" xfId="34081" xr:uid="{00000000-0005-0000-0000-000026840000}"/>
    <cellStyle name="Normal 453 3 2 2" xfId="34082" xr:uid="{00000000-0005-0000-0000-000027840000}"/>
    <cellStyle name="Normal 453 3 3" xfId="34083" xr:uid="{00000000-0005-0000-0000-000028840000}"/>
    <cellStyle name="Normal 453 4" xfId="34084" xr:uid="{00000000-0005-0000-0000-000029840000}"/>
    <cellStyle name="Normal 453 4 2" xfId="34085" xr:uid="{00000000-0005-0000-0000-00002A840000}"/>
    <cellStyle name="Normal 453 4 2 2" xfId="34086" xr:uid="{00000000-0005-0000-0000-00002B840000}"/>
    <cellStyle name="Normal 453 4 3" xfId="34087" xr:uid="{00000000-0005-0000-0000-00002C840000}"/>
    <cellStyle name="Normal 453 5" xfId="34088" xr:uid="{00000000-0005-0000-0000-00002D840000}"/>
    <cellStyle name="Normal 453 5 2" xfId="34089" xr:uid="{00000000-0005-0000-0000-00002E840000}"/>
    <cellStyle name="Normal 453 5 2 2" xfId="34090" xr:uid="{00000000-0005-0000-0000-00002F840000}"/>
    <cellStyle name="Normal 453 5 3" xfId="34091" xr:uid="{00000000-0005-0000-0000-000030840000}"/>
    <cellStyle name="Normal 453 6" xfId="34092" xr:uid="{00000000-0005-0000-0000-000031840000}"/>
    <cellStyle name="Normal 454" xfId="34093" xr:uid="{00000000-0005-0000-0000-000032840000}"/>
    <cellStyle name="Normal 454 2" xfId="34094" xr:uid="{00000000-0005-0000-0000-000033840000}"/>
    <cellStyle name="Normal 454 2 2" xfId="34095" xr:uid="{00000000-0005-0000-0000-000034840000}"/>
    <cellStyle name="Normal 454 2 2 2" xfId="34096" xr:uid="{00000000-0005-0000-0000-000035840000}"/>
    <cellStyle name="Normal 454 2 3" xfId="34097" xr:uid="{00000000-0005-0000-0000-000036840000}"/>
    <cellStyle name="Normal 454 2 3 2" xfId="34098" xr:uid="{00000000-0005-0000-0000-000037840000}"/>
    <cellStyle name="Normal 454 2 3 2 2" xfId="34099" xr:uid="{00000000-0005-0000-0000-000038840000}"/>
    <cellStyle name="Normal 454 2 3 3" xfId="34100" xr:uid="{00000000-0005-0000-0000-000039840000}"/>
    <cellStyle name="Normal 454 2 4" xfId="34101" xr:uid="{00000000-0005-0000-0000-00003A840000}"/>
    <cellStyle name="Normal 454 3" xfId="34102" xr:uid="{00000000-0005-0000-0000-00003B840000}"/>
    <cellStyle name="Normal 454 3 2" xfId="34103" xr:uid="{00000000-0005-0000-0000-00003C840000}"/>
    <cellStyle name="Normal 454 3 2 2" xfId="34104" xr:uid="{00000000-0005-0000-0000-00003D840000}"/>
    <cellStyle name="Normal 454 3 3" xfId="34105" xr:uid="{00000000-0005-0000-0000-00003E840000}"/>
    <cellStyle name="Normal 454 4" xfId="34106" xr:uid="{00000000-0005-0000-0000-00003F840000}"/>
    <cellStyle name="Normal 454 4 2" xfId="34107" xr:uid="{00000000-0005-0000-0000-000040840000}"/>
    <cellStyle name="Normal 454 4 2 2" xfId="34108" xr:uid="{00000000-0005-0000-0000-000041840000}"/>
    <cellStyle name="Normal 454 4 3" xfId="34109" xr:uid="{00000000-0005-0000-0000-000042840000}"/>
    <cellStyle name="Normal 454 5" xfId="34110" xr:uid="{00000000-0005-0000-0000-000043840000}"/>
    <cellStyle name="Normal 454 5 2" xfId="34111" xr:uid="{00000000-0005-0000-0000-000044840000}"/>
    <cellStyle name="Normal 454 5 2 2" xfId="34112" xr:uid="{00000000-0005-0000-0000-000045840000}"/>
    <cellStyle name="Normal 454 5 3" xfId="34113" xr:uid="{00000000-0005-0000-0000-000046840000}"/>
    <cellStyle name="Normal 454 6" xfId="34114" xr:uid="{00000000-0005-0000-0000-000047840000}"/>
    <cellStyle name="Normal 455" xfId="34115" xr:uid="{00000000-0005-0000-0000-000048840000}"/>
    <cellStyle name="Normal 455 2" xfId="34116" xr:uid="{00000000-0005-0000-0000-000049840000}"/>
    <cellStyle name="Normal 455 2 2" xfId="34117" xr:uid="{00000000-0005-0000-0000-00004A840000}"/>
    <cellStyle name="Normal 455 2 2 2" xfId="34118" xr:uid="{00000000-0005-0000-0000-00004B840000}"/>
    <cellStyle name="Normal 455 2 3" xfId="34119" xr:uid="{00000000-0005-0000-0000-00004C840000}"/>
    <cellStyle name="Normal 455 2 3 2" xfId="34120" xr:uid="{00000000-0005-0000-0000-00004D840000}"/>
    <cellStyle name="Normal 455 2 3 2 2" xfId="34121" xr:uid="{00000000-0005-0000-0000-00004E840000}"/>
    <cellStyle name="Normal 455 2 3 3" xfId="34122" xr:uid="{00000000-0005-0000-0000-00004F840000}"/>
    <cellStyle name="Normal 455 2 4" xfId="34123" xr:uid="{00000000-0005-0000-0000-000050840000}"/>
    <cellStyle name="Normal 455 3" xfId="34124" xr:uid="{00000000-0005-0000-0000-000051840000}"/>
    <cellStyle name="Normal 455 3 2" xfId="34125" xr:uid="{00000000-0005-0000-0000-000052840000}"/>
    <cellStyle name="Normal 455 3 2 2" xfId="34126" xr:uid="{00000000-0005-0000-0000-000053840000}"/>
    <cellStyle name="Normal 455 3 3" xfId="34127" xr:uid="{00000000-0005-0000-0000-000054840000}"/>
    <cellStyle name="Normal 455 4" xfId="34128" xr:uid="{00000000-0005-0000-0000-000055840000}"/>
    <cellStyle name="Normal 455 4 2" xfId="34129" xr:uid="{00000000-0005-0000-0000-000056840000}"/>
    <cellStyle name="Normal 455 4 2 2" xfId="34130" xr:uid="{00000000-0005-0000-0000-000057840000}"/>
    <cellStyle name="Normal 455 4 3" xfId="34131" xr:uid="{00000000-0005-0000-0000-000058840000}"/>
    <cellStyle name="Normal 455 5" xfId="34132" xr:uid="{00000000-0005-0000-0000-000059840000}"/>
    <cellStyle name="Normal 455 5 2" xfId="34133" xr:uid="{00000000-0005-0000-0000-00005A840000}"/>
    <cellStyle name="Normal 455 5 2 2" xfId="34134" xr:uid="{00000000-0005-0000-0000-00005B840000}"/>
    <cellStyle name="Normal 455 5 3" xfId="34135" xr:uid="{00000000-0005-0000-0000-00005C840000}"/>
    <cellStyle name="Normal 455 6" xfId="34136" xr:uid="{00000000-0005-0000-0000-00005D840000}"/>
    <cellStyle name="Normal 456" xfId="34137" xr:uid="{00000000-0005-0000-0000-00005E840000}"/>
    <cellStyle name="Normal 456 2" xfId="34138" xr:uid="{00000000-0005-0000-0000-00005F840000}"/>
    <cellStyle name="Normal 456 2 2" xfId="34139" xr:uid="{00000000-0005-0000-0000-000060840000}"/>
    <cellStyle name="Normal 456 2 2 2" xfId="34140" xr:uid="{00000000-0005-0000-0000-000061840000}"/>
    <cellStyle name="Normal 456 2 3" xfId="34141" xr:uid="{00000000-0005-0000-0000-000062840000}"/>
    <cellStyle name="Normal 456 2 3 2" xfId="34142" xr:uid="{00000000-0005-0000-0000-000063840000}"/>
    <cellStyle name="Normal 456 2 3 2 2" xfId="34143" xr:uid="{00000000-0005-0000-0000-000064840000}"/>
    <cellStyle name="Normal 456 2 3 3" xfId="34144" xr:uid="{00000000-0005-0000-0000-000065840000}"/>
    <cellStyle name="Normal 456 2 4" xfId="34145" xr:uid="{00000000-0005-0000-0000-000066840000}"/>
    <cellStyle name="Normal 456 3" xfId="34146" xr:uid="{00000000-0005-0000-0000-000067840000}"/>
    <cellStyle name="Normal 456 3 2" xfId="34147" xr:uid="{00000000-0005-0000-0000-000068840000}"/>
    <cellStyle name="Normal 456 3 2 2" xfId="34148" xr:uid="{00000000-0005-0000-0000-000069840000}"/>
    <cellStyle name="Normal 456 3 3" xfId="34149" xr:uid="{00000000-0005-0000-0000-00006A840000}"/>
    <cellStyle name="Normal 456 4" xfId="34150" xr:uid="{00000000-0005-0000-0000-00006B840000}"/>
    <cellStyle name="Normal 456 4 2" xfId="34151" xr:uid="{00000000-0005-0000-0000-00006C840000}"/>
    <cellStyle name="Normal 456 4 2 2" xfId="34152" xr:uid="{00000000-0005-0000-0000-00006D840000}"/>
    <cellStyle name="Normal 456 4 3" xfId="34153" xr:uid="{00000000-0005-0000-0000-00006E840000}"/>
    <cellStyle name="Normal 456 5" xfId="34154" xr:uid="{00000000-0005-0000-0000-00006F840000}"/>
    <cellStyle name="Normal 456 5 2" xfId="34155" xr:uid="{00000000-0005-0000-0000-000070840000}"/>
    <cellStyle name="Normal 456 5 2 2" xfId="34156" xr:uid="{00000000-0005-0000-0000-000071840000}"/>
    <cellStyle name="Normal 456 5 3" xfId="34157" xr:uid="{00000000-0005-0000-0000-000072840000}"/>
    <cellStyle name="Normal 456 6" xfId="34158" xr:uid="{00000000-0005-0000-0000-000073840000}"/>
    <cellStyle name="Normal 457" xfId="34159" xr:uid="{00000000-0005-0000-0000-000074840000}"/>
    <cellStyle name="Normal 457 2" xfId="34160" xr:uid="{00000000-0005-0000-0000-000075840000}"/>
    <cellStyle name="Normal 457 2 2" xfId="34161" xr:uid="{00000000-0005-0000-0000-000076840000}"/>
    <cellStyle name="Normal 457 2 2 2" xfId="34162" xr:uid="{00000000-0005-0000-0000-000077840000}"/>
    <cellStyle name="Normal 457 2 3" xfId="34163" xr:uid="{00000000-0005-0000-0000-000078840000}"/>
    <cellStyle name="Normal 457 2 3 2" xfId="34164" xr:uid="{00000000-0005-0000-0000-000079840000}"/>
    <cellStyle name="Normal 457 2 3 2 2" xfId="34165" xr:uid="{00000000-0005-0000-0000-00007A840000}"/>
    <cellStyle name="Normal 457 2 3 3" xfId="34166" xr:uid="{00000000-0005-0000-0000-00007B840000}"/>
    <cellStyle name="Normal 457 2 4" xfId="34167" xr:uid="{00000000-0005-0000-0000-00007C840000}"/>
    <cellStyle name="Normal 457 3" xfId="34168" xr:uid="{00000000-0005-0000-0000-00007D840000}"/>
    <cellStyle name="Normal 457 3 2" xfId="34169" xr:uid="{00000000-0005-0000-0000-00007E840000}"/>
    <cellStyle name="Normal 457 3 2 2" xfId="34170" xr:uid="{00000000-0005-0000-0000-00007F840000}"/>
    <cellStyle name="Normal 457 3 3" xfId="34171" xr:uid="{00000000-0005-0000-0000-000080840000}"/>
    <cellStyle name="Normal 457 4" xfId="34172" xr:uid="{00000000-0005-0000-0000-000081840000}"/>
    <cellStyle name="Normal 457 4 2" xfId="34173" xr:uid="{00000000-0005-0000-0000-000082840000}"/>
    <cellStyle name="Normal 457 4 2 2" xfId="34174" xr:uid="{00000000-0005-0000-0000-000083840000}"/>
    <cellStyle name="Normal 457 4 3" xfId="34175" xr:uid="{00000000-0005-0000-0000-000084840000}"/>
    <cellStyle name="Normal 457 5" xfId="34176" xr:uid="{00000000-0005-0000-0000-000085840000}"/>
    <cellStyle name="Normal 457 5 2" xfId="34177" xr:uid="{00000000-0005-0000-0000-000086840000}"/>
    <cellStyle name="Normal 457 5 2 2" xfId="34178" xr:uid="{00000000-0005-0000-0000-000087840000}"/>
    <cellStyle name="Normal 457 5 3" xfId="34179" xr:uid="{00000000-0005-0000-0000-000088840000}"/>
    <cellStyle name="Normal 457 6" xfId="34180" xr:uid="{00000000-0005-0000-0000-000089840000}"/>
    <cellStyle name="Normal 458" xfId="34181" xr:uid="{00000000-0005-0000-0000-00008A840000}"/>
    <cellStyle name="Normal 458 2" xfId="34182" xr:uid="{00000000-0005-0000-0000-00008B840000}"/>
    <cellStyle name="Normal 458 2 2" xfId="34183" xr:uid="{00000000-0005-0000-0000-00008C840000}"/>
    <cellStyle name="Normal 458 2 2 2" xfId="34184" xr:uid="{00000000-0005-0000-0000-00008D840000}"/>
    <cellStyle name="Normal 458 2 3" xfId="34185" xr:uid="{00000000-0005-0000-0000-00008E840000}"/>
    <cellStyle name="Normal 458 2 3 2" xfId="34186" xr:uid="{00000000-0005-0000-0000-00008F840000}"/>
    <cellStyle name="Normal 458 2 3 2 2" xfId="34187" xr:uid="{00000000-0005-0000-0000-000090840000}"/>
    <cellStyle name="Normal 458 2 3 3" xfId="34188" xr:uid="{00000000-0005-0000-0000-000091840000}"/>
    <cellStyle name="Normal 458 2 4" xfId="34189" xr:uid="{00000000-0005-0000-0000-000092840000}"/>
    <cellStyle name="Normal 458 3" xfId="34190" xr:uid="{00000000-0005-0000-0000-000093840000}"/>
    <cellStyle name="Normal 458 3 2" xfId="34191" xr:uid="{00000000-0005-0000-0000-000094840000}"/>
    <cellStyle name="Normal 458 3 2 2" xfId="34192" xr:uid="{00000000-0005-0000-0000-000095840000}"/>
    <cellStyle name="Normal 458 3 3" xfId="34193" xr:uid="{00000000-0005-0000-0000-000096840000}"/>
    <cellStyle name="Normal 458 4" xfId="34194" xr:uid="{00000000-0005-0000-0000-000097840000}"/>
    <cellStyle name="Normal 458 4 2" xfId="34195" xr:uid="{00000000-0005-0000-0000-000098840000}"/>
    <cellStyle name="Normal 458 4 2 2" xfId="34196" xr:uid="{00000000-0005-0000-0000-000099840000}"/>
    <cellStyle name="Normal 458 4 3" xfId="34197" xr:uid="{00000000-0005-0000-0000-00009A840000}"/>
    <cellStyle name="Normal 458 5" xfId="34198" xr:uid="{00000000-0005-0000-0000-00009B840000}"/>
    <cellStyle name="Normal 458 5 2" xfId="34199" xr:uid="{00000000-0005-0000-0000-00009C840000}"/>
    <cellStyle name="Normal 458 5 2 2" xfId="34200" xr:uid="{00000000-0005-0000-0000-00009D840000}"/>
    <cellStyle name="Normal 458 5 3" xfId="34201" xr:uid="{00000000-0005-0000-0000-00009E840000}"/>
    <cellStyle name="Normal 458 6" xfId="34202" xr:uid="{00000000-0005-0000-0000-00009F840000}"/>
    <cellStyle name="Normal 459" xfId="34203" xr:uid="{00000000-0005-0000-0000-0000A0840000}"/>
    <cellStyle name="Normal 459 2" xfId="34204" xr:uid="{00000000-0005-0000-0000-0000A1840000}"/>
    <cellStyle name="Normal 459 2 2" xfId="34205" xr:uid="{00000000-0005-0000-0000-0000A2840000}"/>
    <cellStyle name="Normal 459 2 2 2" xfId="34206" xr:uid="{00000000-0005-0000-0000-0000A3840000}"/>
    <cellStyle name="Normal 459 2 3" xfId="34207" xr:uid="{00000000-0005-0000-0000-0000A4840000}"/>
    <cellStyle name="Normal 459 2 3 2" xfId="34208" xr:uid="{00000000-0005-0000-0000-0000A5840000}"/>
    <cellStyle name="Normal 459 2 3 2 2" xfId="34209" xr:uid="{00000000-0005-0000-0000-0000A6840000}"/>
    <cellStyle name="Normal 459 2 3 3" xfId="34210" xr:uid="{00000000-0005-0000-0000-0000A7840000}"/>
    <cellStyle name="Normal 459 2 4" xfId="34211" xr:uid="{00000000-0005-0000-0000-0000A8840000}"/>
    <cellStyle name="Normal 459 3" xfId="34212" xr:uid="{00000000-0005-0000-0000-0000A9840000}"/>
    <cellStyle name="Normal 459 3 2" xfId="34213" xr:uid="{00000000-0005-0000-0000-0000AA840000}"/>
    <cellStyle name="Normal 459 3 2 2" xfId="34214" xr:uid="{00000000-0005-0000-0000-0000AB840000}"/>
    <cellStyle name="Normal 459 3 3" xfId="34215" xr:uid="{00000000-0005-0000-0000-0000AC840000}"/>
    <cellStyle name="Normal 459 4" xfId="34216" xr:uid="{00000000-0005-0000-0000-0000AD840000}"/>
    <cellStyle name="Normal 459 4 2" xfId="34217" xr:uid="{00000000-0005-0000-0000-0000AE840000}"/>
    <cellStyle name="Normal 459 4 2 2" xfId="34218" xr:uid="{00000000-0005-0000-0000-0000AF840000}"/>
    <cellStyle name="Normal 459 4 3" xfId="34219" xr:uid="{00000000-0005-0000-0000-0000B0840000}"/>
    <cellStyle name="Normal 459 5" xfId="34220" xr:uid="{00000000-0005-0000-0000-0000B1840000}"/>
    <cellStyle name="Normal 459 5 2" xfId="34221" xr:uid="{00000000-0005-0000-0000-0000B2840000}"/>
    <cellStyle name="Normal 459 5 2 2" xfId="34222" xr:uid="{00000000-0005-0000-0000-0000B3840000}"/>
    <cellStyle name="Normal 459 5 3" xfId="34223" xr:uid="{00000000-0005-0000-0000-0000B4840000}"/>
    <cellStyle name="Normal 459 6" xfId="34224" xr:uid="{00000000-0005-0000-0000-0000B5840000}"/>
    <cellStyle name="Normal 46" xfId="34225" xr:uid="{00000000-0005-0000-0000-0000B6840000}"/>
    <cellStyle name="Normal 46 2" xfId="34226" xr:uid="{00000000-0005-0000-0000-0000B7840000}"/>
    <cellStyle name="Normal 46 2 2" xfId="34227" xr:uid="{00000000-0005-0000-0000-0000B8840000}"/>
    <cellStyle name="Normal 46 2 2 2" xfId="34228" xr:uid="{00000000-0005-0000-0000-0000B9840000}"/>
    <cellStyle name="Normal 46 2 2 2 2" xfId="34229" xr:uid="{00000000-0005-0000-0000-0000BA840000}"/>
    <cellStyle name="Normal 46 2 2 3" xfId="34230" xr:uid="{00000000-0005-0000-0000-0000BB840000}"/>
    <cellStyle name="Normal 46 2 2 3 2" xfId="34231" xr:uid="{00000000-0005-0000-0000-0000BC840000}"/>
    <cellStyle name="Normal 46 2 2 3 2 2" xfId="34232" xr:uid="{00000000-0005-0000-0000-0000BD840000}"/>
    <cellStyle name="Normal 46 2 2 3 3" xfId="34233" xr:uid="{00000000-0005-0000-0000-0000BE840000}"/>
    <cellStyle name="Normal 46 2 2 4" xfId="34234" xr:uid="{00000000-0005-0000-0000-0000BF840000}"/>
    <cellStyle name="Normal 46 2 2 4 2" xfId="34235" xr:uid="{00000000-0005-0000-0000-0000C0840000}"/>
    <cellStyle name="Normal 46 2 2 4 2 2" xfId="34236" xr:uid="{00000000-0005-0000-0000-0000C1840000}"/>
    <cellStyle name="Normal 46 2 2 4 3" xfId="34237" xr:uid="{00000000-0005-0000-0000-0000C2840000}"/>
    <cellStyle name="Normal 46 2 2 5" xfId="34238" xr:uid="{00000000-0005-0000-0000-0000C3840000}"/>
    <cellStyle name="Normal 46 2 3" xfId="34239" xr:uid="{00000000-0005-0000-0000-0000C4840000}"/>
    <cellStyle name="Normal 46 2 3 2" xfId="34240" xr:uid="{00000000-0005-0000-0000-0000C5840000}"/>
    <cellStyle name="Normal 46 2 3 2 2" xfId="34241" xr:uid="{00000000-0005-0000-0000-0000C6840000}"/>
    <cellStyle name="Normal 46 2 3 3" xfId="34242" xr:uid="{00000000-0005-0000-0000-0000C7840000}"/>
    <cellStyle name="Normal 46 2 4" xfId="34243" xr:uid="{00000000-0005-0000-0000-0000C8840000}"/>
    <cellStyle name="Normal 46 2 4 2" xfId="34244" xr:uid="{00000000-0005-0000-0000-0000C9840000}"/>
    <cellStyle name="Normal 46 2 4 2 2" xfId="34245" xr:uid="{00000000-0005-0000-0000-0000CA840000}"/>
    <cellStyle name="Normal 46 2 4 3" xfId="34246" xr:uid="{00000000-0005-0000-0000-0000CB840000}"/>
    <cellStyle name="Normal 46 2 5" xfId="34247" xr:uid="{00000000-0005-0000-0000-0000CC840000}"/>
    <cellStyle name="Normal 46 2 5 2" xfId="34248" xr:uid="{00000000-0005-0000-0000-0000CD840000}"/>
    <cellStyle name="Normal 46 2 5 2 2" xfId="34249" xr:uid="{00000000-0005-0000-0000-0000CE840000}"/>
    <cellStyle name="Normal 46 2 5 3" xfId="34250" xr:uid="{00000000-0005-0000-0000-0000CF840000}"/>
    <cellStyle name="Normal 46 2 6" xfId="34251" xr:uid="{00000000-0005-0000-0000-0000D0840000}"/>
    <cellStyle name="Normal 46 3" xfId="34252" xr:uid="{00000000-0005-0000-0000-0000D1840000}"/>
    <cellStyle name="Normal 46 3 2" xfId="34253" xr:uid="{00000000-0005-0000-0000-0000D2840000}"/>
    <cellStyle name="Normal 46 3 2 2" xfId="34254" xr:uid="{00000000-0005-0000-0000-0000D3840000}"/>
    <cellStyle name="Normal 46 3 3" xfId="34255" xr:uid="{00000000-0005-0000-0000-0000D4840000}"/>
    <cellStyle name="Normal 46 3 3 2" xfId="34256" xr:uid="{00000000-0005-0000-0000-0000D5840000}"/>
    <cellStyle name="Normal 46 3 3 2 2" xfId="34257" xr:uid="{00000000-0005-0000-0000-0000D6840000}"/>
    <cellStyle name="Normal 46 3 3 3" xfId="34258" xr:uid="{00000000-0005-0000-0000-0000D7840000}"/>
    <cellStyle name="Normal 46 3 4" xfId="34259" xr:uid="{00000000-0005-0000-0000-0000D8840000}"/>
    <cellStyle name="Normal 46 3 4 2" xfId="34260" xr:uid="{00000000-0005-0000-0000-0000D9840000}"/>
    <cellStyle name="Normal 46 3 4 2 2" xfId="34261" xr:uid="{00000000-0005-0000-0000-0000DA840000}"/>
    <cellStyle name="Normal 46 3 4 3" xfId="34262" xr:uid="{00000000-0005-0000-0000-0000DB840000}"/>
    <cellStyle name="Normal 46 3 5" xfId="34263" xr:uid="{00000000-0005-0000-0000-0000DC840000}"/>
    <cellStyle name="Normal 46 4" xfId="34264" xr:uid="{00000000-0005-0000-0000-0000DD840000}"/>
    <cellStyle name="Normal 46 4 2" xfId="34265" xr:uid="{00000000-0005-0000-0000-0000DE840000}"/>
    <cellStyle name="Normal 46 4 2 2" xfId="34266" xr:uid="{00000000-0005-0000-0000-0000DF840000}"/>
    <cellStyle name="Normal 46 4 3" xfId="34267" xr:uid="{00000000-0005-0000-0000-0000E0840000}"/>
    <cellStyle name="Normal 46 5" xfId="34268" xr:uid="{00000000-0005-0000-0000-0000E1840000}"/>
    <cellStyle name="Normal 46 5 2" xfId="34269" xr:uid="{00000000-0005-0000-0000-0000E2840000}"/>
    <cellStyle name="Normal 46 5 2 2" xfId="34270" xr:uid="{00000000-0005-0000-0000-0000E3840000}"/>
    <cellStyle name="Normal 46 5 3" xfId="34271" xr:uid="{00000000-0005-0000-0000-0000E4840000}"/>
    <cellStyle name="Normal 46 6" xfId="34272" xr:uid="{00000000-0005-0000-0000-0000E5840000}"/>
    <cellStyle name="Normal 46 6 2" xfId="34273" xr:uid="{00000000-0005-0000-0000-0000E6840000}"/>
    <cellStyle name="Normal 46 6 2 2" xfId="34274" xr:uid="{00000000-0005-0000-0000-0000E7840000}"/>
    <cellStyle name="Normal 46 6 3" xfId="34275" xr:uid="{00000000-0005-0000-0000-0000E8840000}"/>
    <cellStyle name="Normal 46 7" xfId="34276" xr:uid="{00000000-0005-0000-0000-0000E9840000}"/>
    <cellStyle name="Normal 460" xfId="34277" xr:uid="{00000000-0005-0000-0000-0000EA840000}"/>
    <cellStyle name="Normal 460 2" xfId="34278" xr:uid="{00000000-0005-0000-0000-0000EB840000}"/>
    <cellStyle name="Normal 460 2 2" xfId="34279" xr:uid="{00000000-0005-0000-0000-0000EC840000}"/>
    <cellStyle name="Normal 460 2 2 2" xfId="34280" xr:uid="{00000000-0005-0000-0000-0000ED840000}"/>
    <cellStyle name="Normal 460 2 3" xfId="34281" xr:uid="{00000000-0005-0000-0000-0000EE840000}"/>
    <cellStyle name="Normal 460 2 3 2" xfId="34282" xr:uid="{00000000-0005-0000-0000-0000EF840000}"/>
    <cellStyle name="Normal 460 2 3 2 2" xfId="34283" xr:uid="{00000000-0005-0000-0000-0000F0840000}"/>
    <cellStyle name="Normal 460 2 3 3" xfId="34284" xr:uid="{00000000-0005-0000-0000-0000F1840000}"/>
    <cellStyle name="Normal 460 2 4" xfId="34285" xr:uid="{00000000-0005-0000-0000-0000F2840000}"/>
    <cellStyle name="Normal 460 3" xfId="34286" xr:uid="{00000000-0005-0000-0000-0000F3840000}"/>
    <cellStyle name="Normal 460 3 2" xfId="34287" xr:uid="{00000000-0005-0000-0000-0000F4840000}"/>
    <cellStyle name="Normal 460 3 2 2" xfId="34288" xr:uid="{00000000-0005-0000-0000-0000F5840000}"/>
    <cellStyle name="Normal 460 3 3" xfId="34289" xr:uid="{00000000-0005-0000-0000-0000F6840000}"/>
    <cellStyle name="Normal 460 4" xfId="34290" xr:uid="{00000000-0005-0000-0000-0000F7840000}"/>
    <cellStyle name="Normal 460 4 2" xfId="34291" xr:uid="{00000000-0005-0000-0000-0000F8840000}"/>
    <cellStyle name="Normal 460 4 2 2" xfId="34292" xr:uid="{00000000-0005-0000-0000-0000F9840000}"/>
    <cellStyle name="Normal 460 4 3" xfId="34293" xr:uid="{00000000-0005-0000-0000-0000FA840000}"/>
    <cellStyle name="Normal 460 5" xfId="34294" xr:uid="{00000000-0005-0000-0000-0000FB840000}"/>
    <cellStyle name="Normal 460 5 2" xfId="34295" xr:uid="{00000000-0005-0000-0000-0000FC840000}"/>
    <cellStyle name="Normal 460 5 2 2" xfId="34296" xr:uid="{00000000-0005-0000-0000-0000FD840000}"/>
    <cellStyle name="Normal 460 5 3" xfId="34297" xr:uid="{00000000-0005-0000-0000-0000FE840000}"/>
    <cellStyle name="Normal 460 6" xfId="34298" xr:uid="{00000000-0005-0000-0000-0000FF840000}"/>
    <cellStyle name="Normal 461" xfId="34299" xr:uid="{00000000-0005-0000-0000-000000850000}"/>
    <cellStyle name="Normal 461 2" xfId="34300" xr:uid="{00000000-0005-0000-0000-000001850000}"/>
    <cellStyle name="Normal 461 2 2" xfId="34301" xr:uid="{00000000-0005-0000-0000-000002850000}"/>
    <cellStyle name="Normal 461 2 2 2" xfId="34302" xr:uid="{00000000-0005-0000-0000-000003850000}"/>
    <cellStyle name="Normal 461 2 3" xfId="34303" xr:uid="{00000000-0005-0000-0000-000004850000}"/>
    <cellStyle name="Normal 461 2 3 2" xfId="34304" xr:uid="{00000000-0005-0000-0000-000005850000}"/>
    <cellStyle name="Normal 461 2 3 2 2" xfId="34305" xr:uid="{00000000-0005-0000-0000-000006850000}"/>
    <cellStyle name="Normal 461 2 3 3" xfId="34306" xr:uid="{00000000-0005-0000-0000-000007850000}"/>
    <cellStyle name="Normal 461 2 4" xfId="34307" xr:uid="{00000000-0005-0000-0000-000008850000}"/>
    <cellStyle name="Normal 461 3" xfId="34308" xr:uid="{00000000-0005-0000-0000-000009850000}"/>
    <cellStyle name="Normal 461 3 2" xfId="34309" xr:uid="{00000000-0005-0000-0000-00000A850000}"/>
    <cellStyle name="Normal 461 3 2 2" xfId="34310" xr:uid="{00000000-0005-0000-0000-00000B850000}"/>
    <cellStyle name="Normal 461 3 3" xfId="34311" xr:uid="{00000000-0005-0000-0000-00000C850000}"/>
    <cellStyle name="Normal 461 4" xfId="34312" xr:uid="{00000000-0005-0000-0000-00000D850000}"/>
    <cellStyle name="Normal 461 4 2" xfId="34313" xr:uid="{00000000-0005-0000-0000-00000E850000}"/>
    <cellStyle name="Normal 461 4 2 2" xfId="34314" xr:uid="{00000000-0005-0000-0000-00000F850000}"/>
    <cellStyle name="Normal 461 4 3" xfId="34315" xr:uid="{00000000-0005-0000-0000-000010850000}"/>
    <cellStyle name="Normal 461 5" xfId="34316" xr:uid="{00000000-0005-0000-0000-000011850000}"/>
    <cellStyle name="Normal 461 5 2" xfId="34317" xr:uid="{00000000-0005-0000-0000-000012850000}"/>
    <cellStyle name="Normal 461 5 2 2" xfId="34318" xr:uid="{00000000-0005-0000-0000-000013850000}"/>
    <cellStyle name="Normal 461 5 3" xfId="34319" xr:uid="{00000000-0005-0000-0000-000014850000}"/>
    <cellStyle name="Normal 461 6" xfId="34320" xr:uid="{00000000-0005-0000-0000-000015850000}"/>
    <cellStyle name="Normal 462" xfId="34321" xr:uid="{00000000-0005-0000-0000-000016850000}"/>
    <cellStyle name="Normal 462 2" xfId="34322" xr:uid="{00000000-0005-0000-0000-000017850000}"/>
    <cellStyle name="Normal 462 2 2" xfId="34323" xr:uid="{00000000-0005-0000-0000-000018850000}"/>
    <cellStyle name="Normal 462 2 2 2" xfId="34324" xr:uid="{00000000-0005-0000-0000-000019850000}"/>
    <cellStyle name="Normal 462 2 3" xfId="34325" xr:uid="{00000000-0005-0000-0000-00001A850000}"/>
    <cellStyle name="Normal 462 2 3 2" xfId="34326" xr:uid="{00000000-0005-0000-0000-00001B850000}"/>
    <cellStyle name="Normal 462 2 3 2 2" xfId="34327" xr:uid="{00000000-0005-0000-0000-00001C850000}"/>
    <cellStyle name="Normal 462 2 3 3" xfId="34328" xr:uid="{00000000-0005-0000-0000-00001D850000}"/>
    <cellStyle name="Normal 462 2 4" xfId="34329" xr:uid="{00000000-0005-0000-0000-00001E850000}"/>
    <cellStyle name="Normal 462 3" xfId="34330" xr:uid="{00000000-0005-0000-0000-00001F850000}"/>
    <cellStyle name="Normal 462 3 2" xfId="34331" xr:uid="{00000000-0005-0000-0000-000020850000}"/>
    <cellStyle name="Normal 462 3 2 2" xfId="34332" xr:uid="{00000000-0005-0000-0000-000021850000}"/>
    <cellStyle name="Normal 462 3 3" xfId="34333" xr:uid="{00000000-0005-0000-0000-000022850000}"/>
    <cellStyle name="Normal 462 4" xfId="34334" xr:uid="{00000000-0005-0000-0000-000023850000}"/>
    <cellStyle name="Normal 462 4 2" xfId="34335" xr:uid="{00000000-0005-0000-0000-000024850000}"/>
    <cellStyle name="Normal 462 4 2 2" xfId="34336" xr:uid="{00000000-0005-0000-0000-000025850000}"/>
    <cellStyle name="Normal 462 4 3" xfId="34337" xr:uid="{00000000-0005-0000-0000-000026850000}"/>
    <cellStyle name="Normal 462 5" xfId="34338" xr:uid="{00000000-0005-0000-0000-000027850000}"/>
    <cellStyle name="Normal 462 5 2" xfId="34339" xr:uid="{00000000-0005-0000-0000-000028850000}"/>
    <cellStyle name="Normal 462 5 2 2" xfId="34340" xr:uid="{00000000-0005-0000-0000-000029850000}"/>
    <cellStyle name="Normal 462 5 3" xfId="34341" xr:uid="{00000000-0005-0000-0000-00002A850000}"/>
    <cellStyle name="Normal 462 6" xfId="34342" xr:uid="{00000000-0005-0000-0000-00002B850000}"/>
    <cellStyle name="Normal 463" xfId="34343" xr:uid="{00000000-0005-0000-0000-00002C850000}"/>
    <cellStyle name="Normal 463 2" xfId="34344" xr:uid="{00000000-0005-0000-0000-00002D850000}"/>
    <cellStyle name="Normal 463 2 2" xfId="34345" xr:uid="{00000000-0005-0000-0000-00002E850000}"/>
    <cellStyle name="Normal 463 2 2 2" xfId="34346" xr:uid="{00000000-0005-0000-0000-00002F850000}"/>
    <cellStyle name="Normal 463 2 3" xfId="34347" xr:uid="{00000000-0005-0000-0000-000030850000}"/>
    <cellStyle name="Normal 463 2 3 2" xfId="34348" xr:uid="{00000000-0005-0000-0000-000031850000}"/>
    <cellStyle name="Normal 463 2 3 2 2" xfId="34349" xr:uid="{00000000-0005-0000-0000-000032850000}"/>
    <cellStyle name="Normal 463 2 3 3" xfId="34350" xr:uid="{00000000-0005-0000-0000-000033850000}"/>
    <cellStyle name="Normal 463 2 4" xfId="34351" xr:uid="{00000000-0005-0000-0000-000034850000}"/>
    <cellStyle name="Normal 463 3" xfId="34352" xr:uid="{00000000-0005-0000-0000-000035850000}"/>
    <cellStyle name="Normal 463 3 2" xfId="34353" xr:uid="{00000000-0005-0000-0000-000036850000}"/>
    <cellStyle name="Normal 463 3 2 2" xfId="34354" xr:uid="{00000000-0005-0000-0000-000037850000}"/>
    <cellStyle name="Normal 463 3 3" xfId="34355" xr:uid="{00000000-0005-0000-0000-000038850000}"/>
    <cellStyle name="Normal 463 4" xfId="34356" xr:uid="{00000000-0005-0000-0000-000039850000}"/>
    <cellStyle name="Normal 463 4 2" xfId="34357" xr:uid="{00000000-0005-0000-0000-00003A850000}"/>
    <cellStyle name="Normal 463 4 2 2" xfId="34358" xr:uid="{00000000-0005-0000-0000-00003B850000}"/>
    <cellStyle name="Normal 463 4 3" xfId="34359" xr:uid="{00000000-0005-0000-0000-00003C850000}"/>
    <cellStyle name="Normal 463 5" xfId="34360" xr:uid="{00000000-0005-0000-0000-00003D850000}"/>
    <cellStyle name="Normal 463 5 2" xfId="34361" xr:uid="{00000000-0005-0000-0000-00003E850000}"/>
    <cellStyle name="Normal 463 5 2 2" xfId="34362" xr:uid="{00000000-0005-0000-0000-00003F850000}"/>
    <cellStyle name="Normal 463 5 3" xfId="34363" xr:uid="{00000000-0005-0000-0000-000040850000}"/>
    <cellStyle name="Normal 463 6" xfId="34364" xr:uid="{00000000-0005-0000-0000-000041850000}"/>
    <cellStyle name="Normal 464" xfId="34365" xr:uid="{00000000-0005-0000-0000-000042850000}"/>
    <cellStyle name="Normal 464 2" xfId="34366" xr:uid="{00000000-0005-0000-0000-000043850000}"/>
    <cellStyle name="Normal 464 2 2" xfId="34367" xr:uid="{00000000-0005-0000-0000-000044850000}"/>
    <cellStyle name="Normal 464 2 2 2" xfId="34368" xr:uid="{00000000-0005-0000-0000-000045850000}"/>
    <cellStyle name="Normal 464 2 3" xfId="34369" xr:uid="{00000000-0005-0000-0000-000046850000}"/>
    <cellStyle name="Normal 464 2 3 2" xfId="34370" xr:uid="{00000000-0005-0000-0000-000047850000}"/>
    <cellStyle name="Normal 464 2 3 2 2" xfId="34371" xr:uid="{00000000-0005-0000-0000-000048850000}"/>
    <cellStyle name="Normal 464 2 3 3" xfId="34372" xr:uid="{00000000-0005-0000-0000-000049850000}"/>
    <cellStyle name="Normal 464 2 4" xfId="34373" xr:uid="{00000000-0005-0000-0000-00004A850000}"/>
    <cellStyle name="Normal 464 3" xfId="34374" xr:uid="{00000000-0005-0000-0000-00004B850000}"/>
    <cellStyle name="Normal 464 3 2" xfId="34375" xr:uid="{00000000-0005-0000-0000-00004C850000}"/>
    <cellStyle name="Normal 464 3 2 2" xfId="34376" xr:uid="{00000000-0005-0000-0000-00004D850000}"/>
    <cellStyle name="Normal 464 3 3" xfId="34377" xr:uid="{00000000-0005-0000-0000-00004E850000}"/>
    <cellStyle name="Normal 464 4" xfId="34378" xr:uid="{00000000-0005-0000-0000-00004F850000}"/>
    <cellStyle name="Normal 464 4 2" xfId="34379" xr:uid="{00000000-0005-0000-0000-000050850000}"/>
    <cellStyle name="Normal 464 4 2 2" xfId="34380" xr:uid="{00000000-0005-0000-0000-000051850000}"/>
    <cellStyle name="Normal 464 4 3" xfId="34381" xr:uid="{00000000-0005-0000-0000-000052850000}"/>
    <cellStyle name="Normal 464 5" xfId="34382" xr:uid="{00000000-0005-0000-0000-000053850000}"/>
    <cellStyle name="Normal 464 5 2" xfId="34383" xr:uid="{00000000-0005-0000-0000-000054850000}"/>
    <cellStyle name="Normal 464 5 2 2" xfId="34384" xr:uid="{00000000-0005-0000-0000-000055850000}"/>
    <cellStyle name="Normal 464 5 3" xfId="34385" xr:uid="{00000000-0005-0000-0000-000056850000}"/>
    <cellStyle name="Normal 464 6" xfId="34386" xr:uid="{00000000-0005-0000-0000-000057850000}"/>
    <cellStyle name="Normal 465" xfId="34387" xr:uid="{00000000-0005-0000-0000-000058850000}"/>
    <cellStyle name="Normal 465 2" xfId="34388" xr:uid="{00000000-0005-0000-0000-000059850000}"/>
    <cellStyle name="Normal 465 2 2" xfId="34389" xr:uid="{00000000-0005-0000-0000-00005A850000}"/>
    <cellStyle name="Normal 465 2 2 2" xfId="34390" xr:uid="{00000000-0005-0000-0000-00005B850000}"/>
    <cellStyle name="Normal 465 2 3" xfId="34391" xr:uid="{00000000-0005-0000-0000-00005C850000}"/>
    <cellStyle name="Normal 465 2 3 2" xfId="34392" xr:uid="{00000000-0005-0000-0000-00005D850000}"/>
    <cellStyle name="Normal 465 2 3 2 2" xfId="34393" xr:uid="{00000000-0005-0000-0000-00005E850000}"/>
    <cellStyle name="Normal 465 2 3 3" xfId="34394" xr:uid="{00000000-0005-0000-0000-00005F850000}"/>
    <cellStyle name="Normal 465 2 4" xfId="34395" xr:uid="{00000000-0005-0000-0000-000060850000}"/>
    <cellStyle name="Normal 465 3" xfId="34396" xr:uid="{00000000-0005-0000-0000-000061850000}"/>
    <cellStyle name="Normal 465 3 2" xfId="34397" xr:uid="{00000000-0005-0000-0000-000062850000}"/>
    <cellStyle name="Normal 465 3 2 2" xfId="34398" xr:uid="{00000000-0005-0000-0000-000063850000}"/>
    <cellStyle name="Normal 465 3 3" xfId="34399" xr:uid="{00000000-0005-0000-0000-000064850000}"/>
    <cellStyle name="Normal 465 4" xfId="34400" xr:uid="{00000000-0005-0000-0000-000065850000}"/>
    <cellStyle name="Normal 465 4 2" xfId="34401" xr:uid="{00000000-0005-0000-0000-000066850000}"/>
    <cellStyle name="Normal 465 4 2 2" xfId="34402" xr:uid="{00000000-0005-0000-0000-000067850000}"/>
    <cellStyle name="Normal 465 4 3" xfId="34403" xr:uid="{00000000-0005-0000-0000-000068850000}"/>
    <cellStyle name="Normal 465 5" xfId="34404" xr:uid="{00000000-0005-0000-0000-000069850000}"/>
    <cellStyle name="Normal 465 5 2" xfId="34405" xr:uid="{00000000-0005-0000-0000-00006A850000}"/>
    <cellStyle name="Normal 465 5 2 2" xfId="34406" xr:uid="{00000000-0005-0000-0000-00006B850000}"/>
    <cellStyle name="Normal 465 5 3" xfId="34407" xr:uid="{00000000-0005-0000-0000-00006C850000}"/>
    <cellStyle name="Normal 465 6" xfId="34408" xr:uid="{00000000-0005-0000-0000-00006D850000}"/>
    <cellStyle name="Normal 466" xfId="34409" xr:uid="{00000000-0005-0000-0000-00006E850000}"/>
    <cellStyle name="Normal 466 2" xfId="34410" xr:uid="{00000000-0005-0000-0000-00006F850000}"/>
    <cellStyle name="Normal 466 2 2" xfId="34411" xr:uid="{00000000-0005-0000-0000-000070850000}"/>
    <cellStyle name="Normal 466 2 2 2" xfId="34412" xr:uid="{00000000-0005-0000-0000-000071850000}"/>
    <cellStyle name="Normal 466 2 3" xfId="34413" xr:uid="{00000000-0005-0000-0000-000072850000}"/>
    <cellStyle name="Normal 466 2 3 2" xfId="34414" xr:uid="{00000000-0005-0000-0000-000073850000}"/>
    <cellStyle name="Normal 466 2 3 2 2" xfId="34415" xr:uid="{00000000-0005-0000-0000-000074850000}"/>
    <cellStyle name="Normal 466 2 3 3" xfId="34416" xr:uid="{00000000-0005-0000-0000-000075850000}"/>
    <cellStyle name="Normal 466 2 4" xfId="34417" xr:uid="{00000000-0005-0000-0000-000076850000}"/>
    <cellStyle name="Normal 466 3" xfId="34418" xr:uid="{00000000-0005-0000-0000-000077850000}"/>
    <cellStyle name="Normal 466 3 2" xfId="34419" xr:uid="{00000000-0005-0000-0000-000078850000}"/>
    <cellStyle name="Normal 466 3 2 2" xfId="34420" xr:uid="{00000000-0005-0000-0000-000079850000}"/>
    <cellStyle name="Normal 466 3 3" xfId="34421" xr:uid="{00000000-0005-0000-0000-00007A850000}"/>
    <cellStyle name="Normal 466 4" xfId="34422" xr:uid="{00000000-0005-0000-0000-00007B850000}"/>
    <cellStyle name="Normal 466 4 2" xfId="34423" xr:uid="{00000000-0005-0000-0000-00007C850000}"/>
    <cellStyle name="Normal 466 4 2 2" xfId="34424" xr:uid="{00000000-0005-0000-0000-00007D850000}"/>
    <cellStyle name="Normal 466 4 3" xfId="34425" xr:uid="{00000000-0005-0000-0000-00007E850000}"/>
    <cellStyle name="Normal 466 5" xfId="34426" xr:uid="{00000000-0005-0000-0000-00007F850000}"/>
    <cellStyle name="Normal 466 5 2" xfId="34427" xr:uid="{00000000-0005-0000-0000-000080850000}"/>
    <cellStyle name="Normal 466 5 2 2" xfId="34428" xr:uid="{00000000-0005-0000-0000-000081850000}"/>
    <cellStyle name="Normal 466 5 3" xfId="34429" xr:uid="{00000000-0005-0000-0000-000082850000}"/>
    <cellStyle name="Normal 466 6" xfId="34430" xr:uid="{00000000-0005-0000-0000-000083850000}"/>
    <cellStyle name="Normal 467" xfId="34431" xr:uid="{00000000-0005-0000-0000-000084850000}"/>
    <cellStyle name="Normal 467 2" xfId="34432" xr:uid="{00000000-0005-0000-0000-000085850000}"/>
    <cellStyle name="Normal 467 2 2" xfId="34433" xr:uid="{00000000-0005-0000-0000-000086850000}"/>
    <cellStyle name="Normal 467 2 2 2" xfId="34434" xr:uid="{00000000-0005-0000-0000-000087850000}"/>
    <cellStyle name="Normal 467 2 3" xfId="34435" xr:uid="{00000000-0005-0000-0000-000088850000}"/>
    <cellStyle name="Normal 467 2 3 2" xfId="34436" xr:uid="{00000000-0005-0000-0000-000089850000}"/>
    <cellStyle name="Normal 467 2 3 2 2" xfId="34437" xr:uid="{00000000-0005-0000-0000-00008A850000}"/>
    <cellStyle name="Normal 467 2 3 3" xfId="34438" xr:uid="{00000000-0005-0000-0000-00008B850000}"/>
    <cellStyle name="Normal 467 2 4" xfId="34439" xr:uid="{00000000-0005-0000-0000-00008C850000}"/>
    <cellStyle name="Normal 467 3" xfId="34440" xr:uid="{00000000-0005-0000-0000-00008D850000}"/>
    <cellStyle name="Normal 467 3 2" xfId="34441" xr:uid="{00000000-0005-0000-0000-00008E850000}"/>
    <cellStyle name="Normal 467 3 2 2" xfId="34442" xr:uid="{00000000-0005-0000-0000-00008F850000}"/>
    <cellStyle name="Normal 467 3 3" xfId="34443" xr:uid="{00000000-0005-0000-0000-000090850000}"/>
    <cellStyle name="Normal 467 4" xfId="34444" xr:uid="{00000000-0005-0000-0000-000091850000}"/>
    <cellStyle name="Normal 467 4 2" xfId="34445" xr:uid="{00000000-0005-0000-0000-000092850000}"/>
    <cellStyle name="Normal 467 4 2 2" xfId="34446" xr:uid="{00000000-0005-0000-0000-000093850000}"/>
    <cellStyle name="Normal 467 4 3" xfId="34447" xr:uid="{00000000-0005-0000-0000-000094850000}"/>
    <cellStyle name="Normal 467 5" xfId="34448" xr:uid="{00000000-0005-0000-0000-000095850000}"/>
    <cellStyle name="Normal 467 5 2" xfId="34449" xr:uid="{00000000-0005-0000-0000-000096850000}"/>
    <cellStyle name="Normal 467 5 2 2" xfId="34450" xr:uid="{00000000-0005-0000-0000-000097850000}"/>
    <cellStyle name="Normal 467 5 3" xfId="34451" xr:uid="{00000000-0005-0000-0000-000098850000}"/>
    <cellStyle name="Normal 467 6" xfId="34452" xr:uid="{00000000-0005-0000-0000-000099850000}"/>
    <cellStyle name="Normal 468" xfId="34453" xr:uid="{00000000-0005-0000-0000-00009A850000}"/>
    <cellStyle name="Normal 468 2" xfId="34454" xr:uid="{00000000-0005-0000-0000-00009B850000}"/>
    <cellStyle name="Normal 468 2 2" xfId="34455" xr:uid="{00000000-0005-0000-0000-00009C850000}"/>
    <cellStyle name="Normal 468 2 2 2" xfId="34456" xr:uid="{00000000-0005-0000-0000-00009D850000}"/>
    <cellStyle name="Normal 468 2 3" xfId="34457" xr:uid="{00000000-0005-0000-0000-00009E850000}"/>
    <cellStyle name="Normal 468 2 3 2" xfId="34458" xr:uid="{00000000-0005-0000-0000-00009F850000}"/>
    <cellStyle name="Normal 468 2 3 2 2" xfId="34459" xr:uid="{00000000-0005-0000-0000-0000A0850000}"/>
    <cellStyle name="Normal 468 2 3 3" xfId="34460" xr:uid="{00000000-0005-0000-0000-0000A1850000}"/>
    <cellStyle name="Normal 468 2 4" xfId="34461" xr:uid="{00000000-0005-0000-0000-0000A2850000}"/>
    <cellStyle name="Normal 468 3" xfId="34462" xr:uid="{00000000-0005-0000-0000-0000A3850000}"/>
    <cellStyle name="Normal 468 3 2" xfId="34463" xr:uid="{00000000-0005-0000-0000-0000A4850000}"/>
    <cellStyle name="Normal 468 3 2 2" xfId="34464" xr:uid="{00000000-0005-0000-0000-0000A5850000}"/>
    <cellStyle name="Normal 468 3 3" xfId="34465" xr:uid="{00000000-0005-0000-0000-0000A6850000}"/>
    <cellStyle name="Normal 468 4" xfId="34466" xr:uid="{00000000-0005-0000-0000-0000A7850000}"/>
    <cellStyle name="Normal 468 4 2" xfId="34467" xr:uid="{00000000-0005-0000-0000-0000A8850000}"/>
    <cellStyle name="Normal 468 4 2 2" xfId="34468" xr:uid="{00000000-0005-0000-0000-0000A9850000}"/>
    <cellStyle name="Normal 468 4 3" xfId="34469" xr:uid="{00000000-0005-0000-0000-0000AA850000}"/>
    <cellStyle name="Normal 468 5" xfId="34470" xr:uid="{00000000-0005-0000-0000-0000AB850000}"/>
    <cellStyle name="Normal 468 5 2" xfId="34471" xr:uid="{00000000-0005-0000-0000-0000AC850000}"/>
    <cellStyle name="Normal 468 5 2 2" xfId="34472" xr:uid="{00000000-0005-0000-0000-0000AD850000}"/>
    <cellStyle name="Normal 468 5 3" xfId="34473" xr:uid="{00000000-0005-0000-0000-0000AE850000}"/>
    <cellStyle name="Normal 468 6" xfId="34474" xr:uid="{00000000-0005-0000-0000-0000AF850000}"/>
    <cellStyle name="Normal 469" xfId="34475" xr:uid="{00000000-0005-0000-0000-0000B0850000}"/>
    <cellStyle name="Normal 469 2" xfId="34476" xr:uid="{00000000-0005-0000-0000-0000B1850000}"/>
    <cellStyle name="Normal 469 2 2" xfId="34477" xr:uid="{00000000-0005-0000-0000-0000B2850000}"/>
    <cellStyle name="Normal 469 2 2 2" xfId="34478" xr:uid="{00000000-0005-0000-0000-0000B3850000}"/>
    <cellStyle name="Normal 469 2 3" xfId="34479" xr:uid="{00000000-0005-0000-0000-0000B4850000}"/>
    <cellStyle name="Normal 469 2 3 2" xfId="34480" xr:uid="{00000000-0005-0000-0000-0000B5850000}"/>
    <cellStyle name="Normal 469 2 3 2 2" xfId="34481" xr:uid="{00000000-0005-0000-0000-0000B6850000}"/>
    <cellStyle name="Normal 469 2 3 3" xfId="34482" xr:uid="{00000000-0005-0000-0000-0000B7850000}"/>
    <cellStyle name="Normal 469 2 4" xfId="34483" xr:uid="{00000000-0005-0000-0000-0000B8850000}"/>
    <cellStyle name="Normal 469 3" xfId="34484" xr:uid="{00000000-0005-0000-0000-0000B9850000}"/>
    <cellStyle name="Normal 469 3 2" xfId="34485" xr:uid="{00000000-0005-0000-0000-0000BA850000}"/>
    <cellStyle name="Normal 469 3 2 2" xfId="34486" xr:uid="{00000000-0005-0000-0000-0000BB850000}"/>
    <cellStyle name="Normal 469 3 3" xfId="34487" xr:uid="{00000000-0005-0000-0000-0000BC850000}"/>
    <cellStyle name="Normal 469 4" xfId="34488" xr:uid="{00000000-0005-0000-0000-0000BD850000}"/>
    <cellStyle name="Normal 469 4 2" xfId="34489" xr:uid="{00000000-0005-0000-0000-0000BE850000}"/>
    <cellStyle name="Normal 469 4 2 2" xfId="34490" xr:uid="{00000000-0005-0000-0000-0000BF850000}"/>
    <cellStyle name="Normal 469 4 3" xfId="34491" xr:uid="{00000000-0005-0000-0000-0000C0850000}"/>
    <cellStyle name="Normal 469 5" xfId="34492" xr:uid="{00000000-0005-0000-0000-0000C1850000}"/>
    <cellStyle name="Normal 469 5 2" xfId="34493" xr:uid="{00000000-0005-0000-0000-0000C2850000}"/>
    <cellStyle name="Normal 469 5 2 2" xfId="34494" xr:uid="{00000000-0005-0000-0000-0000C3850000}"/>
    <cellStyle name="Normal 469 5 3" xfId="34495" xr:uid="{00000000-0005-0000-0000-0000C4850000}"/>
    <cellStyle name="Normal 469 6" xfId="34496" xr:uid="{00000000-0005-0000-0000-0000C5850000}"/>
    <cellStyle name="Normal 47" xfId="34497" xr:uid="{00000000-0005-0000-0000-0000C6850000}"/>
    <cellStyle name="Normal 47 2" xfId="34498" xr:uid="{00000000-0005-0000-0000-0000C7850000}"/>
    <cellStyle name="Normal 47 2 2" xfId="34499" xr:uid="{00000000-0005-0000-0000-0000C8850000}"/>
    <cellStyle name="Normal 47 2 2 2" xfId="34500" xr:uid="{00000000-0005-0000-0000-0000C9850000}"/>
    <cellStyle name="Normal 47 2 2 2 2" xfId="34501" xr:uid="{00000000-0005-0000-0000-0000CA850000}"/>
    <cellStyle name="Normal 47 2 2 3" xfId="34502" xr:uid="{00000000-0005-0000-0000-0000CB850000}"/>
    <cellStyle name="Normal 47 2 2 3 2" xfId="34503" xr:uid="{00000000-0005-0000-0000-0000CC850000}"/>
    <cellStyle name="Normal 47 2 2 3 2 2" xfId="34504" xr:uid="{00000000-0005-0000-0000-0000CD850000}"/>
    <cellStyle name="Normal 47 2 2 3 3" xfId="34505" xr:uid="{00000000-0005-0000-0000-0000CE850000}"/>
    <cellStyle name="Normal 47 2 2 4" xfId="34506" xr:uid="{00000000-0005-0000-0000-0000CF850000}"/>
    <cellStyle name="Normal 47 2 2 4 2" xfId="34507" xr:uid="{00000000-0005-0000-0000-0000D0850000}"/>
    <cellStyle name="Normal 47 2 2 4 2 2" xfId="34508" xr:uid="{00000000-0005-0000-0000-0000D1850000}"/>
    <cellStyle name="Normal 47 2 2 4 3" xfId="34509" xr:uid="{00000000-0005-0000-0000-0000D2850000}"/>
    <cellStyle name="Normal 47 2 2 5" xfId="34510" xr:uid="{00000000-0005-0000-0000-0000D3850000}"/>
    <cellStyle name="Normal 47 2 3" xfId="34511" xr:uid="{00000000-0005-0000-0000-0000D4850000}"/>
    <cellStyle name="Normal 47 2 3 2" xfId="34512" xr:uid="{00000000-0005-0000-0000-0000D5850000}"/>
    <cellStyle name="Normal 47 2 3 2 2" xfId="34513" xr:uid="{00000000-0005-0000-0000-0000D6850000}"/>
    <cellStyle name="Normal 47 2 3 3" xfId="34514" xr:uid="{00000000-0005-0000-0000-0000D7850000}"/>
    <cellStyle name="Normal 47 2 4" xfId="34515" xr:uid="{00000000-0005-0000-0000-0000D8850000}"/>
    <cellStyle name="Normal 47 2 4 2" xfId="34516" xr:uid="{00000000-0005-0000-0000-0000D9850000}"/>
    <cellStyle name="Normal 47 2 4 2 2" xfId="34517" xr:uid="{00000000-0005-0000-0000-0000DA850000}"/>
    <cellStyle name="Normal 47 2 4 3" xfId="34518" xr:uid="{00000000-0005-0000-0000-0000DB850000}"/>
    <cellStyle name="Normal 47 2 5" xfId="34519" xr:uid="{00000000-0005-0000-0000-0000DC850000}"/>
    <cellStyle name="Normal 47 2 5 2" xfId="34520" xr:uid="{00000000-0005-0000-0000-0000DD850000}"/>
    <cellStyle name="Normal 47 2 5 2 2" xfId="34521" xr:uid="{00000000-0005-0000-0000-0000DE850000}"/>
    <cellStyle name="Normal 47 2 5 3" xfId="34522" xr:uid="{00000000-0005-0000-0000-0000DF850000}"/>
    <cellStyle name="Normal 47 2 6" xfId="34523" xr:uid="{00000000-0005-0000-0000-0000E0850000}"/>
    <cellStyle name="Normal 47 3" xfId="34524" xr:uid="{00000000-0005-0000-0000-0000E1850000}"/>
    <cellStyle name="Normal 47 3 2" xfId="34525" xr:uid="{00000000-0005-0000-0000-0000E2850000}"/>
    <cellStyle name="Normal 47 3 2 2" xfId="34526" xr:uid="{00000000-0005-0000-0000-0000E3850000}"/>
    <cellStyle name="Normal 47 3 3" xfId="34527" xr:uid="{00000000-0005-0000-0000-0000E4850000}"/>
    <cellStyle name="Normal 47 3 3 2" xfId="34528" xr:uid="{00000000-0005-0000-0000-0000E5850000}"/>
    <cellStyle name="Normal 47 3 3 2 2" xfId="34529" xr:uid="{00000000-0005-0000-0000-0000E6850000}"/>
    <cellStyle name="Normal 47 3 3 3" xfId="34530" xr:uid="{00000000-0005-0000-0000-0000E7850000}"/>
    <cellStyle name="Normal 47 3 4" xfId="34531" xr:uid="{00000000-0005-0000-0000-0000E8850000}"/>
    <cellStyle name="Normal 47 3 4 2" xfId="34532" xr:uid="{00000000-0005-0000-0000-0000E9850000}"/>
    <cellStyle name="Normal 47 3 4 2 2" xfId="34533" xr:uid="{00000000-0005-0000-0000-0000EA850000}"/>
    <cellStyle name="Normal 47 3 4 3" xfId="34534" xr:uid="{00000000-0005-0000-0000-0000EB850000}"/>
    <cellStyle name="Normal 47 3 5" xfId="34535" xr:uid="{00000000-0005-0000-0000-0000EC850000}"/>
    <cellStyle name="Normal 47 4" xfId="34536" xr:uid="{00000000-0005-0000-0000-0000ED850000}"/>
    <cellStyle name="Normal 47 4 2" xfId="34537" xr:uid="{00000000-0005-0000-0000-0000EE850000}"/>
    <cellStyle name="Normal 47 4 2 2" xfId="34538" xr:uid="{00000000-0005-0000-0000-0000EF850000}"/>
    <cellStyle name="Normal 47 4 3" xfId="34539" xr:uid="{00000000-0005-0000-0000-0000F0850000}"/>
    <cellStyle name="Normal 47 5" xfId="34540" xr:uid="{00000000-0005-0000-0000-0000F1850000}"/>
    <cellStyle name="Normal 47 5 2" xfId="34541" xr:uid="{00000000-0005-0000-0000-0000F2850000}"/>
    <cellStyle name="Normal 47 5 2 2" xfId="34542" xr:uid="{00000000-0005-0000-0000-0000F3850000}"/>
    <cellStyle name="Normal 47 5 3" xfId="34543" xr:uid="{00000000-0005-0000-0000-0000F4850000}"/>
    <cellStyle name="Normal 47 6" xfId="34544" xr:uid="{00000000-0005-0000-0000-0000F5850000}"/>
    <cellStyle name="Normal 47 6 2" xfId="34545" xr:uid="{00000000-0005-0000-0000-0000F6850000}"/>
    <cellStyle name="Normal 47 6 2 2" xfId="34546" xr:uid="{00000000-0005-0000-0000-0000F7850000}"/>
    <cellStyle name="Normal 47 6 3" xfId="34547" xr:uid="{00000000-0005-0000-0000-0000F8850000}"/>
    <cellStyle name="Normal 47 7" xfId="34548" xr:uid="{00000000-0005-0000-0000-0000F9850000}"/>
    <cellStyle name="Normal 470" xfId="34549" xr:uid="{00000000-0005-0000-0000-0000FA850000}"/>
    <cellStyle name="Normal 470 2" xfId="34550" xr:uid="{00000000-0005-0000-0000-0000FB850000}"/>
    <cellStyle name="Normal 470 2 2" xfId="34551" xr:uid="{00000000-0005-0000-0000-0000FC850000}"/>
    <cellStyle name="Normal 470 2 2 2" xfId="34552" xr:uid="{00000000-0005-0000-0000-0000FD850000}"/>
    <cellStyle name="Normal 470 2 3" xfId="34553" xr:uid="{00000000-0005-0000-0000-0000FE850000}"/>
    <cellStyle name="Normal 470 2 3 2" xfId="34554" xr:uid="{00000000-0005-0000-0000-0000FF850000}"/>
    <cellStyle name="Normal 470 2 3 2 2" xfId="34555" xr:uid="{00000000-0005-0000-0000-000000860000}"/>
    <cellStyle name="Normal 470 2 3 3" xfId="34556" xr:uid="{00000000-0005-0000-0000-000001860000}"/>
    <cellStyle name="Normal 470 2 4" xfId="34557" xr:uid="{00000000-0005-0000-0000-000002860000}"/>
    <cellStyle name="Normal 470 3" xfId="34558" xr:uid="{00000000-0005-0000-0000-000003860000}"/>
    <cellStyle name="Normal 470 3 2" xfId="34559" xr:uid="{00000000-0005-0000-0000-000004860000}"/>
    <cellStyle name="Normal 470 3 2 2" xfId="34560" xr:uid="{00000000-0005-0000-0000-000005860000}"/>
    <cellStyle name="Normal 470 3 3" xfId="34561" xr:uid="{00000000-0005-0000-0000-000006860000}"/>
    <cellStyle name="Normal 470 4" xfId="34562" xr:uid="{00000000-0005-0000-0000-000007860000}"/>
    <cellStyle name="Normal 470 4 2" xfId="34563" xr:uid="{00000000-0005-0000-0000-000008860000}"/>
    <cellStyle name="Normal 470 4 2 2" xfId="34564" xr:uid="{00000000-0005-0000-0000-000009860000}"/>
    <cellStyle name="Normal 470 4 3" xfId="34565" xr:uid="{00000000-0005-0000-0000-00000A860000}"/>
    <cellStyle name="Normal 470 5" xfId="34566" xr:uid="{00000000-0005-0000-0000-00000B860000}"/>
    <cellStyle name="Normal 470 5 2" xfId="34567" xr:uid="{00000000-0005-0000-0000-00000C860000}"/>
    <cellStyle name="Normal 470 5 2 2" xfId="34568" xr:uid="{00000000-0005-0000-0000-00000D860000}"/>
    <cellStyle name="Normal 470 5 3" xfId="34569" xr:uid="{00000000-0005-0000-0000-00000E860000}"/>
    <cellStyle name="Normal 470 6" xfId="34570" xr:uid="{00000000-0005-0000-0000-00000F860000}"/>
    <cellStyle name="Normal 471" xfId="34571" xr:uid="{00000000-0005-0000-0000-000010860000}"/>
    <cellStyle name="Normal 471 2" xfId="34572" xr:uid="{00000000-0005-0000-0000-000011860000}"/>
    <cellStyle name="Normal 471 2 2" xfId="34573" xr:uid="{00000000-0005-0000-0000-000012860000}"/>
    <cellStyle name="Normal 471 2 2 2" xfId="34574" xr:uid="{00000000-0005-0000-0000-000013860000}"/>
    <cellStyle name="Normal 471 2 3" xfId="34575" xr:uid="{00000000-0005-0000-0000-000014860000}"/>
    <cellStyle name="Normal 471 2 3 2" xfId="34576" xr:uid="{00000000-0005-0000-0000-000015860000}"/>
    <cellStyle name="Normal 471 2 3 2 2" xfId="34577" xr:uid="{00000000-0005-0000-0000-000016860000}"/>
    <cellStyle name="Normal 471 2 3 3" xfId="34578" xr:uid="{00000000-0005-0000-0000-000017860000}"/>
    <cellStyle name="Normal 471 2 4" xfId="34579" xr:uid="{00000000-0005-0000-0000-000018860000}"/>
    <cellStyle name="Normal 471 3" xfId="34580" xr:uid="{00000000-0005-0000-0000-000019860000}"/>
    <cellStyle name="Normal 471 3 2" xfId="34581" xr:uid="{00000000-0005-0000-0000-00001A860000}"/>
    <cellStyle name="Normal 471 3 2 2" xfId="34582" xr:uid="{00000000-0005-0000-0000-00001B860000}"/>
    <cellStyle name="Normal 471 3 3" xfId="34583" xr:uid="{00000000-0005-0000-0000-00001C860000}"/>
    <cellStyle name="Normal 471 4" xfId="34584" xr:uid="{00000000-0005-0000-0000-00001D860000}"/>
    <cellStyle name="Normal 471 4 2" xfId="34585" xr:uid="{00000000-0005-0000-0000-00001E860000}"/>
    <cellStyle name="Normal 471 4 2 2" xfId="34586" xr:uid="{00000000-0005-0000-0000-00001F860000}"/>
    <cellStyle name="Normal 471 4 3" xfId="34587" xr:uid="{00000000-0005-0000-0000-000020860000}"/>
    <cellStyle name="Normal 471 5" xfId="34588" xr:uid="{00000000-0005-0000-0000-000021860000}"/>
    <cellStyle name="Normal 471 5 2" xfId="34589" xr:uid="{00000000-0005-0000-0000-000022860000}"/>
    <cellStyle name="Normal 471 5 2 2" xfId="34590" xr:uid="{00000000-0005-0000-0000-000023860000}"/>
    <cellStyle name="Normal 471 5 3" xfId="34591" xr:uid="{00000000-0005-0000-0000-000024860000}"/>
    <cellStyle name="Normal 471 6" xfId="34592" xr:uid="{00000000-0005-0000-0000-000025860000}"/>
    <cellStyle name="Normal 472" xfId="34593" xr:uid="{00000000-0005-0000-0000-000026860000}"/>
    <cellStyle name="Normal 472 2" xfId="34594" xr:uid="{00000000-0005-0000-0000-000027860000}"/>
    <cellStyle name="Normal 472 2 2" xfId="34595" xr:uid="{00000000-0005-0000-0000-000028860000}"/>
    <cellStyle name="Normal 472 2 2 2" xfId="34596" xr:uid="{00000000-0005-0000-0000-000029860000}"/>
    <cellStyle name="Normal 472 2 3" xfId="34597" xr:uid="{00000000-0005-0000-0000-00002A860000}"/>
    <cellStyle name="Normal 472 2 3 2" xfId="34598" xr:uid="{00000000-0005-0000-0000-00002B860000}"/>
    <cellStyle name="Normal 472 2 3 2 2" xfId="34599" xr:uid="{00000000-0005-0000-0000-00002C860000}"/>
    <cellStyle name="Normal 472 2 3 3" xfId="34600" xr:uid="{00000000-0005-0000-0000-00002D860000}"/>
    <cellStyle name="Normal 472 2 4" xfId="34601" xr:uid="{00000000-0005-0000-0000-00002E860000}"/>
    <cellStyle name="Normal 472 3" xfId="34602" xr:uid="{00000000-0005-0000-0000-00002F860000}"/>
    <cellStyle name="Normal 472 3 2" xfId="34603" xr:uid="{00000000-0005-0000-0000-000030860000}"/>
    <cellStyle name="Normal 472 3 2 2" xfId="34604" xr:uid="{00000000-0005-0000-0000-000031860000}"/>
    <cellStyle name="Normal 472 3 3" xfId="34605" xr:uid="{00000000-0005-0000-0000-000032860000}"/>
    <cellStyle name="Normal 472 4" xfId="34606" xr:uid="{00000000-0005-0000-0000-000033860000}"/>
    <cellStyle name="Normal 472 4 2" xfId="34607" xr:uid="{00000000-0005-0000-0000-000034860000}"/>
    <cellStyle name="Normal 472 4 2 2" xfId="34608" xr:uid="{00000000-0005-0000-0000-000035860000}"/>
    <cellStyle name="Normal 472 4 3" xfId="34609" xr:uid="{00000000-0005-0000-0000-000036860000}"/>
    <cellStyle name="Normal 472 5" xfId="34610" xr:uid="{00000000-0005-0000-0000-000037860000}"/>
    <cellStyle name="Normal 472 5 2" xfId="34611" xr:uid="{00000000-0005-0000-0000-000038860000}"/>
    <cellStyle name="Normal 472 5 2 2" xfId="34612" xr:uid="{00000000-0005-0000-0000-000039860000}"/>
    <cellStyle name="Normal 472 5 3" xfId="34613" xr:uid="{00000000-0005-0000-0000-00003A860000}"/>
    <cellStyle name="Normal 472 6" xfId="34614" xr:uid="{00000000-0005-0000-0000-00003B860000}"/>
    <cellStyle name="Normal 473" xfId="34615" xr:uid="{00000000-0005-0000-0000-00003C860000}"/>
    <cellStyle name="Normal 473 2" xfId="34616" xr:uid="{00000000-0005-0000-0000-00003D860000}"/>
    <cellStyle name="Normal 473 2 2" xfId="34617" xr:uid="{00000000-0005-0000-0000-00003E860000}"/>
    <cellStyle name="Normal 473 2 2 2" xfId="34618" xr:uid="{00000000-0005-0000-0000-00003F860000}"/>
    <cellStyle name="Normal 473 2 3" xfId="34619" xr:uid="{00000000-0005-0000-0000-000040860000}"/>
    <cellStyle name="Normal 473 2 3 2" xfId="34620" xr:uid="{00000000-0005-0000-0000-000041860000}"/>
    <cellStyle name="Normal 473 2 3 2 2" xfId="34621" xr:uid="{00000000-0005-0000-0000-000042860000}"/>
    <cellStyle name="Normal 473 2 3 3" xfId="34622" xr:uid="{00000000-0005-0000-0000-000043860000}"/>
    <cellStyle name="Normal 473 2 4" xfId="34623" xr:uid="{00000000-0005-0000-0000-000044860000}"/>
    <cellStyle name="Normal 473 3" xfId="34624" xr:uid="{00000000-0005-0000-0000-000045860000}"/>
    <cellStyle name="Normal 473 3 2" xfId="34625" xr:uid="{00000000-0005-0000-0000-000046860000}"/>
    <cellStyle name="Normal 473 3 2 2" xfId="34626" xr:uid="{00000000-0005-0000-0000-000047860000}"/>
    <cellStyle name="Normal 473 3 3" xfId="34627" xr:uid="{00000000-0005-0000-0000-000048860000}"/>
    <cellStyle name="Normal 473 4" xfId="34628" xr:uid="{00000000-0005-0000-0000-000049860000}"/>
    <cellStyle name="Normal 473 4 2" xfId="34629" xr:uid="{00000000-0005-0000-0000-00004A860000}"/>
    <cellStyle name="Normal 473 4 2 2" xfId="34630" xr:uid="{00000000-0005-0000-0000-00004B860000}"/>
    <cellStyle name="Normal 473 4 3" xfId="34631" xr:uid="{00000000-0005-0000-0000-00004C860000}"/>
    <cellStyle name="Normal 473 5" xfId="34632" xr:uid="{00000000-0005-0000-0000-00004D860000}"/>
    <cellStyle name="Normal 473 5 2" xfId="34633" xr:uid="{00000000-0005-0000-0000-00004E860000}"/>
    <cellStyle name="Normal 473 5 2 2" xfId="34634" xr:uid="{00000000-0005-0000-0000-00004F860000}"/>
    <cellStyle name="Normal 473 5 3" xfId="34635" xr:uid="{00000000-0005-0000-0000-000050860000}"/>
    <cellStyle name="Normal 473 6" xfId="34636" xr:uid="{00000000-0005-0000-0000-000051860000}"/>
    <cellStyle name="Normal 474" xfId="34637" xr:uid="{00000000-0005-0000-0000-000052860000}"/>
    <cellStyle name="Normal 474 2" xfId="34638" xr:uid="{00000000-0005-0000-0000-000053860000}"/>
    <cellStyle name="Normal 474 2 2" xfId="34639" xr:uid="{00000000-0005-0000-0000-000054860000}"/>
    <cellStyle name="Normal 474 2 2 2" xfId="34640" xr:uid="{00000000-0005-0000-0000-000055860000}"/>
    <cellStyle name="Normal 474 2 3" xfId="34641" xr:uid="{00000000-0005-0000-0000-000056860000}"/>
    <cellStyle name="Normal 474 2 3 2" xfId="34642" xr:uid="{00000000-0005-0000-0000-000057860000}"/>
    <cellStyle name="Normal 474 2 3 2 2" xfId="34643" xr:uid="{00000000-0005-0000-0000-000058860000}"/>
    <cellStyle name="Normal 474 2 3 3" xfId="34644" xr:uid="{00000000-0005-0000-0000-000059860000}"/>
    <cellStyle name="Normal 474 2 4" xfId="34645" xr:uid="{00000000-0005-0000-0000-00005A860000}"/>
    <cellStyle name="Normal 474 3" xfId="34646" xr:uid="{00000000-0005-0000-0000-00005B860000}"/>
    <cellStyle name="Normal 474 3 2" xfId="34647" xr:uid="{00000000-0005-0000-0000-00005C860000}"/>
    <cellStyle name="Normal 474 3 2 2" xfId="34648" xr:uid="{00000000-0005-0000-0000-00005D860000}"/>
    <cellStyle name="Normal 474 3 3" xfId="34649" xr:uid="{00000000-0005-0000-0000-00005E860000}"/>
    <cellStyle name="Normal 474 4" xfId="34650" xr:uid="{00000000-0005-0000-0000-00005F860000}"/>
    <cellStyle name="Normal 474 4 2" xfId="34651" xr:uid="{00000000-0005-0000-0000-000060860000}"/>
    <cellStyle name="Normal 474 4 2 2" xfId="34652" xr:uid="{00000000-0005-0000-0000-000061860000}"/>
    <cellStyle name="Normal 474 4 3" xfId="34653" xr:uid="{00000000-0005-0000-0000-000062860000}"/>
    <cellStyle name="Normal 474 5" xfId="34654" xr:uid="{00000000-0005-0000-0000-000063860000}"/>
    <cellStyle name="Normal 474 5 2" xfId="34655" xr:uid="{00000000-0005-0000-0000-000064860000}"/>
    <cellStyle name="Normal 474 5 2 2" xfId="34656" xr:uid="{00000000-0005-0000-0000-000065860000}"/>
    <cellStyle name="Normal 474 5 3" xfId="34657" xr:uid="{00000000-0005-0000-0000-000066860000}"/>
    <cellStyle name="Normal 474 6" xfId="34658" xr:uid="{00000000-0005-0000-0000-000067860000}"/>
    <cellStyle name="Normal 475" xfId="34659" xr:uid="{00000000-0005-0000-0000-000068860000}"/>
    <cellStyle name="Normal 475 2" xfId="34660" xr:uid="{00000000-0005-0000-0000-000069860000}"/>
    <cellStyle name="Normal 475 2 2" xfId="34661" xr:uid="{00000000-0005-0000-0000-00006A860000}"/>
    <cellStyle name="Normal 475 2 2 2" xfId="34662" xr:uid="{00000000-0005-0000-0000-00006B860000}"/>
    <cellStyle name="Normal 475 2 3" xfId="34663" xr:uid="{00000000-0005-0000-0000-00006C860000}"/>
    <cellStyle name="Normal 475 2 3 2" xfId="34664" xr:uid="{00000000-0005-0000-0000-00006D860000}"/>
    <cellStyle name="Normal 475 2 3 2 2" xfId="34665" xr:uid="{00000000-0005-0000-0000-00006E860000}"/>
    <cellStyle name="Normal 475 2 3 3" xfId="34666" xr:uid="{00000000-0005-0000-0000-00006F860000}"/>
    <cellStyle name="Normal 475 2 4" xfId="34667" xr:uid="{00000000-0005-0000-0000-000070860000}"/>
    <cellStyle name="Normal 475 3" xfId="34668" xr:uid="{00000000-0005-0000-0000-000071860000}"/>
    <cellStyle name="Normal 475 3 2" xfId="34669" xr:uid="{00000000-0005-0000-0000-000072860000}"/>
    <cellStyle name="Normal 475 3 2 2" xfId="34670" xr:uid="{00000000-0005-0000-0000-000073860000}"/>
    <cellStyle name="Normal 475 3 3" xfId="34671" xr:uid="{00000000-0005-0000-0000-000074860000}"/>
    <cellStyle name="Normal 475 4" xfId="34672" xr:uid="{00000000-0005-0000-0000-000075860000}"/>
    <cellStyle name="Normal 475 4 2" xfId="34673" xr:uid="{00000000-0005-0000-0000-000076860000}"/>
    <cellStyle name="Normal 475 4 2 2" xfId="34674" xr:uid="{00000000-0005-0000-0000-000077860000}"/>
    <cellStyle name="Normal 475 4 3" xfId="34675" xr:uid="{00000000-0005-0000-0000-000078860000}"/>
    <cellStyle name="Normal 475 5" xfId="34676" xr:uid="{00000000-0005-0000-0000-000079860000}"/>
    <cellStyle name="Normal 475 5 2" xfId="34677" xr:uid="{00000000-0005-0000-0000-00007A860000}"/>
    <cellStyle name="Normal 475 5 2 2" xfId="34678" xr:uid="{00000000-0005-0000-0000-00007B860000}"/>
    <cellStyle name="Normal 475 5 3" xfId="34679" xr:uid="{00000000-0005-0000-0000-00007C860000}"/>
    <cellStyle name="Normal 475 6" xfId="34680" xr:uid="{00000000-0005-0000-0000-00007D860000}"/>
    <cellStyle name="Normal 476" xfId="34681" xr:uid="{00000000-0005-0000-0000-00007E860000}"/>
    <cellStyle name="Normal 476 2" xfId="34682" xr:uid="{00000000-0005-0000-0000-00007F860000}"/>
    <cellStyle name="Normal 476 2 2" xfId="34683" xr:uid="{00000000-0005-0000-0000-000080860000}"/>
    <cellStyle name="Normal 476 2 2 2" xfId="34684" xr:uid="{00000000-0005-0000-0000-000081860000}"/>
    <cellStyle name="Normal 476 2 3" xfId="34685" xr:uid="{00000000-0005-0000-0000-000082860000}"/>
    <cellStyle name="Normal 476 2 3 2" xfId="34686" xr:uid="{00000000-0005-0000-0000-000083860000}"/>
    <cellStyle name="Normal 476 2 3 2 2" xfId="34687" xr:uid="{00000000-0005-0000-0000-000084860000}"/>
    <cellStyle name="Normal 476 2 3 3" xfId="34688" xr:uid="{00000000-0005-0000-0000-000085860000}"/>
    <cellStyle name="Normal 476 2 4" xfId="34689" xr:uid="{00000000-0005-0000-0000-000086860000}"/>
    <cellStyle name="Normal 476 3" xfId="34690" xr:uid="{00000000-0005-0000-0000-000087860000}"/>
    <cellStyle name="Normal 476 3 2" xfId="34691" xr:uid="{00000000-0005-0000-0000-000088860000}"/>
    <cellStyle name="Normal 476 3 2 2" xfId="34692" xr:uid="{00000000-0005-0000-0000-000089860000}"/>
    <cellStyle name="Normal 476 3 3" xfId="34693" xr:uid="{00000000-0005-0000-0000-00008A860000}"/>
    <cellStyle name="Normal 476 4" xfId="34694" xr:uid="{00000000-0005-0000-0000-00008B860000}"/>
    <cellStyle name="Normal 476 4 2" xfId="34695" xr:uid="{00000000-0005-0000-0000-00008C860000}"/>
    <cellStyle name="Normal 476 4 2 2" xfId="34696" xr:uid="{00000000-0005-0000-0000-00008D860000}"/>
    <cellStyle name="Normal 476 4 3" xfId="34697" xr:uid="{00000000-0005-0000-0000-00008E860000}"/>
    <cellStyle name="Normal 476 5" xfId="34698" xr:uid="{00000000-0005-0000-0000-00008F860000}"/>
    <cellStyle name="Normal 476 5 2" xfId="34699" xr:uid="{00000000-0005-0000-0000-000090860000}"/>
    <cellStyle name="Normal 476 5 2 2" xfId="34700" xr:uid="{00000000-0005-0000-0000-000091860000}"/>
    <cellStyle name="Normal 476 5 3" xfId="34701" xr:uid="{00000000-0005-0000-0000-000092860000}"/>
    <cellStyle name="Normal 476 6" xfId="34702" xr:uid="{00000000-0005-0000-0000-000093860000}"/>
    <cellStyle name="Normal 477" xfId="34703" xr:uid="{00000000-0005-0000-0000-000094860000}"/>
    <cellStyle name="Normal 477 2" xfId="34704" xr:uid="{00000000-0005-0000-0000-000095860000}"/>
    <cellStyle name="Normal 477 2 2" xfId="34705" xr:uid="{00000000-0005-0000-0000-000096860000}"/>
    <cellStyle name="Normal 477 2 2 2" xfId="34706" xr:uid="{00000000-0005-0000-0000-000097860000}"/>
    <cellStyle name="Normal 477 2 3" xfId="34707" xr:uid="{00000000-0005-0000-0000-000098860000}"/>
    <cellStyle name="Normal 477 2 3 2" xfId="34708" xr:uid="{00000000-0005-0000-0000-000099860000}"/>
    <cellStyle name="Normal 477 2 3 2 2" xfId="34709" xr:uid="{00000000-0005-0000-0000-00009A860000}"/>
    <cellStyle name="Normal 477 2 3 3" xfId="34710" xr:uid="{00000000-0005-0000-0000-00009B860000}"/>
    <cellStyle name="Normal 477 2 4" xfId="34711" xr:uid="{00000000-0005-0000-0000-00009C860000}"/>
    <cellStyle name="Normal 477 3" xfId="34712" xr:uid="{00000000-0005-0000-0000-00009D860000}"/>
    <cellStyle name="Normal 477 3 2" xfId="34713" xr:uid="{00000000-0005-0000-0000-00009E860000}"/>
    <cellStyle name="Normal 477 3 2 2" xfId="34714" xr:uid="{00000000-0005-0000-0000-00009F860000}"/>
    <cellStyle name="Normal 477 3 3" xfId="34715" xr:uid="{00000000-0005-0000-0000-0000A0860000}"/>
    <cellStyle name="Normal 477 4" xfId="34716" xr:uid="{00000000-0005-0000-0000-0000A1860000}"/>
    <cellStyle name="Normal 477 4 2" xfId="34717" xr:uid="{00000000-0005-0000-0000-0000A2860000}"/>
    <cellStyle name="Normal 477 4 2 2" xfId="34718" xr:uid="{00000000-0005-0000-0000-0000A3860000}"/>
    <cellStyle name="Normal 477 4 3" xfId="34719" xr:uid="{00000000-0005-0000-0000-0000A4860000}"/>
    <cellStyle name="Normal 477 5" xfId="34720" xr:uid="{00000000-0005-0000-0000-0000A5860000}"/>
    <cellStyle name="Normal 477 5 2" xfId="34721" xr:uid="{00000000-0005-0000-0000-0000A6860000}"/>
    <cellStyle name="Normal 477 5 2 2" xfId="34722" xr:uid="{00000000-0005-0000-0000-0000A7860000}"/>
    <cellStyle name="Normal 477 5 3" xfId="34723" xr:uid="{00000000-0005-0000-0000-0000A8860000}"/>
    <cellStyle name="Normal 477 6" xfId="34724" xr:uid="{00000000-0005-0000-0000-0000A9860000}"/>
    <cellStyle name="Normal 478" xfId="34725" xr:uid="{00000000-0005-0000-0000-0000AA860000}"/>
    <cellStyle name="Normal 478 2" xfId="34726" xr:uid="{00000000-0005-0000-0000-0000AB860000}"/>
    <cellStyle name="Normal 478 2 2" xfId="34727" xr:uid="{00000000-0005-0000-0000-0000AC860000}"/>
    <cellStyle name="Normal 478 2 2 2" xfId="34728" xr:uid="{00000000-0005-0000-0000-0000AD860000}"/>
    <cellStyle name="Normal 478 2 3" xfId="34729" xr:uid="{00000000-0005-0000-0000-0000AE860000}"/>
    <cellStyle name="Normal 478 2 3 2" xfId="34730" xr:uid="{00000000-0005-0000-0000-0000AF860000}"/>
    <cellStyle name="Normal 478 2 3 2 2" xfId="34731" xr:uid="{00000000-0005-0000-0000-0000B0860000}"/>
    <cellStyle name="Normal 478 2 3 3" xfId="34732" xr:uid="{00000000-0005-0000-0000-0000B1860000}"/>
    <cellStyle name="Normal 478 2 4" xfId="34733" xr:uid="{00000000-0005-0000-0000-0000B2860000}"/>
    <cellStyle name="Normal 478 3" xfId="34734" xr:uid="{00000000-0005-0000-0000-0000B3860000}"/>
    <cellStyle name="Normal 478 3 2" xfId="34735" xr:uid="{00000000-0005-0000-0000-0000B4860000}"/>
    <cellStyle name="Normal 478 3 2 2" xfId="34736" xr:uid="{00000000-0005-0000-0000-0000B5860000}"/>
    <cellStyle name="Normal 478 3 3" xfId="34737" xr:uid="{00000000-0005-0000-0000-0000B6860000}"/>
    <cellStyle name="Normal 478 4" xfId="34738" xr:uid="{00000000-0005-0000-0000-0000B7860000}"/>
    <cellStyle name="Normal 478 4 2" xfId="34739" xr:uid="{00000000-0005-0000-0000-0000B8860000}"/>
    <cellStyle name="Normal 478 4 2 2" xfId="34740" xr:uid="{00000000-0005-0000-0000-0000B9860000}"/>
    <cellStyle name="Normal 478 4 3" xfId="34741" xr:uid="{00000000-0005-0000-0000-0000BA860000}"/>
    <cellStyle name="Normal 478 5" xfId="34742" xr:uid="{00000000-0005-0000-0000-0000BB860000}"/>
    <cellStyle name="Normal 478 5 2" xfId="34743" xr:uid="{00000000-0005-0000-0000-0000BC860000}"/>
    <cellStyle name="Normal 478 5 2 2" xfId="34744" xr:uid="{00000000-0005-0000-0000-0000BD860000}"/>
    <cellStyle name="Normal 478 5 3" xfId="34745" xr:uid="{00000000-0005-0000-0000-0000BE860000}"/>
    <cellStyle name="Normal 478 6" xfId="34746" xr:uid="{00000000-0005-0000-0000-0000BF860000}"/>
    <cellStyle name="Normal 479" xfId="34747" xr:uid="{00000000-0005-0000-0000-0000C0860000}"/>
    <cellStyle name="Normal 479 2" xfId="34748" xr:uid="{00000000-0005-0000-0000-0000C1860000}"/>
    <cellStyle name="Normal 479 2 2" xfId="34749" xr:uid="{00000000-0005-0000-0000-0000C2860000}"/>
    <cellStyle name="Normal 479 2 2 2" xfId="34750" xr:uid="{00000000-0005-0000-0000-0000C3860000}"/>
    <cellStyle name="Normal 479 2 3" xfId="34751" xr:uid="{00000000-0005-0000-0000-0000C4860000}"/>
    <cellStyle name="Normal 479 2 3 2" xfId="34752" xr:uid="{00000000-0005-0000-0000-0000C5860000}"/>
    <cellStyle name="Normal 479 2 3 2 2" xfId="34753" xr:uid="{00000000-0005-0000-0000-0000C6860000}"/>
    <cellStyle name="Normal 479 2 3 3" xfId="34754" xr:uid="{00000000-0005-0000-0000-0000C7860000}"/>
    <cellStyle name="Normal 479 2 4" xfId="34755" xr:uid="{00000000-0005-0000-0000-0000C8860000}"/>
    <cellStyle name="Normal 479 3" xfId="34756" xr:uid="{00000000-0005-0000-0000-0000C9860000}"/>
    <cellStyle name="Normal 479 3 2" xfId="34757" xr:uid="{00000000-0005-0000-0000-0000CA860000}"/>
    <cellStyle name="Normal 479 3 2 2" xfId="34758" xr:uid="{00000000-0005-0000-0000-0000CB860000}"/>
    <cellStyle name="Normal 479 3 3" xfId="34759" xr:uid="{00000000-0005-0000-0000-0000CC860000}"/>
    <cellStyle name="Normal 479 4" xfId="34760" xr:uid="{00000000-0005-0000-0000-0000CD860000}"/>
    <cellStyle name="Normal 479 4 2" xfId="34761" xr:uid="{00000000-0005-0000-0000-0000CE860000}"/>
    <cellStyle name="Normal 479 4 2 2" xfId="34762" xr:uid="{00000000-0005-0000-0000-0000CF860000}"/>
    <cellStyle name="Normal 479 4 3" xfId="34763" xr:uid="{00000000-0005-0000-0000-0000D0860000}"/>
    <cellStyle name="Normal 479 5" xfId="34764" xr:uid="{00000000-0005-0000-0000-0000D1860000}"/>
    <cellStyle name="Normal 479 5 2" xfId="34765" xr:uid="{00000000-0005-0000-0000-0000D2860000}"/>
    <cellStyle name="Normal 479 5 2 2" xfId="34766" xr:uid="{00000000-0005-0000-0000-0000D3860000}"/>
    <cellStyle name="Normal 479 5 3" xfId="34767" xr:uid="{00000000-0005-0000-0000-0000D4860000}"/>
    <cellStyle name="Normal 479 6" xfId="34768" xr:uid="{00000000-0005-0000-0000-0000D5860000}"/>
    <cellStyle name="Normal 48" xfId="250" xr:uid="{00000000-0005-0000-0000-0000D6860000}"/>
    <cellStyle name="Normal 48 2" xfId="34769" xr:uid="{00000000-0005-0000-0000-0000D7860000}"/>
    <cellStyle name="Normal 48 2 2" xfId="34770" xr:uid="{00000000-0005-0000-0000-0000D8860000}"/>
    <cellStyle name="Normal 48 2 2 2" xfId="34771" xr:uid="{00000000-0005-0000-0000-0000D9860000}"/>
    <cellStyle name="Normal 48 2 2 2 2" xfId="34772" xr:uid="{00000000-0005-0000-0000-0000DA860000}"/>
    <cellStyle name="Normal 48 2 2 3" xfId="34773" xr:uid="{00000000-0005-0000-0000-0000DB860000}"/>
    <cellStyle name="Normal 48 2 2 3 2" xfId="34774" xr:uid="{00000000-0005-0000-0000-0000DC860000}"/>
    <cellStyle name="Normal 48 2 2 3 2 2" xfId="34775" xr:uid="{00000000-0005-0000-0000-0000DD860000}"/>
    <cellStyle name="Normal 48 2 2 3 3" xfId="34776" xr:uid="{00000000-0005-0000-0000-0000DE860000}"/>
    <cellStyle name="Normal 48 2 2 4" xfId="34777" xr:uid="{00000000-0005-0000-0000-0000DF860000}"/>
    <cellStyle name="Normal 48 2 2 4 2" xfId="34778" xr:uid="{00000000-0005-0000-0000-0000E0860000}"/>
    <cellStyle name="Normal 48 2 2 4 2 2" xfId="34779" xr:uid="{00000000-0005-0000-0000-0000E1860000}"/>
    <cellStyle name="Normal 48 2 2 4 3" xfId="34780" xr:uid="{00000000-0005-0000-0000-0000E2860000}"/>
    <cellStyle name="Normal 48 2 2 5" xfId="34781" xr:uid="{00000000-0005-0000-0000-0000E3860000}"/>
    <cellStyle name="Normal 48 2 3" xfId="34782" xr:uid="{00000000-0005-0000-0000-0000E4860000}"/>
    <cellStyle name="Normal 48 2 3 2" xfId="34783" xr:uid="{00000000-0005-0000-0000-0000E5860000}"/>
    <cellStyle name="Normal 48 2 3 2 2" xfId="34784" xr:uid="{00000000-0005-0000-0000-0000E6860000}"/>
    <cellStyle name="Normal 48 2 3 3" xfId="34785" xr:uid="{00000000-0005-0000-0000-0000E7860000}"/>
    <cellStyle name="Normal 48 2 4" xfId="34786" xr:uid="{00000000-0005-0000-0000-0000E8860000}"/>
    <cellStyle name="Normal 48 2 4 2" xfId="34787" xr:uid="{00000000-0005-0000-0000-0000E9860000}"/>
    <cellStyle name="Normal 48 2 4 2 2" xfId="34788" xr:uid="{00000000-0005-0000-0000-0000EA860000}"/>
    <cellStyle name="Normal 48 2 4 3" xfId="34789" xr:uid="{00000000-0005-0000-0000-0000EB860000}"/>
    <cellStyle name="Normal 48 2 5" xfId="34790" xr:uid="{00000000-0005-0000-0000-0000EC860000}"/>
    <cellStyle name="Normal 48 2 5 2" xfId="34791" xr:uid="{00000000-0005-0000-0000-0000ED860000}"/>
    <cellStyle name="Normal 48 2 5 2 2" xfId="34792" xr:uid="{00000000-0005-0000-0000-0000EE860000}"/>
    <cellStyle name="Normal 48 2 5 3" xfId="34793" xr:uid="{00000000-0005-0000-0000-0000EF860000}"/>
    <cellStyle name="Normal 48 2 6" xfId="34794" xr:uid="{00000000-0005-0000-0000-0000F0860000}"/>
    <cellStyle name="Normal 48 3" xfId="34795" xr:uid="{00000000-0005-0000-0000-0000F1860000}"/>
    <cellStyle name="Normal 48 3 2" xfId="34796" xr:uid="{00000000-0005-0000-0000-0000F2860000}"/>
    <cellStyle name="Normal 48 3 2 2" xfId="34797" xr:uid="{00000000-0005-0000-0000-0000F3860000}"/>
    <cellStyle name="Normal 48 3 3" xfId="34798" xr:uid="{00000000-0005-0000-0000-0000F4860000}"/>
    <cellStyle name="Normal 48 3 3 2" xfId="34799" xr:uid="{00000000-0005-0000-0000-0000F5860000}"/>
    <cellStyle name="Normal 48 3 3 2 2" xfId="34800" xr:uid="{00000000-0005-0000-0000-0000F6860000}"/>
    <cellStyle name="Normal 48 3 3 3" xfId="34801" xr:uid="{00000000-0005-0000-0000-0000F7860000}"/>
    <cellStyle name="Normal 48 3 4" xfId="34802" xr:uid="{00000000-0005-0000-0000-0000F8860000}"/>
    <cellStyle name="Normal 48 3 4 2" xfId="34803" xr:uid="{00000000-0005-0000-0000-0000F9860000}"/>
    <cellStyle name="Normal 48 3 4 2 2" xfId="34804" xr:uid="{00000000-0005-0000-0000-0000FA860000}"/>
    <cellStyle name="Normal 48 3 4 3" xfId="34805" xr:uid="{00000000-0005-0000-0000-0000FB860000}"/>
    <cellStyle name="Normal 48 3 5" xfId="34806" xr:uid="{00000000-0005-0000-0000-0000FC860000}"/>
    <cellStyle name="Normal 48 4" xfId="34807" xr:uid="{00000000-0005-0000-0000-0000FD860000}"/>
    <cellStyle name="Normal 48 4 2" xfId="34808" xr:uid="{00000000-0005-0000-0000-0000FE860000}"/>
    <cellStyle name="Normal 48 4 2 2" xfId="34809" xr:uid="{00000000-0005-0000-0000-0000FF860000}"/>
    <cellStyle name="Normal 48 4 3" xfId="34810" xr:uid="{00000000-0005-0000-0000-000000870000}"/>
    <cellStyle name="Normal 48 5" xfId="34811" xr:uid="{00000000-0005-0000-0000-000001870000}"/>
    <cellStyle name="Normal 48 5 2" xfId="34812" xr:uid="{00000000-0005-0000-0000-000002870000}"/>
    <cellStyle name="Normal 48 5 2 2" xfId="34813" xr:uid="{00000000-0005-0000-0000-000003870000}"/>
    <cellStyle name="Normal 48 5 3" xfId="34814" xr:uid="{00000000-0005-0000-0000-000004870000}"/>
    <cellStyle name="Normal 48 6" xfId="34815" xr:uid="{00000000-0005-0000-0000-000005870000}"/>
    <cellStyle name="Normal 48 6 2" xfId="34816" xr:uid="{00000000-0005-0000-0000-000006870000}"/>
    <cellStyle name="Normal 48 6 2 2" xfId="34817" xr:uid="{00000000-0005-0000-0000-000007870000}"/>
    <cellStyle name="Normal 48 6 3" xfId="34818" xr:uid="{00000000-0005-0000-0000-000008870000}"/>
    <cellStyle name="Normal 48 7" xfId="34819" xr:uid="{00000000-0005-0000-0000-000009870000}"/>
    <cellStyle name="Normal 480" xfId="34820" xr:uid="{00000000-0005-0000-0000-00000A870000}"/>
    <cellStyle name="Normal 480 2" xfId="34821" xr:uid="{00000000-0005-0000-0000-00000B870000}"/>
    <cellStyle name="Normal 480 2 2" xfId="34822" xr:uid="{00000000-0005-0000-0000-00000C870000}"/>
    <cellStyle name="Normal 480 2 2 2" xfId="34823" xr:uid="{00000000-0005-0000-0000-00000D870000}"/>
    <cellStyle name="Normal 480 2 3" xfId="34824" xr:uid="{00000000-0005-0000-0000-00000E870000}"/>
    <cellStyle name="Normal 480 2 3 2" xfId="34825" xr:uid="{00000000-0005-0000-0000-00000F870000}"/>
    <cellStyle name="Normal 480 2 3 2 2" xfId="34826" xr:uid="{00000000-0005-0000-0000-000010870000}"/>
    <cellStyle name="Normal 480 2 3 3" xfId="34827" xr:uid="{00000000-0005-0000-0000-000011870000}"/>
    <cellStyle name="Normal 480 2 4" xfId="34828" xr:uid="{00000000-0005-0000-0000-000012870000}"/>
    <cellStyle name="Normal 480 3" xfId="34829" xr:uid="{00000000-0005-0000-0000-000013870000}"/>
    <cellStyle name="Normal 480 3 2" xfId="34830" xr:uid="{00000000-0005-0000-0000-000014870000}"/>
    <cellStyle name="Normal 480 3 2 2" xfId="34831" xr:uid="{00000000-0005-0000-0000-000015870000}"/>
    <cellStyle name="Normal 480 3 3" xfId="34832" xr:uid="{00000000-0005-0000-0000-000016870000}"/>
    <cellStyle name="Normal 480 4" xfId="34833" xr:uid="{00000000-0005-0000-0000-000017870000}"/>
    <cellStyle name="Normal 480 4 2" xfId="34834" xr:uid="{00000000-0005-0000-0000-000018870000}"/>
    <cellStyle name="Normal 480 4 2 2" xfId="34835" xr:uid="{00000000-0005-0000-0000-000019870000}"/>
    <cellStyle name="Normal 480 4 3" xfId="34836" xr:uid="{00000000-0005-0000-0000-00001A870000}"/>
    <cellStyle name="Normal 480 5" xfId="34837" xr:uid="{00000000-0005-0000-0000-00001B870000}"/>
    <cellStyle name="Normal 480 5 2" xfId="34838" xr:uid="{00000000-0005-0000-0000-00001C870000}"/>
    <cellStyle name="Normal 480 5 2 2" xfId="34839" xr:uid="{00000000-0005-0000-0000-00001D870000}"/>
    <cellStyle name="Normal 480 5 3" xfId="34840" xr:uid="{00000000-0005-0000-0000-00001E870000}"/>
    <cellStyle name="Normal 480 6" xfId="34841" xr:uid="{00000000-0005-0000-0000-00001F870000}"/>
    <cellStyle name="Normal 481" xfId="34842" xr:uid="{00000000-0005-0000-0000-000020870000}"/>
    <cellStyle name="Normal 481 2" xfId="34843" xr:uid="{00000000-0005-0000-0000-000021870000}"/>
    <cellStyle name="Normal 481 2 2" xfId="34844" xr:uid="{00000000-0005-0000-0000-000022870000}"/>
    <cellStyle name="Normal 481 2 2 2" xfId="34845" xr:uid="{00000000-0005-0000-0000-000023870000}"/>
    <cellStyle name="Normal 481 2 3" xfId="34846" xr:uid="{00000000-0005-0000-0000-000024870000}"/>
    <cellStyle name="Normal 481 2 3 2" xfId="34847" xr:uid="{00000000-0005-0000-0000-000025870000}"/>
    <cellStyle name="Normal 481 2 3 2 2" xfId="34848" xr:uid="{00000000-0005-0000-0000-000026870000}"/>
    <cellStyle name="Normal 481 2 3 3" xfId="34849" xr:uid="{00000000-0005-0000-0000-000027870000}"/>
    <cellStyle name="Normal 481 2 4" xfId="34850" xr:uid="{00000000-0005-0000-0000-000028870000}"/>
    <cellStyle name="Normal 481 3" xfId="34851" xr:uid="{00000000-0005-0000-0000-000029870000}"/>
    <cellStyle name="Normal 481 3 2" xfId="34852" xr:uid="{00000000-0005-0000-0000-00002A870000}"/>
    <cellStyle name="Normal 481 3 2 2" xfId="34853" xr:uid="{00000000-0005-0000-0000-00002B870000}"/>
    <cellStyle name="Normal 481 3 3" xfId="34854" xr:uid="{00000000-0005-0000-0000-00002C870000}"/>
    <cellStyle name="Normal 481 4" xfId="34855" xr:uid="{00000000-0005-0000-0000-00002D870000}"/>
    <cellStyle name="Normal 481 4 2" xfId="34856" xr:uid="{00000000-0005-0000-0000-00002E870000}"/>
    <cellStyle name="Normal 481 4 2 2" xfId="34857" xr:uid="{00000000-0005-0000-0000-00002F870000}"/>
    <cellStyle name="Normal 481 4 3" xfId="34858" xr:uid="{00000000-0005-0000-0000-000030870000}"/>
    <cellStyle name="Normal 481 5" xfId="34859" xr:uid="{00000000-0005-0000-0000-000031870000}"/>
    <cellStyle name="Normal 481 5 2" xfId="34860" xr:uid="{00000000-0005-0000-0000-000032870000}"/>
    <cellStyle name="Normal 481 5 2 2" xfId="34861" xr:uid="{00000000-0005-0000-0000-000033870000}"/>
    <cellStyle name="Normal 481 5 3" xfId="34862" xr:uid="{00000000-0005-0000-0000-000034870000}"/>
    <cellStyle name="Normal 481 6" xfId="34863" xr:uid="{00000000-0005-0000-0000-000035870000}"/>
    <cellStyle name="Normal 482" xfId="34864" xr:uid="{00000000-0005-0000-0000-000036870000}"/>
    <cellStyle name="Normal 482 2" xfId="34865" xr:uid="{00000000-0005-0000-0000-000037870000}"/>
    <cellStyle name="Normal 482 2 2" xfId="34866" xr:uid="{00000000-0005-0000-0000-000038870000}"/>
    <cellStyle name="Normal 482 2 2 2" xfId="34867" xr:uid="{00000000-0005-0000-0000-000039870000}"/>
    <cellStyle name="Normal 482 2 3" xfId="34868" xr:uid="{00000000-0005-0000-0000-00003A870000}"/>
    <cellStyle name="Normal 482 2 3 2" xfId="34869" xr:uid="{00000000-0005-0000-0000-00003B870000}"/>
    <cellStyle name="Normal 482 2 3 2 2" xfId="34870" xr:uid="{00000000-0005-0000-0000-00003C870000}"/>
    <cellStyle name="Normal 482 2 3 3" xfId="34871" xr:uid="{00000000-0005-0000-0000-00003D870000}"/>
    <cellStyle name="Normal 482 2 4" xfId="34872" xr:uid="{00000000-0005-0000-0000-00003E870000}"/>
    <cellStyle name="Normal 482 3" xfId="34873" xr:uid="{00000000-0005-0000-0000-00003F870000}"/>
    <cellStyle name="Normal 482 3 2" xfId="34874" xr:uid="{00000000-0005-0000-0000-000040870000}"/>
    <cellStyle name="Normal 482 3 2 2" xfId="34875" xr:uid="{00000000-0005-0000-0000-000041870000}"/>
    <cellStyle name="Normal 482 3 3" xfId="34876" xr:uid="{00000000-0005-0000-0000-000042870000}"/>
    <cellStyle name="Normal 482 4" xfId="34877" xr:uid="{00000000-0005-0000-0000-000043870000}"/>
    <cellStyle name="Normal 482 4 2" xfId="34878" xr:uid="{00000000-0005-0000-0000-000044870000}"/>
    <cellStyle name="Normal 482 4 2 2" xfId="34879" xr:uid="{00000000-0005-0000-0000-000045870000}"/>
    <cellStyle name="Normal 482 4 3" xfId="34880" xr:uid="{00000000-0005-0000-0000-000046870000}"/>
    <cellStyle name="Normal 482 5" xfId="34881" xr:uid="{00000000-0005-0000-0000-000047870000}"/>
    <cellStyle name="Normal 482 5 2" xfId="34882" xr:uid="{00000000-0005-0000-0000-000048870000}"/>
    <cellStyle name="Normal 482 5 2 2" xfId="34883" xr:uid="{00000000-0005-0000-0000-000049870000}"/>
    <cellStyle name="Normal 482 5 3" xfId="34884" xr:uid="{00000000-0005-0000-0000-00004A870000}"/>
    <cellStyle name="Normal 482 6" xfId="34885" xr:uid="{00000000-0005-0000-0000-00004B870000}"/>
    <cellStyle name="Normal 483" xfId="34886" xr:uid="{00000000-0005-0000-0000-00004C870000}"/>
    <cellStyle name="Normal 483 2" xfId="34887" xr:uid="{00000000-0005-0000-0000-00004D870000}"/>
    <cellStyle name="Normal 483 2 2" xfId="34888" xr:uid="{00000000-0005-0000-0000-00004E870000}"/>
    <cellStyle name="Normal 483 2 2 2" xfId="34889" xr:uid="{00000000-0005-0000-0000-00004F870000}"/>
    <cellStyle name="Normal 483 2 3" xfId="34890" xr:uid="{00000000-0005-0000-0000-000050870000}"/>
    <cellStyle name="Normal 483 2 3 2" xfId="34891" xr:uid="{00000000-0005-0000-0000-000051870000}"/>
    <cellStyle name="Normal 483 2 3 2 2" xfId="34892" xr:uid="{00000000-0005-0000-0000-000052870000}"/>
    <cellStyle name="Normal 483 2 3 3" xfId="34893" xr:uid="{00000000-0005-0000-0000-000053870000}"/>
    <cellStyle name="Normal 483 2 4" xfId="34894" xr:uid="{00000000-0005-0000-0000-000054870000}"/>
    <cellStyle name="Normal 483 3" xfId="34895" xr:uid="{00000000-0005-0000-0000-000055870000}"/>
    <cellStyle name="Normal 483 3 2" xfId="34896" xr:uid="{00000000-0005-0000-0000-000056870000}"/>
    <cellStyle name="Normal 483 3 2 2" xfId="34897" xr:uid="{00000000-0005-0000-0000-000057870000}"/>
    <cellStyle name="Normal 483 3 3" xfId="34898" xr:uid="{00000000-0005-0000-0000-000058870000}"/>
    <cellStyle name="Normal 483 4" xfId="34899" xr:uid="{00000000-0005-0000-0000-000059870000}"/>
    <cellStyle name="Normal 483 4 2" xfId="34900" xr:uid="{00000000-0005-0000-0000-00005A870000}"/>
    <cellStyle name="Normal 483 4 2 2" xfId="34901" xr:uid="{00000000-0005-0000-0000-00005B870000}"/>
    <cellStyle name="Normal 483 4 3" xfId="34902" xr:uid="{00000000-0005-0000-0000-00005C870000}"/>
    <cellStyle name="Normal 483 5" xfId="34903" xr:uid="{00000000-0005-0000-0000-00005D870000}"/>
    <cellStyle name="Normal 483 5 2" xfId="34904" xr:uid="{00000000-0005-0000-0000-00005E870000}"/>
    <cellStyle name="Normal 483 5 2 2" xfId="34905" xr:uid="{00000000-0005-0000-0000-00005F870000}"/>
    <cellStyle name="Normal 483 5 3" xfId="34906" xr:uid="{00000000-0005-0000-0000-000060870000}"/>
    <cellStyle name="Normal 483 6" xfId="34907" xr:uid="{00000000-0005-0000-0000-000061870000}"/>
    <cellStyle name="Normal 484" xfId="34908" xr:uid="{00000000-0005-0000-0000-000062870000}"/>
    <cellStyle name="Normal 484 2" xfId="34909" xr:uid="{00000000-0005-0000-0000-000063870000}"/>
    <cellStyle name="Normal 484 2 2" xfId="34910" xr:uid="{00000000-0005-0000-0000-000064870000}"/>
    <cellStyle name="Normal 484 2 2 2" xfId="34911" xr:uid="{00000000-0005-0000-0000-000065870000}"/>
    <cellStyle name="Normal 484 2 3" xfId="34912" xr:uid="{00000000-0005-0000-0000-000066870000}"/>
    <cellStyle name="Normal 484 2 3 2" xfId="34913" xr:uid="{00000000-0005-0000-0000-000067870000}"/>
    <cellStyle name="Normal 484 2 3 2 2" xfId="34914" xr:uid="{00000000-0005-0000-0000-000068870000}"/>
    <cellStyle name="Normal 484 2 3 3" xfId="34915" xr:uid="{00000000-0005-0000-0000-000069870000}"/>
    <cellStyle name="Normal 484 2 4" xfId="34916" xr:uid="{00000000-0005-0000-0000-00006A870000}"/>
    <cellStyle name="Normal 484 3" xfId="34917" xr:uid="{00000000-0005-0000-0000-00006B870000}"/>
    <cellStyle name="Normal 484 3 2" xfId="34918" xr:uid="{00000000-0005-0000-0000-00006C870000}"/>
    <cellStyle name="Normal 484 3 2 2" xfId="34919" xr:uid="{00000000-0005-0000-0000-00006D870000}"/>
    <cellStyle name="Normal 484 3 3" xfId="34920" xr:uid="{00000000-0005-0000-0000-00006E870000}"/>
    <cellStyle name="Normal 484 4" xfId="34921" xr:uid="{00000000-0005-0000-0000-00006F870000}"/>
    <cellStyle name="Normal 484 4 2" xfId="34922" xr:uid="{00000000-0005-0000-0000-000070870000}"/>
    <cellStyle name="Normal 484 4 2 2" xfId="34923" xr:uid="{00000000-0005-0000-0000-000071870000}"/>
    <cellStyle name="Normal 484 4 3" xfId="34924" xr:uid="{00000000-0005-0000-0000-000072870000}"/>
    <cellStyle name="Normal 484 5" xfId="34925" xr:uid="{00000000-0005-0000-0000-000073870000}"/>
    <cellStyle name="Normal 484 5 2" xfId="34926" xr:uid="{00000000-0005-0000-0000-000074870000}"/>
    <cellStyle name="Normal 484 5 2 2" xfId="34927" xr:uid="{00000000-0005-0000-0000-000075870000}"/>
    <cellStyle name="Normal 484 5 3" xfId="34928" xr:uid="{00000000-0005-0000-0000-000076870000}"/>
    <cellStyle name="Normal 484 6" xfId="34929" xr:uid="{00000000-0005-0000-0000-000077870000}"/>
    <cellStyle name="Normal 485" xfId="34930" xr:uid="{00000000-0005-0000-0000-000078870000}"/>
    <cellStyle name="Normal 485 2" xfId="34931" xr:uid="{00000000-0005-0000-0000-000079870000}"/>
    <cellStyle name="Normal 485 2 2" xfId="34932" xr:uid="{00000000-0005-0000-0000-00007A870000}"/>
    <cellStyle name="Normal 485 2 2 2" xfId="34933" xr:uid="{00000000-0005-0000-0000-00007B870000}"/>
    <cellStyle name="Normal 485 2 3" xfId="34934" xr:uid="{00000000-0005-0000-0000-00007C870000}"/>
    <cellStyle name="Normal 485 2 3 2" xfId="34935" xr:uid="{00000000-0005-0000-0000-00007D870000}"/>
    <cellStyle name="Normal 485 2 3 2 2" xfId="34936" xr:uid="{00000000-0005-0000-0000-00007E870000}"/>
    <cellStyle name="Normal 485 2 3 3" xfId="34937" xr:uid="{00000000-0005-0000-0000-00007F870000}"/>
    <cellStyle name="Normal 485 2 4" xfId="34938" xr:uid="{00000000-0005-0000-0000-000080870000}"/>
    <cellStyle name="Normal 485 3" xfId="34939" xr:uid="{00000000-0005-0000-0000-000081870000}"/>
    <cellStyle name="Normal 485 3 2" xfId="34940" xr:uid="{00000000-0005-0000-0000-000082870000}"/>
    <cellStyle name="Normal 485 3 2 2" xfId="34941" xr:uid="{00000000-0005-0000-0000-000083870000}"/>
    <cellStyle name="Normal 485 3 3" xfId="34942" xr:uid="{00000000-0005-0000-0000-000084870000}"/>
    <cellStyle name="Normal 485 4" xfId="34943" xr:uid="{00000000-0005-0000-0000-000085870000}"/>
    <cellStyle name="Normal 485 4 2" xfId="34944" xr:uid="{00000000-0005-0000-0000-000086870000}"/>
    <cellStyle name="Normal 485 4 2 2" xfId="34945" xr:uid="{00000000-0005-0000-0000-000087870000}"/>
    <cellStyle name="Normal 485 4 3" xfId="34946" xr:uid="{00000000-0005-0000-0000-000088870000}"/>
    <cellStyle name="Normal 485 5" xfId="34947" xr:uid="{00000000-0005-0000-0000-000089870000}"/>
    <cellStyle name="Normal 485 5 2" xfId="34948" xr:uid="{00000000-0005-0000-0000-00008A870000}"/>
    <cellStyle name="Normal 485 5 2 2" xfId="34949" xr:uid="{00000000-0005-0000-0000-00008B870000}"/>
    <cellStyle name="Normal 485 5 3" xfId="34950" xr:uid="{00000000-0005-0000-0000-00008C870000}"/>
    <cellStyle name="Normal 485 6" xfId="34951" xr:uid="{00000000-0005-0000-0000-00008D870000}"/>
    <cellStyle name="Normal 486" xfId="34952" xr:uid="{00000000-0005-0000-0000-00008E870000}"/>
    <cellStyle name="Normal 486 2" xfId="34953" xr:uid="{00000000-0005-0000-0000-00008F870000}"/>
    <cellStyle name="Normal 486 2 2" xfId="34954" xr:uid="{00000000-0005-0000-0000-000090870000}"/>
    <cellStyle name="Normal 486 2 2 2" xfId="34955" xr:uid="{00000000-0005-0000-0000-000091870000}"/>
    <cellStyle name="Normal 486 2 3" xfId="34956" xr:uid="{00000000-0005-0000-0000-000092870000}"/>
    <cellStyle name="Normal 486 2 3 2" xfId="34957" xr:uid="{00000000-0005-0000-0000-000093870000}"/>
    <cellStyle name="Normal 486 2 3 2 2" xfId="34958" xr:uid="{00000000-0005-0000-0000-000094870000}"/>
    <cellStyle name="Normal 486 2 3 3" xfId="34959" xr:uid="{00000000-0005-0000-0000-000095870000}"/>
    <cellStyle name="Normal 486 2 4" xfId="34960" xr:uid="{00000000-0005-0000-0000-000096870000}"/>
    <cellStyle name="Normal 486 3" xfId="34961" xr:uid="{00000000-0005-0000-0000-000097870000}"/>
    <cellStyle name="Normal 486 3 2" xfId="34962" xr:uid="{00000000-0005-0000-0000-000098870000}"/>
    <cellStyle name="Normal 486 3 2 2" xfId="34963" xr:uid="{00000000-0005-0000-0000-000099870000}"/>
    <cellStyle name="Normal 486 3 3" xfId="34964" xr:uid="{00000000-0005-0000-0000-00009A870000}"/>
    <cellStyle name="Normal 486 4" xfId="34965" xr:uid="{00000000-0005-0000-0000-00009B870000}"/>
    <cellStyle name="Normal 486 4 2" xfId="34966" xr:uid="{00000000-0005-0000-0000-00009C870000}"/>
    <cellStyle name="Normal 486 4 2 2" xfId="34967" xr:uid="{00000000-0005-0000-0000-00009D870000}"/>
    <cellStyle name="Normal 486 4 3" xfId="34968" xr:uid="{00000000-0005-0000-0000-00009E870000}"/>
    <cellStyle name="Normal 486 5" xfId="34969" xr:uid="{00000000-0005-0000-0000-00009F870000}"/>
    <cellStyle name="Normal 486 5 2" xfId="34970" xr:uid="{00000000-0005-0000-0000-0000A0870000}"/>
    <cellStyle name="Normal 486 5 2 2" xfId="34971" xr:uid="{00000000-0005-0000-0000-0000A1870000}"/>
    <cellStyle name="Normal 486 5 3" xfId="34972" xr:uid="{00000000-0005-0000-0000-0000A2870000}"/>
    <cellStyle name="Normal 486 6" xfId="34973" xr:uid="{00000000-0005-0000-0000-0000A3870000}"/>
    <cellStyle name="Normal 487" xfId="34974" xr:uid="{00000000-0005-0000-0000-0000A4870000}"/>
    <cellStyle name="Normal 487 2" xfId="34975" xr:uid="{00000000-0005-0000-0000-0000A5870000}"/>
    <cellStyle name="Normal 487 2 2" xfId="34976" xr:uid="{00000000-0005-0000-0000-0000A6870000}"/>
    <cellStyle name="Normal 487 2 2 2" xfId="34977" xr:uid="{00000000-0005-0000-0000-0000A7870000}"/>
    <cellStyle name="Normal 487 2 3" xfId="34978" xr:uid="{00000000-0005-0000-0000-0000A8870000}"/>
    <cellStyle name="Normal 487 2 3 2" xfId="34979" xr:uid="{00000000-0005-0000-0000-0000A9870000}"/>
    <cellStyle name="Normal 487 2 3 2 2" xfId="34980" xr:uid="{00000000-0005-0000-0000-0000AA870000}"/>
    <cellStyle name="Normal 487 2 3 3" xfId="34981" xr:uid="{00000000-0005-0000-0000-0000AB870000}"/>
    <cellStyle name="Normal 487 2 4" xfId="34982" xr:uid="{00000000-0005-0000-0000-0000AC870000}"/>
    <cellStyle name="Normal 487 3" xfId="34983" xr:uid="{00000000-0005-0000-0000-0000AD870000}"/>
    <cellStyle name="Normal 487 3 2" xfId="34984" xr:uid="{00000000-0005-0000-0000-0000AE870000}"/>
    <cellStyle name="Normal 487 3 2 2" xfId="34985" xr:uid="{00000000-0005-0000-0000-0000AF870000}"/>
    <cellStyle name="Normal 487 3 3" xfId="34986" xr:uid="{00000000-0005-0000-0000-0000B0870000}"/>
    <cellStyle name="Normal 487 4" xfId="34987" xr:uid="{00000000-0005-0000-0000-0000B1870000}"/>
    <cellStyle name="Normal 487 4 2" xfId="34988" xr:uid="{00000000-0005-0000-0000-0000B2870000}"/>
    <cellStyle name="Normal 487 4 2 2" xfId="34989" xr:uid="{00000000-0005-0000-0000-0000B3870000}"/>
    <cellStyle name="Normal 487 4 3" xfId="34990" xr:uid="{00000000-0005-0000-0000-0000B4870000}"/>
    <cellStyle name="Normal 487 5" xfId="34991" xr:uid="{00000000-0005-0000-0000-0000B5870000}"/>
    <cellStyle name="Normal 487 5 2" xfId="34992" xr:uid="{00000000-0005-0000-0000-0000B6870000}"/>
    <cellStyle name="Normal 487 5 2 2" xfId="34993" xr:uid="{00000000-0005-0000-0000-0000B7870000}"/>
    <cellStyle name="Normal 487 5 3" xfId="34994" xr:uid="{00000000-0005-0000-0000-0000B8870000}"/>
    <cellStyle name="Normal 487 6" xfId="34995" xr:uid="{00000000-0005-0000-0000-0000B9870000}"/>
    <cellStyle name="Normal 488" xfId="34996" xr:uid="{00000000-0005-0000-0000-0000BA870000}"/>
    <cellStyle name="Normal 488 2" xfId="34997" xr:uid="{00000000-0005-0000-0000-0000BB870000}"/>
    <cellStyle name="Normal 488 2 2" xfId="34998" xr:uid="{00000000-0005-0000-0000-0000BC870000}"/>
    <cellStyle name="Normal 488 2 2 2" xfId="34999" xr:uid="{00000000-0005-0000-0000-0000BD870000}"/>
    <cellStyle name="Normal 488 2 3" xfId="35000" xr:uid="{00000000-0005-0000-0000-0000BE870000}"/>
    <cellStyle name="Normal 488 2 3 2" xfId="35001" xr:uid="{00000000-0005-0000-0000-0000BF870000}"/>
    <cellStyle name="Normal 488 2 3 2 2" xfId="35002" xr:uid="{00000000-0005-0000-0000-0000C0870000}"/>
    <cellStyle name="Normal 488 2 3 3" xfId="35003" xr:uid="{00000000-0005-0000-0000-0000C1870000}"/>
    <cellStyle name="Normal 488 2 4" xfId="35004" xr:uid="{00000000-0005-0000-0000-0000C2870000}"/>
    <cellStyle name="Normal 488 3" xfId="35005" xr:uid="{00000000-0005-0000-0000-0000C3870000}"/>
    <cellStyle name="Normal 488 3 2" xfId="35006" xr:uid="{00000000-0005-0000-0000-0000C4870000}"/>
    <cellStyle name="Normal 488 3 2 2" xfId="35007" xr:uid="{00000000-0005-0000-0000-0000C5870000}"/>
    <cellStyle name="Normal 488 3 3" xfId="35008" xr:uid="{00000000-0005-0000-0000-0000C6870000}"/>
    <cellStyle name="Normal 488 4" xfId="35009" xr:uid="{00000000-0005-0000-0000-0000C7870000}"/>
    <cellStyle name="Normal 488 4 2" xfId="35010" xr:uid="{00000000-0005-0000-0000-0000C8870000}"/>
    <cellStyle name="Normal 488 4 2 2" xfId="35011" xr:uid="{00000000-0005-0000-0000-0000C9870000}"/>
    <cellStyle name="Normal 488 4 3" xfId="35012" xr:uid="{00000000-0005-0000-0000-0000CA870000}"/>
    <cellStyle name="Normal 488 5" xfId="35013" xr:uid="{00000000-0005-0000-0000-0000CB870000}"/>
    <cellStyle name="Normal 488 5 2" xfId="35014" xr:uid="{00000000-0005-0000-0000-0000CC870000}"/>
    <cellStyle name="Normal 488 5 2 2" xfId="35015" xr:uid="{00000000-0005-0000-0000-0000CD870000}"/>
    <cellStyle name="Normal 488 5 3" xfId="35016" xr:uid="{00000000-0005-0000-0000-0000CE870000}"/>
    <cellStyle name="Normal 488 6" xfId="35017" xr:uid="{00000000-0005-0000-0000-0000CF870000}"/>
    <cellStyle name="Normal 489" xfId="35018" xr:uid="{00000000-0005-0000-0000-0000D0870000}"/>
    <cellStyle name="Normal 489 2" xfId="35019" xr:uid="{00000000-0005-0000-0000-0000D1870000}"/>
    <cellStyle name="Normal 489 2 2" xfId="35020" xr:uid="{00000000-0005-0000-0000-0000D2870000}"/>
    <cellStyle name="Normal 489 2 2 2" xfId="35021" xr:uid="{00000000-0005-0000-0000-0000D3870000}"/>
    <cellStyle name="Normal 489 2 3" xfId="35022" xr:uid="{00000000-0005-0000-0000-0000D4870000}"/>
    <cellStyle name="Normal 489 2 3 2" xfId="35023" xr:uid="{00000000-0005-0000-0000-0000D5870000}"/>
    <cellStyle name="Normal 489 2 3 2 2" xfId="35024" xr:uid="{00000000-0005-0000-0000-0000D6870000}"/>
    <cellStyle name="Normal 489 2 3 3" xfId="35025" xr:uid="{00000000-0005-0000-0000-0000D7870000}"/>
    <cellStyle name="Normal 489 2 4" xfId="35026" xr:uid="{00000000-0005-0000-0000-0000D8870000}"/>
    <cellStyle name="Normal 489 3" xfId="35027" xr:uid="{00000000-0005-0000-0000-0000D9870000}"/>
    <cellStyle name="Normal 489 3 2" xfId="35028" xr:uid="{00000000-0005-0000-0000-0000DA870000}"/>
    <cellStyle name="Normal 489 3 2 2" xfId="35029" xr:uid="{00000000-0005-0000-0000-0000DB870000}"/>
    <cellStyle name="Normal 489 3 3" xfId="35030" xr:uid="{00000000-0005-0000-0000-0000DC870000}"/>
    <cellStyle name="Normal 489 4" xfId="35031" xr:uid="{00000000-0005-0000-0000-0000DD870000}"/>
    <cellStyle name="Normal 489 4 2" xfId="35032" xr:uid="{00000000-0005-0000-0000-0000DE870000}"/>
    <cellStyle name="Normal 489 4 2 2" xfId="35033" xr:uid="{00000000-0005-0000-0000-0000DF870000}"/>
    <cellStyle name="Normal 489 4 3" xfId="35034" xr:uid="{00000000-0005-0000-0000-0000E0870000}"/>
    <cellStyle name="Normal 489 5" xfId="35035" xr:uid="{00000000-0005-0000-0000-0000E1870000}"/>
    <cellStyle name="Normal 489 5 2" xfId="35036" xr:uid="{00000000-0005-0000-0000-0000E2870000}"/>
    <cellStyle name="Normal 489 5 2 2" xfId="35037" xr:uid="{00000000-0005-0000-0000-0000E3870000}"/>
    <cellStyle name="Normal 489 5 3" xfId="35038" xr:uid="{00000000-0005-0000-0000-0000E4870000}"/>
    <cellStyle name="Normal 489 6" xfId="35039" xr:uid="{00000000-0005-0000-0000-0000E5870000}"/>
    <cellStyle name="Normal 49" xfId="251" xr:uid="{00000000-0005-0000-0000-0000E6870000}"/>
    <cellStyle name="Normal 49 2" xfId="35040" xr:uid="{00000000-0005-0000-0000-0000E7870000}"/>
    <cellStyle name="Normal 49 2 2" xfId="35041" xr:uid="{00000000-0005-0000-0000-0000E8870000}"/>
    <cellStyle name="Normal 49 2 2 2" xfId="35042" xr:uid="{00000000-0005-0000-0000-0000E9870000}"/>
    <cellStyle name="Normal 49 2 2 2 2" xfId="35043" xr:uid="{00000000-0005-0000-0000-0000EA870000}"/>
    <cellStyle name="Normal 49 2 2 3" xfId="35044" xr:uid="{00000000-0005-0000-0000-0000EB870000}"/>
    <cellStyle name="Normal 49 2 2 3 2" xfId="35045" xr:uid="{00000000-0005-0000-0000-0000EC870000}"/>
    <cellStyle name="Normal 49 2 2 3 2 2" xfId="35046" xr:uid="{00000000-0005-0000-0000-0000ED870000}"/>
    <cellStyle name="Normal 49 2 2 3 3" xfId="35047" xr:uid="{00000000-0005-0000-0000-0000EE870000}"/>
    <cellStyle name="Normal 49 2 2 4" xfId="35048" xr:uid="{00000000-0005-0000-0000-0000EF870000}"/>
    <cellStyle name="Normal 49 2 2 4 2" xfId="35049" xr:uid="{00000000-0005-0000-0000-0000F0870000}"/>
    <cellStyle name="Normal 49 2 2 4 2 2" xfId="35050" xr:uid="{00000000-0005-0000-0000-0000F1870000}"/>
    <cellStyle name="Normal 49 2 2 4 3" xfId="35051" xr:uid="{00000000-0005-0000-0000-0000F2870000}"/>
    <cellStyle name="Normal 49 2 2 5" xfId="35052" xr:uid="{00000000-0005-0000-0000-0000F3870000}"/>
    <cellStyle name="Normal 49 2 3" xfId="35053" xr:uid="{00000000-0005-0000-0000-0000F4870000}"/>
    <cellStyle name="Normal 49 2 3 2" xfId="35054" xr:uid="{00000000-0005-0000-0000-0000F5870000}"/>
    <cellStyle name="Normal 49 2 3 2 2" xfId="35055" xr:uid="{00000000-0005-0000-0000-0000F6870000}"/>
    <cellStyle name="Normal 49 2 3 3" xfId="35056" xr:uid="{00000000-0005-0000-0000-0000F7870000}"/>
    <cellStyle name="Normal 49 2 4" xfId="35057" xr:uid="{00000000-0005-0000-0000-0000F8870000}"/>
    <cellStyle name="Normal 49 2 4 2" xfId="35058" xr:uid="{00000000-0005-0000-0000-0000F9870000}"/>
    <cellStyle name="Normal 49 2 4 2 2" xfId="35059" xr:uid="{00000000-0005-0000-0000-0000FA870000}"/>
    <cellStyle name="Normal 49 2 4 3" xfId="35060" xr:uid="{00000000-0005-0000-0000-0000FB870000}"/>
    <cellStyle name="Normal 49 2 5" xfId="35061" xr:uid="{00000000-0005-0000-0000-0000FC870000}"/>
    <cellStyle name="Normal 49 2 5 2" xfId="35062" xr:uid="{00000000-0005-0000-0000-0000FD870000}"/>
    <cellStyle name="Normal 49 2 5 2 2" xfId="35063" xr:uid="{00000000-0005-0000-0000-0000FE870000}"/>
    <cellStyle name="Normal 49 2 5 3" xfId="35064" xr:uid="{00000000-0005-0000-0000-0000FF870000}"/>
    <cellStyle name="Normal 49 2 6" xfId="35065" xr:uid="{00000000-0005-0000-0000-000000880000}"/>
    <cellStyle name="Normal 49 3" xfId="35066" xr:uid="{00000000-0005-0000-0000-000001880000}"/>
    <cellStyle name="Normal 49 3 2" xfId="35067" xr:uid="{00000000-0005-0000-0000-000002880000}"/>
    <cellStyle name="Normal 49 3 2 2" xfId="35068" xr:uid="{00000000-0005-0000-0000-000003880000}"/>
    <cellStyle name="Normal 49 3 3" xfId="35069" xr:uid="{00000000-0005-0000-0000-000004880000}"/>
    <cellStyle name="Normal 49 3 3 2" xfId="35070" xr:uid="{00000000-0005-0000-0000-000005880000}"/>
    <cellStyle name="Normal 49 3 3 2 2" xfId="35071" xr:uid="{00000000-0005-0000-0000-000006880000}"/>
    <cellStyle name="Normal 49 3 3 3" xfId="35072" xr:uid="{00000000-0005-0000-0000-000007880000}"/>
    <cellStyle name="Normal 49 3 4" xfId="35073" xr:uid="{00000000-0005-0000-0000-000008880000}"/>
    <cellStyle name="Normal 49 3 4 2" xfId="35074" xr:uid="{00000000-0005-0000-0000-000009880000}"/>
    <cellStyle name="Normal 49 3 4 2 2" xfId="35075" xr:uid="{00000000-0005-0000-0000-00000A880000}"/>
    <cellStyle name="Normal 49 3 4 3" xfId="35076" xr:uid="{00000000-0005-0000-0000-00000B880000}"/>
    <cellStyle name="Normal 49 3 5" xfId="35077" xr:uid="{00000000-0005-0000-0000-00000C880000}"/>
    <cellStyle name="Normal 49 4" xfId="35078" xr:uid="{00000000-0005-0000-0000-00000D880000}"/>
    <cellStyle name="Normal 49 4 2" xfId="35079" xr:uid="{00000000-0005-0000-0000-00000E880000}"/>
    <cellStyle name="Normal 49 4 2 2" xfId="35080" xr:uid="{00000000-0005-0000-0000-00000F880000}"/>
    <cellStyle name="Normal 49 4 3" xfId="35081" xr:uid="{00000000-0005-0000-0000-000010880000}"/>
    <cellStyle name="Normal 49 5" xfId="35082" xr:uid="{00000000-0005-0000-0000-000011880000}"/>
    <cellStyle name="Normal 49 5 2" xfId="35083" xr:uid="{00000000-0005-0000-0000-000012880000}"/>
    <cellStyle name="Normal 49 5 2 2" xfId="35084" xr:uid="{00000000-0005-0000-0000-000013880000}"/>
    <cellStyle name="Normal 49 5 3" xfId="35085" xr:uid="{00000000-0005-0000-0000-000014880000}"/>
    <cellStyle name="Normal 49 6" xfId="35086" xr:uid="{00000000-0005-0000-0000-000015880000}"/>
    <cellStyle name="Normal 49 6 2" xfId="35087" xr:uid="{00000000-0005-0000-0000-000016880000}"/>
    <cellStyle name="Normal 49 6 2 2" xfId="35088" xr:uid="{00000000-0005-0000-0000-000017880000}"/>
    <cellStyle name="Normal 49 6 3" xfId="35089" xr:uid="{00000000-0005-0000-0000-000018880000}"/>
    <cellStyle name="Normal 49 7" xfId="35090" xr:uid="{00000000-0005-0000-0000-000019880000}"/>
    <cellStyle name="Normal 490" xfId="35091" xr:uid="{00000000-0005-0000-0000-00001A880000}"/>
    <cellStyle name="Normal 490 2" xfId="35092" xr:uid="{00000000-0005-0000-0000-00001B880000}"/>
    <cellStyle name="Normal 490 2 2" xfId="35093" xr:uid="{00000000-0005-0000-0000-00001C880000}"/>
    <cellStyle name="Normal 490 2 2 2" xfId="35094" xr:uid="{00000000-0005-0000-0000-00001D880000}"/>
    <cellStyle name="Normal 490 2 3" xfId="35095" xr:uid="{00000000-0005-0000-0000-00001E880000}"/>
    <cellStyle name="Normal 490 2 3 2" xfId="35096" xr:uid="{00000000-0005-0000-0000-00001F880000}"/>
    <cellStyle name="Normal 490 2 3 2 2" xfId="35097" xr:uid="{00000000-0005-0000-0000-000020880000}"/>
    <cellStyle name="Normal 490 2 3 3" xfId="35098" xr:uid="{00000000-0005-0000-0000-000021880000}"/>
    <cellStyle name="Normal 490 2 4" xfId="35099" xr:uid="{00000000-0005-0000-0000-000022880000}"/>
    <cellStyle name="Normal 490 3" xfId="35100" xr:uid="{00000000-0005-0000-0000-000023880000}"/>
    <cellStyle name="Normal 490 3 2" xfId="35101" xr:uid="{00000000-0005-0000-0000-000024880000}"/>
    <cellStyle name="Normal 490 3 2 2" xfId="35102" xr:uid="{00000000-0005-0000-0000-000025880000}"/>
    <cellStyle name="Normal 490 3 3" xfId="35103" xr:uid="{00000000-0005-0000-0000-000026880000}"/>
    <cellStyle name="Normal 490 4" xfId="35104" xr:uid="{00000000-0005-0000-0000-000027880000}"/>
    <cellStyle name="Normal 490 4 2" xfId="35105" xr:uid="{00000000-0005-0000-0000-000028880000}"/>
    <cellStyle name="Normal 490 4 2 2" xfId="35106" xr:uid="{00000000-0005-0000-0000-000029880000}"/>
    <cellStyle name="Normal 490 4 3" xfId="35107" xr:uid="{00000000-0005-0000-0000-00002A880000}"/>
    <cellStyle name="Normal 490 5" xfId="35108" xr:uid="{00000000-0005-0000-0000-00002B880000}"/>
    <cellStyle name="Normal 490 5 2" xfId="35109" xr:uid="{00000000-0005-0000-0000-00002C880000}"/>
    <cellStyle name="Normal 490 5 2 2" xfId="35110" xr:uid="{00000000-0005-0000-0000-00002D880000}"/>
    <cellStyle name="Normal 490 5 3" xfId="35111" xr:uid="{00000000-0005-0000-0000-00002E880000}"/>
    <cellStyle name="Normal 490 6" xfId="35112" xr:uid="{00000000-0005-0000-0000-00002F880000}"/>
    <cellStyle name="Normal 491" xfId="35113" xr:uid="{00000000-0005-0000-0000-000030880000}"/>
    <cellStyle name="Normal 491 2" xfId="35114" xr:uid="{00000000-0005-0000-0000-000031880000}"/>
    <cellStyle name="Normal 491 2 2" xfId="35115" xr:uid="{00000000-0005-0000-0000-000032880000}"/>
    <cellStyle name="Normal 491 2 2 2" xfId="35116" xr:uid="{00000000-0005-0000-0000-000033880000}"/>
    <cellStyle name="Normal 491 2 3" xfId="35117" xr:uid="{00000000-0005-0000-0000-000034880000}"/>
    <cellStyle name="Normal 491 2 3 2" xfId="35118" xr:uid="{00000000-0005-0000-0000-000035880000}"/>
    <cellStyle name="Normal 491 2 3 2 2" xfId="35119" xr:uid="{00000000-0005-0000-0000-000036880000}"/>
    <cellStyle name="Normal 491 2 3 3" xfId="35120" xr:uid="{00000000-0005-0000-0000-000037880000}"/>
    <cellStyle name="Normal 491 2 4" xfId="35121" xr:uid="{00000000-0005-0000-0000-000038880000}"/>
    <cellStyle name="Normal 491 3" xfId="35122" xr:uid="{00000000-0005-0000-0000-000039880000}"/>
    <cellStyle name="Normal 491 3 2" xfId="35123" xr:uid="{00000000-0005-0000-0000-00003A880000}"/>
    <cellStyle name="Normal 491 3 2 2" xfId="35124" xr:uid="{00000000-0005-0000-0000-00003B880000}"/>
    <cellStyle name="Normal 491 3 3" xfId="35125" xr:uid="{00000000-0005-0000-0000-00003C880000}"/>
    <cellStyle name="Normal 491 4" xfId="35126" xr:uid="{00000000-0005-0000-0000-00003D880000}"/>
    <cellStyle name="Normal 491 4 2" xfId="35127" xr:uid="{00000000-0005-0000-0000-00003E880000}"/>
    <cellStyle name="Normal 491 4 2 2" xfId="35128" xr:uid="{00000000-0005-0000-0000-00003F880000}"/>
    <cellStyle name="Normal 491 4 3" xfId="35129" xr:uid="{00000000-0005-0000-0000-000040880000}"/>
    <cellStyle name="Normal 491 5" xfId="35130" xr:uid="{00000000-0005-0000-0000-000041880000}"/>
    <cellStyle name="Normal 491 5 2" xfId="35131" xr:uid="{00000000-0005-0000-0000-000042880000}"/>
    <cellStyle name="Normal 491 5 2 2" xfId="35132" xr:uid="{00000000-0005-0000-0000-000043880000}"/>
    <cellStyle name="Normal 491 5 3" xfId="35133" xr:uid="{00000000-0005-0000-0000-000044880000}"/>
    <cellStyle name="Normal 491 6" xfId="35134" xr:uid="{00000000-0005-0000-0000-000045880000}"/>
    <cellStyle name="Normal 492" xfId="35135" xr:uid="{00000000-0005-0000-0000-000046880000}"/>
    <cellStyle name="Normal 492 2" xfId="35136" xr:uid="{00000000-0005-0000-0000-000047880000}"/>
    <cellStyle name="Normal 492 2 2" xfId="35137" xr:uid="{00000000-0005-0000-0000-000048880000}"/>
    <cellStyle name="Normal 492 2 2 2" xfId="35138" xr:uid="{00000000-0005-0000-0000-000049880000}"/>
    <cellStyle name="Normal 492 2 3" xfId="35139" xr:uid="{00000000-0005-0000-0000-00004A880000}"/>
    <cellStyle name="Normal 492 2 3 2" xfId="35140" xr:uid="{00000000-0005-0000-0000-00004B880000}"/>
    <cellStyle name="Normal 492 2 3 2 2" xfId="35141" xr:uid="{00000000-0005-0000-0000-00004C880000}"/>
    <cellStyle name="Normal 492 2 3 3" xfId="35142" xr:uid="{00000000-0005-0000-0000-00004D880000}"/>
    <cellStyle name="Normal 492 2 4" xfId="35143" xr:uid="{00000000-0005-0000-0000-00004E880000}"/>
    <cellStyle name="Normal 492 3" xfId="35144" xr:uid="{00000000-0005-0000-0000-00004F880000}"/>
    <cellStyle name="Normal 492 3 2" xfId="35145" xr:uid="{00000000-0005-0000-0000-000050880000}"/>
    <cellStyle name="Normal 492 3 2 2" xfId="35146" xr:uid="{00000000-0005-0000-0000-000051880000}"/>
    <cellStyle name="Normal 492 3 3" xfId="35147" xr:uid="{00000000-0005-0000-0000-000052880000}"/>
    <cellStyle name="Normal 492 4" xfId="35148" xr:uid="{00000000-0005-0000-0000-000053880000}"/>
    <cellStyle name="Normal 492 4 2" xfId="35149" xr:uid="{00000000-0005-0000-0000-000054880000}"/>
    <cellStyle name="Normal 492 4 2 2" xfId="35150" xr:uid="{00000000-0005-0000-0000-000055880000}"/>
    <cellStyle name="Normal 492 4 3" xfId="35151" xr:uid="{00000000-0005-0000-0000-000056880000}"/>
    <cellStyle name="Normal 492 5" xfId="35152" xr:uid="{00000000-0005-0000-0000-000057880000}"/>
    <cellStyle name="Normal 492 5 2" xfId="35153" xr:uid="{00000000-0005-0000-0000-000058880000}"/>
    <cellStyle name="Normal 492 5 2 2" xfId="35154" xr:uid="{00000000-0005-0000-0000-000059880000}"/>
    <cellStyle name="Normal 492 5 3" xfId="35155" xr:uid="{00000000-0005-0000-0000-00005A880000}"/>
    <cellStyle name="Normal 492 6" xfId="35156" xr:uid="{00000000-0005-0000-0000-00005B880000}"/>
    <cellStyle name="Normal 493" xfId="35157" xr:uid="{00000000-0005-0000-0000-00005C880000}"/>
    <cellStyle name="Normal 493 2" xfId="35158" xr:uid="{00000000-0005-0000-0000-00005D880000}"/>
    <cellStyle name="Normal 493 2 2" xfId="35159" xr:uid="{00000000-0005-0000-0000-00005E880000}"/>
    <cellStyle name="Normal 493 2 2 2" xfId="35160" xr:uid="{00000000-0005-0000-0000-00005F880000}"/>
    <cellStyle name="Normal 493 2 3" xfId="35161" xr:uid="{00000000-0005-0000-0000-000060880000}"/>
    <cellStyle name="Normal 493 2 3 2" xfId="35162" xr:uid="{00000000-0005-0000-0000-000061880000}"/>
    <cellStyle name="Normal 493 2 3 2 2" xfId="35163" xr:uid="{00000000-0005-0000-0000-000062880000}"/>
    <cellStyle name="Normal 493 2 3 3" xfId="35164" xr:uid="{00000000-0005-0000-0000-000063880000}"/>
    <cellStyle name="Normal 493 2 4" xfId="35165" xr:uid="{00000000-0005-0000-0000-000064880000}"/>
    <cellStyle name="Normal 493 3" xfId="35166" xr:uid="{00000000-0005-0000-0000-000065880000}"/>
    <cellStyle name="Normal 493 3 2" xfId="35167" xr:uid="{00000000-0005-0000-0000-000066880000}"/>
    <cellStyle name="Normal 493 3 2 2" xfId="35168" xr:uid="{00000000-0005-0000-0000-000067880000}"/>
    <cellStyle name="Normal 493 3 3" xfId="35169" xr:uid="{00000000-0005-0000-0000-000068880000}"/>
    <cellStyle name="Normal 493 4" xfId="35170" xr:uid="{00000000-0005-0000-0000-000069880000}"/>
    <cellStyle name="Normal 493 4 2" xfId="35171" xr:uid="{00000000-0005-0000-0000-00006A880000}"/>
    <cellStyle name="Normal 493 4 2 2" xfId="35172" xr:uid="{00000000-0005-0000-0000-00006B880000}"/>
    <cellStyle name="Normal 493 4 3" xfId="35173" xr:uid="{00000000-0005-0000-0000-00006C880000}"/>
    <cellStyle name="Normal 493 5" xfId="35174" xr:uid="{00000000-0005-0000-0000-00006D880000}"/>
    <cellStyle name="Normal 493 5 2" xfId="35175" xr:uid="{00000000-0005-0000-0000-00006E880000}"/>
    <cellStyle name="Normal 493 5 2 2" xfId="35176" xr:uid="{00000000-0005-0000-0000-00006F880000}"/>
    <cellStyle name="Normal 493 5 3" xfId="35177" xr:uid="{00000000-0005-0000-0000-000070880000}"/>
    <cellStyle name="Normal 493 6" xfId="35178" xr:uid="{00000000-0005-0000-0000-000071880000}"/>
    <cellStyle name="Normal 494" xfId="35179" xr:uid="{00000000-0005-0000-0000-000072880000}"/>
    <cellStyle name="Normal 494 2" xfId="35180" xr:uid="{00000000-0005-0000-0000-000073880000}"/>
    <cellStyle name="Normal 494 2 2" xfId="35181" xr:uid="{00000000-0005-0000-0000-000074880000}"/>
    <cellStyle name="Normal 494 2 2 2" xfId="35182" xr:uid="{00000000-0005-0000-0000-000075880000}"/>
    <cellStyle name="Normal 494 2 3" xfId="35183" xr:uid="{00000000-0005-0000-0000-000076880000}"/>
    <cellStyle name="Normal 494 2 3 2" xfId="35184" xr:uid="{00000000-0005-0000-0000-000077880000}"/>
    <cellStyle name="Normal 494 2 3 2 2" xfId="35185" xr:uid="{00000000-0005-0000-0000-000078880000}"/>
    <cellStyle name="Normal 494 2 3 3" xfId="35186" xr:uid="{00000000-0005-0000-0000-000079880000}"/>
    <cellStyle name="Normal 494 2 4" xfId="35187" xr:uid="{00000000-0005-0000-0000-00007A880000}"/>
    <cellStyle name="Normal 494 3" xfId="35188" xr:uid="{00000000-0005-0000-0000-00007B880000}"/>
    <cellStyle name="Normal 494 3 2" xfId="35189" xr:uid="{00000000-0005-0000-0000-00007C880000}"/>
    <cellStyle name="Normal 494 3 2 2" xfId="35190" xr:uid="{00000000-0005-0000-0000-00007D880000}"/>
    <cellStyle name="Normal 494 3 3" xfId="35191" xr:uid="{00000000-0005-0000-0000-00007E880000}"/>
    <cellStyle name="Normal 494 4" xfId="35192" xr:uid="{00000000-0005-0000-0000-00007F880000}"/>
    <cellStyle name="Normal 494 4 2" xfId="35193" xr:uid="{00000000-0005-0000-0000-000080880000}"/>
    <cellStyle name="Normal 494 4 2 2" xfId="35194" xr:uid="{00000000-0005-0000-0000-000081880000}"/>
    <cellStyle name="Normal 494 4 3" xfId="35195" xr:uid="{00000000-0005-0000-0000-000082880000}"/>
    <cellStyle name="Normal 494 5" xfId="35196" xr:uid="{00000000-0005-0000-0000-000083880000}"/>
    <cellStyle name="Normal 494 5 2" xfId="35197" xr:uid="{00000000-0005-0000-0000-000084880000}"/>
    <cellStyle name="Normal 494 5 2 2" xfId="35198" xr:uid="{00000000-0005-0000-0000-000085880000}"/>
    <cellStyle name="Normal 494 5 3" xfId="35199" xr:uid="{00000000-0005-0000-0000-000086880000}"/>
    <cellStyle name="Normal 494 6" xfId="35200" xr:uid="{00000000-0005-0000-0000-000087880000}"/>
    <cellStyle name="Normal 495" xfId="35201" xr:uid="{00000000-0005-0000-0000-000088880000}"/>
    <cellStyle name="Normal 495 2" xfId="35202" xr:uid="{00000000-0005-0000-0000-000089880000}"/>
    <cellStyle name="Normal 495 2 2" xfId="35203" xr:uid="{00000000-0005-0000-0000-00008A880000}"/>
    <cellStyle name="Normal 495 2 2 2" xfId="35204" xr:uid="{00000000-0005-0000-0000-00008B880000}"/>
    <cellStyle name="Normal 495 2 3" xfId="35205" xr:uid="{00000000-0005-0000-0000-00008C880000}"/>
    <cellStyle name="Normal 495 2 3 2" xfId="35206" xr:uid="{00000000-0005-0000-0000-00008D880000}"/>
    <cellStyle name="Normal 495 2 3 2 2" xfId="35207" xr:uid="{00000000-0005-0000-0000-00008E880000}"/>
    <cellStyle name="Normal 495 2 3 3" xfId="35208" xr:uid="{00000000-0005-0000-0000-00008F880000}"/>
    <cellStyle name="Normal 495 2 4" xfId="35209" xr:uid="{00000000-0005-0000-0000-000090880000}"/>
    <cellStyle name="Normal 495 3" xfId="35210" xr:uid="{00000000-0005-0000-0000-000091880000}"/>
    <cellStyle name="Normal 495 3 2" xfId="35211" xr:uid="{00000000-0005-0000-0000-000092880000}"/>
    <cellStyle name="Normal 495 3 2 2" xfId="35212" xr:uid="{00000000-0005-0000-0000-000093880000}"/>
    <cellStyle name="Normal 495 3 3" xfId="35213" xr:uid="{00000000-0005-0000-0000-000094880000}"/>
    <cellStyle name="Normal 495 4" xfId="35214" xr:uid="{00000000-0005-0000-0000-000095880000}"/>
    <cellStyle name="Normal 495 4 2" xfId="35215" xr:uid="{00000000-0005-0000-0000-000096880000}"/>
    <cellStyle name="Normal 495 4 2 2" xfId="35216" xr:uid="{00000000-0005-0000-0000-000097880000}"/>
    <cellStyle name="Normal 495 4 3" xfId="35217" xr:uid="{00000000-0005-0000-0000-000098880000}"/>
    <cellStyle name="Normal 495 5" xfId="35218" xr:uid="{00000000-0005-0000-0000-000099880000}"/>
    <cellStyle name="Normal 495 5 2" xfId="35219" xr:uid="{00000000-0005-0000-0000-00009A880000}"/>
    <cellStyle name="Normal 495 5 2 2" xfId="35220" xr:uid="{00000000-0005-0000-0000-00009B880000}"/>
    <cellStyle name="Normal 495 5 3" xfId="35221" xr:uid="{00000000-0005-0000-0000-00009C880000}"/>
    <cellStyle name="Normal 495 6" xfId="35222" xr:uid="{00000000-0005-0000-0000-00009D880000}"/>
    <cellStyle name="Normal 496" xfId="35223" xr:uid="{00000000-0005-0000-0000-00009E880000}"/>
    <cellStyle name="Normal 496 2" xfId="35224" xr:uid="{00000000-0005-0000-0000-00009F880000}"/>
    <cellStyle name="Normal 496 2 2" xfId="35225" xr:uid="{00000000-0005-0000-0000-0000A0880000}"/>
    <cellStyle name="Normal 496 2 2 2" xfId="35226" xr:uid="{00000000-0005-0000-0000-0000A1880000}"/>
    <cellStyle name="Normal 496 2 3" xfId="35227" xr:uid="{00000000-0005-0000-0000-0000A2880000}"/>
    <cellStyle name="Normal 496 2 3 2" xfId="35228" xr:uid="{00000000-0005-0000-0000-0000A3880000}"/>
    <cellStyle name="Normal 496 2 3 2 2" xfId="35229" xr:uid="{00000000-0005-0000-0000-0000A4880000}"/>
    <cellStyle name="Normal 496 2 3 3" xfId="35230" xr:uid="{00000000-0005-0000-0000-0000A5880000}"/>
    <cellStyle name="Normal 496 2 4" xfId="35231" xr:uid="{00000000-0005-0000-0000-0000A6880000}"/>
    <cellStyle name="Normal 496 3" xfId="35232" xr:uid="{00000000-0005-0000-0000-0000A7880000}"/>
    <cellStyle name="Normal 496 3 2" xfId="35233" xr:uid="{00000000-0005-0000-0000-0000A8880000}"/>
    <cellStyle name="Normal 496 3 2 2" xfId="35234" xr:uid="{00000000-0005-0000-0000-0000A9880000}"/>
    <cellStyle name="Normal 496 3 3" xfId="35235" xr:uid="{00000000-0005-0000-0000-0000AA880000}"/>
    <cellStyle name="Normal 496 4" xfId="35236" xr:uid="{00000000-0005-0000-0000-0000AB880000}"/>
    <cellStyle name="Normal 496 4 2" xfId="35237" xr:uid="{00000000-0005-0000-0000-0000AC880000}"/>
    <cellStyle name="Normal 496 4 2 2" xfId="35238" xr:uid="{00000000-0005-0000-0000-0000AD880000}"/>
    <cellStyle name="Normal 496 4 3" xfId="35239" xr:uid="{00000000-0005-0000-0000-0000AE880000}"/>
    <cellStyle name="Normal 496 5" xfId="35240" xr:uid="{00000000-0005-0000-0000-0000AF880000}"/>
    <cellStyle name="Normal 496 5 2" xfId="35241" xr:uid="{00000000-0005-0000-0000-0000B0880000}"/>
    <cellStyle name="Normal 496 5 2 2" xfId="35242" xr:uid="{00000000-0005-0000-0000-0000B1880000}"/>
    <cellStyle name="Normal 496 5 3" xfId="35243" xr:uid="{00000000-0005-0000-0000-0000B2880000}"/>
    <cellStyle name="Normal 496 6" xfId="35244" xr:uid="{00000000-0005-0000-0000-0000B3880000}"/>
    <cellStyle name="Normal 497" xfId="35245" xr:uid="{00000000-0005-0000-0000-0000B4880000}"/>
    <cellStyle name="Normal 497 2" xfId="35246" xr:uid="{00000000-0005-0000-0000-0000B5880000}"/>
    <cellStyle name="Normal 497 2 2" xfId="35247" xr:uid="{00000000-0005-0000-0000-0000B6880000}"/>
    <cellStyle name="Normal 497 2 2 2" xfId="35248" xr:uid="{00000000-0005-0000-0000-0000B7880000}"/>
    <cellStyle name="Normal 497 2 3" xfId="35249" xr:uid="{00000000-0005-0000-0000-0000B8880000}"/>
    <cellStyle name="Normal 497 2 3 2" xfId="35250" xr:uid="{00000000-0005-0000-0000-0000B9880000}"/>
    <cellStyle name="Normal 497 2 3 2 2" xfId="35251" xr:uid="{00000000-0005-0000-0000-0000BA880000}"/>
    <cellStyle name="Normal 497 2 3 3" xfId="35252" xr:uid="{00000000-0005-0000-0000-0000BB880000}"/>
    <cellStyle name="Normal 497 2 4" xfId="35253" xr:uid="{00000000-0005-0000-0000-0000BC880000}"/>
    <cellStyle name="Normal 497 3" xfId="35254" xr:uid="{00000000-0005-0000-0000-0000BD880000}"/>
    <cellStyle name="Normal 497 3 2" xfId="35255" xr:uid="{00000000-0005-0000-0000-0000BE880000}"/>
    <cellStyle name="Normal 497 3 2 2" xfId="35256" xr:uid="{00000000-0005-0000-0000-0000BF880000}"/>
    <cellStyle name="Normal 497 3 3" xfId="35257" xr:uid="{00000000-0005-0000-0000-0000C0880000}"/>
    <cellStyle name="Normal 497 4" xfId="35258" xr:uid="{00000000-0005-0000-0000-0000C1880000}"/>
    <cellStyle name="Normal 497 4 2" xfId="35259" xr:uid="{00000000-0005-0000-0000-0000C2880000}"/>
    <cellStyle name="Normal 497 4 2 2" xfId="35260" xr:uid="{00000000-0005-0000-0000-0000C3880000}"/>
    <cellStyle name="Normal 497 4 3" xfId="35261" xr:uid="{00000000-0005-0000-0000-0000C4880000}"/>
    <cellStyle name="Normal 497 5" xfId="35262" xr:uid="{00000000-0005-0000-0000-0000C5880000}"/>
    <cellStyle name="Normal 497 5 2" xfId="35263" xr:uid="{00000000-0005-0000-0000-0000C6880000}"/>
    <cellStyle name="Normal 497 5 2 2" xfId="35264" xr:uid="{00000000-0005-0000-0000-0000C7880000}"/>
    <cellStyle name="Normal 497 5 3" xfId="35265" xr:uid="{00000000-0005-0000-0000-0000C8880000}"/>
    <cellStyle name="Normal 497 6" xfId="35266" xr:uid="{00000000-0005-0000-0000-0000C9880000}"/>
    <cellStyle name="Normal 498" xfId="35267" xr:uid="{00000000-0005-0000-0000-0000CA880000}"/>
    <cellStyle name="Normal 498 2" xfId="35268" xr:uid="{00000000-0005-0000-0000-0000CB880000}"/>
    <cellStyle name="Normal 498 2 2" xfId="35269" xr:uid="{00000000-0005-0000-0000-0000CC880000}"/>
    <cellStyle name="Normal 498 2 2 2" xfId="35270" xr:uid="{00000000-0005-0000-0000-0000CD880000}"/>
    <cellStyle name="Normal 498 2 3" xfId="35271" xr:uid="{00000000-0005-0000-0000-0000CE880000}"/>
    <cellStyle name="Normal 498 2 3 2" xfId="35272" xr:uid="{00000000-0005-0000-0000-0000CF880000}"/>
    <cellStyle name="Normal 498 2 3 2 2" xfId="35273" xr:uid="{00000000-0005-0000-0000-0000D0880000}"/>
    <cellStyle name="Normal 498 2 3 3" xfId="35274" xr:uid="{00000000-0005-0000-0000-0000D1880000}"/>
    <cellStyle name="Normal 498 2 4" xfId="35275" xr:uid="{00000000-0005-0000-0000-0000D2880000}"/>
    <cellStyle name="Normal 498 3" xfId="35276" xr:uid="{00000000-0005-0000-0000-0000D3880000}"/>
    <cellStyle name="Normal 498 3 2" xfId="35277" xr:uid="{00000000-0005-0000-0000-0000D4880000}"/>
    <cellStyle name="Normal 498 3 2 2" xfId="35278" xr:uid="{00000000-0005-0000-0000-0000D5880000}"/>
    <cellStyle name="Normal 498 3 3" xfId="35279" xr:uid="{00000000-0005-0000-0000-0000D6880000}"/>
    <cellStyle name="Normal 498 4" xfId="35280" xr:uid="{00000000-0005-0000-0000-0000D7880000}"/>
    <cellStyle name="Normal 498 4 2" xfId="35281" xr:uid="{00000000-0005-0000-0000-0000D8880000}"/>
    <cellStyle name="Normal 498 4 2 2" xfId="35282" xr:uid="{00000000-0005-0000-0000-0000D9880000}"/>
    <cellStyle name="Normal 498 4 3" xfId="35283" xr:uid="{00000000-0005-0000-0000-0000DA880000}"/>
    <cellStyle name="Normal 498 5" xfId="35284" xr:uid="{00000000-0005-0000-0000-0000DB880000}"/>
    <cellStyle name="Normal 498 5 2" xfId="35285" xr:uid="{00000000-0005-0000-0000-0000DC880000}"/>
    <cellStyle name="Normal 498 5 2 2" xfId="35286" xr:uid="{00000000-0005-0000-0000-0000DD880000}"/>
    <cellStyle name="Normal 498 5 3" xfId="35287" xr:uid="{00000000-0005-0000-0000-0000DE880000}"/>
    <cellStyle name="Normal 498 6" xfId="35288" xr:uid="{00000000-0005-0000-0000-0000DF880000}"/>
    <cellStyle name="Normal 499" xfId="35289" xr:uid="{00000000-0005-0000-0000-0000E0880000}"/>
    <cellStyle name="Normal 499 2" xfId="35290" xr:uid="{00000000-0005-0000-0000-0000E1880000}"/>
    <cellStyle name="Normal 499 2 2" xfId="35291" xr:uid="{00000000-0005-0000-0000-0000E2880000}"/>
    <cellStyle name="Normal 499 2 2 2" xfId="35292" xr:uid="{00000000-0005-0000-0000-0000E3880000}"/>
    <cellStyle name="Normal 499 2 3" xfId="35293" xr:uid="{00000000-0005-0000-0000-0000E4880000}"/>
    <cellStyle name="Normal 499 2 3 2" xfId="35294" xr:uid="{00000000-0005-0000-0000-0000E5880000}"/>
    <cellStyle name="Normal 499 2 3 2 2" xfId="35295" xr:uid="{00000000-0005-0000-0000-0000E6880000}"/>
    <cellStyle name="Normal 499 2 3 3" xfId="35296" xr:uid="{00000000-0005-0000-0000-0000E7880000}"/>
    <cellStyle name="Normal 499 2 4" xfId="35297" xr:uid="{00000000-0005-0000-0000-0000E8880000}"/>
    <cellStyle name="Normal 499 3" xfId="35298" xr:uid="{00000000-0005-0000-0000-0000E9880000}"/>
    <cellStyle name="Normal 499 3 2" xfId="35299" xr:uid="{00000000-0005-0000-0000-0000EA880000}"/>
    <cellStyle name="Normal 499 3 2 2" xfId="35300" xr:uid="{00000000-0005-0000-0000-0000EB880000}"/>
    <cellStyle name="Normal 499 3 3" xfId="35301" xr:uid="{00000000-0005-0000-0000-0000EC880000}"/>
    <cellStyle name="Normal 499 4" xfId="35302" xr:uid="{00000000-0005-0000-0000-0000ED880000}"/>
    <cellStyle name="Normal 499 4 2" xfId="35303" xr:uid="{00000000-0005-0000-0000-0000EE880000}"/>
    <cellStyle name="Normal 499 4 2 2" xfId="35304" xr:uid="{00000000-0005-0000-0000-0000EF880000}"/>
    <cellStyle name="Normal 499 4 3" xfId="35305" xr:uid="{00000000-0005-0000-0000-0000F0880000}"/>
    <cellStyle name="Normal 499 5" xfId="35306" xr:uid="{00000000-0005-0000-0000-0000F1880000}"/>
    <cellStyle name="Normal 499 5 2" xfId="35307" xr:uid="{00000000-0005-0000-0000-0000F2880000}"/>
    <cellStyle name="Normal 499 5 2 2" xfId="35308" xr:uid="{00000000-0005-0000-0000-0000F3880000}"/>
    <cellStyle name="Normal 499 5 3" xfId="35309" xr:uid="{00000000-0005-0000-0000-0000F4880000}"/>
    <cellStyle name="Normal 499 6" xfId="35310" xr:uid="{00000000-0005-0000-0000-0000F5880000}"/>
    <cellStyle name="Normal 5" xfId="93" xr:uid="{00000000-0005-0000-0000-0000F6880000}"/>
    <cellStyle name="Normal 5 10" xfId="35311" xr:uid="{00000000-0005-0000-0000-0000F7880000}"/>
    <cellStyle name="Normal 5 2" xfId="107" xr:uid="{00000000-0005-0000-0000-0000F8880000}"/>
    <cellStyle name="Normal 5 2 2" xfId="35313" xr:uid="{00000000-0005-0000-0000-0000F9880000}"/>
    <cellStyle name="Normal 5 2 2 2" xfId="35314" xr:uid="{00000000-0005-0000-0000-0000FA880000}"/>
    <cellStyle name="Normal 5 2 2 2 2" xfId="35315" xr:uid="{00000000-0005-0000-0000-0000FB880000}"/>
    <cellStyle name="Normal 5 2 2 3" xfId="35316" xr:uid="{00000000-0005-0000-0000-0000FC880000}"/>
    <cellStyle name="Normal 5 2 2 3 2" xfId="35317" xr:uid="{00000000-0005-0000-0000-0000FD880000}"/>
    <cellStyle name="Normal 5 2 2 3 2 2" xfId="35318" xr:uid="{00000000-0005-0000-0000-0000FE880000}"/>
    <cellStyle name="Normal 5 2 2 3 3" xfId="35319" xr:uid="{00000000-0005-0000-0000-0000FF880000}"/>
    <cellStyle name="Normal 5 2 2 4" xfId="35320" xr:uid="{00000000-0005-0000-0000-000000890000}"/>
    <cellStyle name="Normal 5 2 2 4 2" xfId="35321" xr:uid="{00000000-0005-0000-0000-000001890000}"/>
    <cellStyle name="Normal 5 2 2 4 2 2" xfId="35322" xr:uid="{00000000-0005-0000-0000-000002890000}"/>
    <cellStyle name="Normal 5 2 2 4 3" xfId="35323" xr:uid="{00000000-0005-0000-0000-000003890000}"/>
    <cellStyle name="Normal 5 2 2 5" xfId="35324" xr:uid="{00000000-0005-0000-0000-000004890000}"/>
    <cellStyle name="Normal 5 2 3" xfId="35325" xr:uid="{00000000-0005-0000-0000-000005890000}"/>
    <cellStyle name="Normal 5 2 3 2" xfId="35326" xr:uid="{00000000-0005-0000-0000-000006890000}"/>
    <cellStyle name="Normal 5 2 3 2 2" xfId="35327" xr:uid="{00000000-0005-0000-0000-000007890000}"/>
    <cellStyle name="Normal 5 2 3 2 2 2" xfId="35328" xr:uid="{00000000-0005-0000-0000-000008890000}"/>
    <cellStyle name="Normal 5 2 3 2 3" xfId="35329" xr:uid="{00000000-0005-0000-0000-000009890000}"/>
    <cellStyle name="Normal 5 2 3 2 3 2" xfId="35330" xr:uid="{00000000-0005-0000-0000-00000A890000}"/>
    <cellStyle name="Normal 5 2 3 2 3 2 2" xfId="35331" xr:uid="{00000000-0005-0000-0000-00000B890000}"/>
    <cellStyle name="Normal 5 2 3 2 3 3" xfId="35332" xr:uid="{00000000-0005-0000-0000-00000C890000}"/>
    <cellStyle name="Normal 5 2 3 2 4" xfId="35333" xr:uid="{00000000-0005-0000-0000-00000D890000}"/>
    <cellStyle name="Normal 5 2 3 3" xfId="35334" xr:uid="{00000000-0005-0000-0000-00000E890000}"/>
    <cellStyle name="Normal 5 2 3 3 2" xfId="35335" xr:uid="{00000000-0005-0000-0000-00000F890000}"/>
    <cellStyle name="Normal 5 2 3 3 2 2" xfId="35336" xr:uid="{00000000-0005-0000-0000-000010890000}"/>
    <cellStyle name="Normal 5 2 3 3 3" xfId="35337" xr:uid="{00000000-0005-0000-0000-000011890000}"/>
    <cellStyle name="Normal 5 2 3 4" xfId="35338" xr:uid="{00000000-0005-0000-0000-000012890000}"/>
    <cellStyle name="Normal 5 2 3 4 2" xfId="35339" xr:uid="{00000000-0005-0000-0000-000013890000}"/>
    <cellStyle name="Normal 5 2 3 4 2 2" xfId="35340" xr:uid="{00000000-0005-0000-0000-000014890000}"/>
    <cellStyle name="Normal 5 2 3 4 3" xfId="35341" xr:uid="{00000000-0005-0000-0000-000015890000}"/>
    <cellStyle name="Normal 5 2 3 5" xfId="35342" xr:uid="{00000000-0005-0000-0000-000016890000}"/>
    <cellStyle name="Normal 5 2 3 5 2" xfId="35343" xr:uid="{00000000-0005-0000-0000-000017890000}"/>
    <cellStyle name="Normal 5 2 3 5 2 2" xfId="35344" xr:uid="{00000000-0005-0000-0000-000018890000}"/>
    <cellStyle name="Normal 5 2 3 5 3" xfId="35345" xr:uid="{00000000-0005-0000-0000-000019890000}"/>
    <cellStyle name="Normal 5 2 3 6" xfId="35346" xr:uid="{00000000-0005-0000-0000-00001A890000}"/>
    <cellStyle name="Normal 5 2 4" xfId="35347" xr:uid="{00000000-0005-0000-0000-00001B890000}"/>
    <cellStyle name="Normal 5 2 4 2" xfId="35348" xr:uid="{00000000-0005-0000-0000-00001C890000}"/>
    <cellStyle name="Normal 5 2 4 2 2" xfId="35349" xr:uid="{00000000-0005-0000-0000-00001D890000}"/>
    <cellStyle name="Normal 5 2 4 3" xfId="35350" xr:uid="{00000000-0005-0000-0000-00001E890000}"/>
    <cellStyle name="Normal 5 2 5" xfId="35351" xr:uid="{00000000-0005-0000-0000-00001F890000}"/>
    <cellStyle name="Normal 5 2 5 2" xfId="35352" xr:uid="{00000000-0005-0000-0000-000020890000}"/>
    <cellStyle name="Normal 5 2 5 2 2" xfId="35353" xr:uid="{00000000-0005-0000-0000-000021890000}"/>
    <cellStyle name="Normal 5 2 5 3" xfId="35354" xr:uid="{00000000-0005-0000-0000-000022890000}"/>
    <cellStyle name="Normal 5 2 6" xfId="35355" xr:uid="{00000000-0005-0000-0000-000023890000}"/>
    <cellStyle name="Normal 5 2 6 2" xfId="35356" xr:uid="{00000000-0005-0000-0000-000024890000}"/>
    <cellStyle name="Normal 5 2 6 2 2" xfId="35357" xr:uid="{00000000-0005-0000-0000-000025890000}"/>
    <cellStyle name="Normal 5 2 6 3" xfId="35358" xr:uid="{00000000-0005-0000-0000-000026890000}"/>
    <cellStyle name="Normal 5 2 7" xfId="35359" xr:uid="{00000000-0005-0000-0000-000027890000}"/>
    <cellStyle name="Normal 5 2 8" xfId="35312" xr:uid="{00000000-0005-0000-0000-000028890000}"/>
    <cellStyle name="Normal 5 3" xfId="35360" xr:uid="{00000000-0005-0000-0000-000029890000}"/>
    <cellStyle name="Normal 5 3 2" xfId="35361" xr:uid="{00000000-0005-0000-0000-00002A890000}"/>
    <cellStyle name="Normal 5 3 2 2" xfId="35362" xr:uid="{00000000-0005-0000-0000-00002B890000}"/>
    <cellStyle name="Normal 5 3 2 2 2" xfId="35363" xr:uid="{00000000-0005-0000-0000-00002C890000}"/>
    <cellStyle name="Normal 5 3 2 3" xfId="35364" xr:uid="{00000000-0005-0000-0000-00002D890000}"/>
    <cellStyle name="Normal 5 3 2 3 2" xfId="35365" xr:uid="{00000000-0005-0000-0000-00002E890000}"/>
    <cellStyle name="Normal 5 3 2 3 2 2" xfId="35366" xr:uid="{00000000-0005-0000-0000-00002F890000}"/>
    <cellStyle name="Normal 5 3 2 3 3" xfId="35367" xr:uid="{00000000-0005-0000-0000-000030890000}"/>
    <cellStyle name="Normal 5 3 2 4" xfId="35368" xr:uid="{00000000-0005-0000-0000-000031890000}"/>
    <cellStyle name="Normal 5 3 2 4 2" xfId="35369" xr:uid="{00000000-0005-0000-0000-000032890000}"/>
    <cellStyle name="Normal 5 3 2 4 2 2" xfId="35370" xr:uid="{00000000-0005-0000-0000-000033890000}"/>
    <cellStyle name="Normal 5 3 2 4 3" xfId="35371" xr:uid="{00000000-0005-0000-0000-000034890000}"/>
    <cellStyle name="Normal 5 3 2 5" xfId="35372" xr:uid="{00000000-0005-0000-0000-000035890000}"/>
    <cellStyle name="Normal 5 3 3" xfId="35373" xr:uid="{00000000-0005-0000-0000-000036890000}"/>
    <cellStyle name="Normal 5 3 3 2" xfId="35374" xr:uid="{00000000-0005-0000-0000-000037890000}"/>
    <cellStyle name="Normal 5 3 3 2 2" xfId="35375" xr:uid="{00000000-0005-0000-0000-000038890000}"/>
    <cellStyle name="Normal 5 3 3 3" xfId="35376" xr:uid="{00000000-0005-0000-0000-000039890000}"/>
    <cellStyle name="Normal 5 3 4" xfId="35377" xr:uid="{00000000-0005-0000-0000-00003A890000}"/>
    <cellStyle name="Normal 5 3 4 2" xfId="35378" xr:uid="{00000000-0005-0000-0000-00003B890000}"/>
    <cellStyle name="Normal 5 3 4 2 2" xfId="35379" xr:uid="{00000000-0005-0000-0000-00003C890000}"/>
    <cellStyle name="Normal 5 3 4 3" xfId="35380" xr:uid="{00000000-0005-0000-0000-00003D890000}"/>
    <cellStyle name="Normal 5 3 5" xfId="35381" xr:uid="{00000000-0005-0000-0000-00003E890000}"/>
    <cellStyle name="Normal 5 3 5 2" xfId="35382" xr:uid="{00000000-0005-0000-0000-00003F890000}"/>
    <cellStyle name="Normal 5 3 5 2 2" xfId="35383" xr:uid="{00000000-0005-0000-0000-000040890000}"/>
    <cellStyle name="Normal 5 3 5 3" xfId="35384" xr:uid="{00000000-0005-0000-0000-000041890000}"/>
    <cellStyle name="Normal 5 3 6" xfId="35385" xr:uid="{00000000-0005-0000-0000-000042890000}"/>
    <cellStyle name="Normal 5 4" xfId="35386" xr:uid="{00000000-0005-0000-0000-000043890000}"/>
    <cellStyle name="Normal 5 4 2" xfId="35387" xr:uid="{00000000-0005-0000-0000-000044890000}"/>
    <cellStyle name="Normal 5 4 2 2" xfId="35388" xr:uid="{00000000-0005-0000-0000-000045890000}"/>
    <cellStyle name="Normal 5 4 2 2 2" xfId="35389" xr:uid="{00000000-0005-0000-0000-000046890000}"/>
    <cellStyle name="Normal 5 4 2 3" xfId="35390" xr:uid="{00000000-0005-0000-0000-000047890000}"/>
    <cellStyle name="Normal 5 4 2 3 2" xfId="35391" xr:uid="{00000000-0005-0000-0000-000048890000}"/>
    <cellStyle name="Normal 5 4 2 3 2 2" xfId="35392" xr:uid="{00000000-0005-0000-0000-000049890000}"/>
    <cellStyle name="Normal 5 4 2 3 3" xfId="35393" xr:uid="{00000000-0005-0000-0000-00004A890000}"/>
    <cellStyle name="Normal 5 4 2 4" xfId="35394" xr:uid="{00000000-0005-0000-0000-00004B890000}"/>
    <cellStyle name="Normal 5 4 2 4 2" xfId="35395" xr:uid="{00000000-0005-0000-0000-00004C890000}"/>
    <cellStyle name="Normal 5 4 2 4 2 2" xfId="35396" xr:uid="{00000000-0005-0000-0000-00004D890000}"/>
    <cellStyle name="Normal 5 4 2 4 3" xfId="35397" xr:uid="{00000000-0005-0000-0000-00004E890000}"/>
    <cellStyle name="Normal 5 4 2 5" xfId="35398" xr:uid="{00000000-0005-0000-0000-00004F890000}"/>
    <cellStyle name="Normal 5 4 3" xfId="35399" xr:uid="{00000000-0005-0000-0000-000050890000}"/>
    <cellStyle name="Normal 5 4 3 2" xfId="35400" xr:uid="{00000000-0005-0000-0000-000051890000}"/>
    <cellStyle name="Normal 5 4 3 2 2" xfId="35401" xr:uid="{00000000-0005-0000-0000-000052890000}"/>
    <cellStyle name="Normal 5 4 3 2 2 2" xfId="35402" xr:uid="{00000000-0005-0000-0000-000053890000}"/>
    <cellStyle name="Normal 5 4 3 2 3" xfId="35403" xr:uid="{00000000-0005-0000-0000-000054890000}"/>
    <cellStyle name="Normal 5 4 3 2 3 2" xfId="35404" xr:uid="{00000000-0005-0000-0000-000055890000}"/>
    <cellStyle name="Normal 5 4 3 2 3 2 2" xfId="35405" xr:uid="{00000000-0005-0000-0000-000056890000}"/>
    <cellStyle name="Normal 5 4 3 2 3 3" xfId="35406" xr:uid="{00000000-0005-0000-0000-000057890000}"/>
    <cellStyle name="Normal 5 4 3 2 4" xfId="35407" xr:uid="{00000000-0005-0000-0000-000058890000}"/>
    <cellStyle name="Normal 5 4 3 3" xfId="35408" xr:uid="{00000000-0005-0000-0000-000059890000}"/>
    <cellStyle name="Normal 5 4 3 3 2" xfId="35409" xr:uid="{00000000-0005-0000-0000-00005A890000}"/>
    <cellStyle name="Normal 5 4 3 3 2 2" xfId="35410" xr:uid="{00000000-0005-0000-0000-00005B890000}"/>
    <cellStyle name="Normal 5 4 3 3 3" xfId="35411" xr:uid="{00000000-0005-0000-0000-00005C890000}"/>
    <cellStyle name="Normal 5 4 3 4" xfId="35412" xr:uid="{00000000-0005-0000-0000-00005D890000}"/>
    <cellStyle name="Normal 5 4 3 4 2" xfId="35413" xr:uid="{00000000-0005-0000-0000-00005E890000}"/>
    <cellStyle name="Normal 5 4 3 4 2 2" xfId="35414" xr:uid="{00000000-0005-0000-0000-00005F890000}"/>
    <cellStyle name="Normal 5 4 3 4 3" xfId="35415" xr:uid="{00000000-0005-0000-0000-000060890000}"/>
    <cellStyle name="Normal 5 4 3 5" xfId="35416" xr:uid="{00000000-0005-0000-0000-000061890000}"/>
    <cellStyle name="Normal 5 4 3 5 2" xfId="35417" xr:uid="{00000000-0005-0000-0000-000062890000}"/>
    <cellStyle name="Normal 5 4 3 5 2 2" xfId="35418" xr:uid="{00000000-0005-0000-0000-000063890000}"/>
    <cellStyle name="Normal 5 4 3 5 3" xfId="35419" xr:uid="{00000000-0005-0000-0000-000064890000}"/>
    <cellStyle name="Normal 5 4 3 6" xfId="35420" xr:uid="{00000000-0005-0000-0000-000065890000}"/>
    <cellStyle name="Normal 5 4 4" xfId="35421" xr:uid="{00000000-0005-0000-0000-000066890000}"/>
    <cellStyle name="Normal 5 5" xfId="35422" xr:uid="{00000000-0005-0000-0000-000067890000}"/>
    <cellStyle name="Normal 5 5 2" xfId="35423" xr:uid="{00000000-0005-0000-0000-000068890000}"/>
    <cellStyle name="Normal 5 5 2 2" xfId="35424" xr:uid="{00000000-0005-0000-0000-000069890000}"/>
    <cellStyle name="Normal 5 5 2 2 2" xfId="35425" xr:uid="{00000000-0005-0000-0000-00006A890000}"/>
    <cellStyle name="Normal 5 5 2 2 2 2" xfId="35426" xr:uid="{00000000-0005-0000-0000-00006B890000}"/>
    <cellStyle name="Normal 5 5 2 2 3" xfId="35427" xr:uid="{00000000-0005-0000-0000-00006C890000}"/>
    <cellStyle name="Normal 5 5 2 2 3 2" xfId="35428" xr:uid="{00000000-0005-0000-0000-00006D890000}"/>
    <cellStyle name="Normal 5 5 2 2 3 2 2" xfId="35429" xr:uid="{00000000-0005-0000-0000-00006E890000}"/>
    <cellStyle name="Normal 5 5 2 2 3 3" xfId="35430" xr:uid="{00000000-0005-0000-0000-00006F890000}"/>
    <cellStyle name="Normal 5 5 2 2 4" xfId="35431" xr:uid="{00000000-0005-0000-0000-000070890000}"/>
    <cellStyle name="Normal 5 5 2 3" xfId="35432" xr:uid="{00000000-0005-0000-0000-000071890000}"/>
    <cellStyle name="Normal 5 5 3" xfId="35433" xr:uid="{00000000-0005-0000-0000-000072890000}"/>
    <cellStyle name="Normal 5 5 3 2" xfId="35434" xr:uid="{00000000-0005-0000-0000-000073890000}"/>
    <cellStyle name="Normal 5 5 4" xfId="35435" xr:uid="{00000000-0005-0000-0000-000074890000}"/>
    <cellStyle name="Normal 5 5 4 2" xfId="35436" xr:uid="{00000000-0005-0000-0000-000075890000}"/>
    <cellStyle name="Normal 5 5 4 2 2" xfId="35437" xr:uid="{00000000-0005-0000-0000-000076890000}"/>
    <cellStyle name="Normal 5 5 4 3" xfId="35438" xr:uid="{00000000-0005-0000-0000-000077890000}"/>
    <cellStyle name="Normal 5 5 5" xfId="35439" xr:uid="{00000000-0005-0000-0000-000078890000}"/>
    <cellStyle name="Normal 5 6" xfId="35440" xr:uid="{00000000-0005-0000-0000-000079890000}"/>
    <cellStyle name="Normal 5 6 2" xfId="35441" xr:uid="{00000000-0005-0000-0000-00007A890000}"/>
    <cellStyle name="Normal 5 6 2 2" xfId="35442" xr:uid="{00000000-0005-0000-0000-00007B890000}"/>
    <cellStyle name="Normal 5 6 2 2 2" xfId="35443" xr:uid="{00000000-0005-0000-0000-00007C890000}"/>
    <cellStyle name="Normal 5 6 2 3" xfId="35444" xr:uid="{00000000-0005-0000-0000-00007D890000}"/>
    <cellStyle name="Normal 5 6 2 3 2" xfId="35445" xr:uid="{00000000-0005-0000-0000-00007E890000}"/>
    <cellStyle name="Normal 5 6 2 3 2 2" xfId="35446" xr:uid="{00000000-0005-0000-0000-00007F890000}"/>
    <cellStyle name="Normal 5 6 2 3 3" xfId="35447" xr:uid="{00000000-0005-0000-0000-000080890000}"/>
    <cellStyle name="Normal 5 6 2 4" xfId="35448" xr:uid="{00000000-0005-0000-0000-000081890000}"/>
    <cellStyle name="Normal 5 6 3" xfId="35449" xr:uid="{00000000-0005-0000-0000-000082890000}"/>
    <cellStyle name="Normal 5 6 3 2" xfId="35450" xr:uid="{00000000-0005-0000-0000-000083890000}"/>
    <cellStyle name="Normal 5 6 3 2 2" xfId="35451" xr:uid="{00000000-0005-0000-0000-000084890000}"/>
    <cellStyle name="Normal 5 6 3 3" xfId="35452" xr:uid="{00000000-0005-0000-0000-000085890000}"/>
    <cellStyle name="Normal 5 6 4" xfId="35453" xr:uid="{00000000-0005-0000-0000-000086890000}"/>
    <cellStyle name="Normal 5 6 4 2" xfId="35454" xr:uid="{00000000-0005-0000-0000-000087890000}"/>
    <cellStyle name="Normal 5 6 4 2 2" xfId="35455" xr:uid="{00000000-0005-0000-0000-000088890000}"/>
    <cellStyle name="Normal 5 6 4 3" xfId="35456" xr:uid="{00000000-0005-0000-0000-000089890000}"/>
    <cellStyle name="Normal 5 6 5" xfId="35457" xr:uid="{00000000-0005-0000-0000-00008A890000}"/>
    <cellStyle name="Normal 5 6 5 2" xfId="35458" xr:uid="{00000000-0005-0000-0000-00008B890000}"/>
    <cellStyle name="Normal 5 6 5 2 2" xfId="35459" xr:uid="{00000000-0005-0000-0000-00008C890000}"/>
    <cellStyle name="Normal 5 6 5 3" xfId="35460" xr:uid="{00000000-0005-0000-0000-00008D890000}"/>
    <cellStyle name="Normal 5 6 6" xfId="35461" xr:uid="{00000000-0005-0000-0000-00008E890000}"/>
    <cellStyle name="Normal 5 7" xfId="35462" xr:uid="{00000000-0005-0000-0000-00008F890000}"/>
    <cellStyle name="Normal 5 7 2" xfId="35463" xr:uid="{00000000-0005-0000-0000-000090890000}"/>
    <cellStyle name="Normal 5 8" xfId="35464" xr:uid="{00000000-0005-0000-0000-000091890000}"/>
    <cellStyle name="Normal 5 9" xfId="35465" xr:uid="{00000000-0005-0000-0000-000092890000}"/>
    <cellStyle name="Normal 50" xfId="35466" xr:uid="{00000000-0005-0000-0000-000093890000}"/>
    <cellStyle name="Normal 50 2" xfId="35467" xr:uid="{00000000-0005-0000-0000-000094890000}"/>
    <cellStyle name="Normal 50 2 2" xfId="35468" xr:uid="{00000000-0005-0000-0000-000095890000}"/>
    <cellStyle name="Normal 50 2 2 2" xfId="35469" xr:uid="{00000000-0005-0000-0000-000096890000}"/>
    <cellStyle name="Normal 50 2 2 2 2" xfId="35470" xr:uid="{00000000-0005-0000-0000-000097890000}"/>
    <cellStyle name="Normal 50 2 2 3" xfId="35471" xr:uid="{00000000-0005-0000-0000-000098890000}"/>
    <cellStyle name="Normal 50 2 2 3 2" xfId="35472" xr:uid="{00000000-0005-0000-0000-000099890000}"/>
    <cellStyle name="Normal 50 2 2 3 2 2" xfId="35473" xr:uid="{00000000-0005-0000-0000-00009A890000}"/>
    <cellStyle name="Normal 50 2 2 3 3" xfId="35474" xr:uid="{00000000-0005-0000-0000-00009B890000}"/>
    <cellStyle name="Normal 50 2 2 4" xfId="35475" xr:uid="{00000000-0005-0000-0000-00009C890000}"/>
    <cellStyle name="Normal 50 2 2 4 2" xfId="35476" xr:uid="{00000000-0005-0000-0000-00009D890000}"/>
    <cellStyle name="Normal 50 2 2 4 2 2" xfId="35477" xr:uid="{00000000-0005-0000-0000-00009E890000}"/>
    <cellStyle name="Normal 50 2 2 4 3" xfId="35478" xr:uid="{00000000-0005-0000-0000-00009F890000}"/>
    <cellStyle name="Normal 50 2 2 5" xfId="35479" xr:uid="{00000000-0005-0000-0000-0000A0890000}"/>
    <cellStyle name="Normal 50 2 3" xfId="35480" xr:uid="{00000000-0005-0000-0000-0000A1890000}"/>
    <cellStyle name="Normal 50 2 3 2" xfId="35481" xr:uid="{00000000-0005-0000-0000-0000A2890000}"/>
    <cellStyle name="Normal 50 2 3 2 2" xfId="35482" xr:uid="{00000000-0005-0000-0000-0000A3890000}"/>
    <cellStyle name="Normal 50 2 3 3" xfId="35483" xr:uid="{00000000-0005-0000-0000-0000A4890000}"/>
    <cellStyle name="Normal 50 2 4" xfId="35484" xr:uid="{00000000-0005-0000-0000-0000A5890000}"/>
    <cellStyle name="Normal 50 2 4 2" xfId="35485" xr:uid="{00000000-0005-0000-0000-0000A6890000}"/>
    <cellStyle name="Normal 50 2 4 2 2" xfId="35486" xr:uid="{00000000-0005-0000-0000-0000A7890000}"/>
    <cellStyle name="Normal 50 2 4 3" xfId="35487" xr:uid="{00000000-0005-0000-0000-0000A8890000}"/>
    <cellStyle name="Normal 50 2 5" xfId="35488" xr:uid="{00000000-0005-0000-0000-0000A9890000}"/>
    <cellStyle name="Normal 50 2 5 2" xfId="35489" xr:uid="{00000000-0005-0000-0000-0000AA890000}"/>
    <cellStyle name="Normal 50 2 5 2 2" xfId="35490" xr:uid="{00000000-0005-0000-0000-0000AB890000}"/>
    <cellStyle name="Normal 50 2 5 3" xfId="35491" xr:uid="{00000000-0005-0000-0000-0000AC890000}"/>
    <cellStyle name="Normal 50 2 6" xfId="35492" xr:uid="{00000000-0005-0000-0000-0000AD890000}"/>
    <cellStyle name="Normal 50 3" xfId="35493" xr:uid="{00000000-0005-0000-0000-0000AE890000}"/>
    <cellStyle name="Normal 50 3 2" xfId="35494" xr:uid="{00000000-0005-0000-0000-0000AF890000}"/>
    <cellStyle name="Normal 50 3 2 2" xfId="35495" xr:uid="{00000000-0005-0000-0000-0000B0890000}"/>
    <cellStyle name="Normal 50 3 3" xfId="35496" xr:uid="{00000000-0005-0000-0000-0000B1890000}"/>
    <cellStyle name="Normal 50 3 3 2" xfId="35497" xr:uid="{00000000-0005-0000-0000-0000B2890000}"/>
    <cellStyle name="Normal 50 3 3 2 2" xfId="35498" xr:uid="{00000000-0005-0000-0000-0000B3890000}"/>
    <cellStyle name="Normal 50 3 3 3" xfId="35499" xr:uid="{00000000-0005-0000-0000-0000B4890000}"/>
    <cellStyle name="Normal 50 3 4" xfId="35500" xr:uid="{00000000-0005-0000-0000-0000B5890000}"/>
    <cellStyle name="Normal 50 3 4 2" xfId="35501" xr:uid="{00000000-0005-0000-0000-0000B6890000}"/>
    <cellStyle name="Normal 50 3 4 2 2" xfId="35502" xr:uid="{00000000-0005-0000-0000-0000B7890000}"/>
    <cellStyle name="Normal 50 3 4 3" xfId="35503" xr:uid="{00000000-0005-0000-0000-0000B8890000}"/>
    <cellStyle name="Normal 50 3 5" xfId="35504" xr:uid="{00000000-0005-0000-0000-0000B9890000}"/>
    <cellStyle name="Normal 50 4" xfId="35505" xr:uid="{00000000-0005-0000-0000-0000BA890000}"/>
    <cellStyle name="Normal 50 4 2" xfId="35506" xr:uid="{00000000-0005-0000-0000-0000BB890000}"/>
    <cellStyle name="Normal 50 4 2 2" xfId="35507" xr:uid="{00000000-0005-0000-0000-0000BC890000}"/>
    <cellStyle name="Normal 50 4 3" xfId="35508" xr:uid="{00000000-0005-0000-0000-0000BD890000}"/>
    <cellStyle name="Normal 50 5" xfId="35509" xr:uid="{00000000-0005-0000-0000-0000BE890000}"/>
    <cellStyle name="Normal 50 5 2" xfId="35510" xr:uid="{00000000-0005-0000-0000-0000BF890000}"/>
    <cellStyle name="Normal 50 5 2 2" xfId="35511" xr:uid="{00000000-0005-0000-0000-0000C0890000}"/>
    <cellStyle name="Normal 50 5 3" xfId="35512" xr:uid="{00000000-0005-0000-0000-0000C1890000}"/>
    <cellStyle name="Normal 50 6" xfId="35513" xr:uid="{00000000-0005-0000-0000-0000C2890000}"/>
    <cellStyle name="Normal 50 6 2" xfId="35514" xr:uid="{00000000-0005-0000-0000-0000C3890000}"/>
    <cellStyle name="Normal 50 6 2 2" xfId="35515" xr:uid="{00000000-0005-0000-0000-0000C4890000}"/>
    <cellStyle name="Normal 50 6 3" xfId="35516" xr:uid="{00000000-0005-0000-0000-0000C5890000}"/>
    <cellStyle name="Normal 50 7" xfId="35517" xr:uid="{00000000-0005-0000-0000-0000C6890000}"/>
    <cellStyle name="Normal 500" xfId="35518" xr:uid="{00000000-0005-0000-0000-0000C7890000}"/>
    <cellStyle name="Normal 500 2" xfId="35519" xr:uid="{00000000-0005-0000-0000-0000C8890000}"/>
    <cellStyle name="Normal 500 2 2" xfId="35520" xr:uid="{00000000-0005-0000-0000-0000C9890000}"/>
    <cellStyle name="Normal 500 2 2 2" xfId="35521" xr:uid="{00000000-0005-0000-0000-0000CA890000}"/>
    <cellStyle name="Normal 500 2 3" xfId="35522" xr:uid="{00000000-0005-0000-0000-0000CB890000}"/>
    <cellStyle name="Normal 500 2 3 2" xfId="35523" xr:uid="{00000000-0005-0000-0000-0000CC890000}"/>
    <cellStyle name="Normal 500 2 3 2 2" xfId="35524" xr:uid="{00000000-0005-0000-0000-0000CD890000}"/>
    <cellStyle name="Normal 500 2 3 3" xfId="35525" xr:uid="{00000000-0005-0000-0000-0000CE890000}"/>
    <cellStyle name="Normal 500 2 4" xfId="35526" xr:uid="{00000000-0005-0000-0000-0000CF890000}"/>
    <cellStyle name="Normal 500 3" xfId="35527" xr:uid="{00000000-0005-0000-0000-0000D0890000}"/>
    <cellStyle name="Normal 500 3 2" xfId="35528" xr:uid="{00000000-0005-0000-0000-0000D1890000}"/>
    <cellStyle name="Normal 500 3 2 2" xfId="35529" xr:uid="{00000000-0005-0000-0000-0000D2890000}"/>
    <cellStyle name="Normal 500 3 3" xfId="35530" xr:uid="{00000000-0005-0000-0000-0000D3890000}"/>
    <cellStyle name="Normal 500 4" xfId="35531" xr:uid="{00000000-0005-0000-0000-0000D4890000}"/>
    <cellStyle name="Normal 500 4 2" xfId="35532" xr:uid="{00000000-0005-0000-0000-0000D5890000}"/>
    <cellStyle name="Normal 500 4 2 2" xfId="35533" xr:uid="{00000000-0005-0000-0000-0000D6890000}"/>
    <cellStyle name="Normal 500 4 3" xfId="35534" xr:uid="{00000000-0005-0000-0000-0000D7890000}"/>
    <cellStyle name="Normal 500 5" xfId="35535" xr:uid="{00000000-0005-0000-0000-0000D8890000}"/>
    <cellStyle name="Normal 500 5 2" xfId="35536" xr:uid="{00000000-0005-0000-0000-0000D9890000}"/>
    <cellStyle name="Normal 500 5 2 2" xfId="35537" xr:uid="{00000000-0005-0000-0000-0000DA890000}"/>
    <cellStyle name="Normal 500 5 3" xfId="35538" xr:uid="{00000000-0005-0000-0000-0000DB890000}"/>
    <cellStyle name="Normal 500 6" xfId="35539" xr:uid="{00000000-0005-0000-0000-0000DC890000}"/>
    <cellStyle name="Normal 501" xfId="35540" xr:uid="{00000000-0005-0000-0000-0000DD890000}"/>
    <cellStyle name="Normal 501 2" xfId="35541" xr:uid="{00000000-0005-0000-0000-0000DE890000}"/>
    <cellStyle name="Normal 501 2 2" xfId="35542" xr:uid="{00000000-0005-0000-0000-0000DF890000}"/>
    <cellStyle name="Normal 501 2 2 2" xfId="35543" xr:uid="{00000000-0005-0000-0000-0000E0890000}"/>
    <cellStyle name="Normal 501 2 3" xfId="35544" xr:uid="{00000000-0005-0000-0000-0000E1890000}"/>
    <cellStyle name="Normal 501 2 3 2" xfId="35545" xr:uid="{00000000-0005-0000-0000-0000E2890000}"/>
    <cellStyle name="Normal 501 2 3 2 2" xfId="35546" xr:uid="{00000000-0005-0000-0000-0000E3890000}"/>
    <cellStyle name="Normal 501 2 3 3" xfId="35547" xr:uid="{00000000-0005-0000-0000-0000E4890000}"/>
    <cellStyle name="Normal 501 2 4" xfId="35548" xr:uid="{00000000-0005-0000-0000-0000E5890000}"/>
    <cellStyle name="Normal 501 3" xfId="35549" xr:uid="{00000000-0005-0000-0000-0000E6890000}"/>
    <cellStyle name="Normal 501 3 2" xfId="35550" xr:uid="{00000000-0005-0000-0000-0000E7890000}"/>
    <cellStyle name="Normal 501 3 2 2" xfId="35551" xr:uid="{00000000-0005-0000-0000-0000E8890000}"/>
    <cellStyle name="Normal 501 3 3" xfId="35552" xr:uid="{00000000-0005-0000-0000-0000E9890000}"/>
    <cellStyle name="Normal 501 4" xfId="35553" xr:uid="{00000000-0005-0000-0000-0000EA890000}"/>
    <cellStyle name="Normal 501 4 2" xfId="35554" xr:uid="{00000000-0005-0000-0000-0000EB890000}"/>
    <cellStyle name="Normal 501 4 2 2" xfId="35555" xr:uid="{00000000-0005-0000-0000-0000EC890000}"/>
    <cellStyle name="Normal 501 4 3" xfId="35556" xr:uid="{00000000-0005-0000-0000-0000ED890000}"/>
    <cellStyle name="Normal 501 5" xfId="35557" xr:uid="{00000000-0005-0000-0000-0000EE890000}"/>
    <cellStyle name="Normal 501 5 2" xfId="35558" xr:uid="{00000000-0005-0000-0000-0000EF890000}"/>
    <cellStyle name="Normal 501 5 2 2" xfId="35559" xr:uid="{00000000-0005-0000-0000-0000F0890000}"/>
    <cellStyle name="Normal 501 5 3" xfId="35560" xr:uid="{00000000-0005-0000-0000-0000F1890000}"/>
    <cellStyle name="Normal 501 6" xfId="35561" xr:uid="{00000000-0005-0000-0000-0000F2890000}"/>
    <cellStyle name="Normal 502" xfId="35562" xr:uid="{00000000-0005-0000-0000-0000F3890000}"/>
    <cellStyle name="Normal 502 2" xfId="35563" xr:uid="{00000000-0005-0000-0000-0000F4890000}"/>
    <cellStyle name="Normal 502 2 2" xfId="35564" xr:uid="{00000000-0005-0000-0000-0000F5890000}"/>
    <cellStyle name="Normal 502 2 2 2" xfId="35565" xr:uid="{00000000-0005-0000-0000-0000F6890000}"/>
    <cellStyle name="Normal 502 2 3" xfId="35566" xr:uid="{00000000-0005-0000-0000-0000F7890000}"/>
    <cellStyle name="Normal 502 2 3 2" xfId="35567" xr:uid="{00000000-0005-0000-0000-0000F8890000}"/>
    <cellStyle name="Normal 502 2 3 2 2" xfId="35568" xr:uid="{00000000-0005-0000-0000-0000F9890000}"/>
    <cellStyle name="Normal 502 2 3 3" xfId="35569" xr:uid="{00000000-0005-0000-0000-0000FA890000}"/>
    <cellStyle name="Normal 502 2 4" xfId="35570" xr:uid="{00000000-0005-0000-0000-0000FB890000}"/>
    <cellStyle name="Normal 502 3" xfId="35571" xr:uid="{00000000-0005-0000-0000-0000FC890000}"/>
    <cellStyle name="Normal 502 3 2" xfId="35572" xr:uid="{00000000-0005-0000-0000-0000FD890000}"/>
    <cellStyle name="Normal 502 3 2 2" xfId="35573" xr:uid="{00000000-0005-0000-0000-0000FE890000}"/>
    <cellStyle name="Normal 502 3 3" xfId="35574" xr:uid="{00000000-0005-0000-0000-0000FF890000}"/>
    <cellStyle name="Normal 502 4" xfId="35575" xr:uid="{00000000-0005-0000-0000-0000008A0000}"/>
    <cellStyle name="Normal 502 4 2" xfId="35576" xr:uid="{00000000-0005-0000-0000-0000018A0000}"/>
    <cellStyle name="Normal 502 4 2 2" xfId="35577" xr:uid="{00000000-0005-0000-0000-0000028A0000}"/>
    <cellStyle name="Normal 502 4 3" xfId="35578" xr:uid="{00000000-0005-0000-0000-0000038A0000}"/>
    <cellStyle name="Normal 502 5" xfId="35579" xr:uid="{00000000-0005-0000-0000-0000048A0000}"/>
    <cellStyle name="Normal 502 5 2" xfId="35580" xr:uid="{00000000-0005-0000-0000-0000058A0000}"/>
    <cellStyle name="Normal 502 5 2 2" xfId="35581" xr:uid="{00000000-0005-0000-0000-0000068A0000}"/>
    <cellStyle name="Normal 502 5 3" xfId="35582" xr:uid="{00000000-0005-0000-0000-0000078A0000}"/>
    <cellStyle name="Normal 502 6" xfId="35583" xr:uid="{00000000-0005-0000-0000-0000088A0000}"/>
    <cellStyle name="Normal 503" xfId="35584" xr:uid="{00000000-0005-0000-0000-0000098A0000}"/>
    <cellStyle name="Normal 503 2" xfId="35585" xr:uid="{00000000-0005-0000-0000-00000A8A0000}"/>
    <cellStyle name="Normal 503 2 2" xfId="35586" xr:uid="{00000000-0005-0000-0000-00000B8A0000}"/>
    <cellStyle name="Normal 503 2 2 2" xfId="35587" xr:uid="{00000000-0005-0000-0000-00000C8A0000}"/>
    <cellStyle name="Normal 503 2 3" xfId="35588" xr:uid="{00000000-0005-0000-0000-00000D8A0000}"/>
    <cellStyle name="Normal 503 2 3 2" xfId="35589" xr:uid="{00000000-0005-0000-0000-00000E8A0000}"/>
    <cellStyle name="Normal 503 2 3 2 2" xfId="35590" xr:uid="{00000000-0005-0000-0000-00000F8A0000}"/>
    <cellStyle name="Normal 503 2 3 3" xfId="35591" xr:uid="{00000000-0005-0000-0000-0000108A0000}"/>
    <cellStyle name="Normal 503 2 4" xfId="35592" xr:uid="{00000000-0005-0000-0000-0000118A0000}"/>
    <cellStyle name="Normal 503 3" xfId="35593" xr:uid="{00000000-0005-0000-0000-0000128A0000}"/>
    <cellStyle name="Normal 503 3 2" xfId="35594" xr:uid="{00000000-0005-0000-0000-0000138A0000}"/>
    <cellStyle name="Normal 503 3 2 2" xfId="35595" xr:uid="{00000000-0005-0000-0000-0000148A0000}"/>
    <cellStyle name="Normal 503 3 3" xfId="35596" xr:uid="{00000000-0005-0000-0000-0000158A0000}"/>
    <cellStyle name="Normal 503 4" xfId="35597" xr:uid="{00000000-0005-0000-0000-0000168A0000}"/>
    <cellStyle name="Normal 503 4 2" xfId="35598" xr:uid="{00000000-0005-0000-0000-0000178A0000}"/>
    <cellStyle name="Normal 503 4 2 2" xfId="35599" xr:uid="{00000000-0005-0000-0000-0000188A0000}"/>
    <cellStyle name="Normal 503 4 3" xfId="35600" xr:uid="{00000000-0005-0000-0000-0000198A0000}"/>
    <cellStyle name="Normal 503 5" xfId="35601" xr:uid="{00000000-0005-0000-0000-00001A8A0000}"/>
    <cellStyle name="Normal 503 5 2" xfId="35602" xr:uid="{00000000-0005-0000-0000-00001B8A0000}"/>
    <cellStyle name="Normal 503 5 2 2" xfId="35603" xr:uid="{00000000-0005-0000-0000-00001C8A0000}"/>
    <cellStyle name="Normal 503 5 3" xfId="35604" xr:uid="{00000000-0005-0000-0000-00001D8A0000}"/>
    <cellStyle name="Normal 503 6" xfId="35605" xr:uid="{00000000-0005-0000-0000-00001E8A0000}"/>
    <cellStyle name="Normal 504" xfId="35606" xr:uid="{00000000-0005-0000-0000-00001F8A0000}"/>
    <cellStyle name="Normal 504 2" xfId="35607" xr:uid="{00000000-0005-0000-0000-0000208A0000}"/>
    <cellStyle name="Normal 504 2 2" xfId="35608" xr:uid="{00000000-0005-0000-0000-0000218A0000}"/>
    <cellStyle name="Normal 504 2 2 2" xfId="35609" xr:uid="{00000000-0005-0000-0000-0000228A0000}"/>
    <cellStyle name="Normal 504 2 3" xfId="35610" xr:uid="{00000000-0005-0000-0000-0000238A0000}"/>
    <cellStyle name="Normal 504 2 3 2" xfId="35611" xr:uid="{00000000-0005-0000-0000-0000248A0000}"/>
    <cellStyle name="Normal 504 2 3 2 2" xfId="35612" xr:uid="{00000000-0005-0000-0000-0000258A0000}"/>
    <cellStyle name="Normal 504 2 3 3" xfId="35613" xr:uid="{00000000-0005-0000-0000-0000268A0000}"/>
    <cellStyle name="Normal 504 2 4" xfId="35614" xr:uid="{00000000-0005-0000-0000-0000278A0000}"/>
    <cellStyle name="Normal 504 3" xfId="35615" xr:uid="{00000000-0005-0000-0000-0000288A0000}"/>
    <cellStyle name="Normal 504 3 2" xfId="35616" xr:uid="{00000000-0005-0000-0000-0000298A0000}"/>
    <cellStyle name="Normal 504 3 2 2" xfId="35617" xr:uid="{00000000-0005-0000-0000-00002A8A0000}"/>
    <cellStyle name="Normal 504 3 3" xfId="35618" xr:uid="{00000000-0005-0000-0000-00002B8A0000}"/>
    <cellStyle name="Normal 504 4" xfId="35619" xr:uid="{00000000-0005-0000-0000-00002C8A0000}"/>
    <cellStyle name="Normal 504 4 2" xfId="35620" xr:uid="{00000000-0005-0000-0000-00002D8A0000}"/>
    <cellStyle name="Normal 504 4 2 2" xfId="35621" xr:uid="{00000000-0005-0000-0000-00002E8A0000}"/>
    <cellStyle name="Normal 504 4 3" xfId="35622" xr:uid="{00000000-0005-0000-0000-00002F8A0000}"/>
    <cellStyle name="Normal 504 5" xfId="35623" xr:uid="{00000000-0005-0000-0000-0000308A0000}"/>
    <cellStyle name="Normal 504 5 2" xfId="35624" xr:uid="{00000000-0005-0000-0000-0000318A0000}"/>
    <cellStyle name="Normal 504 5 2 2" xfId="35625" xr:uid="{00000000-0005-0000-0000-0000328A0000}"/>
    <cellStyle name="Normal 504 5 3" xfId="35626" xr:uid="{00000000-0005-0000-0000-0000338A0000}"/>
    <cellStyle name="Normal 504 6" xfId="35627" xr:uid="{00000000-0005-0000-0000-0000348A0000}"/>
    <cellStyle name="Normal 505" xfId="35628" xr:uid="{00000000-0005-0000-0000-0000358A0000}"/>
    <cellStyle name="Normal 505 2" xfId="35629" xr:uid="{00000000-0005-0000-0000-0000368A0000}"/>
    <cellStyle name="Normal 505 2 2" xfId="35630" xr:uid="{00000000-0005-0000-0000-0000378A0000}"/>
    <cellStyle name="Normal 505 2 2 2" xfId="35631" xr:uid="{00000000-0005-0000-0000-0000388A0000}"/>
    <cellStyle name="Normal 505 2 3" xfId="35632" xr:uid="{00000000-0005-0000-0000-0000398A0000}"/>
    <cellStyle name="Normal 505 2 3 2" xfId="35633" xr:uid="{00000000-0005-0000-0000-00003A8A0000}"/>
    <cellStyle name="Normal 505 2 3 2 2" xfId="35634" xr:uid="{00000000-0005-0000-0000-00003B8A0000}"/>
    <cellStyle name="Normal 505 2 3 3" xfId="35635" xr:uid="{00000000-0005-0000-0000-00003C8A0000}"/>
    <cellStyle name="Normal 505 2 4" xfId="35636" xr:uid="{00000000-0005-0000-0000-00003D8A0000}"/>
    <cellStyle name="Normal 505 3" xfId="35637" xr:uid="{00000000-0005-0000-0000-00003E8A0000}"/>
    <cellStyle name="Normal 505 3 2" xfId="35638" xr:uid="{00000000-0005-0000-0000-00003F8A0000}"/>
    <cellStyle name="Normal 505 3 2 2" xfId="35639" xr:uid="{00000000-0005-0000-0000-0000408A0000}"/>
    <cellStyle name="Normal 505 3 3" xfId="35640" xr:uid="{00000000-0005-0000-0000-0000418A0000}"/>
    <cellStyle name="Normal 505 4" xfId="35641" xr:uid="{00000000-0005-0000-0000-0000428A0000}"/>
    <cellStyle name="Normal 505 4 2" xfId="35642" xr:uid="{00000000-0005-0000-0000-0000438A0000}"/>
    <cellStyle name="Normal 505 4 2 2" xfId="35643" xr:uid="{00000000-0005-0000-0000-0000448A0000}"/>
    <cellStyle name="Normal 505 4 3" xfId="35644" xr:uid="{00000000-0005-0000-0000-0000458A0000}"/>
    <cellStyle name="Normal 505 5" xfId="35645" xr:uid="{00000000-0005-0000-0000-0000468A0000}"/>
    <cellStyle name="Normal 505 5 2" xfId="35646" xr:uid="{00000000-0005-0000-0000-0000478A0000}"/>
    <cellStyle name="Normal 505 5 2 2" xfId="35647" xr:uid="{00000000-0005-0000-0000-0000488A0000}"/>
    <cellStyle name="Normal 505 5 3" xfId="35648" xr:uid="{00000000-0005-0000-0000-0000498A0000}"/>
    <cellStyle name="Normal 505 6" xfId="35649" xr:uid="{00000000-0005-0000-0000-00004A8A0000}"/>
    <cellStyle name="Normal 506" xfId="35650" xr:uid="{00000000-0005-0000-0000-00004B8A0000}"/>
    <cellStyle name="Normal 506 2" xfId="35651" xr:uid="{00000000-0005-0000-0000-00004C8A0000}"/>
    <cellStyle name="Normal 506 2 2" xfId="35652" xr:uid="{00000000-0005-0000-0000-00004D8A0000}"/>
    <cellStyle name="Normal 506 2 2 2" xfId="35653" xr:uid="{00000000-0005-0000-0000-00004E8A0000}"/>
    <cellStyle name="Normal 506 2 3" xfId="35654" xr:uid="{00000000-0005-0000-0000-00004F8A0000}"/>
    <cellStyle name="Normal 506 2 3 2" xfId="35655" xr:uid="{00000000-0005-0000-0000-0000508A0000}"/>
    <cellStyle name="Normal 506 2 3 2 2" xfId="35656" xr:uid="{00000000-0005-0000-0000-0000518A0000}"/>
    <cellStyle name="Normal 506 2 3 3" xfId="35657" xr:uid="{00000000-0005-0000-0000-0000528A0000}"/>
    <cellStyle name="Normal 506 2 4" xfId="35658" xr:uid="{00000000-0005-0000-0000-0000538A0000}"/>
    <cellStyle name="Normal 506 3" xfId="35659" xr:uid="{00000000-0005-0000-0000-0000548A0000}"/>
    <cellStyle name="Normal 506 3 2" xfId="35660" xr:uid="{00000000-0005-0000-0000-0000558A0000}"/>
    <cellStyle name="Normal 506 3 2 2" xfId="35661" xr:uid="{00000000-0005-0000-0000-0000568A0000}"/>
    <cellStyle name="Normal 506 3 3" xfId="35662" xr:uid="{00000000-0005-0000-0000-0000578A0000}"/>
    <cellStyle name="Normal 506 4" xfId="35663" xr:uid="{00000000-0005-0000-0000-0000588A0000}"/>
    <cellStyle name="Normal 506 4 2" xfId="35664" xr:uid="{00000000-0005-0000-0000-0000598A0000}"/>
    <cellStyle name="Normal 506 4 2 2" xfId="35665" xr:uid="{00000000-0005-0000-0000-00005A8A0000}"/>
    <cellStyle name="Normal 506 4 3" xfId="35666" xr:uid="{00000000-0005-0000-0000-00005B8A0000}"/>
    <cellStyle name="Normal 506 5" xfId="35667" xr:uid="{00000000-0005-0000-0000-00005C8A0000}"/>
    <cellStyle name="Normal 506 5 2" xfId="35668" xr:uid="{00000000-0005-0000-0000-00005D8A0000}"/>
    <cellStyle name="Normal 506 5 2 2" xfId="35669" xr:uid="{00000000-0005-0000-0000-00005E8A0000}"/>
    <cellStyle name="Normal 506 5 3" xfId="35670" xr:uid="{00000000-0005-0000-0000-00005F8A0000}"/>
    <cellStyle name="Normal 506 6" xfId="35671" xr:uid="{00000000-0005-0000-0000-0000608A0000}"/>
    <cellStyle name="Normal 507" xfId="35672" xr:uid="{00000000-0005-0000-0000-0000618A0000}"/>
    <cellStyle name="Normal 507 2" xfId="35673" xr:uid="{00000000-0005-0000-0000-0000628A0000}"/>
    <cellStyle name="Normal 507 2 2" xfId="35674" xr:uid="{00000000-0005-0000-0000-0000638A0000}"/>
    <cellStyle name="Normal 507 2 2 2" xfId="35675" xr:uid="{00000000-0005-0000-0000-0000648A0000}"/>
    <cellStyle name="Normal 507 2 3" xfId="35676" xr:uid="{00000000-0005-0000-0000-0000658A0000}"/>
    <cellStyle name="Normal 507 2 3 2" xfId="35677" xr:uid="{00000000-0005-0000-0000-0000668A0000}"/>
    <cellStyle name="Normal 507 2 3 2 2" xfId="35678" xr:uid="{00000000-0005-0000-0000-0000678A0000}"/>
    <cellStyle name="Normal 507 2 3 3" xfId="35679" xr:uid="{00000000-0005-0000-0000-0000688A0000}"/>
    <cellStyle name="Normal 507 2 4" xfId="35680" xr:uid="{00000000-0005-0000-0000-0000698A0000}"/>
    <cellStyle name="Normal 507 3" xfId="35681" xr:uid="{00000000-0005-0000-0000-00006A8A0000}"/>
    <cellStyle name="Normal 507 3 2" xfId="35682" xr:uid="{00000000-0005-0000-0000-00006B8A0000}"/>
    <cellStyle name="Normal 507 3 2 2" xfId="35683" xr:uid="{00000000-0005-0000-0000-00006C8A0000}"/>
    <cellStyle name="Normal 507 3 3" xfId="35684" xr:uid="{00000000-0005-0000-0000-00006D8A0000}"/>
    <cellStyle name="Normal 507 4" xfId="35685" xr:uid="{00000000-0005-0000-0000-00006E8A0000}"/>
    <cellStyle name="Normal 507 4 2" xfId="35686" xr:uid="{00000000-0005-0000-0000-00006F8A0000}"/>
    <cellStyle name="Normal 507 4 2 2" xfId="35687" xr:uid="{00000000-0005-0000-0000-0000708A0000}"/>
    <cellStyle name="Normal 507 4 3" xfId="35688" xr:uid="{00000000-0005-0000-0000-0000718A0000}"/>
    <cellStyle name="Normal 507 5" xfId="35689" xr:uid="{00000000-0005-0000-0000-0000728A0000}"/>
    <cellStyle name="Normal 507 5 2" xfId="35690" xr:uid="{00000000-0005-0000-0000-0000738A0000}"/>
    <cellStyle name="Normal 507 5 2 2" xfId="35691" xr:uid="{00000000-0005-0000-0000-0000748A0000}"/>
    <cellStyle name="Normal 507 5 3" xfId="35692" xr:uid="{00000000-0005-0000-0000-0000758A0000}"/>
    <cellStyle name="Normal 507 6" xfId="35693" xr:uid="{00000000-0005-0000-0000-0000768A0000}"/>
    <cellStyle name="Normal 508" xfId="35694" xr:uid="{00000000-0005-0000-0000-0000778A0000}"/>
    <cellStyle name="Normal 508 2" xfId="35695" xr:uid="{00000000-0005-0000-0000-0000788A0000}"/>
    <cellStyle name="Normal 508 2 2" xfId="35696" xr:uid="{00000000-0005-0000-0000-0000798A0000}"/>
    <cellStyle name="Normal 508 2 2 2" xfId="35697" xr:uid="{00000000-0005-0000-0000-00007A8A0000}"/>
    <cellStyle name="Normal 508 2 3" xfId="35698" xr:uid="{00000000-0005-0000-0000-00007B8A0000}"/>
    <cellStyle name="Normal 508 2 3 2" xfId="35699" xr:uid="{00000000-0005-0000-0000-00007C8A0000}"/>
    <cellStyle name="Normal 508 2 3 2 2" xfId="35700" xr:uid="{00000000-0005-0000-0000-00007D8A0000}"/>
    <cellStyle name="Normal 508 2 3 3" xfId="35701" xr:uid="{00000000-0005-0000-0000-00007E8A0000}"/>
    <cellStyle name="Normal 508 2 4" xfId="35702" xr:uid="{00000000-0005-0000-0000-00007F8A0000}"/>
    <cellStyle name="Normal 508 3" xfId="35703" xr:uid="{00000000-0005-0000-0000-0000808A0000}"/>
    <cellStyle name="Normal 508 3 2" xfId="35704" xr:uid="{00000000-0005-0000-0000-0000818A0000}"/>
    <cellStyle name="Normal 508 3 2 2" xfId="35705" xr:uid="{00000000-0005-0000-0000-0000828A0000}"/>
    <cellStyle name="Normal 508 3 3" xfId="35706" xr:uid="{00000000-0005-0000-0000-0000838A0000}"/>
    <cellStyle name="Normal 508 4" xfId="35707" xr:uid="{00000000-0005-0000-0000-0000848A0000}"/>
    <cellStyle name="Normal 508 4 2" xfId="35708" xr:uid="{00000000-0005-0000-0000-0000858A0000}"/>
    <cellStyle name="Normal 508 4 2 2" xfId="35709" xr:uid="{00000000-0005-0000-0000-0000868A0000}"/>
    <cellStyle name="Normal 508 4 3" xfId="35710" xr:uid="{00000000-0005-0000-0000-0000878A0000}"/>
    <cellStyle name="Normal 508 5" xfId="35711" xr:uid="{00000000-0005-0000-0000-0000888A0000}"/>
    <cellStyle name="Normal 508 5 2" xfId="35712" xr:uid="{00000000-0005-0000-0000-0000898A0000}"/>
    <cellStyle name="Normal 508 5 2 2" xfId="35713" xr:uid="{00000000-0005-0000-0000-00008A8A0000}"/>
    <cellStyle name="Normal 508 5 3" xfId="35714" xr:uid="{00000000-0005-0000-0000-00008B8A0000}"/>
    <cellStyle name="Normal 508 6" xfId="35715" xr:uid="{00000000-0005-0000-0000-00008C8A0000}"/>
    <cellStyle name="Normal 509" xfId="35716" xr:uid="{00000000-0005-0000-0000-00008D8A0000}"/>
    <cellStyle name="Normal 509 2" xfId="35717" xr:uid="{00000000-0005-0000-0000-00008E8A0000}"/>
    <cellStyle name="Normal 509 2 2" xfId="35718" xr:uid="{00000000-0005-0000-0000-00008F8A0000}"/>
    <cellStyle name="Normal 509 2 2 2" xfId="35719" xr:uid="{00000000-0005-0000-0000-0000908A0000}"/>
    <cellStyle name="Normal 509 2 3" xfId="35720" xr:uid="{00000000-0005-0000-0000-0000918A0000}"/>
    <cellStyle name="Normal 509 2 3 2" xfId="35721" xr:uid="{00000000-0005-0000-0000-0000928A0000}"/>
    <cellStyle name="Normal 509 2 3 2 2" xfId="35722" xr:uid="{00000000-0005-0000-0000-0000938A0000}"/>
    <cellStyle name="Normal 509 2 3 3" xfId="35723" xr:uid="{00000000-0005-0000-0000-0000948A0000}"/>
    <cellStyle name="Normal 509 2 4" xfId="35724" xr:uid="{00000000-0005-0000-0000-0000958A0000}"/>
    <cellStyle name="Normal 509 3" xfId="35725" xr:uid="{00000000-0005-0000-0000-0000968A0000}"/>
    <cellStyle name="Normal 509 3 2" xfId="35726" xr:uid="{00000000-0005-0000-0000-0000978A0000}"/>
    <cellStyle name="Normal 509 3 2 2" xfId="35727" xr:uid="{00000000-0005-0000-0000-0000988A0000}"/>
    <cellStyle name="Normal 509 3 3" xfId="35728" xr:uid="{00000000-0005-0000-0000-0000998A0000}"/>
    <cellStyle name="Normal 509 4" xfId="35729" xr:uid="{00000000-0005-0000-0000-00009A8A0000}"/>
    <cellStyle name="Normal 509 4 2" xfId="35730" xr:uid="{00000000-0005-0000-0000-00009B8A0000}"/>
    <cellStyle name="Normal 509 4 2 2" xfId="35731" xr:uid="{00000000-0005-0000-0000-00009C8A0000}"/>
    <cellStyle name="Normal 509 4 3" xfId="35732" xr:uid="{00000000-0005-0000-0000-00009D8A0000}"/>
    <cellStyle name="Normal 509 5" xfId="35733" xr:uid="{00000000-0005-0000-0000-00009E8A0000}"/>
    <cellStyle name="Normal 509 5 2" xfId="35734" xr:uid="{00000000-0005-0000-0000-00009F8A0000}"/>
    <cellStyle name="Normal 509 5 2 2" xfId="35735" xr:uid="{00000000-0005-0000-0000-0000A08A0000}"/>
    <cellStyle name="Normal 509 5 3" xfId="35736" xr:uid="{00000000-0005-0000-0000-0000A18A0000}"/>
    <cellStyle name="Normal 509 6" xfId="35737" xr:uid="{00000000-0005-0000-0000-0000A28A0000}"/>
    <cellStyle name="Normal 51" xfId="35738" xr:uid="{00000000-0005-0000-0000-0000A38A0000}"/>
    <cellStyle name="Normal 51 2" xfId="35739" xr:uid="{00000000-0005-0000-0000-0000A48A0000}"/>
    <cellStyle name="Normal 51 2 2" xfId="35740" xr:uid="{00000000-0005-0000-0000-0000A58A0000}"/>
    <cellStyle name="Normal 51 2 2 2" xfId="35741" xr:uid="{00000000-0005-0000-0000-0000A68A0000}"/>
    <cellStyle name="Normal 51 2 2 2 2" xfId="35742" xr:uid="{00000000-0005-0000-0000-0000A78A0000}"/>
    <cellStyle name="Normal 51 2 2 3" xfId="35743" xr:uid="{00000000-0005-0000-0000-0000A88A0000}"/>
    <cellStyle name="Normal 51 2 2 3 2" xfId="35744" xr:uid="{00000000-0005-0000-0000-0000A98A0000}"/>
    <cellStyle name="Normal 51 2 2 3 2 2" xfId="35745" xr:uid="{00000000-0005-0000-0000-0000AA8A0000}"/>
    <cellStyle name="Normal 51 2 2 3 3" xfId="35746" xr:uid="{00000000-0005-0000-0000-0000AB8A0000}"/>
    <cellStyle name="Normal 51 2 2 4" xfId="35747" xr:uid="{00000000-0005-0000-0000-0000AC8A0000}"/>
    <cellStyle name="Normal 51 2 2 4 2" xfId="35748" xr:uid="{00000000-0005-0000-0000-0000AD8A0000}"/>
    <cellStyle name="Normal 51 2 2 4 2 2" xfId="35749" xr:uid="{00000000-0005-0000-0000-0000AE8A0000}"/>
    <cellStyle name="Normal 51 2 2 4 3" xfId="35750" xr:uid="{00000000-0005-0000-0000-0000AF8A0000}"/>
    <cellStyle name="Normal 51 2 2 5" xfId="35751" xr:uid="{00000000-0005-0000-0000-0000B08A0000}"/>
    <cellStyle name="Normal 51 2 3" xfId="35752" xr:uid="{00000000-0005-0000-0000-0000B18A0000}"/>
    <cellStyle name="Normal 51 2 3 2" xfId="35753" xr:uid="{00000000-0005-0000-0000-0000B28A0000}"/>
    <cellStyle name="Normal 51 2 3 2 2" xfId="35754" xr:uid="{00000000-0005-0000-0000-0000B38A0000}"/>
    <cellStyle name="Normal 51 2 3 3" xfId="35755" xr:uid="{00000000-0005-0000-0000-0000B48A0000}"/>
    <cellStyle name="Normal 51 2 4" xfId="35756" xr:uid="{00000000-0005-0000-0000-0000B58A0000}"/>
    <cellStyle name="Normal 51 2 4 2" xfId="35757" xr:uid="{00000000-0005-0000-0000-0000B68A0000}"/>
    <cellStyle name="Normal 51 2 4 2 2" xfId="35758" xr:uid="{00000000-0005-0000-0000-0000B78A0000}"/>
    <cellStyle name="Normal 51 2 4 3" xfId="35759" xr:uid="{00000000-0005-0000-0000-0000B88A0000}"/>
    <cellStyle name="Normal 51 2 5" xfId="35760" xr:uid="{00000000-0005-0000-0000-0000B98A0000}"/>
    <cellStyle name="Normal 51 2 5 2" xfId="35761" xr:uid="{00000000-0005-0000-0000-0000BA8A0000}"/>
    <cellStyle name="Normal 51 2 5 2 2" xfId="35762" xr:uid="{00000000-0005-0000-0000-0000BB8A0000}"/>
    <cellStyle name="Normal 51 2 5 3" xfId="35763" xr:uid="{00000000-0005-0000-0000-0000BC8A0000}"/>
    <cellStyle name="Normal 51 2 6" xfId="35764" xr:uid="{00000000-0005-0000-0000-0000BD8A0000}"/>
    <cellStyle name="Normal 51 3" xfId="35765" xr:uid="{00000000-0005-0000-0000-0000BE8A0000}"/>
    <cellStyle name="Normal 51 3 2" xfId="35766" xr:uid="{00000000-0005-0000-0000-0000BF8A0000}"/>
    <cellStyle name="Normal 51 3 2 2" xfId="35767" xr:uid="{00000000-0005-0000-0000-0000C08A0000}"/>
    <cellStyle name="Normal 51 3 3" xfId="35768" xr:uid="{00000000-0005-0000-0000-0000C18A0000}"/>
    <cellStyle name="Normal 51 3 3 2" xfId="35769" xr:uid="{00000000-0005-0000-0000-0000C28A0000}"/>
    <cellStyle name="Normal 51 3 3 2 2" xfId="35770" xr:uid="{00000000-0005-0000-0000-0000C38A0000}"/>
    <cellStyle name="Normal 51 3 3 3" xfId="35771" xr:uid="{00000000-0005-0000-0000-0000C48A0000}"/>
    <cellStyle name="Normal 51 3 4" xfId="35772" xr:uid="{00000000-0005-0000-0000-0000C58A0000}"/>
    <cellStyle name="Normal 51 3 4 2" xfId="35773" xr:uid="{00000000-0005-0000-0000-0000C68A0000}"/>
    <cellStyle name="Normal 51 3 4 2 2" xfId="35774" xr:uid="{00000000-0005-0000-0000-0000C78A0000}"/>
    <cellStyle name="Normal 51 3 4 3" xfId="35775" xr:uid="{00000000-0005-0000-0000-0000C88A0000}"/>
    <cellStyle name="Normal 51 3 5" xfId="35776" xr:uid="{00000000-0005-0000-0000-0000C98A0000}"/>
    <cellStyle name="Normal 51 4" xfId="35777" xr:uid="{00000000-0005-0000-0000-0000CA8A0000}"/>
    <cellStyle name="Normal 51 4 2" xfId="35778" xr:uid="{00000000-0005-0000-0000-0000CB8A0000}"/>
    <cellStyle name="Normal 51 4 2 2" xfId="35779" xr:uid="{00000000-0005-0000-0000-0000CC8A0000}"/>
    <cellStyle name="Normal 51 4 3" xfId="35780" xr:uid="{00000000-0005-0000-0000-0000CD8A0000}"/>
    <cellStyle name="Normal 51 5" xfId="35781" xr:uid="{00000000-0005-0000-0000-0000CE8A0000}"/>
    <cellStyle name="Normal 51 5 2" xfId="35782" xr:uid="{00000000-0005-0000-0000-0000CF8A0000}"/>
    <cellStyle name="Normal 51 5 2 2" xfId="35783" xr:uid="{00000000-0005-0000-0000-0000D08A0000}"/>
    <cellStyle name="Normal 51 5 3" xfId="35784" xr:uid="{00000000-0005-0000-0000-0000D18A0000}"/>
    <cellStyle name="Normal 51 6" xfId="35785" xr:uid="{00000000-0005-0000-0000-0000D28A0000}"/>
    <cellStyle name="Normal 51 6 2" xfId="35786" xr:uid="{00000000-0005-0000-0000-0000D38A0000}"/>
    <cellStyle name="Normal 51 6 2 2" xfId="35787" xr:uid="{00000000-0005-0000-0000-0000D48A0000}"/>
    <cellStyle name="Normal 51 6 3" xfId="35788" xr:uid="{00000000-0005-0000-0000-0000D58A0000}"/>
    <cellStyle name="Normal 51 7" xfId="35789" xr:uid="{00000000-0005-0000-0000-0000D68A0000}"/>
    <cellStyle name="Normal 510" xfId="35790" xr:uid="{00000000-0005-0000-0000-0000D78A0000}"/>
    <cellStyle name="Normal 510 2" xfId="35791" xr:uid="{00000000-0005-0000-0000-0000D88A0000}"/>
    <cellStyle name="Normal 510 2 2" xfId="35792" xr:uid="{00000000-0005-0000-0000-0000D98A0000}"/>
    <cellStyle name="Normal 510 2 2 2" xfId="35793" xr:uid="{00000000-0005-0000-0000-0000DA8A0000}"/>
    <cellStyle name="Normal 510 2 3" xfId="35794" xr:uid="{00000000-0005-0000-0000-0000DB8A0000}"/>
    <cellStyle name="Normal 510 2 3 2" xfId="35795" xr:uid="{00000000-0005-0000-0000-0000DC8A0000}"/>
    <cellStyle name="Normal 510 2 3 2 2" xfId="35796" xr:uid="{00000000-0005-0000-0000-0000DD8A0000}"/>
    <cellStyle name="Normal 510 2 3 3" xfId="35797" xr:uid="{00000000-0005-0000-0000-0000DE8A0000}"/>
    <cellStyle name="Normal 510 2 4" xfId="35798" xr:uid="{00000000-0005-0000-0000-0000DF8A0000}"/>
    <cellStyle name="Normal 510 3" xfId="35799" xr:uid="{00000000-0005-0000-0000-0000E08A0000}"/>
    <cellStyle name="Normal 510 3 2" xfId="35800" xr:uid="{00000000-0005-0000-0000-0000E18A0000}"/>
    <cellStyle name="Normal 510 3 2 2" xfId="35801" xr:uid="{00000000-0005-0000-0000-0000E28A0000}"/>
    <cellStyle name="Normal 510 3 3" xfId="35802" xr:uid="{00000000-0005-0000-0000-0000E38A0000}"/>
    <cellStyle name="Normal 510 4" xfId="35803" xr:uid="{00000000-0005-0000-0000-0000E48A0000}"/>
    <cellStyle name="Normal 510 4 2" xfId="35804" xr:uid="{00000000-0005-0000-0000-0000E58A0000}"/>
    <cellStyle name="Normal 510 4 2 2" xfId="35805" xr:uid="{00000000-0005-0000-0000-0000E68A0000}"/>
    <cellStyle name="Normal 510 4 3" xfId="35806" xr:uid="{00000000-0005-0000-0000-0000E78A0000}"/>
    <cellStyle name="Normal 510 5" xfId="35807" xr:uid="{00000000-0005-0000-0000-0000E88A0000}"/>
    <cellStyle name="Normal 510 5 2" xfId="35808" xr:uid="{00000000-0005-0000-0000-0000E98A0000}"/>
    <cellStyle name="Normal 510 5 2 2" xfId="35809" xr:uid="{00000000-0005-0000-0000-0000EA8A0000}"/>
    <cellStyle name="Normal 510 5 3" xfId="35810" xr:uid="{00000000-0005-0000-0000-0000EB8A0000}"/>
    <cellStyle name="Normal 510 6" xfId="35811" xr:uid="{00000000-0005-0000-0000-0000EC8A0000}"/>
    <cellStyle name="Normal 511" xfId="35812" xr:uid="{00000000-0005-0000-0000-0000ED8A0000}"/>
    <cellStyle name="Normal 511 2" xfId="35813" xr:uid="{00000000-0005-0000-0000-0000EE8A0000}"/>
    <cellStyle name="Normal 511 2 2" xfId="35814" xr:uid="{00000000-0005-0000-0000-0000EF8A0000}"/>
    <cellStyle name="Normal 511 2 2 2" xfId="35815" xr:uid="{00000000-0005-0000-0000-0000F08A0000}"/>
    <cellStyle name="Normal 511 2 3" xfId="35816" xr:uid="{00000000-0005-0000-0000-0000F18A0000}"/>
    <cellStyle name="Normal 511 2 3 2" xfId="35817" xr:uid="{00000000-0005-0000-0000-0000F28A0000}"/>
    <cellStyle name="Normal 511 2 3 2 2" xfId="35818" xr:uid="{00000000-0005-0000-0000-0000F38A0000}"/>
    <cellStyle name="Normal 511 2 3 3" xfId="35819" xr:uid="{00000000-0005-0000-0000-0000F48A0000}"/>
    <cellStyle name="Normal 511 2 4" xfId="35820" xr:uid="{00000000-0005-0000-0000-0000F58A0000}"/>
    <cellStyle name="Normal 511 3" xfId="35821" xr:uid="{00000000-0005-0000-0000-0000F68A0000}"/>
    <cellStyle name="Normal 511 3 2" xfId="35822" xr:uid="{00000000-0005-0000-0000-0000F78A0000}"/>
    <cellStyle name="Normal 511 3 2 2" xfId="35823" xr:uid="{00000000-0005-0000-0000-0000F88A0000}"/>
    <cellStyle name="Normal 511 3 3" xfId="35824" xr:uid="{00000000-0005-0000-0000-0000F98A0000}"/>
    <cellStyle name="Normal 511 4" xfId="35825" xr:uid="{00000000-0005-0000-0000-0000FA8A0000}"/>
    <cellStyle name="Normal 511 4 2" xfId="35826" xr:uid="{00000000-0005-0000-0000-0000FB8A0000}"/>
    <cellStyle name="Normal 511 4 2 2" xfId="35827" xr:uid="{00000000-0005-0000-0000-0000FC8A0000}"/>
    <cellStyle name="Normal 511 4 3" xfId="35828" xr:uid="{00000000-0005-0000-0000-0000FD8A0000}"/>
    <cellStyle name="Normal 511 5" xfId="35829" xr:uid="{00000000-0005-0000-0000-0000FE8A0000}"/>
    <cellStyle name="Normal 511 5 2" xfId="35830" xr:uid="{00000000-0005-0000-0000-0000FF8A0000}"/>
    <cellStyle name="Normal 511 5 2 2" xfId="35831" xr:uid="{00000000-0005-0000-0000-0000008B0000}"/>
    <cellStyle name="Normal 511 5 3" xfId="35832" xr:uid="{00000000-0005-0000-0000-0000018B0000}"/>
    <cellStyle name="Normal 511 6" xfId="35833" xr:uid="{00000000-0005-0000-0000-0000028B0000}"/>
    <cellStyle name="Normal 512" xfId="35834" xr:uid="{00000000-0005-0000-0000-0000038B0000}"/>
    <cellStyle name="Normal 512 2" xfId="35835" xr:uid="{00000000-0005-0000-0000-0000048B0000}"/>
    <cellStyle name="Normal 512 2 2" xfId="35836" xr:uid="{00000000-0005-0000-0000-0000058B0000}"/>
    <cellStyle name="Normal 512 2 2 2" xfId="35837" xr:uid="{00000000-0005-0000-0000-0000068B0000}"/>
    <cellStyle name="Normal 512 2 3" xfId="35838" xr:uid="{00000000-0005-0000-0000-0000078B0000}"/>
    <cellStyle name="Normal 512 2 3 2" xfId="35839" xr:uid="{00000000-0005-0000-0000-0000088B0000}"/>
    <cellStyle name="Normal 512 2 3 2 2" xfId="35840" xr:uid="{00000000-0005-0000-0000-0000098B0000}"/>
    <cellStyle name="Normal 512 2 3 3" xfId="35841" xr:uid="{00000000-0005-0000-0000-00000A8B0000}"/>
    <cellStyle name="Normal 512 2 4" xfId="35842" xr:uid="{00000000-0005-0000-0000-00000B8B0000}"/>
    <cellStyle name="Normal 512 3" xfId="35843" xr:uid="{00000000-0005-0000-0000-00000C8B0000}"/>
    <cellStyle name="Normal 512 3 2" xfId="35844" xr:uid="{00000000-0005-0000-0000-00000D8B0000}"/>
    <cellStyle name="Normal 512 3 2 2" xfId="35845" xr:uid="{00000000-0005-0000-0000-00000E8B0000}"/>
    <cellStyle name="Normal 512 3 3" xfId="35846" xr:uid="{00000000-0005-0000-0000-00000F8B0000}"/>
    <cellStyle name="Normal 512 4" xfId="35847" xr:uid="{00000000-0005-0000-0000-0000108B0000}"/>
    <cellStyle name="Normal 512 4 2" xfId="35848" xr:uid="{00000000-0005-0000-0000-0000118B0000}"/>
    <cellStyle name="Normal 512 4 2 2" xfId="35849" xr:uid="{00000000-0005-0000-0000-0000128B0000}"/>
    <cellStyle name="Normal 512 4 3" xfId="35850" xr:uid="{00000000-0005-0000-0000-0000138B0000}"/>
    <cellStyle name="Normal 512 5" xfId="35851" xr:uid="{00000000-0005-0000-0000-0000148B0000}"/>
    <cellStyle name="Normal 512 5 2" xfId="35852" xr:uid="{00000000-0005-0000-0000-0000158B0000}"/>
    <cellStyle name="Normal 512 5 2 2" xfId="35853" xr:uid="{00000000-0005-0000-0000-0000168B0000}"/>
    <cellStyle name="Normal 512 5 3" xfId="35854" xr:uid="{00000000-0005-0000-0000-0000178B0000}"/>
    <cellStyle name="Normal 512 6" xfId="35855" xr:uid="{00000000-0005-0000-0000-0000188B0000}"/>
    <cellStyle name="Normal 513" xfId="35856" xr:uid="{00000000-0005-0000-0000-0000198B0000}"/>
    <cellStyle name="Normal 513 2" xfId="35857" xr:uid="{00000000-0005-0000-0000-00001A8B0000}"/>
    <cellStyle name="Normal 513 2 2" xfId="35858" xr:uid="{00000000-0005-0000-0000-00001B8B0000}"/>
    <cellStyle name="Normal 513 2 2 2" xfId="35859" xr:uid="{00000000-0005-0000-0000-00001C8B0000}"/>
    <cellStyle name="Normal 513 2 3" xfId="35860" xr:uid="{00000000-0005-0000-0000-00001D8B0000}"/>
    <cellStyle name="Normal 513 2 3 2" xfId="35861" xr:uid="{00000000-0005-0000-0000-00001E8B0000}"/>
    <cellStyle name="Normal 513 2 3 2 2" xfId="35862" xr:uid="{00000000-0005-0000-0000-00001F8B0000}"/>
    <cellStyle name="Normal 513 2 3 3" xfId="35863" xr:uid="{00000000-0005-0000-0000-0000208B0000}"/>
    <cellStyle name="Normal 513 2 4" xfId="35864" xr:uid="{00000000-0005-0000-0000-0000218B0000}"/>
    <cellStyle name="Normal 513 3" xfId="35865" xr:uid="{00000000-0005-0000-0000-0000228B0000}"/>
    <cellStyle name="Normal 513 3 2" xfId="35866" xr:uid="{00000000-0005-0000-0000-0000238B0000}"/>
    <cellStyle name="Normal 513 3 2 2" xfId="35867" xr:uid="{00000000-0005-0000-0000-0000248B0000}"/>
    <cellStyle name="Normal 513 3 3" xfId="35868" xr:uid="{00000000-0005-0000-0000-0000258B0000}"/>
    <cellStyle name="Normal 513 4" xfId="35869" xr:uid="{00000000-0005-0000-0000-0000268B0000}"/>
    <cellStyle name="Normal 513 4 2" xfId="35870" xr:uid="{00000000-0005-0000-0000-0000278B0000}"/>
    <cellStyle name="Normal 513 4 2 2" xfId="35871" xr:uid="{00000000-0005-0000-0000-0000288B0000}"/>
    <cellStyle name="Normal 513 4 3" xfId="35872" xr:uid="{00000000-0005-0000-0000-0000298B0000}"/>
    <cellStyle name="Normal 513 5" xfId="35873" xr:uid="{00000000-0005-0000-0000-00002A8B0000}"/>
    <cellStyle name="Normal 513 5 2" xfId="35874" xr:uid="{00000000-0005-0000-0000-00002B8B0000}"/>
    <cellStyle name="Normal 513 5 2 2" xfId="35875" xr:uid="{00000000-0005-0000-0000-00002C8B0000}"/>
    <cellStyle name="Normal 513 5 3" xfId="35876" xr:uid="{00000000-0005-0000-0000-00002D8B0000}"/>
    <cellStyle name="Normal 513 6" xfId="35877" xr:uid="{00000000-0005-0000-0000-00002E8B0000}"/>
    <cellStyle name="Normal 514" xfId="35878" xr:uid="{00000000-0005-0000-0000-00002F8B0000}"/>
    <cellStyle name="Normal 514 2" xfId="35879" xr:uid="{00000000-0005-0000-0000-0000308B0000}"/>
    <cellStyle name="Normal 514 2 2" xfId="35880" xr:uid="{00000000-0005-0000-0000-0000318B0000}"/>
    <cellStyle name="Normal 514 2 2 2" xfId="35881" xr:uid="{00000000-0005-0000-0000-0000328B0000}"/>
    <cellStyle name="Normal 514 2 3" xfId="35882" xr:uid="{00000000-0005-0000-0000-0000338B0000}"/>
    <cellStyle name="Normal 514 2 3 2" xfId="35883" xr:uid="{00000000-0005-0000-0000-0000348B0000}"/>
    <cellStyle name="Normal 514 2 3 2 2" xfId="35884" xr:uid="{00000000-0005-0000-0000-0000358B0000}"/>
    <cellStyle name="Normal 514 2 3 3" xfId="35885" xr:uid="{00000000-0005-0000-0000-0000368B0000}"/>
    <cellStyle name="Normal 514 2 4" xfId="35886" xr:uid="{00000000-0005-0000-0000-0000378B0000}"/>
    <cellStyle name="Normal 514 3" xfId="35887" xr:uid="{00000000-0005-0000-0000-0000388B0000}"/>
    <cellStyle name="Normal 514 3 2" xfId="35888" xr:uid="{00000000-0005-0000-0000-0000398B0000}"/>
    <cellStyle name="Normal 514 3 2 2" xfId="35889" xr:uid="{00000000-0005-0000-0000-00003A8B0000}"/>
    <cellStyle name="Normal 514 3 3" xfId="35890" xr:uid="{00000000-0005-0000-0000-00003B8B0000}"/>
    <cellStyle name="Normal 514 4" xfId="35891" xr:uid="{00000000-0005-0000-0000-00003C8B0000}"/>
    <cellStyle name="Normal 514 4 2" xfId="35892" xr:uid="{00000000-0005-0000-0000-00003D8B0000}"/>
    <cellStyle name="Normal 514 4 2 2" xfId="35893" xr:uid="{00000000-0005-0000-0000-00003E8B0000}"/>
    <cellStyle name="Normal 514 4 3" xfId="35894" xr:uid="{00000000-0005-0000-0000-00003F8B0000}"/>
    <cellStyle name="Normal 514 5" xfId="35895" xr:uid="{00000000-0005-0000-0000-0000408B0000}"/>
    <cellStyle name="Normal 514 5 2" xfId="35896" xr:uid="{00000000-0005-0000-0000-0000418B0000}"/>
    <cellStyle name="Normal 514 5 2 2" xfId="35897" xr:uid="{00000000-0005-0000-0000-0000428B0000}"/>
    <cellStyle name="Normal 514 5 3" xfId="35898" xr:uid="{00000000-0005-0000-0000-0000438B0000}"/>
    <cellStyle name="Normal 514 6" xfId="35899" xr:uid="{00000000-0005-0000-0000-0000448B0000}"/>
    <cellStyle name="Normal 515" xfId="35900" xr:uid="{00000000-0005-0000-0000-0000458B0000}"/>
    <cellStyle name="Normal 515 2" xfId="35901" xr:uid="{00000000-0005-0000-0000-0000468B0000}"/>
    <cellStyle name="Normal 515 2 2" xfId="35902" xr:uid="{00000000-0005-0000-0000-0000478B0000}"/>
    <cellStyle name="Normal 515 2 2 2" xfId="35903" xr:uid="{00000000-0005-0000-0000-0000488B0000}"/>
    <cellStyle name="Normal 515 2 3" xfId="35904" xr:uid="{00000000-0005-0000-0000-0000498B0000}"/>
    <cellStyle name="Normal 515 2 3 2" xfId="35905" xr:uid="{00000000-0005-0000-0000-00004A8B0000}"/>
    <cellStyle name="Normal 515 2 3 2 2" xfId="35906" xr:uid="{00000000-0005-0000-0000-00004B8B0000}"/>
    <cellStyle name="Normal 515 2 3 3" xfId="35907" xr:uid="{00000000-0005-0000-0000-00004C8B0000}"/>
    <cellStyle name="Normal 515 2 4" xfId="35908" xr:uid="{00000000-0005-0000-0000-00004D8B0000}"/>
    <cellStyle name="Normal 515 3" xfId="35909" xr:uid="{00000000-0005-0000-0000-00004E8B0000}"/>
    <cellStyle name="Normal 515 3 2" xfId="35910" xr:uid="{00000000-0005-0000-0000-00004F8B0000}"/>
    <cellStyle name="Normal 515 3 2 2" xfId="35911" xr:uid="{00000000-0005-0000-0000-0000508B0000}"/>
    <cellStyle name="Normal 515 3 3" xfId="35912" xr:uid="{00000000-0005-0000-0000-0000518B0000}"/>
    <cellStyle name="Normal 515 4" xfId="35913" xr:uid="{00000000-0005-0000-0000-0000528B0000}"/>
    <cellStyle name="Normal 515 4 2" xfId="35914" xr:uid="{00000000-0005-0000-0000-0000538B0000}"/>
    <cellStyle name="Normal 515 4 2 2" xfId="35915" xr:uid="{00000000-0005-0000-0000-0000548B0000}"/>
    <cellStyle name="Normal 515 4 3" xfId="35916" xr:uid="{00000000-0005-0000-0000-0000558B0000}"/>
    <cellStyle name="Normal 515 5" xfId="35917" xr:uid="{00000000-0005-0000-0000-0000568B0000}"/>
    <cellStyle name="Normal 515 5 2" xfId="35918" xr:uid="{00000000-0005-0000-0000-0000578B0000}"/>
    <cellStyle name="Normal 515 5 2 2" xfId="35919" xr:uid="{00000000-0005-0000-0000-0000588B0000}"/>
    <cellStyle name="Normal 515 5 3" xfId="35920" xr:uid="{00000000-0005-0000-0000-0000598B0000}"/>
    <cellStyle name="Normal 515 6" xfId="35921" xr:uid="{00000000-0005-0000-0000-00005A8B0000}"/>
    <cellStyle name="Normal 516" xfId="35922" xr:uid="{00000000-0005-0000-0000-00005B8B0000}"/>
    <cellStyle name="Normal 516 2" xfId="35923" xr:uid="{00000000-0005-0000-0000-00005C8B0000}"/>
    <cellStyle name="Normal 516 2 2" xfId="35924" xr:uid="{00000000-0005-0000-0000-00005D8B0000}"/>
    <cellStyle name="Normal 516 2 2 2" xfId="35925" xr:uid="{00000000-0005-0000-0000-00005E8B0000}"/>
    <cellStyle name="Normal 516 2 3" xfId="35926" xr:uid="{00000000-0005-0000-0000-00005F8B0000}"/>
    <cellStyle name="Normal 516 2 3 2" xfId="35927" xr:uid="{00000000-0005-0000-0000-0000608B0000}"/>
    <cellStyle name="Normal 516 2 3 2 2" xfId="35928" xr:uid="{00000000-0005-0000-0000-0000618B0000}"/>
    <cellStyle name="Normal 516 2 3 3" xfId="35929" xr:uid="{00000000-0005-0000-0000-0000628B0000}"/>
    <cellStyle name="Normal 516 2 4" xfId="35930" xr:uid="{00000000-0005-0000-0000-0000638B0000}"/>
    <cellStyle name="Normal 516 3" xfId="35931" xr:uid="{00000000-0005-0000-0000-0000648B0000}"/>
    <cellStyle name="Normal 516 3 2" xfId="35932" xr:uid="{00000000-0005-0000-0000-0000658B0000}"/>
    <cellStyle name="Normal 516 3 2 2" xfId="35933" xr:uid="{00000000-0005-0000-0000-0000668B0000}"/>
    <cellStyle name="Normal 516 3 3" xfId="35934" xr:uid="{00000000-0005-0000-0000-0000678B0000}"/>
    <cellStyle name="Normal 516 4" xfId="35935" xr:uid="{00000000-0005-0000-0000-0000688B0000}"/>
    <cellStyle name="Normal 516 4 2" xfId="35936" xr:uid="{00000000-0005-0000-0000-0000698B0000}"/>
    <cellStyle name="Normal 516 4 2 2" xfId="35937" xr:uid="{00000000-0005-0000-0000-00006A8B0000}"/>
    <cellStyle name="Normal 516 4 3" xfId="35938" xr:uid="{00000000-0005-0000-0000-00006B8B0000}"/>
    <cellStyle name="Normal 516 5" xfId="35939" xr:uid="{00000000-0005-0000-0000-00006C8B0000}"/>
    <cellStyle name="Normal 516 5 2" xfId="35940" xr:uid="{00000000-0005-0000-0000-00006D8B0000}"/>
    <cellStyle name="Normal 516 5 2 2" xfId="35941" xr:uid="{00000000-0005-0000-0000-00006E8B0000}"/>
    <cellStyle name="Normal 516 5 3" xfId="35942" xr:uid="{00000000-0005-0000-0000-00006F8B0000}"/>
    <cellStyle name="Normal 516 6" xfId="35943" xr:uid="{00000000-0005-0000-0000-0000708B0000}"/>
    <cellStyle name="Normal 517" xfId="35944" xr:uid="{00000000-0005-0000-0000-0000718B0000}"/>
    <cellStyle name="Normal 517 2" xfId="35945" xr:uid="{00000000-0005-0000-0000-0000728B0000}"/>
    <cellStyle name="Normal 517 2 2" xfId="35946" xr:uid="{00000000-0005-0000-0000-0000738B0000}"/>
    <cellStyle name="Normal 517 2 2 2" xfId="35947" xr:uid="{00000000-0005-0000-0000-0000748B0000}"/>
    <cellStyle name="Normal 517 2 3" xfId="35948" xr:uid="{00000000-0005-0000-0000-0000758B0000}"/>
    <cellStyle name="Normal 517 2 3 2" xfId="35949" xr:uid="{00000000-0005-0000-0000-0000768B0000}"/>
    <cellStyle name="Normal 517 2 3 2 2" xfId="35950" xr:uid="{00000000-0005-0000-0000-0000778B0000}"/>
    <cellStyle name="Normal 517 2 3 3" xfId="35951" xr:uid="{00000000-0005-0000-0000-0000788B0000}"/>
    <cellStyle name="Normal 517 2 4" xfId="35952" xr:uid="{00000000-0005-0000-0000-0000798B0000}"/>
    <cellStyle name="Normal 517 3" xfId="35953" xr:uid="{00000000-0005-0000-0000-00007A8B0000}"/>
    <cellStyle name="Normal 517 3 2" xfId="35954" xr:uid="{00000000-0005-0000-0000-00007B8B0000}"/>
    <cellStyle name="Normal 517 3 2 2" xfId="35955" xr:uid="{00000000-0005-0000-0000-00007C8B0000}"/>
    <cellStyle name="Normal 517 3 3" xfId="35956" xr:uid="{00000000-0005-0000-0000-00007D8B0000}"/>
    <cellStyle name="Normal 517 4" xfId="35957" xr:uid="{00000000-0005-0000-0000-00007E8B0000}"/>
    <cellStyle name="Normal 517 4 2" xfId="35958" xr:uid="{00000000-0005-0000-0000-00007F8B0000}"/>
    <cellStyle name="Normal 517 4 2 2" xfId="35959" xr:uid="{00000000-0005-0000-0000-0000808B0000}"/>
    <cellStyle name="Normal 517 4 3" xfId="35960" xr:uid="{00000000-0005-0000-0000-0000818B0000}"/>
    <cellStyle name="Normal 517 5" xfId="35961" xr:uid="{00000000-0005-0000-0000-0000828B0000}"/>
    <cellStyle name="Normal 517 5 2" xfId="35962" xr:uid="{00000000-0005-0000-0000-0000838B0000}"/>
    <cellStyle name="Normal 517 5 2 2" xfId="35963" xr:uid="{00000000-0005-0000-0000-0000848B0000}"/>
    <cellStyle name="Normal 517 5 3" xfId="35964" xr:uid="{00000000-0005-0000-0000-0000858B0000}"/>
    <cellStyle name="Normal 517 6" xfId="35965" xr:uid="{00000000-0005-0000-0000-0000868B0000}"/>
    <cellStyle name="Normal 518" xfId="35966" xr:uid="{00000000-0005-0000-0000-0000878B0000}"/>
    <cellStyle name="Normal 518 2" xfId="35967" xr:uid="{00000000-0005-0000-0000-0000888B0000}"/>
    <cellStyle name="Normal 518 2 2" xfId="35968" xr:uid="{00000000-0005-0000-0000-0000898B0000}"/>
    <cellStyle name="Normal 518 2 2 2" xfId="35969" xr:uid="{00000000-0005-0000-0000-00008A8B0000}"/>
    <cellStyle name="Normal 518 2 3" xfId="35970" xr:uid="{00000000-0005-0000-0000-00008B8B0000}"/>
    <cellStyle name="Normal 518 2 3 2" xfId="35971" xr:uid="{00000000-0005-0000-0000-00008C8B0000}"/>
    <cellStyle name="Normal 518 2 3 2 2" xfId="35972" xr:uid="{00000000-0005-0000-0000-00008D8B0000}"/>
    <cellStyle name="Normal 518 2 3 3" xfId="35973" xr:uid="{00000000-0005-0000-0000-00008E8B0000}"/>
    <cellStyle name="Normal 518 2 4" xfId="35974" xr:uid="{00000000-0005-0000-0000-00008F8B0000}"/>
    <cellStyle name="Normal 518 3" xfId="35975" xr:uid="{00000000-0005-0000-0000-0000908B0000}"/>
    <cellStyle name="Normal 518 3 2" xfId="35976" xr:uid="{00000000-0005-0000-0000-0000918B0000}"/>
    <cellStyle name="Normal 518 3 2 2" xfId="35977" xr:uid="{00000000-0005-0000-0000-0000928B0000}"/>
    <cellStyle name="Normal 518 3 3" xfId="35978" xr:uid="{00000000-0005-0000-0000-0000938B0000}"/>
    <cellStyle name="Normal 518 4" xfId="35979" xr:uid="{00000000-0005-0000-0000-0000948B0000}"/>
    <cellStyle name="Normal 518 4 2" xfId="35980" xr:uid="{00000000-0005-0000-0000-0000958B0000}"/>
    <cellStyle name="Normal 518 4 2 2" xfId="35981" xr:uid="{00000000-0005-0000-0000-0000968B0000}"/>
    <cellStyle name="Normal 518 4 3" xfId="35982" xr:uid="{00000000-0005-0000-0000-0000978B0000}"/>
    <cellStyle name="Normal 518 5" xfId="35983" xr:uid="{00000000-0005-0000-0000-0000988B0000}"/>
    <cellStyle name="Normal 518 5 2" xfId="35984" xr:uid="{00000000-0005-0000-0000-0000998B0000}"/>
    <cellStyle name="Normal 518 5 2 2" xfId="35985" xr:uid="{00000000-0005-0000-0000-00009A8B0000}"/>
    <cellStyle name="Normal 518 5 3" xfId="35986" xr:uid="{00000000-0005-0000-0000-00009B8B0000}"/>
    <cellStyle name="Normal 518 6" xfId="35987" xr:uid="{00000000-0005-0000-0000-00009C8B0000}"/>
    <cellStyle name="Normal 519" xfId="35988" xr:uid="{00000000-0005-0000-0000-00009D8B0000}"/>
    <cellStyle name="Normal 519 2" xfId="35989" xr:uid="{00000000-0005-0000-0000-00009E8B0000}"/>
    <cellStyle name="Normal 519 2 2" xfId="35990" xr:uid="{00000000-0005-0000-0000-00009F8B0000}"/>
    <cellStyle name="Normal 519 2 2 2" xfId="35991" xr:uid="{00000000-0005-0000-0000-0000A08B0000}"/>
    <cellStyle name="Normal 519 2 3" xfId="35992" xr:uid="{00000000-0005-0000-0000-0000A18B0000}"/>
    <cellStyle name="Normal 519 2 3 2" xfId="35993" xr:uid="{00000000-0005-0000-0000-0000A28B0000}"/>
    <cellStyle name="Normal 519 2 3 2 2" xfId="35994" xr:uid="{00000000-0005-0000-0000-0000A38B0000}"/>
    <cellStyle name="Normal 519 2 3 3" xfId="35995" xr:uid="{00000000-0005-0000-0000-0000A48B0000}"/>
    <cellStyle name="Normal 519 2 4" xfId="35996" xr:uid="{00000000-0005-0000-0000-0000A58B0000}"/>
    <cellStyle name="Normal 519 3" xfId="35997" xr:uid="{00000000-0005-0000-0000-0000A68B0000}"/>
    <cellStyle name="Normal 519 3 2" xfId="35998" xr:uid="{00000000-0005-0000-0000-0000A78B0000}"/>
    <cellStyle name="Normal 519 3 2 2" xfId="35999" xr:uid="{00000000-0005-0000-0000-0000A88B0000}"/>
    <cellStyle name="Normal 519 3 3" xfId="36000" xr:uid="{00000000-0005-0000-0000-0000A98B0000}"/>
    <cellStyle name="Normal 519 4" xfId="36001" xr:uid="{00000000-0005-0000-0000-0000AA8B0000}"/>
    <cellStyle name="Normal 519 4 2" xfId="36002" xr:uid="{00000000-0005-0000-0000-0000AB8B0000}"/>
    <cellStyle name="Normal 519 4 2 2" xfId="36003" xr:uid="{00000000-0005-0000-0000-0000AC8B0000}"/>
    <cellStyle name="Normal 519 4 3" xfId="36004" xr:uid="{00000000-0005-0000-0000-0000AD8B0000}"/>
    <cellStyle name="Normal 519 5" xfId="36005" xr:uid="{00000000-0005-0000-0000-0000AE8B0000}"/>
    <cellStyle name="Normal 519 5 2" xfId="36006" xr:uid="{00000000-0005-0000-0000-0000AF8B0000}"/>
    <cellStyle name="Normal 519 5 2 2" xfId="36007" xr:uid="{00000000-0005-0000-0000-0000B08B0000}"/>
    <cellStyle name="Normal 519 5 3" xfId="36008" xr:uid="{00000000-0005-0000-0000-0000B18B0000}"/>
    <cellStyle name="Normal 519 6" xfId="36009" xr:uid="{00000000-0005-0000-0000-0000B28B0000}"/>
    <cellStyle name="Normal 52" xfId="36010" xr:uid="{00000000-0005-0000-0000-0000B38B0000}"/>
    <cellStyle name="Normal 52 2" xfId="36011" xr:uid="{00000000-0005-0000-0000-0000B48B0000}"/>
    <cellStyle name="Normal 52 2 2" xfId="36012" xr:uid="{00000000-0005-0000-0000-0000B58B0000}"/>
    <cellStyle name="Normal 52 2 2 2" xfId="36013" xr:uid="{00000000-0005-0000-0000-0000B68B0000}"/>
    <cellStyle name="Normal 52 2 2 2 2" xfId="36014" xr:uid="{00000000-0005-0000-0000-0000B78B0000}"/>
    <cellStyle name="Normal 52 2 2 3" xfId="36015" xr:uid="{00000000-0005-0000-0000-0000B88B0000}"/>
    <cellStyle name="Normal 52 2 2 3 2" xfId="36016" xr:uid="{00000000-0005-0000-0000-0000B98B0000}"/>
    <cellStyle name="Normal 52 2 2 3 2 2" xfId="36017" xr:uid="{00000000-0005-0000-0000-0000BA8B0000}"/>
    <cellStyle name="Normal 52 2 2 3 3" xfId="36018" xr:uid="{00000000-0005-0000-0000-0000BB8B0000}"/>
    <cellStyle name="Normal 52 2 2 4" xfId="36019" xr:uid="{00000000-0005-0000-0000-0000BC8B0000}"/>
    <cellStyle name="Normal 52 2 2 4 2" xfId="36020" xr:uid="{00000000-0005-0000-0000-0000BD8B0000}"/>
    <cellStyle name="Normal 52 2 2 4 2 2" xfId="36021" xr:uid="{00000000-0005-0000-0000-0000BE8B0000}"/>
    <cellStyle name="Normal 52 2 2 4 3" xfId="36022" xr:uid="{00000000-0005-0000-0000-0000BF8B0000}"/>
    <cellStyle name="Normal 52 2 2 5" xfId="36023" xr:uid="{00000000-0005-0000-0000-0000C08B0000}"/>
    <cellStyle name="Normal 52 2 3" xfId="36024" xr:uid="{00000000-0005-0000-0000-0000C18B0000}"/>
    <cellStyle name="Normal 52 2 3 2" xfId="36025" xr:uid="{00000000-0005-0000-0000-0000C28B0000}"/>
    <cellStyle name="Normal 52 2 3 2 2" xfId="36026" xr:uid="{00000000-0005-0000-0000-0000C38B0000}"/>
    <cellStyle name="Normal 52 2 3 3" xfId="36027" xr:uid="{00000000-0005-0000-0000-0000C48B0000}"/>
    <cellStyle name="Normal 52 2 4" xfId="36028" xr:uid="{00000000-0005-0000-0000-0000C58B0000}"/>
    <cellStyle name="Normal 52 2 4 2" xfId="36029" xr:uid="{00000000-0005-0000-0000-0000C68B0000}"/>
    <cellStyle name="Normal 52 2 4 2 2" xfId="36030" xr:uid="{00000000-0005-0000-0000-0000C78B0000}"/>
    <cellStyle name="Normal 52 2 4 3" xfId="36031" xr:uid="{00000000-0005-0000-0000-0000C88B0000}"/>
    <cellStyle name="Normal 52 2 5" xfId="36032" xr:uid="{00000000-0005-0000-0000-0000C98B0000}"/>
    <cellStyle name="Normal 52 2 5 2" xfId="36033" xr:uid="{00000000-0005-0000-0000-0000CA8B0000}"/>
    <cellStyle name="Normal 52 2 5 2 2" xfId="36034" xr:uid="{00000000-0005-0000-0000-0000CB8B0000}"/>
    <cellStyle name="Normal 52 2 5 3" xfId="36035" xr:uid="{00000000-0005-0000-0000-0000CC8B0000}"/>
    <cellStyle name="Normal 52 2 6" xfId="36036" xr:uid="{00000000-0005-0000-0000-0000CD8B0000}"/>
    <cellStyle name="Normal 52 3" xfId="36037" xr:uid="{00000000-0005-0000-0000-0000CE8B0000}"/>
    <cellStyle name="Normal 52 3 2" xfId="36038" xr:uid="{00000000-0005-0000-0000-0000CF8B0000}"/>
    <cellStyle name="Normal 52 3 2 2" xfId="36039" xr:uid="{00000000-0005-0000-0000-0000D08B0000}"/>
    <cellStyle name="Normal 52 3 3" xfId="36040" xr:uid="{00000000-0005-0000-0000-0000D18B0000}"/>
    <cellStyle name="Normal 52 3 3 2" xfId="36041" xr:uid="{00000000-0005-0000-0000-0000D28B0000}"/>
    <cellStyle name="Normal 52 3 3 2 2" xfId="36042" xr:uid="{00000000-0005-0000-0000-0000D38B0000}"/>
    <cellStyle name="Normal 52 3 3 3" xfId="36043" xr:uid="{00000000-0005-0000-0000-0000D48B0000}"/>
    <cellStyle name="Normal 52 3 4" xfId="36044" xr:uid="{00000000-0005-0000-0000-0000D58B0000}"/>
    <cellStyle name="Normal 52 3 4 2" xfId="36045" xr:uid="{00000000-0005-0000-0000-0000D68B0000}"/>
    <cellStyle name="Normal 52 3 4 2 2" xfId="36046" xr:uid="{00000000-0005-0000-0000-0000D78B0000}"/>
    <cellStyle name="Normal 52 3 4 3" xfId="36047" xr:uid="{00000000-0005-0000-0000-0000D88B0000}"/>
    <cellStyle name="Normal 52 3 5" xfId="36048" xr:uid="{00000000-0005-0000-0000-0000D98B0000}"/>
    <cellStyle name="Normal 52 4" xfId="36049" xr:uid="{00000000-0005-0000-0000-0000DA8B0000}"/>
    <cellStyle name="Normal 52 4 2" xfId="36050" xr:uid="{00000000-0005-0000-0000-0000DB8B0000}"/>
    <cellStyle name="Normal 52 4 2 2" xfId="36051" xr:uid="{00000000-0005-0000-0000-0000DC8B0000}"/>
    <cellStyle name="Normal 52 4 3" xfId="36052" xr:uid="{00000000-0005-0000-0000-0000DD8B0000}"/>
    <cellStyle name="Normal 52 5" xfId="36053" xr:uid="{00000000-0005-0000-0000-0000DE8B0000}"/>
    <cellStyle name="Normal 52 5 2" xfId="36054" xr:uid="{00000000-0005-0000-0000-0000DF8B0000}"/>
    <cellStyle name="Normal 52 5 2 2" xfId="36055" xr:uid="{00000000-0005-0000-0000-0000E08B0000}"/>
    <cellStyle name="Normal 52 5 3" xfId="36056" xr:uid="{00000000-0005-0000-0000-0000E18B0000}"/>
    <cellStyle name="Normal 52 6" xfId="36057" xr:uid="{00000000-0005-0000-0000-0000E28B0000}"/>
    <cellStyle name="Normal 52 6 2" xfId="36058" xr:uid="{00000000-0005-0000-0000-0000E38B0000}"/>
    <cellStyle name="Normal 52 6 2 2" xfId="36059" xr:uid="{00000000-0005-0000-0000-0000E48B0000}"/>
    <cellStyle name="Normal 52 6 3" xfId="36060" xr:uid="{00000000-0005-0000-0000-0000E58B0000}"/>
    <cellStyle name="Normal 52 7" xfId="36061" xr:uid="{00000000-0005-0000-0000-0000E68B0000}"/>
    <cellStyle name="Normal 520" xfId="36062" xr:uid="{00000000-0005-0000-0000-0000E78B0000}"/>
    <cellStyle name="Normal 520 2" xfId="36063" xr:uid="{00000000-0005-0000-0000-0000E88B0000}"/>
    <cellStyle name="Normal 520 2 2" xfId="36064" xr:uid="{00000000-0005-0000-0000-0000E98B0000}"/>
    <cellStyle name="Normal 520 2 2 2" xfId="36065" xr:uid="{00000000-0005-0000-0000-0000EA8B0000}"/>
    <cellStyle name="Normal 520 2 3" xfId="36066" xr:uid="{00000000-0005-0000-0000-0000EB8B0000}"/>
    <cellStyle name="Normal 520 2 3 2" xfId="36067" xr:uid="{00000000-0005-0000-0000-0000EC8B0000}"/>
    <cellStyle name="Normal 520 2 3 2 2" xfId="36068" xr:uid="{00000000-0005-0000-0000-0000ED8B0000}"/>
    <cellStyle name="Normal 520 2 3 3" xfId="36069" xr:uid="{00000000-0005-0000-0000-0000EE8B0000}"/>
    <cellStyle name="Normal 520 2 4" xfId="36070" xr:uid="{00000000-0005-0000-0000-0000EF8B0000}"/>
    <cellStyle name="Normal 520 3" xfId="36071" xr:uid="{00000000-0005-0000-0000-0000F08B0000}"/>
    <cellStyle name="Normal 520 3 2" xfId="36072" xr:uid="{00000000-0005-0000-0000-0000F18B0000}"/>
    <cellStyle name="Normal 520 3 2 2" xfId="36073" xr:uid="{00000000-0005-0000-0000-0000F28B0000}"/>
    <cellStyle name="Normal 520 3 3" xfId="36074" xr:uid="{00000000-0005-0000-0000-0000F38B0000}"/>
    <cellStyle name="Normal 520 4" xfId="36075" xr:uid="{00000000-0005-0000-0000-0000F48B0000}"/>
    <cellStyle name="Normal 520 4 2" xfId="36076" xr:uid="{00000000-0005-0000-0000-0000F58B0000}"/>
    <cellStyle name="Normal 520 4 2 2" xfId="36077" xr:uid="{00000000-0005-0000-0000-0000F68B0000}"/>
    <cellStyle name="Normal 520 4 3" xfId="36078" xr:uid="{00000000-0005-0000-0000-0000F78B0000}"/>
    <cellStyle name="Normal 520 5" xfId="36079" xr:uid="{00000000-0005-0000-0000-0000F88B0000}"/>
    <cellStyle name="Normal 520 5 2" xfId="36080" xr:uid="{00000000-0005-0000-0000-0000F98B0000}"/>
    <cellStyle name="Normal 520 5 2 2" xfId="36081" xr:uid="{00000000-0005-0000-0000-0000FA8B0000}"/>
    <cellStyle name="Normal 520 5 3" xfId="36082" xr:uid="{00000000-0005-0000-0000-0000FB8B0000}"/>
    <cellStyle name="Normal 520 6" xfId="36083" xr:uid="{00000000-0005-0000-0000-0000FC8B0000}"/>
    <cellStyle name="Normal 521" xfId="36084" xr:uid="{00000000-0005-0000-0000-0000FD8B0000}"/>
    <cellStyle name="Normal 521 2" xfId="36085" xr:uid="{00000000-0005-0000-0000-0000FE8B0000}"/>
    <cellStyle name="Normal 521 2 2" xfId="36086" xr:uid="{00000000-0005-0000-0000-0000FF8B0000}"/>
    <cellStyle name="Normal 521 2 2 2" xfId="36087" xr:uid="{00000000-0005-0000-0000-0000008C0000}"/>
    <cellStyle name="Normal 521 2 3" xfId="36088" xr:uid="{00000000-0005-0000-0000-0000018C0000}"/>
    <cellStyle name="Normal 521 2 3 2" xfId="36089" xr:uid="{00000000-0005-0000-0000-0000028C0000}"/>
    <cellStyle name="Normal 521 2 3 2 2" xfId="36090" xr:uid="{00000000-0005-0000-0000-0000038C0000}"/>
    <cellStyle name="Normal 521 2 3 3" xfId="36091" xr:uid="{00000000-0005-0000-0000-0000048C0000}"/>
    <cellStyle name="Normal 521 2 4" xfId="36092" xr:uid="{00000000-0005-0000-0000-0000058C0000}"/>
    <cellStyle name="Normal 521 3" xfId="36093" xr:uid="{00000000-0005-0000-0000-0000068C0000}"/>
    <cellStyle name="Normal 521 3 2" xfId="36094" xr:uid="{00000000-0005-0000-0000-0000078C0000}"/>
    <cellStyle name="Normal 521 3 2 2" xfId="36095" xr:uid="{00000000-0005-0000-0000-0000088C0000}"/>
    <cellStyle name="Normal 521 3 3" xfId="36096" xr:uid="{00000000-0005-0000-0000-0000098C0000}"/>
    <cellStyle name="Normal 521 4" xfId="36097" xr:uid="{00000000-0005-0000-0000-00000A8C0000}"/>
    <cellStyle name="Normal 521 4 2" xfId="36098" xr:uid="{00000000-0005-0000-0000-00000B8C0000}"/>
    <cellStyle name="Normal 521 4 2 2" xfId="36099" xr:uid="{00000000-0005-0000-0000-00000C8C0000}"/>
    <cellStyle name="Normal 521 4 3" xfId="36100" xr:uid="{00000000-0005-0000-0000-00000D8C0000}"/>
    <cellStyle name="Normal 521 5" xfId="36101" xr:uid="{00000000-0005-0000-0000-00000E8C0000}"/>
    <cellStyle name="Normal 521 5 2" xfId="36102" xr:uid="{00000000-0005-0000-0000-00000F8C0000}"/>
    <cellStyle name="Normal 521 5 2 2" xfId="36103" xr:uid="{00000000-0005-0000-0000-0000108C0000}"/>
    <cellStyle name="Normal 521 5 3" xfId="36104" xr:uid="{00000000-0005-0000-0000-0000118C0000}"/>
    <cellStyle name="Normal 521 6" xfId="36105" xr:uid="{00000000-0005-0000-0000-0000128C0000}"/>
    <cellStyle name="Normal 522" xfId="36106" xr:uid="{00000000-0005-0000-0000-0000138C0000}"/>
    <cellStyle name="Normal 522 2" xfId="36107" xr:uid="{00000000-0005-0000-0000-0000148C0000}"/>
    <cellStyle name="Normal 522 2 2" xfId="36108" xr:uid="{00000000-0005-0000-0000-0000158C0000}"/>
    <cellStyle name="Normal 522 2 2 2" xfId="36109" xr:uid="{00000000-0005-0000-0000-0000168C0000}"/>
    <cellStyle name="Normal 522 2 3" xfId="36110" xr:uid="{00000000-0005-0000-0000-0000178C0000}"/>
    <cellStyle name="Normal 522 2 3 2" xfId="36111" xr:uid="{00000000-0005-0000-0000-0000188C0000}"/>
    <cellStyle name="Normal 522 2 3 2 2" xfId="36112" xr:uid="{00000000-0005-0000-0000-0000198C0000}"/>
    <cellStyle name="Normal 522 2 3 3" xfId="36113" xr:uid="{00000000-0005-0000-0000-00001A8C0000}"/>
    <cellStyle name="Normal 522 2 4" xfId="36114" xr:uid="{00000000-0005-0000-0000-00001B8C0000}"/>
    <cellStyle name="Normal 522 3" xfId="36115" xr:uid="{00000000-0005-0000-0000-00001C8C0000}"/>
    <cellStyle name="Normal 522 3 2" xfId="36116" xr:uid="{00000000-0005-0000-0000-00001D8C0000}"/>
    <cellStyle name="Normal 522 3 2 2" xfId="36117" xr:uid="{00000000-0005-0000-0000-00001E8C0000}"/>
    <cellStyle name="Normal 522 3 3" xfId="36118" xr:uid="{00000000-0005-0000-0000-00001F8C0000}"/>
    <cellStyle name="Normal 522 4" xfId="36119" xr:uid="{00000000-0005-0000-0000-0000208C0000}"/>
    <cellStyle name="Normal 522 4 2" xfId="36120" xr:uid="{00000000-0005-0000-0000-0000218C0000}"/>
    <cellStyle name="Normal 522 4 2 2" xfId="36121" xr:uid="{00000000-0005-0000-0000-0000228C0000}"/>
    <cellStyle name="Normal 522 4 3" xfId="36122" xr:uid="{00000000-0005-0000-0000-0000238C0000}"/>
    <cellStyle name="Normal 522 5" xfId="36123" xr:uid="{00000000-0005-0000-0000-0000248C0000}"/>
    <cellStyle name="Normal 522 5 2" xfId="36124" xr:uid="{00000000-0005-0000-0000-0000258C0000}"/>
    <cellStyle name="Normal 522 5 2 2" xfId="36125" xr:uid="{00000000-0005-0000-0000-0000268C0000}"/>
    <cellStyle name="Normal 522 5 3" xfId="36126" xr:uid="{00000000-0005-0000-0000-0000278C0000}"/>
    <cellStyle name="Normal 522 6" xfId="36127" xr:uid="{00000000-0005-0000-0000-0000288C0000}"/>
    <cellStyle name="Normal 523" xfId="36128" xr:uid="{00000000-0005-0000-0000-0000298C0000}"/>
    <cellStyle name="Normal 523 2" xfId="36129" xr:uid="{00000000-0005-0000-0000-00002A8C0000}"/>
    <cellStyle name="Normal 523 2 2" xfId="36130" xr:uid="{00000000-0005-0000-0000-00002B8C0000}"/>
    <cellStyle name="Normal 523 2 2 2" xfId="36131" xr:uid="{00000000-0005-0000-0000-00002C8C0000}"/>
    <cellStyle name="Normal 523 2 3" xfId="36132" xr:uid="{00000000-0005-0000-0000-00002D8C0000}"/>
    <cellStyle name="Normal 523 2 3 2" xfId="36133" xr:uid="{00000000-0005-0000-0000-00002E8C0000}"/>
    <cellStyle name="Normal 523 2 3 2 2" xfId="36134" xr:uid="{00000000-0005-0000-0000-00002F8C0000}"/>
    <cellStyle name="Normal 523 2 3 3" xfId="36135" xr:uid="{00000000-0005-0000-0000-0000308C0000}"/>
    <cellStyle name="Normal 523 2 4" xfId="36136" xr:uid="{00000000-0005-0000-0000-0000318C0000}"/>
    <cellStyle name="Normal 523 3" xfId="36137" xr:uid="{00000000-0005-0000-0000-0000328C0000}"/>
    <cellStyle name="Normal 523 3 2" xfId="36138" xr:uid="{00000000-0005-0000-0000-0000338C0000}"/>
    <cellStyle name="Normal 523 3 2 2" xfId="36139" xr:uid="{00000000-0005-0000-0000-0000348C0000}"/>
    <cellStyle name="Normal 523 3 3" xfId="36140" xr:uid="{00000000-0005-0000-0000-0000358C0000}"/>
    <cellStyle name="Normal 523 4" xfId="36141" xr:uid="{00000000-0005-0000-0000-0000368C0000}"/>
    <cellStyle name="Normal 523 4 2" xfId="36142" xr:uid="{00000000-0005-0000-0000-0000378C0000}"/>
    <cellStyle name="Normal 523 4 2 2" xfId="36143" xr:uid="{00000000-0005-0000-0000-0000388C0000}"/>
    <cellStyle name="Normal 523 4 3" xfId="36144" xr:uid="{00000000-0005-0000-0000-0000398C0000}"/>
    <cellStyle name="Normal 523 5" xfId="36145" xr:uid="{00000000-0005-0000-0000-00003A8C0000}"/>
    <cellStyle name="Normal 523 5 2" xfId="36146" xr:uid="{00000000-0005-0000-0000-00003B8C0000}"/>
    <cellStyle name="Normal 523 5 2 2" xfId="36147" xr:uid="{00000000-0005-0000-0000-00003C8C0000}"/>
    <cellStyle name="Normal 523 5 3" xfId="36148" xr:uid="{00000000-0005-0000-0000-00003D8C0000}"/>
    <cellStyle name="Normal 523 6" xfId="36149" xr:uid="{00000000-0005-0000-0000-00003E8C0000}"/>
    <cellStyle name="Normal 524" xfId="36150" xr:uid="{00000000-0005-0000-0000-00003F8C0000}"/>
    <cellStyle name="Normal 524 2" xfId="36151" xr:uid="{00000000-0005-0000-0000-0000408C0000}"/>
    <cellStyle name="Normal 524 2 2" xfId="36152" xr:uid="{00000000-0005-0000-0000-0000418C0000}"/>
    <cellStyle name="Normal 524 2 2 2" xfId="36153" xr:uid="{00000000-0005-0000-0000-0000428C0000}"/>
    <cellStyle name="Normal 524 2 3" xfId="36154" xr:uid="{00000000-0005-0000-0000-0000438C0000}"/>
    <cellStyle name="Normal 524 2 3 2" xfId="36155" xr:uid="{00000000-0005-0000-0000-0000448C0000}"/>
    <cellStyle name="Normal 524 2 3 2 2" xfId="36156" xr:uid="{00000000-0005-0000-0000-0000458C0000}"/>
    <cellStyle name="Normal 524 2 3 3" xfId="36157" xr:uid="{00000000-0005-0000-0000-0000468C0000}"/>
    <cellStyle name="Normal 524 2 4" xfId="36158" xr:uid="{00000000-0005-0000-0000-0000478C0000}"/>
    <cellStyle name="Normal 524 3" xfId="36159" xr:uid="{00000000-0005-0000-0000-0000488C0000}"/>
    <cellStyle name="Normal 524 3 2" xfId="36160" xr:uid="{00000000-0005-0000-0000-0000498C0000}"/>
    <cellStyle name="Normal 524 3 2 2" xfId="36161" xr:uid="{00000000-0005-0000-0000-00004A8C0000}"/>
    <cellStyle name="Normal 524 3 3" xfId="36162" xr:uid="{00000000-0005-0000-0000-00004B8C0000}"/>
    <cellStyle name="Normal 524 4" xfId="36163" xr:uid="{00000000-0005-0000-0000-00004C8C0000}"/>
    <cellStyle name="Normal 524 4 2" xfId="36164" xr:uid="{00000000-0005-0000-0000-00004D8C0000}"/>
    <cellStyle name="Normal 524 4 2 2" xfId="36165" xr:uid="{00000000-0005-0000-0000-00004E8C0000}"/>
    <cellStyle name="Normal 524 4 3" xfId="36166" xr:uid="{00000000-0005-0000-0000-00004F8C0000}"/>
    <cellStyle name="Normal 524 5" xfId="36167" xr:uid="{00000000-0005-0000-0000-0000508C0000}"/>
    <cellStyle name="Normal 524 5 2" xfId="36168" xr:uid="{00000000-0005-0000-0000-0000518C0000}"/>
    <cellStyle name="Normal 524 5 2 2" xfId="36169" xr:uid="{00000000-0005-0000-0000-0000528C0000}"/>
    <cellStyle name="Normal 524 5 3" xfId="36170" xr:uid="{00000000-0005-0000-0000-0000538C0000}"/>
    <cellStyle name="Normal 524 6" xfId="36171" xr:uid="{00000000-0005-0000-0000-0000548C0000}"/>
    <cellStyle name="Normal 525" xfId="36172" xr:uid="{00000000-0005-0000-0000-0000558C0000}"/>
    <cellStyle name="Normal 525 2" xfId="36173" xr:uid="{00000000-0005-0000-0000-0000568C0000}"/>
    <cellStyle name="Normal 525 2 2" xfId="36174" xr:uid="{00000000-0005-0000-0000-0000578C0000}"/>
    <cellStyle name="Normal 525 2 2 2" xfId="36175" xr:uid="{00000000-0005-0000-0000-0000588C0000}"/>
    <cellStyle name="Normal 525 2 3" xfId="36176" xr:uid="{00000000-0005-0000-0000-0000598C0000}"/>
    <cellStyle name="Normal 525 2 3 2" xfId="36177" xr:uid="{00000000-0005-0000-0000-00005A8C0000}"/>
    <cellStyle name="Normal 525 2 3 2 2" xfId="36178" xr:uid="{00000000-0005-0000-0000-00005B8C0000}"/>
    <cellStyle name="Normal 525 2 3 3" xfId="36179" xr:uid="{00000000-0005-0000-0000-00005C8C0000}"/>
    <cellStyle name="Normal 525 2 4" xfId="36180" xr:uid="{00000000-0005-0000-0000-00005D8C0000}"/>
    <cellStyle name="Normal 525 3" xfId="36181" xr:uid="{00000000-0005-0000-0000-00005E8C0000}"/>
    <cellStyle name="Normal 525 3 2" xfId="36182" xr:uid="{00000000-0005-0000-0000-00005F8C0000}"/>
    <cellStyle name="Normal 525 3 2 2" xfId="36183" xr:uid="{00000000-0005-0000-0000-0000608C0000}"/>
    <cellStyle name="Normal 525 3 3" xfId="36184" xr:uid="{00000000-0005-0000-0000-0000618C0000}"/>
    <cellStyle name="Normal 525 4" xfId="36185" xr:uid="{00000000-0005-0000-0000-0000628C0000}"/>
    <cellStyle name="Normal 525 4 2" xfId="36186" xr:uid="{00000000-0005-0000-0000-0000638C0000}"/>
    <cellStyle name="Normal 525 4 2 2" xfId="36187" xr:uid="{00000000-0005-0000-0000-0000648C0000}"/>
    <cellStyle name="Normal 525 4 3" xfId="36188" xr:uid="{00000000-0005-0000-0000-0000658C0000}"/>
    <cellStyle name="Normal 525 5" xfId="36189" xr:uid="{00000000-0005-0000-0000-0000668C0000}"/>
    <cellStyle name="Normal 525 5 2" xfId="36190" xr:uid="{00000000-0005-0000-0000-0000678C0000}"/>
    <cellStyle name="Normal 525 5 2 2" xfId="36191" xr:uid="{00000000-0005-0000-0000-0000688C0000}"/>
    <cellStyle name="Normal 525 5 3" xfId="36192" xr:uid="{00000000-0005-0000-0000-0000698C0000}"/>
    <cellStyle name="Normal 525 6" xfId="36193" xr:uid="{00000000-0005-0000-0000-00006A8C0000}"/>
    <cellStyle name="Normal 526" xfId="36194" xr:uid="{00000000-0005-0000-0000-00006B8C0000}"/>
    <cellStyle name="Normal 526 2" xfId="36195" xr:uid="{00000000-0005-0000-0000-00006C8C0000}"/>
    <cellStyle name="Normal 526 2 2" xfId="36196" xr:uid="{00000000-0005-0000-0000-00006D8C0000}"/>
    <cellStyle name="Normal 526 2 2 2" xfId="36197" xr:uid="{00000000-0005-0000-0000-00006E8C0000}"/>
    <cellStyle name="Normal 526 2 3" xfId="36198" xr:uid="{00000000-0005-0000-0000-00006F8C0000}"/>
    <cellStyle name="Normal 526 2 3 2" xfId="36199" xr:uid="{00000000-0005-0000-0000-0000708C0000}"/>
    <cellStyle name="Normal 526 2 3 2 2" xfId="36200" xr:uid="{00000000-0005-0000-0000-0000718C0000}"/>
    <cellStyle name="Normal 526 2 3 3" xfId="36201" xr:uid="{00000000-0005-0000-0000-0000728C0000}"/>
    <cellStyle name="Normal 526 2 4" xfId="36202" xr:uid="{00000000-0005-0000-0000-0000738C0000}"/>
    <cellStyle name="Normal 526 3" xfId="36203" xr:uid="{00000000-0005-0000-0000-0000748C0000}"/>
    <cellStyle name="Normal 526 3 2" xfId="36204" xr:uid="{00000000-0005-0000-0000-0000758C0000}"/>
    <cellStyle name="Normal 526 3 2 2" xfId="36205" xr:uid="{00000000-0005-0000-0000-0000768C0000}"/>
    <cellStyle name="Normal 526 3 3" xfId="36206" xr:uid="{00000000-0005-0000-0000-0000778C0000}"/>
    <cellStyle name="Normal 526 4" xfId="36207" xr:uid="{00000000-0005-0000-0000-0000788C0000}"/>
    <cellStyle name="Normal 526 4 2" xfId="36208" xr:uid="{00000000-0005-0000-0000-0000798C0000}"/>
    <cellStyle name="Normal 526 4 2 2" xfId="36209" xr:uid="{00000000-0005-0000-0000-00007A8C0000}"/>
    <cellStyle name="Normal 526 4 3" xfId="36210" xr:uid="{00000000-0005-0000-0000-00007B8C0000}"/>
    <cellStyle name="Normal 526 5" xfId="36211" xr:uid="{00000000-0005-0000-0000-00007C8C0000}"/>
    <cellStyle name="Normal 526 5 2" xfId="36212" xr:uid="{00000000-0005-0000-0000-00007D8C0000}"/>
    <cellStyle name="Normal 526 5 2 2" xfId="36213" xr:uid="{00000000-0005-0000-0000-00007E8C0000}"/>
    <cellStyle name="Normal 526 5 3" xfId="36214" xr:uid="{00000000-0005-0000-0000-00007F8C0000}"/>
    <cellStyle name="Normal 526 6" xfId="36215" xr:uid="{00000000-0005-0000-0000-0000808C0000}"/>
    <cellStyle name="Normal 527" xfId="36216" xr:uid="{00000000-0005-0000-0000-0000818C0000}"/>
    <cellStyle name="Normal 527 2" xfId="36217" xr:uid="{00000000-0005-0000-0000-0000828C0000}"/>
    <cellStyle name="Normal 527 2 2" xfId="36218" xr:uid="{00000000-0005-0000-0000-0000838C0000}"/>
    <cellStyle name="Normal 527 2 2 2" xfId="36219" xr:uid="{00000000-0005-0000-0000-0000848C0000}"/>
    <cellStyle name="Normal 527 2 3" xfId="36220" xr:uid="{00000000-0005-0000-0000-0000858C0000}"/>
    <cellStyle name="Normal 527 2 3 2" xfId="36221" xr:uid="{00000000-0005-0000-0000-0000868C0000}"/>
    <cellStyle name="Normal 527 2 3 2 2" xfId="36222" xr:uid="{00000000-0005-0000-0000-0000878C0000}"/>
    <cellStyle name="Normal 527 2 3 3" xfId="36223" xr:uid="{00000000-0005-0000-0000-0000888C0000}"/>
    <cellStyle name="Normal 527 2 4" xfId="36224" xr:uid="{00000000-0005-0000-0000-0000898C0000}"/>
    <cellStyle name="Normal 527 3" xfId="36225" xr:uid="{00000000-0005-0000-0000-00008A8C0000}"/>
    <cellStyle name="Normal 527 3 2" xfId="36226" xr:uid="{00000000-0005-0000-0000-00008B8C0000}"/>
    <cellStyle name="Normal 527 3 2 2" xfId="36227" xr:uid="{00000000-0005-0000-0000-00008C8C0000}"/>
    <cellStyle name="Normal 527 3 3" xfId="36228" xr:uid="{00000000-0005-0000-0000-00008D8C0000}"/>
    <cellStyle name="Normal 527 4" xfId="36229" xr:uid="{00000000-0005-0000-0000-00008E8C0000}"/>
    <cellStyle name="Normal 527 4 2" xfId="36230" xr:uid="{00000000-0005-0000-0000-00008F8C0000}"/>
    <cellStyle name="Normal 527 4 2 2" xfId="36231" xr:uid="{00000000-0005-0000-0000-0000908C0000}"/>
    <cellStyle name="Normal 527 4 3" xfId="36232" xr:uid="{00000000-0005-0000-0000-0000918C0000}"/>
    <cellStyle name="Normal 527 5" xfId="36233" xr:uid="{00000000-0005-0000-0000-0000928C0000}"/>
    <cellStyle name="Normal 527 5 2" xfId="36234" xr:uid="{00000000-0005-0000-0000-0000938C0000}"/>
    <cellStyle name="Normal 527 5 2 2" xfId="36235" xr:uid="{00000000-0005-0000-0000-0000948C0000}"/>
    <cellStyle name="Normal 527 5 3" xfId="36236" xr:uid="{00000000-0005-0000-0000-0000958C0000}"/>
    <cellStyle name="Normal 527 6" xfId="36237" xr:uid="{00000000-0005-0000-0000-0000968C0000}"/>
    <cellStyle name="Normal 528" xfId="36238" xr:uid="{00000000-0005-0000-0000-0000978C0000}"/>
    <cellStyle name="Normal 528 2" xfId="36239" xr:uid="{00000000-0005-0000-0000-0000988C0000}"/>
    <cellStyle name="Normal 528 2 2" xfId="36240" xr:uid="{00000000-0005-0000-0000-0000998C0000}"/>
    <cellStyle name="Normal 528 2 2 2" xfId="36241" xr:uid="{00000000-0005-0000-0000-00009A8C0000}"/>
    <cellStyle name="Normal 528 2 3" xfId="36242" xr:uid="{00000000-0005-0000-0000-00009B8C0000}"/>
    <cellStyle name="Normal 528 2 3 2" xfId="36243" xr:uid="{00000000-0005-0000-0000-00009C8C0000}"/>
    <cellStyle name="Normal 528 2 3 2 2" xfId="36244" xr:uid="{00000000-0005-0000-0000-00009D8C0000}"/>
    <cellStyle name="Normal 528 2 3 3" xfId="36245" xr:uid="{00000000-0005-0000-0000-00009E8C0000}"/>
    <cellStyle name="Normal 528 2 4" xfId="36246" xr:uid="{00000000-0005-0000-0000-00009F8C0000}"/>
    <cellStyle name="Normal 528 3" xfId="36247" xr:uid="{00000000-0005-0000-0000-0000A08C0000}"/>
    <cellStyle name="Normal 528 3 2" xfId="36248" xr:uid="{00000000-0005-0000-0000-0000A18C0000}"/>
    <cellStyle name="Normal 528 3 2 2" xfId="36249" xr:uid="{00000000-0005-0000-0000-0000A28C0000}"/>
    <cellStyle name="Normal 528 3 3" xfId="36250" xr:uid="{00000000-0005-0000-0000-0000A38C0000}"/>
    <cellStyle name="Normal 528 4" xfId="36251" xr:uid="{00000000-0005-0000-0000-0000A48C0000}"/>
    <cellStyle name="Normal 528 4 2" xfId="36252" xr:uid="{00000000-0005-0000-0000-0000A58C0000}"/>
    <cellStyle name="Normal 528 4 2 2" xfId="36253" xr:uid="{00000000-0005-0000-0000-0000A68C0000}"/>
    <cellStyle name="Normal 528 4 3" xfId="36254" xr:uid="{00000000-0005-0000-0000-0000A78C0000}"/>
    <cellStyle name="Normal 528 5" xfId="36255" xr:uid="{00000000-0005-0000-0000-0000A88C0000}"/>
    <cellStyle name="Normal 528 5 2" xfId="36256" xr:uid="{00000000-0005-0000-0000-0000A98C0000}"/>
    <cellStyle name="Normal 528 5 2 2" xfId="36257" xr:uid="{00000000-0005-0000-0000-0000AA8C0000}"/>
    <cellStyle name="Normal 528 5 3" xfId="36258" xr:uid="{00000000-0005-0000-0000-0000AB8C0000}"/>
    <cellStyle name="Normal 528 6" xfId="36259" xr:uid="{00000000-0005-0000-0000-0000AC8C0000}"/>
    <cellStyle name="Normal 529" xfId="36260" xr:uid="{00000000-0005-0000-0000-0000AD8C0000}"/>
    <cellStyle name="Normal 529 2" xfId="36261" xr:uid="{00000000-0005-0000-0000-0000AE8C0000}"/>
    <cellStyle name="Normal 529 2 2" xfId="36262" xr:uid="{00000000-0005-0000-0000-0000AF8C0000}"/>
    <cellStyle name="Normal 529 2 2 2" xfId="36263" xr:uid="{00000000-0005-0000-0000-0000B08C0000}"/>
    <cellStyle name="Normal 529 2 3" xfId="36264" xr:uid="{00000000-0005-0000-0000-0000B18C0000}"/>
    <cellStyle name="Normal 529 2 3 2" xfId="36265" xr:uid="{00000000-0005-0000-0000-0000B28C0000}"/>
    <cellStyle name="Normal 529 2 3 2 2" xfId="36266" xr:uid="{00000000-0005-0000-0000-0000B38C0000}"/>
    <cellStyle name="Normal 529 2 3 3" xfId="36267" xr:uid="{00000000-0005-0000-0000-0000B48C0000}"/>
    <cellStyle name="Normal 529 2 4" xfId="36268" xr:uid="{00000000-0005-0000-0000-0000B58C0000}"/>
    <cellStyle name="Normal 529 3" xfId="36269" xr:uid="{00000000-0005-0000-0000-0000B68C0000}"/>
    <cellStyle name="Normal 529 3 2" xfId="36270" xr:uid="{00000000-0005-0000-0000-0000B78C0000}"/>
    <cellStyle name="Normal 529 3 2 2" xfId="36271" xr:uid="{00000000-0005-0000-0000-0000B88C0000}"/>
    <cellStyle name="Normal 529 3 3" xfId="36272" xr:uid="{00000000-0005-0000-0000-0000B98C0000}"/>
    <cellStyle name="Normal 529 4" xfId="36273" xr:uid="{00000000-0005-0000-0000-0000BA8C0000}"/>
    <cellStyle name="Normal 529 4 2" xfId="36274" xr:uid="{00000000-0005-0000-0000-0000BB8C0000}"/>
    <cellStyle name="Normal 529 4 2 2" xfId="36275" xr:uid="{00000000-0005-0000-0000-0000BC8C0000}"/>
    <cellStyle name="Normal 529 4 3" xfId="36276" xr:uid="{00000000-0005-0000-0000-0000BD8C0000}"/>
    <cellStyle name="Normal 529 5" xfId="36277" xr:uid="{00000000-0005-0000-0000-0000BE8C0000}"/>
    <cellStyle name="Normal 529 5 2" xfId="36278" xr:uid="{00000000-0005-0000-0000-0000BF8C0000}"/>
    <cellStyle name="Normal 529 5 2 2" xfId="36279" xr:uid="{00000000-0005-0000-0000-0000C08C0000}"/>
    <cellStyle name="Normal 529 5 3" xfId="36280" xr:uid="{00000000-0005-0000-0000-0000C18C0000}"/>
    <cellStyle name="Normal 529 6" xfId="36281" xr:uid="{00000000-0005-0000-0000-0000C28C0000}"/>
    <cellStyle name="Normal 53" xfId="36282" xr:uid="{00000000-0005-0000-0000-0000C38C0000}"/>
    <cellStyle name="Normal 53 2" xfId="36283" xr:uid="{00000000-0005-0000-0000-0000C48C0000}"/>
    <cellStyle name="Normal 53 2 2" xfId="36284" xr:uid="{00000000-0005-0000-0000-0000C58C0000}"/>
    <cellStyle name="Normal 53 2 2 2" xfId="36285" xr:uid="{00000000-0005-0000-0000-0000C68C0000}"/>
    <cellStyle name="Normal 53 2 2 2 2" xfId="36286" xr:uid="{00000000-0005-0000-0000-0000C78C0000}"/>
    <cellStyle name="Normal 53 2 2 3" xfId="36287" xr:uid="{00000000-0005-0000-0000-0000C88C0000}"/>
    <cellStyle name="Normal 53 2 2 3 2" xfId="36288" xr:uid="{00000000-0005-0000-0000-0000C98C0000}"/>
    <cellStyle name="Normal 53 2 2 3 2 2" xfId="36289" xr:uid="{00000000-0005-0000-0000-0000CA8C0000}"/>
    <cellStyle name="Normal 53 2 2 3 3" xfId="36290" xr:uid="{00000000-0005-0000-0000-0000CB8C0000}"/>
    <cellStyle name="Normal 53 2 2 4" xfId="36291" xr:uid="{00000000-0005-0000-0000-0000CC8C0000}"/>
    <cellStyle name="Normal 53 2 2 4 2" xfId="36292" xr:uid="{00000000-0005-0000-0000-0000CD8C0000}"/>
    <cellStyle name="Normal 53 2 2 4 2 2" xfId="36293" xr:uid="{00000000-0005-0000-0000-0000CE8C0000}"/>
    <cellStyle name="Normal 53 2 2 4 3" xfId="36294" xr:uid="{00000000-0005-0000-0000-0000CF8C0000}"/>
    <cellStyle name="Normal 53 2 2 5" xfId="36295" xr:uid="{00000000-0005-0000-0000-0000D08C0000}"/>
    <cellStyle name="Normal 53 2 3" xfId="36296" xr:uid="{00000000-0005-0000-0000-0000D18C0000}"/>
    <cellStyle name="Normal 53 2 3 2" xfId="36297" xr:uid="{00000000-0005-0000-0000-0000D28C0000}"/>
    <cellStyle name="Normal 53 2 3 2 2" xfId="36298" xr:uid="{00000000-0005-0000-0000-0000D38C0000}"/>
    <cellStyle name="Normal 53 2 3 3" xfId="36299" xr:uid="{00000000-0005-0000-0000-0000D48C0000}"/>
    <cellStyle name="Normal 53 2 4" xfId="36300" xr:uid="{00000000-0005-0000-0000-0000D58C0000}"/>
    <cellStyle name="Normal 53 2 4 2" xfId="36301" xr:uid="{00000000-0005-0000-0000-0000D68C0000}"/>
    <cellStyle name="Normal 53 2 4 2 2" xfId="36302" xr:uid="{00000000-0005-0000-0000-0000D78C0000}"/>
    <cellStyle name="Normal 53 2 4 3" xfId="36303" xr:uid="{00000000-0005-0000-0000-0000D88C0000}"/>
    <cellStyle name="Normal 53 2 5" xfId="36304" xr:uid="{00000000-0005-0000-0000-0000D98C0000}"/>
    <cellStyle name="Normal 53 2 5 2" xfId="36305" xr:uid="{00000000-0005-0000-0000-0000DA8C0000}"/>
    <cellStyle name="Normal 53 2 5 2 2" xfId="36306" xr:uid="{00000000-0005-0000-0000-0000DB8C0000}"/>
    <cellStyle name="Normal 53 2 5 3" xfId="36307" xr:uid="{00000000-0005-0000-0000-0000DC8C0000}"/>
    <cellStyle name="Normal 53 2 6" xfId="36308" xr:uid="{00000000-0005-0000-0000-0000DD8C0000}"/>
    <cellStyle name="Normal 53 3" xfId="36309" xr:uid="{00000000-0005-0000-0000-0000DE8C0000}"/>
    <cellStyle name="Normal 53 3 2" xfId="36310" xr:uid="{00000000-0005-0000-0000-0000DF8C0000}"/>
    <cellStyle name="Normal 53 3 2 2" xfId="36311" xr:uid="{00000000-0005-0000-0000-0000E08C0000}"/>
    <cellStyle name="Normal 53 3 3" xfId="36312" xr:uid="{00000000-0005-0000-0000-0000E18C0000}"/>
    <cellStyle name="Normal 53 3 3 2" xfId="36313" xr:uid="{00000000-0005-0000-0000-0000E28C0000}"/>
    <cellStyle name="Normal 53 3 3 2 2" xfId="36314" xr:uid="{00000000-0005-0000-0000-0000E38C0000}"/>
    <cellStyle name="Normal 53 3 3 3" xfId="36315" xr:uid="{00000000-0005-0000-0000-0000E48C0000}"/>
    <cellStyle name="Normal 53 3 4" xfId="36316" xr:uid="{00000000-0005-0000-0000-0000E58C0000}"/>
    <cellStyle name="Normal 53 3 4 2" xfId="36317" xr:uid="{00000000-0005-0000-0000-0000E68C0000}"/>
    <cellStyle name="Normal 53 3 4 2 2" xfId="36318" xr:uid="{00000000-0005-0000-0000-0000E78C0000}"/>
    <cellStyle name="Normal 53 3 4 3" xfId="36319" xr:uid="{00000000-0005-0000-0000-0000E88C0000}"/>
    <cellStyle name="Normal 53 3 5" xfId="36320" xr:uid="{00000000-0005-0000-0000-0000E98C0000}"/>
    <cellStyle name="Normal 53 4" xfId="36321" xr:uid="{00000000-0005-0000-0000-0000EA8C0000}"/>
    <cellStyle name="Normal 53 4 2" xfId="36322" xr:uid="{00000000-0005-0000-0000-0000EB8C0000}"/>
    <cellStyle name="Normal 53 4 2 2" xfId="36323" xr:uid="{00000000-0005-0000-0000-0000EC8C0000}"/>
    <cellStyle name="Normal 53 4 3" xfId="36324" xr:uid="{00000000-0005-0000-0000-0000ED8C0000}"/>
    <cellStyle name="Normal 53 5" xfId="36325" xr:uid="{00000000-0005-0000-0000-0000EE8C0000}"/>
    <cellStyle name="Normal 53 5 2" xfId="36326" xr:uid="{00000000-0005-0000-0000-0000EF8C0000}"/>
    <cellStyle name="Normal 53 5 2 2" xfId="36327" xr:uid="{00000000-0005-0000-0000-0000F08C0000}"/>
    <cellStyle name="Normal 53 5 3" xfId="36328" xr:uid="{00000000-0005-0000-0000-0000F18C0000}"/>
    <cellStyle name="Normal 53 6" xfId="36329" xr:uid="{00000000-0005-0000-0000-0000F28C0000}"/>
    <cellStyle name="Normal 53 6 2" xfId="36330" xr:uid="{00000000-0005-0000-0000-0000F38C0000}"/>
    <cellStyle name="Normal 53 6 2 2" xfId="36331" xr:uid="{00000000-0005-0000-0000-0000F48C0000}"/>
    <cellStyle name="Normal 53 6 3" xfId="36332" xr:uid="{00000000-0005-0000-0000-0000F58C0000}"/>
    <cellStyle name="Normal 53 7" xfId="36333" xr:uid="{00000000-0005-0000-0000-0000F68C0000}"/>
    <cellStyle name="Normal 530" xfId="36334" xr:uid="{00000000-0005-0000-0000-0000F78C0000}"/>
    <cellStyle name="Normal 530 2" xfId="36335" xr:uid="{00000000-0005-0000-0000-0000F88C0000}"/>
    <cellStyle name="Normal 530 2 2" xfId="36336" xr:uid="{00000000-0005-0000-0000-0000F98C0000}"/>
    <cellStyle name="Normal 530 2 2 2" xfId="36337" xr:uid="{00000000-0005-0000-0000-0000FA8C0000}"/>
    <cellStyle name="Normal 530 2 3" xfId="36338" xr:uid="{00000000-0005-0000-0000-0000FB8C0000}"/>
    <cellStyle name="Normal 530 2 3 2" xfId="36339" xr:uid="{00000000-0005-0000-0000-0000FC8C0000}"/>
    <cellStyle name="Normal 530 2 3 2 2" xfId="36340" xr:uid="{00000000-0005-0000-0000-0000FD8C0000}"/>
    <cellStyle name="Normal 530 2 3 3" xfId="36341" xr:uid="{00000000-0005-0000-0000-0000FE8C0000}"/>
    <cellStyle name="Normal 530 2 4" xfId="36342" xr:uid="{00000000-0005-0000-0000-0000FF8C0000}"/>
    <cellStyle name="Normal 530 3" xfId="36343" xr:uid="{00000000-0005-0000-0000-0000008D0000}"/>
    <cellStyle name="Normal 530 3 2" xfId="36344" xr:uid="{00000000-0005-0000-0000-0000018D0000}"/>
    <cellStyle name="Normal 530 3 2 2" xfId="36345" xr:uid="{00000000-0005-0000-0000-0000028D0000}"/>
    <cellStyle name="Normal 530 3 3" xfId="36346" xr:uid="{00000000-0005-0000-0000-0000038D0000}"/>
    <cellStyle name="Normal 530 4" xfId="36347" xr:uid="{00000000-0005-0000-0000-0000048D0000}"/>
    <cellStyle name="Normal 530 4 2" xfId="36348" xr:uid="{00000000-0005-0000-0000-0000058D0000}"/>
    <cellStyle name="Normal 530 4 2 2" xfId="36349" xr:uid="{00000000-0005-0000-0000-0000068D0000}"/>
    <cellStyle name="Normal 530 4 3" xfId="36350" xr:uid="{00000000-0005-0000-0000-0000078D0000}"/>
    <cellStyle name="Normal 530 5" xfId="36351" xr:uid="{00000000-0005-0000-0000-0000088D0000}"/>
    <cellStyle name="Normal 530 5 2" xfId="36352" xr:uid="{00000000-0005-0000-0000-0000098D0000}"/>
    <cellStyle name="Normal 530 5 2 2" xfId="36353" xr:uid="{00000000-0005-0000-0000-00000A8D0000}"/>
    <cellStyle name="Normal 530 5 3" xfId="36354" xr:uid="{00000000-0005-0000-0000-00000B8D0000}"/>
    <cellStyle name="Normal 530 6" xfId="36355" xr:uid="{00000000-0005-0000-0000-00000C8D0000}"/>
    <cellStyle name="Normal 531" xfId="36356" xr:uid="{00000000-0005-0000-0000-00000D8D0000}"/>
    <cellStyle name="Normal 531 2" xfId="36357" xr:uid="{00000000-0005-0000-0000-00000E8D0000}"/>
    <cellStyle name="Normal 531 2 2" xfId="36358" xr:uid="{00000000-0005-0000-0000-00000F8D0000}"/>
    <cellStyle name="Normal 531 2 2 2" xfId="36359" xr:uid="{00000000-0005-0000-0000-0000108D0000}"/>
    <cellStyle name="Normal 531 2 3" xfId="36360" xr:uid="{00000000-0005-0000-0000-0000118D0000}"/>
    <cellStyle name="Normal 531 2 3 2" xfId="36361" xr:uid="{00000000-0005-0000-0000-0000128D0000}"/>
    <cellStyle name="Normal 531 2 3 2 2" xfId="36362" xr:uid="{00000000-0005-0000-0000-0000138D0000}"/>
    <cellStyle name="Normal 531 2 3 3" xfId="36363" xr:uid="{00000000-0005-0000-0000-0000148D0000}"/>
    <cellStyle name="Normal 531 2 4" xfId="36364" xr:uid="{00000000-0005-0000-0000-0000158D0000}"/>
    <cellStyle name="Normal 531 3" xfId="36365" xr:uid="{00000000-0005-0000-0000-0000168D0000}"/>
    <cellStyle name="Normal 531 3 2" xfId="36366" xr:uid="{00000000-0005-0000-0000-0000178D0000}"/>
    <cellStyle name="Normal 531 3 2 2" xfId="36367" xr:uid="{00000000-0005-0000-0000-0000188D0000}"/>
    <cellStyle name="Normal 531 3 3" xfId="36368" xr:uid="{00000000-0005-0000-0000-0000198D0000}"/>
    <cellStyle name="Normal 531 4" xfId="36369" xr:uid="{00000000-0005-0000-0000-00001A8D0000}"/>
    <cellStyle name="Normal 531 4 2" xfId="36370" xr:uid="{00000000-0005-0000-0000-00001B8D0000}"/>
    <cellStyle name="Normal 531 4 2 2" xfId="36371" xr:uid="{00000000-0005-0000-0000-00001C8D0000}"/>
    <cellStyle name="Normal 531 4 3" xfId="36372" xr:uid="{00000000-0005-0000-0000-00001D8D0000}"/>
    <cellStyle name="Normal 531 5" xfId="36373" xr:uid="{00000000-0005-0000-0000-00001E8D0000}"/>
    <cellStyle name="Normal 531 5 2" xfId="36374" xr:uid="{00000000-0005-0000-0000-00001F8D0000}"/>
    <cellStyle name="Normal 531 5 2 2" xfId="36375" xr:uid="{00000000-0005-0000-0000-0000208D0000}"/>
    <cellStyle name="Normal 531 5 3" xfId="36376" xr:uid="{00000000-0005-0000-0000-0000218D0000}"/>
    <cellStyle name="Normal 531 6" xfId="36377" xr:uid="{00000000-0005-0000-0000-0000228D0000}"/>
    <cellStyle name="Normal 532" xfId="36378" xr:uid="{00000000-0005-0000-0000-0000238D0000}"/>
    <cellStyle name="Normal 532 2" xfId="36379" xr:uid="{00000000-0005-0000-0000-0000248D0000}"/>
    <cellStyle name="Normal 532 2 2" xfId="36380" xr:uid="{00000000-0005-0000-0000-0000258D0000}"/>
    <cellStyle name="Normal 532 2 2 2" xfId="36381" xr:uid="{00000000-0005-0000-0000-0000268D0000}"/>
    <cellStyle name="Normal 532 2 3" xfId="36382" xr:uid="{00000000-0005-0000-0000-0000278D0000}"/>
    <cellStyle name="Normal 532 2 3 2" xfId="36383" xr:uid="{00000000-0005-0000-0000-0000288D0000}"/>
    <cellStyle name="Normal 532 2 3 2 2" xfId="36384" xr:uid="{00000000-0005-0000-0000-0000298D0000}"/>
    <cellStyle name="Normal 532 2 3 3" xfId="36385" xr:uid="{00000000-0005-0000-0000-00002A8D0000}"/>
    <cellStyle name="Normal 532 2 4" xfId="36386" xr:uid="{00000000-0005-0000-0000-00002B8D0000}"/>
    <cellStyle name="Normal 532 3" xfId="36387" xr:uid="{00000000-0005-0000-0000-00002C8D0000}"/>
    <cellStyle name="Normal 532 3 2" xfId="36388" xr:uid="{00000000-0005-0000-0000-00002D8D0000}"/>
    <cellStyle name="Normal 532 3 2 2" xfId="36389" xr:uid="{00000000-0005-0000-0000-00002E8D0000}"/>
    <cellStyle name="Normal 532 3 3" xfId="36390" xr:uid="{00000000-0005-0000-0000-00002F8D0000}"/>
    <cellStyle name="Normal 532 4" xfId="36391" xr:uid="{00000000-0005-0000-0000-0000308D0000}"/>
    <cellStyle name="Normal 532 4 2" xfId="36392" xr:uid="{00000000-0005-0000-0000-0000318D0000}"/>
    <cellStyle name="Normal 532 4 2 2" xfId="36393" xr:uid="{00000000-0005-0000-0000-0000328D0000}"/>
    <cellStyle name="Normal 532 4 3" xfId="36394" xr:uid="{00000000-0005-0000-0000-0000338D0000}"/>
    <cellStyle name="Normal 532 5" xfId="36395" xr:uid="{00000000-0005-0000-0000-0000348D0000}"/>
    <cellStyle name="Normal 532 5 2" xfId="36396" xr:uid="{00000000-0005-0000-0000-0000358D0000}"/>
    <cellStyle name="Normal 532 5 2 2" xfId="36397" xr:uid="{00000000-0005-0000-0000-0000368D0000}"/>
    <cellStyle name="Normal 532 5 3" xfId="36398" xr:uid="{00000000-0005-0000-0000-0000378D0000}"/>
    <cellStyle name="Normal 532 6" xfId="36399" xr:uid="{00000000-0005-0000-0000-0000388D0000}"/>
    <cellStyle name="Normal 533" xfId="36400" xr:uid="{00000000-0005-0000-0000-0000398D0000}"/>
    <cellStyle name="Normal 533 2" xfId="36401" xr:uid="{00000000-0005-0000-0000-00003A8D0000}"/>
    <cellStyle name="Normal 533 2 2" xfId="36402" xr:uid="{00000000-0005-0000-0000-00003B8D0000}"/>
    <cellStyle name="Normal 533 2 2 2" xfId="36403" xr:uid="{00000000-0005-0000-0000-00003C8D0000}"/>
    <cellStyle name="Normal 533 2 3" xfId="36404" xr:uid="{00000000-0005-0000-0000-00003D8D0000}"/>
    <cellStyle name="Normal 533 2 3 2" xfId="36405" xr:uid="{00000000-0005-0000-0000-00003E8D0000}"/>
    <cellStyle name="Normal 533 2 3 2 2" xfId="36406" xr:uid="{00000000-0005-0000-0000-00003F8D0000}"/>
    <cellStyle name="Normal 533 2 3 3" xfId="36407" xr:uid="{00000000-0005-0000-0000-0000408D0000}"/>
    <cellStyle name="Normal 533 2 4" xfId="36408" xr:uid="{00000000-0005-0000-0000-0000418D0000}"/>
    <cellStyle name="Normal 533 3" xfId="36409" xr:uid="{00000000-0005-0000-0000-0000428D0000}"/>
    <cellStyle name="Normal 533 3 2" xfId="36410" xr:uid="{00000000-0005-0000-0000-0000438D0000}"/>
    <cellStyle name="Normal 533 3 2 2" xfId="36411" xr:uid="{00000000-0005-0000-0000-0000448D0000}"/>
    <cellStyle name="Normal 533 3 3" xfId="36412" xr:uid="{00000000-0005-0000-0000-0000458D0000}"/>
    <cellStyle name="Normal 533 4" xfId="36413" xr:uid="{00000000-0005-0000-0000-0000468D0000}"/>
    <cellStyle name="Normal 533 4 2" xfId="36414" xr:uid="{00000000-0005-0000-0000-0000478D0000}"/>
    <cellStyle name="Normal 533 4 2 2" xfId="36415" xr:uid="{00000000-0005-0000-0000-0000488D0000}"/>
    <cellStyle name="Normal 533 4 3" xfId="36416" xr:uid="{00000000-0005-0000-0000-0000498D0000}"/>
    <cellStyle name="Normal 533 5" xfId="36417" xr:uid="{00000000-0005-0000-0000-00004A8D0000}"/>
    <cellStyle name="Normal 533 5 2" xfId="36418" xr:uid="{00000000-0005-0000-0000-00004B8D0000}"/>
    <cellStyle name="Normal 533 5 2 2" xfId="36419" xr:uid="{00000000-0005-0000-0000-00004C8D0000}"/>
    <cellStyle name="Normal 533 5 3" xfId="36420" xr:uid="{00000000-0005-0000-0000-00004D8D0000}"/>
    <cellStyle name="Normal 533 6" xfId="36421" xr:uid="{00000000-0005-0000-0000-00004E8D0000}"/>
    <cellStyle name="Normal 534" xfId="36422" xr:uid="{00000000-0005-0000-0000-00004F8D0000}"/>
    <cellStyle name="Normal 534 2" xfId="36423" xr:uid="{00000000-0005-0000-0000-0000508D0000}"/>
    <cellStyle name="Normal 534 2 2" xfId="36424" xr:uid="{00000000-0005-0000-0000-0000518D0000}"/>
    <cellStyle name="Normal 534 2 2 2" xfId="36425" xr:uid="{00000000-0005-0000-0000-0000528D0000}"/>
    <cellStyle name="Normal 534 2 3" xfId="36426" xr:uid="{00000000-0005-0000-0000-0000538D0000}"/>
    <cellStyle name="Normal 534 2 3 2" xfId="36427" xr:uid="{00000000-0005-0000-0000-0000548D0000}"/>
    <cellStyle name="Normal 534 2 3 2 2" xfId="36428" xr:uid="{00000000-0005-0000-0000-0000558D0000}"/>
    <cellStyle name="Normal 534 2 3 3" xfId="36429" xr:uid="{00000000-0005-0000-0000-0000568D0000}"/>
    <cellStyle name="Normal 534 2 4" xfId="36430" xr:uid="{00000000-0005-0000-0000-0000578D0000}"/>
    <cellStyle name="Normal 534 3" xfId="36431" xr:uid="{00000000-0005-0000-0000-0000588D0000}"/>
    <cellStyle name="Normal 534 3 2" xfId="36432" xr:uid="{00000000-0005-0000-0000-0000598D0000}"/>
    <cellStyle name="Normal 534 3 2 2" xfId="36433" xr:uid="{00000000-0005-0000-0000-00005A8D0000}"/>
    <cellStyle name="Normal 534 3 3" xfId="36434" xr:uid="{00000000-0005-0000-0000-00005B8D0000}"/>
    <cellStyle name="Normal 534 4" xfId="36435" xr:uid="{00000000-0005-0000-0000-00005C8D0000}"/>
    <cellStyle name="Normal 534 4 2" xfId="36436" xr:uid="{00000000-0005-0000-0000-00005D8D0000}"/>
    <cellStyle name="Normal 534 4 2 2" xfId="36437" xr:uid="{00000000-0005-0000-0000-00005E8D0000}"/>
    <cellStyle name="Normal 534 4 3" xfId="36438" xr:uid="{00000000-0005-0000-0000-00005F8D0000}"/>
    <cellStyle name="Normal 534 5" xfId="36439" xr:uid="{00000000-0005-0000-0000-0000608D0000}"/>
    <cellStyle name="Normal 534 5 2" xfId="36440" xr:uid="{00000000-0005-0000-0000-0000618D0000}"/>
    <cellStyle name="Normal 534 5 2 2" xfId="36441" xr:uid="{00000000-0005-0000-0000-0000628D0000}"/>
    <cellStyle name="Normal 534 5 3" xfId="36442" xr:uid="{00000000-0005-0000-0000-0000638D0000}"/>
    <cellStyle name="Normal 534 6" xfId="36443" xr:uid="{00000000-0005-0000-0000-0000648D0000}"/>
    <cellStyle name="Normal 535" xfId="36444" xr:uid="{00000000-0005-0000-0000-0000658D0000}"/>
    <cellStyle name="Normal 535 2" xfId="36445" xr:uid="{00000000-0005-0000-0000-0000668D0000}"/>
    <cellStyle name="Normal 535 2 2" xfId="36446" xr:uid="{00000000-0005-0000-0000-0000678D0000}"/>
    <cellStyle name="Normal 535 2 2 2" xfId="36447" xr:uid="{00000000-0005-0000-0000-0000688D0000}"/>
    <cellStyle name="Normal 535 2 3" xfId="36448" xr:uid="{00000000-0005-0000-0000-0000698D0000}"/>
    <cellStyle name="Normal 535 2 3 2" xfId="36449" xr:uid="{00000000-0005-0000-0000-00006A8D0000}"/>
    <cellStyle name="Normal 535 2 3 2 2" xfId="36450" xr:uid="{00000000-0005-0000-0000-00006B8D0000}"/>
    <cellStyle name="Normal 535 2 3 3" xfId="36451" xr:uid="{00000000-0005-0000-0000-00006C8D0000}"/>
    <cellStyle name="Normal 535 2 4" xfId="36452" xr:uid="{00000000-0005-0000-0000-00006D8D0000}"/>
    <cellStyle name="Normal 535 3" xfId="36453" xr:uid="{00000000-0005-0000-0000-00006E8D0000}"/>
    <cellStyle name="Normal 535 3 2" xfId="36454" xr:uid="{00000000-0005-0000-0000-00006F8D0000}"/>
    <cellStyle name="Normal 535 3 2 2" xfId="36455" xr:uid="{00000000-0005-0000-0000-0000708D0000}"/>
    <cellStyle name="Normal 535 3 3" xfId="36456" xr:uid="{00000000-0005-0000-0000-0000718D0000}"/>
    <cellStyle name="Normal 535 4" xfId="36457" xr:uid="{00000000-0005-0000-0000-0000728D0000}"/>
    <cellStyle name="Normal 535 4 2" xfId="36458" xr:uid="{00000000-0005-0000-0000-0000738D0000}"/>
    <cellStyle name="Normal 535 4 2 2" xfId="36459" xr:uid="{00000000-0005-0000-0000-0000748D0000}"/>
    <cellStyle name="Normal 535 4 3" xfId="36460" xr:uid="{00000000-0005-0000-0000-0000758D0000}"/>
    <cellStyle name="Normal 535 5" xfId="36461" xr:uid="{00000000-0005-0000-0000-0000768D0000}"/>
    <cellStyle name="Normal 535 5 2" xfId="36462" xr:uid="{00000000-0005-0000-0000-0000778D0000}"/>
    <cellStyle name="Normal 535 5 2 2" xfId="36463" xr:uid="{00000000-0005-0000-0000-0000788D0000}"/>
    <cellStyle name="Normal 535 5 3" xfId="36464" xr:uid="{00000000-0005-0000-0000-0000798D0000}"/>
    <cellStyle name="Normal 535 6" xfId="36465" xr:uid="{00000000-0005-0000-0000-00007A8D0000}"/>
    <cellStyle name="Normal 536" xfId="36466" xr:uid="{00000000-0005-0000-0000-00007B8D0000}"/>
    <cellStyle name="Normal 536 2" xfId="36467" xr:uid="{00000000-0005-0000-0000-00007C8D0000}"/>
    <cellStyle name="Normal 536 2 2" xfId="36468" xr:uid="{00000000-0005-0000-0000-00007D8D0000}"/>
    <cellStyle name="Normal 536 2 2 2" xfId="36469" xr:uid="{00000000-0005-0000-0000-00007E8D0000}"/>
    <cellStyle name="Normal 536 2 3" xfId="36470" xr:uid="{00000000-0005-0000-0000-00007F8D0000}"/>
    <cellStyle name="Normal 536 2 3 2" xfId="36471" xr:uid="{00000000-0005-0000-0000-0000808D0000}"/>
    <cellStyle name="Normal 536 2 3 2 2" xfId="36472" xr:uid="{00000000-0005-0000-0000-0000818D0000}"/>
    <cellStyle name="Normal 536 2 3 3" xfId="36473" xr:uid="{00000000-0005-0000-0000-0000828D0000}"/>
    <cellStyle name="Normal 536 2 4" xfId="36474" xr:uid="{00000000-0005-0000-0000-0000838D0000}"/>
    <cellStyle name="Normal 536 3" xfId="36475" xr:uid="{00000000-0005-0000-0000-0000848D0000}"/>
    <cellStyle name="Normal 536 3 2" xfId="36476" xr:uid="{00000000-0005-0000-0000-0000858D0000}"/>
    <cellStyle name="Normal 536 3 2 2" xfId="36477" xr:uid="{00000000-0005-0000-0000-0000868D0000}"/>
    <cellStyle name="Normal 536 3 3" xfId="36478" xr:uid="{00000000-0005-0000-0000-0000878D0000}"/>
    <cellStyle name="Normal 536 4" xfId="36479" xr:uid="{00000000-0005-0000-0000-0000888D0000}"/>
    <cellStyle name="Normal 536 4 2" xfId="36480" xr:uid="{00000000-0005-0000-0000-0000898D0000}"/>
    <cellStyle name="Normal 536 4 2 2" xfId="36481" xr:uid="{00000000-0005-0000-0000-00008A8D0000}"/>
    <cellStyle name="Normal 536 4 3" xfId="36482" xr:uid="{00000000-0005-0000-0000-00008B8D0000}"/>
    <cellStyle name="Normal 536 5" xfId="36483" xr:uid="{00000000-0005-0000-0000-00008C8D0000}"/>
    <cellStyle name="Normal 536 5 2" xfId="36484" xr:uid="{00000000-0005-0000-0000-00008D8D0000}"/>
    <cellStyle name="Normal 536 5 2 2" xfId="36485" xr:uid="{00000000-0005-0000-0000-00008E8D0000}"/>
    <cellStyle name="Normal 536 5 3" xfId="36486" xr:uid="{00000000-0005-0000-0000-00008F8D0000}"/>
    <cellStyle name="Normal 536 6" xfId="36487" xr:uid="{00000000-0005-0000-0000-0000908D0000}"/>
    <cellStyle name="Normal 537" xfId="36488" xr:uid="{00000000-0005-0000-0000-0000918D0000}"/>
    <cellStyle name="Normal 537 2" xfId="36489" xr:uid="{00000000-0005-0000-0000-0000928D0000}"/>
    <cellStyle name="Normal 537 2 2" xfId="36490" xr:uid="{00000000-0005-0000-0000-0000938D0000}"/>
    <cellStyle name="Normal 537 2 2 2" xfId="36491" xr:uid="{00000000-0005-0000-0000-0000948D0000}"/>
    <cellStyle name="Normal 537 2 3" xfId="36492" xr:uid="{00000000-0005-0000-0000-0000958D0000}"/>
    <cellStyle name="Normal 537 2 3 2" xfId="36493" xr:uid="{00000000-0005-0000-0000-0000968D0000}"/>
    <cellStyle name="Normal 537 2 3 2 2" xfId="36494" xr:uid="{00000000-0005-0000-0000-0000978D0000}"/>
    <cellStyle name="Normal 537 2 3 3" xfId="36495" xr:uid="{00000000-0005-0000-0000-0000988D0000}"/>
    <cellStyle name="Normal 537 2 4" xfId="36496" xr:uid="{00000000-0005-0000-0000-0000998D0000}"/>
    <cellStyle name="Normal 537 3" xfId="36497" xr:uid="{00000000-0005-0000-0000-00009A8D0000}"/>
    <cellStyle name="Normal 537 3 2" xfId="36498" xr:uid="{00000000-0005-0000-0000-00009B8D0000}"/>
    <cellStyle name="Normal 537 3 2 2" xfId="36499" xr:uid="{00000000-0005-0000-0000-00009C8D0000}"/>
    <cellStyle name="Normal 537 3 3" xfId="36500" xr:uid="{00000000-0005-0000-0000-00009D8D0000}"/>
    <cellStyle name="Normal 537 4" xfId="36501" xr:uid="{00000000-0005-0000-0000-00009E8D0000}"/>
    <cellStyle name="Normal 537 4 2" xfId="36502" xr:uid="{00000000-0005-0000-0000-00009F8D0000}"/>
    <cellStyle name="Normal 537 4 2 2" xfId="36503" xr:uid="{00000000-0005-0000-0000-0000A08D0000}"/>
    <cellStyle name="Normal 537 4 3" xfId="36504" xr:uid="{00000000-0005-0000-0000-0000A18D0000}"/>
    <cellStyle name="Normal 537 5" xfId="36505" xr:uid="{00000000-0005-0000-0000-0000A28D0000}"/>
    <cellStyle name="Normal 537 5 2" xfId="36506" xr:uid="{00000000-0005-0000-0000-0000A38D0000}"/>
    <cellStyle name="Normal 537 5 2 2" xfId="36507" xr:uid="{00000000-0005-0000-0000-0000A48D0000}"/>
    <cellStyle name="Normal 537 5 3" xfId="36508" xr:uid="{00000000-0005-0000-0000-0000A58D0000}"/>
    <cellStyle name="Normal 537 6" xfId="36509" xr:uid="{00000000-0005-0000-0000-0000A68D0000}"/>
    <cellStyle name="Normal 538" xfId="36510" xr:uid="{00000000-0005-0000-0000-0000A78D0000}"/>
    <cellStyle name="Normal 538 2" xfId="36511" xr:uid="{00000000-0005-0000-0000-0000A88D0000}"/>
    <cellStyle name="Normal 538 2 2" xfId="36512" xr:uid="{00000000-0005-0000-0000-0000A98D0000}"/>
    <cellStyle name="Normal 538 2 2 2" xfId="36513" xr:uid="{00000000-0005-0000-0000-0000AA8D0000}"/>
    <cellStyle name="Normal 538 2 3" xfId="36514" xr:uid="{00000000-0005-0000-0000-0000AB8D0000}"/>
    <cellStyle name="Normal 538 2 3 2" xfId="36515" xr:uid="{00000000-0005-0000-0000-0000AC8D0000}"/>
    <cellStyle name="Normal 538 2 3 2 2" xfId="36516" xr:uid="{00000000-0005-0000-0000-0000AD8D0000}"/>
    <cellStyle name="Normal 538 2 3 3" xfId="36517" xr:uid="{00000000-0005-0000-0000-0000AE8D0000}"/>
    <cellStyle name="Normal 538 2 4" xfId="36518" xr:uid="{00000000-0005-0000-0000-0000AF8D0000}"/>
    <cellStyle name="Normal 538 3" xfId="36519" xr:uid="{00000000-0005-0000-0000-0000B08D0000}"/>
    <cellStyle name="Normal 538 3 2" xfId="36520" xr:uid="{00000000-0005-0000-0000-0000B18D0000}"/>
    <cellStyle name="Normal 538 3 2 2" xfId="36521" xr:uid="{00000000-0005-0000-0000-0000B28D0000}"/>
    <cellStyle name="Normal 538 3 3" xfId="36522" xr:uid="{00000000-0005-0000-0000-0000B38D0000}"/>
    <cellStyle name="Normal 538 4" xfId="36523" xr:uid="{00000000-0005-0000-0000-0000B48D0000}"/>
    <cellStyle name="Normal 538 4 2" xfId="36524" xr:uid="{00000000-0005-0000-0000-0000B58D0000}"/>
    <cellStyle name="Normal 538 4 2 2" xfId="36525" xr:uid="{00000000-0005-0000-0000-0000B68D0000}"/>
    <cellStyle name="Normal 538 4 3" xfId="36526" xr:uid="{00000000-0005-0000-0000-0000B78D0000}"/>
    <cellStyle name="Normal 538 5" xfId="36527" xr:uid="{00000000-0005-0000-0000-0000B88D0000}"/>
    <cellStyle name="Normal 538 5 2" xfId="36528" xr:uid="{00000000-0005-0000-0000-0000B98D0000}"/>
    <cellStyle name="Normal 538 5 2 2" xfId="36529" xr:uid="{00000000-0005-0000-0000-0000BA8D0000}"/>
    <cellStyle name="Normal 538 5 3" xfId="36530" xr:uid="{00000000-0005-0000-0000-0000BB8D0000}"/>
    <cellStyle name="Normal 538 6" xfId="36531" xr:uid="{00000000-0005-0000-0000-0000BC8D0000}"/>
    <cellStyle name="Normal 539" xfId="36532" xr:uid="{00000000-0005-0000-0000-0000BD8D0000}"/>
    <cellStyle name="Normal 539 2" xfId="36533" xr:uid="{00000000-0005-0000-0000-0000BE8D0000}"/>
    <cellStyle name="Normal 539 2 2" xfId="36534" xr:uid="{00000000-0005-0000-0000-0000BF8D0000}"/>
    <cellStyle name="Normal 539 2 2 2" xfId="36535" xr:uid="{00000000-0005-0000-0000-0000C08D0000}"/>
    <cellStyle name="Normal 539 2 3" xfId="36536" xr:uid="{00000000-0005-0000-0000-0000C18D0000}"/>
    <cellStyle name="Normal 539 2 3 2" xfId="36537" xr:uid="{00000000-0005-0000-0000-0000C28D0000}"/>
    <cellStyle name="Normal 539 2 3 2 2" xfId="36538" xr:uid="{00000000-0005-0000-0000-0000C38D0000}"/>
    <cellStyle name="Normal 539 2 3 3" xfId="36539" xr:uid="{00000000-0005-0000-0000-0000C48D0000}"/>
    <cellStyle name="Normal 539 2 4" xfId="36540" xr:uid="{00000000-0005-0000-0000-0000C58D0000}"/>
    <cellStyle name="Normal 539 3" xfId="36541" xr:uid="{00000000-0005-0000-0000-0000C68D0000}"/>
    <cellStyle name="Normal 539 3 2" xfId="36542" xr:uid="{00000000-0005-0000-0000-0000C78D0000}"/>
    <cellStyle name="Normal 539 3 2 2" xfId="36543" xr:uid="{00000000-0005-0000-0000-0000C88D0000}"/>
    <cellStyle name="Normal 539 3 3" xfId="36544" xr:uid="{00000000-0005-0000-0000-0000C98D0000}"/>
    <cellStyle name="Normal 539 4" xfId="36545" xr:uid="{00000000-0005-0000-0000-0000CA8D0000}"/>
    <cellStyle name="Normal 539 4 2" xfId="36546" xr:uid="{00000000-0005-0000-0000-0000CB8D0000}"/>
    <cellStyle name="Normal 539 4 2 2" xfId="36547" xr:uid="{00000000-0005-0000-0000-0000CC8D0000}"/>
    <cellStyle name="Normal 539 4 3" xfId="36548" xr:uid="{00000000-0005-0000-0000-0000CD8D0000}"/>
    <cellStyle name="Normal 539 5" xfId="36549" xr:uid="{00000000-0005-0000-0000-0000CE8D0000}"/>
    <cellStyle name="Normal 539 5 2" xfId="36550" xr:uid="{00000000-0005-0000-0000-0000CF8D0000}"/>
    <cellStyle name="Normal 539 5 2 2" xfId="36551" xr:uid="{00000000-0005-0000-0000-0000D08D0000}"/>
    <cellStyle name="Normal 539 5 3" xfId="36552" xr:uid="{00000000-0005-0000-0000-0000D18D0000}"/>
    <cellStyle name="Normal 539 6" xfId="36553" xr:uid="{00000000-0005-0000-0000-0000D28D0000}"/>
    <cellStyle name="Normal 54" xfId="36554" xr:uid="{00000000-0005-0000-0000-0000D38D0000}"/>
    <cellStyle name="Normal 54 2" xfId="36555" xr:uid="{00000000-0005-0000-0000-0000D48D0000}"/>
    <cellStyle name="Normal 54 2 2" xfId="36556" xr:uid="{00000000-0005-0000-0000-0000D58D0000}"/>
    <cellStyle name="Normal 54 2 2 2" xfId="36557" xr:uid="{00000000-0005-0000-0000-0000D68D0000}"/>
    <cellStyle name="Normal 54 2 2 2 2" xfId="36558" xr:uid="{00000000-0005-0000-0000-0000D78D0000}"/>
    <cellStyle name="Normal 54 2 2 3" xfId="36559" xr:uid="{00000000-0005-0000-0000-0000D88D0000}"/>
    <cellStyle name="Normal 54 2 2 3 2" xfId="36560" xr:uid="{00000000-0005-0000-0000-0000D98D0000}"/>
    <cellStyle name="Normal 54 2 2 3 2 2" xfId="36561" xr:uid="{00000000-0005-0000-0000-0000DA8D0000}"/>
    <cellStyle name="Normal 54 2 2 3 3" xfId="36562" xr:uid="{00000000-0005-0000-0000-0000DB8D0000}"/>
    <cellStyle name="Normal 54 2 2 4" xfId="36563" xr:uid="{00000000-0005-0000-0000-0000DC8D0000}"/>
    <cellStyle name="Normal 54 2 2 4 2" xfId="36564" xr:uid="{00000000-0005-0000-0000-0000DD8D0000}"/>
    <cellStyle name="Normal 54 2 2 4 2 2" xfId="36565" xr:uid="{00000000-0005-0000-0000-0000DE8D0000}"/>
    <cellStyle name="Normal 54 2 2 4 3" xfId="36566" xr:uid="{00000000-0005-0000-0000-0000DF8D0000}"/>
    <cellStyle name="Normal 54 2 2 5" xfId="36567" xr:uid="{00000000-0005-0000-0000-0000E08D0000}"/>
    <cellStyle name="Normal 54 2 3" xfId="36568" xr:uid="{00000000-0005-0000-0000-0000E18D0000}"/>
    <cellStyle name="Normal 54 2 3 2" xfId="36569" xr:uid="{00000000-0005-0000-0000-0000E28D0000}"/>
    <cellStyle name="Normal 54 2 3 2 2" xfId="36570" xr:uid="{00000000-0005-0000-0000-0000E38D0000}"/>
    <cellStyle name="Normal 54 2 3 3" xfId="36571" xr:uid="{00000000-0005-0000-0000-0000E48D0000}"/>
    <cellStyle name="Normal 54 2 4" xfId="36572" xr:uid="{00000000-0005-0000-0000-0000E58D0000}"/>
    <cellStyle name="Normal 54 2 4 2" xfId="36573" xr:uid="{00000000-0005-0000-0000-0000E68D0000}"/>
    <cellStyle name="Normal 54 2 4 2 2" xfId="36574" xr:uid="{00000000-0005-0000-0000-0000E78D0000}"/>
    <cellStyle name="Normal 54 2 4 3" xfId="36575" xr:uid="{00000000-0005-0000-0000-0000E88D0000}"/>
    <cellStyle name="Normal 54 2 5" xfId="36576" xr:uid="{00000000-0005-0000-0000-0000E98D0000}"/>
    <cellStyle name="Normal 54 2 5 2" xfId="36577" xr:uid="{00000000-0005-0000-0000-0000EA8D0000}"/>
    <cellStyle name="Normal 54 2 5 2 2" xfId="36578" xr:uid="{00000000-0005-0000-0000-0000EB8D0000}"/>
    <cellStyle name="Normal 54 2 5 3" xfId="36579" xr:uid="{00000000-0005-0000-0000-0000EC8D0000}"/>
    <cellStyle name="Normal 54 2 6" xfId="36580" xr:uid="{00000000-0005-0000-0000-0000ED8D0000}"/>
    <cellStyle name="Normal 54 3" xfId="36581" xr:uid="{00000000-0005-0000-0000-0000EE8D0000}"/>
    <cellStyle name="Normal 54 3 2" xfId="36582" xr:uid="{00000000-0005-0000-0000-0000EF8D0000}"/>
    <cellStyle name="Normal 54 3 2 2" xfId="36583" xr:uid="{00000000-0005-0000-0000-0000F08D0000}"/>
    <cellStyle name="Normal 54 3 3" xfId="36584" xr:uid="{00000000-0005-0000-0000-0000F18D0000}"/>
    <cellStyle name="Normal 54 3 3 2" xfId="36585" xr:uid="{00000000-0005-0000-0000-0000F28D0000}"/>
    <cellStyle name="Normal 54 3 3 2 2" xfId="36586" xr:uid="{00000000-0005-0000-0000-0000F38D0000}"/>
    <cellStyle name="Normal 54 3 3 3" xfId="36587" xr:uid="{00000000-0005-0000-0000-0000F48D0000}"/>
    <cellStyle name="Normal 54 3 4" xfId="36588" xr:uid="{00000000-0005-0000-0000-0000F58D0000}"/>
    <cellStyle name="Normal 54 3 4 2" xfId="36589" xr:uid="{00000000-0005-0000-0000-0000F68D0000}"/>
    <cellStyle name="Normal 54 3 4 2 2" xfId="36590" xr:uid="{00000000-0005-0000-0000-0000F78D0000}"/>
    <cellStyle name="Normal 54 3 4 3" xfId="36591" xr:uid="{00000000-0005-0000-0000-0000F88D0000}"/>
    <cellStyle name="Normal 54 3 5" xfId="36592" xr:uid="{00000000-0005-0000-0000-0000F98D0000}"/>
    <cellStyle name="Normal 54 4" xfId="36593" xr:uid="{00000000-0005-0000-0000-0000FA8D0000}"/>
    <cellStyle name="Normal 54 4 2" xfId="36594" xr:uid="{00000000-0005-0000-0000-0000FB8D0000}"/>
    <cellStyle name="Normal 54 4 2 2" xfId="36595" xr:uid="{00000000-0005-0000-0000-0000FC8D0000}"/>
    <cellStyle name="Normal 54 4 3" xfId="36596" xr:uid="{00000000-0005-0000-0000-0000FD8D0000}"/>
    <cellStyle name="Normal 54 5" xfId="36597" xr:uid="{00000000-0005-0000-0000-0000FE8D0000}"/>
    <cellStyle name="Normal 54 5 2" xfId="36598" xr:uid="{00000000-0005-0000-0000-0000FF8D0000}"/>
    <cellStyle name="Normal 54 5 2 2" xfId="36599" xr:uid="{00000000-0005-0000-0000-0000008E0000}"/>
    <cellStyle name="Normal 54 5 3" xfId="36600" xr:uid="{00000000-0005-0000-0000-0000018E0000}"/>
    <cellStyle name="Normal 54 6" xfId="36601" xr:uid="{00000000-0005-0000-0000-0000028E0000}"/>
    <cellStyle name="Normal 54 6 2" xfId="36602" xr:uid="{00000000-0005-0000-0000-0000038E0000}"/>
    <cellStyle name="Normal 54 6 2 2" xfId="36603" xr:uid="{00000000-0005-0000-0000-0000048E0000}"/>
    <cellStyle name="Normal 54 6 3" xfId="36604" xr:uid="{00000000-0005-0000-0000-0000058E0000}"/>
    <cellStyle name="Normal 54 7" xfId="36605" xr:uid="{00000000-0005-0000-0000-0000068E0000}"/>
    <cellStyle name="Normal 540" xfId="36606" xr:uid="{00000000-0005-0000-0000-0000078E0000}"/>
    <cellStyle name="Normal 540 2" xfId="36607" xr:uid="{00000000-0005-0000-0000-0000088E0000}"/>
    <cellStyle name="Normal 540 2 2" xfId="36608" xr:uid="{00000000-0005-0000-0000-0000098E0000}"/>
    <cellStyle name="Normal 540 2 2 2" xfId="36609" xr:uid="{00000000-0005-0000-0000-00000A8E0000}"/>
    <cellStyle name="Normal 540 2 3" xfId="36610" xr:uid="{00000000-0005-0000-0000-00000B8E0000}"/>
    <cellStyle name="Normal 540 2 3 2" xfId="36611" xr:uid="{00000000-0005-0000-0000-00000C8E0000}"/>
    <cellStyle name="Normal 540 2 3 2 2" xfId="36612" xr:uid="{00000000-0005-0000-0000-00000D8E0000}"/>
    <cellStyle name="Normal 540 2 3 3" xfId="36613" xr:uid="{00000000-0005-0000-0000-00000E8E0000}"/>
    <cellStyle name="Normal 540 2 4" xfId="36614" xr:uid="{00000000-0005-0000-0000-00000F8E0000}"/>
    <cellStyle name="Normal 540 3" xfId="36615" xr:uid="{00000000-0005-0000-0000-0000108E0000}"/>
    <cellStyle name="Normal 540 3 2" xfId="36616" xr:uid="{00000000-0005-0000-0000-0000118E0000}"/>
    <cellStyle name="Normal 540 3 2 2" xfId="36617" xr:uid="{00000000-0005-0000-0000-0000128E0000}"/>
    <cellStyle name="Normal 540 3 3" xfId="36618" xr:uid="{00000000-0005-0000-0000-0000138E0000}"/>
    <cellStyle name="Normal 540 4" xfId="36619" xr:uid="{00000000-0005-0000-0000-0000148E0000}"/>
    <cellStyle name="Normal 540 4 2" xfId="36620" xr:uid="{00000000-0005-0000-0000-0000158E0000}"/>
    <cellStyle name="Normal 540 4 2 2" xfId="36621" xr:uid="{00000000-0005-0000-0000-0000168E0000}"/>
    <cellStyle name="Normal 540 4 3" xfId="36622" xr:uid="{00000000-0005-0000-0000-0000178E0000}"/>
    <cellStyle name="Normal 540 5" xfId="36623" xr:uid="{00000000-0005-0000-0000-0000188E0000}"/>
    <cellStyle name="Normal 540 5 2" xfId="36624" xr:uid="{00000000-0005-0000-0000-0000198E0000}"/>
    <cellStyle name="Normal 540 5 2 2" xfId="36625" xr:uid="{00000000-0005-0000-0000-00001A8E0000}"/>
    <cellStyle name="Normal 540 5 3" xfId="36626" xr:uid="{00000000-0005-0000-0000-00001B8E0000}"/>
    <cellStyle name="Normal 540 6" xfId="36627" xr:uid="{00000000-0005-0000-0000-00001C8E0000}"/>
    <cellStyle name="Normal 541" xfId="36628" xr:uid="{00000000-0005-0000-0000-00001D8E0000}"/>
    <cellStyle name="Normal 541 2" xfId="36629" xr:uid="{00000000-0005-0000-0000-00001E8E0000}"/>
    <cellStyle name="Normal 541 2 2" xfId="36630" xr:uid="{00000000-0005-0000-0000-00001F8E0000}"/>
    <cellStyle name="Normal 541 2 2 2" xfId="36631" xr:uid="{00000000-0005-0000-0000-0000208E0000}"/>
    <cellStyle name="Normal 541 2 3" xfId="36632" xr:uid="{00000000-0005-0000-0000-0000218E0000}"/>
    <cellStyle name="Normal 541 2 3 2" xfId="36633" xr:uid="{00000000-0005-0000-0000-0000228E0000}"/>
    <cellStyle name="Normal 541 2 3 2 2" xfId="36634" xr:uid="{00000000-0005-0000-0000-0000238E0000}"/>
    <cellStyle name="Normal 541 2 3 3" xfId="36635" xr:uid="{00000000-0005-0000-0000-0000248E0000}"/>
    <cellStyle name="Normal 541 2 4" xfId="36636" xr:uid="{00000000-0005-0000-0000-0000258E0000}"/>
    <cellStyle name="Normal 541 3" xfId="36637" xr:uid="{00000000-0005-0000-0000-0000268E0000}"/>
    <cellStyle name="Normal 541 3 2" xfId="36638" xr:uid="{00000000-0005-0000-0000-0000278E0000}"/>
    <cellStyle name="Normal 541 3 2 2" xfId="36639" xr:uid="{00000000-0005-0000-0000-0000288E0000}"/>
    <cellStyle name="Normal 541 3 3" xfId="36640" xr:uid="{00000000-0005-0000-0000-0000298E0000}"/>
    <cellStyle name="Normal 541 4" xfId="36641" xr:uid="{00000000-0005-0000-0000-00002A8E0000}"/>
    <cellStyle name="Normal 541 4 2" xfId="36642" xr:uid="{00000000-0005-0000-0000-00002B8E0000}"/>
    <cellStyle name="Normal 541 4 2 2" xfId="36643" xr:uid="{00000000-0005-0000-0000-00002C8E0000}"/>
    <cellStyle name="Normal 541 4 3" xfId="36644" xr:uid="{00000000-0005-0000-0000-00002D8E0000}"/>
    <cellStyle name="Normal 541 5" xfId="36645" xr:uid="{00000000-0005-0000-0000-00002E8E0000}"/>
    <cellStyle name="Normal 541 5 2" xfId="36646" xr:uid="{00000000-0005-0000-0000-00002F8E0000}"/>
    <cellStyle name="Normal 541 5 2 2" xfId="36647" xr:uid="{00000000-0005-0000-0000-0000308E0000}"/>
    <cellStyle name="Normal 541 5 3" xfId="36648" xr:uid="{00000000-0005-0000-0000-0000318E0000}"/>
    <cellStyle name="Normal 541 6" xfId="36649" xr:uid="{00000000-0005-0000-0000-0000328E0000}"/>
    <cellStyle name="Normal 542" xfId="36650" xr:uid="{00000000-0005-0000-0000-0000338E0000}"/>
    <cellStyle name="Normal 542 2" xfId="36651" xr:uid="{00000000-0005-0000-0000-0000348E0000}"/>
    <cellStyle name="Normal 542 2 2" xfId="36652" xr:uid="{00000000-0005-0000-0000-0000358E0000}"/>
    <cellStyle name="Normal 542 2 2 2" xfId="36653" xr:uid="{00000000-0005-0000-0000-0000368E0000}"/>
    <cellStyle name="Normal 542 2 3" xfId="36654" xr:uid="{00000000-0005-0000-0000-0000378E0000}"/>
    <cellStyle name="Normal 542 2 3 2" xfId="36655" xr:uid="{00000000-0005-0000-0000-0000388E0000}"/>
    <cellStyle name="Normal 542 2 3 2 2" xfId="36656" xr:uid="{00000000-0005-0000-0000-0000398E0000}"/>
    <cellStyle name="Normal 542 2 3 3" xfId="36657" xr:uid="{00000000-0005-0000-0000-00003A8E0000}"/>
    <cellStyle name="Normal 542 2 4" xfId="36658" xr:uid="{00000000-0005-0000-0000-00003B8E0000}"/>
    <cellStyle name="Normal 542 3" xfId="36659" xr:uid="{00000000-0005-0000-0000-00003C8E0000}"/>
    <cellStyle name="Normal 542 3 2" xfId="36660" xr:uid="{00000000-0005-0000-0000-00003D8E0000}"/>
    <cellStyle name="Normal 542 3 2 2" xfId="36661" xr:uid="{00000000-0005-0000-0000-00003E8E0000}"/>
    <cellStyle name="Normal 542 3 3" xfId="36662" xr:uid="{00000000-0005-0000-0000-00003F8E0000}"/>
    <cellStyle name="Normal 542 4" xfId="36663" xr:uid="{00000000-0005-0000-0000-0000408E0000}"/>
    <cellStyle name="Normal 542 4 2" xfId="36664" xr:uid="{00000000-0005-0000-0000-0000418E0000}"/>
    <cellStyle name="Normal 542 4 2 2" xfId="36665" xr:uid="{00000000-0005-0000-0000-0000428E0000}"/>
    <cellStyle name="Normal 542 4 3" xfId="36666" xr:uid="{00000000-0005-0000-0000-0000438E0000}"/>
    <cellStyle name="Normal 542 5" xfId="36667" xr:uid="{00000000-0005-0000-0000-0000448E0000}"/>
    <cellStyle name="Normal 542 5 2" xfId="36668" xr:uid="{00000000-0005-0000-0000-0000458E0000}"/>
    <cellStyle name="Normal 542 5 2 2" xfId="36669" xr:uid="{00000000-0005-0000-0000-0000468E0000}"/>
    <cellStyle name="Normal 542 5 3" xfId="36670" xr:uid="{00000000-0005-0000-0000-0000478E0000}"/>
    <cellStyle name="Normal 542 6" xfId="36671" xr:uid="{00000000-0005-0000-0000-0000488E0000}"/>
    <cellStyle name="Normal 543" xfId="36672" xr:uid="{00000000-0005-0000-0000-0000498E0000}"/>
    <cellStyle name="Normal 543 2" xfId="36673" xr:uid="{00000000-0005-0000-0000-00004A8E0000}"/>
    <cellStyle name="Normal 543 2 2" xfId="36674" xr:uid="{00000000-0005-0000-0000-00004B8E0000}"/>
    <cellStyle name="Normal 543 2 2 2" xfId="36675" xr:uid="{00000000-0005-0000-0000-00004C8E0000}"/>
    <cellStyle name="Normal 543 2 3" xfId="36676" xr:uid="{00000000-0005-0000-0000-00004D8E0000}"/>
    <cellStyle name="Normal 543 2 3 2" xfId="36677" xr:uid="{00000000-0005-0000-0000-00004E8E0000}"/>
    <cellStyle name="Normal 543 2 3 2 2" xfId="36678" xr:uid="{00000000-0005-0000-0000-00004F8E0000}"/>
    <cellStyle name="Normal 543 2 3 3" xfId="36679" xr:uid="{00000000-0005-0000-0000-0000508E0000}"/>
    <cellStyle name="Normal 543 2 4" xfId="36680" xr:uid="{00000000-0005-0000-0000-0000518E0000}"/>
    <cellStyle name="Normal 543 3" xfId="36681" xr:uid="{00000000-0005-0000-0000-0000528E0000}"/>
    <cellStyle name="Normal 543 3 2" xfId="36682" xr:uid="{00000000-0005-0000-0000-0000538E0000}"/>
    <cellStyle name="Normal 543 3 2 2" xfId="36683" xr:uid="{00000000-0005-0000-0000-0000548E0000}"/>
    <cellStyle name="Normal 543 3 3" xfId="36684" xr:uid="{00000000-0005-0000-0000-0000558E0000}"/>
    <cellStyle name="Normal 543 4" xfId="36685" xr:uid="{00000000-0005-0000-0000-0000568E0000}"/>
    <cellStyle name="Normal 543 4 2" xfId="36686" xr:uid="{00000000-0005-0000-0000-0000578E0000}"/>
    <cellStyle name="Normal 543 4 2 2" xfId="36687" xr:uid="{00000000-0005-0000-0000-0000588E0000}"/>
    <cellStyle name="Normal 543 4 3" xfId="36688" xr:uid="{00000000-0005-0000-0000-0000598E0000}"/>
    <cellStyle name="Normal 543 5" xfId="36689" xr:uid="{00000000-0005-0000-0000-00005A8E0000}"/>
    <cellStyle name="Normal 543 5 2" xfId="36690" xr:uid="{00000000-0005-0000-0000-00005B8E0000}"/>
    <cellStyle name="Normal 543 5 2 2" xfId="36691" xr:uid="{00000000-0005-0000-0000-00005C8E0000}"/>
    <cellStyle name="Normal 543 5 3" xfId="36692" xr:uid="{00000000-0005-0000-0000-00005D8E0000}"/>
    <cellStyle name="Normal 543 6" xfId="36693" xr:uid="{00000000-0005-0000-0000-00005E8E0000}"/>
    <cellStyle name="Normal 544" xfId="36694" xr:uid="{00000000-0005-0000-0000-00005F8E0000}"/>
    <cellStyle name="Normal 544 2" xfId="36695" xr:uid="{00000000-0005-0000-0000-0000608E0000}"/>
    <cellStyle name="Normal 544 2 2" xfId="36696" xr:uid="{00000000-0005-0000-0000-0000618E0000}"/>
    <cellStyle name="Normal 544 2 2 2" xfId="36697" xr:uid="{00000000-0005-0000-0000-0000628E0000}"/>
    <cellStyle name="Normal 544 2 3" xfId="36698" xr:uid="{00000000-0005-0000-0000-0000638E0000}"/>
    <cellStyle name="Normal 544 2 3 2" xfId="36699" xr:uid="{00000000-0005-0000-0000-0000648E0000}"/>
    <cellStyle name="Normal 544 2 3 2 2" xfId="36700" xr:uid="{00000000-0005-0000-0000-0000658E0000}"/>
    <cellStyle name="Normal 544 2 3 3" xfId="36701" xr:uid="{00000000-0005-0000-0000-0000668E0000}"/>
    <cellStyle name="Normal 544 2 4" xfId="36702" xr:uid="{00000000-0005-0000-0000-0000678E0000}"/>
    <cellStyle name="Normal 544 3" xfId="36703" xr:uid="{00000000-0005-0000-0000-0000688E0000}"/>
    <cellStyle name="Normal 544 3 2" xfId="36704" xr:uid="{00000000-0005-0000-0000-0000698E0000}"/>
    <cellStyle name="Normal 544 3 2 2" xfId="36705" xr:uid="{00000000-0005-0000-0000-00006A8E0000}"/>
    <cellStyle name="Normal 544 3 3" xfId="36706" xr:uid="{00000000-0005-0000-0000-00006B8E0000}"/>
    <cellStyle name="Normal 544 4" xfId="36707" xr:uid="{00000000-0005-0000-0000-00006C8E0000}"/>
    <cellStyle name="Normal 544 4 2" xfId="36708" xr:uid="{00000000-0005-0000-0000-00006D8E0000}"/>
    <cellStyle name="Normal 544 4 2 2" xfId="36709" xr:uid="{00000000-0005-0000-0000-00006E8E0000}"/>
    <cellStyle name="Normal 544 4 3" xfId="36710" xr:uid="{00000000-0005-0000-0000-00006F8E0000}"/>
    <cellStyle name="Normal 544 5" xfId="36711" xr:uid="{00000000-0005-0000-0000-0000708E0000}"/>
    <cellStyle name="Normal 544 5 2" xfId="36712" xr:uid="{00000000-0005-0000-0000-0000718E0000}"/>
    <cellStyle name="Normal 544 5 2 2" xfId="36713" xr:uid="{00000000-0005-0000-0000-0000728E0000}"/>
    <cellStyle name="Normal 544 5 3" xfId="36714" xr:uid="{00000000-0005-0000-0000-0000738E0000}"/>
    <cellStyle name="Normal 544 6" xfId="36715" xr:uid="{00000000-0005-0000-0000-0000748E0000}"/>
    <cellStyle name="Normal 545" xfId="36716" xr:uid="{00000000-0005-0000-0000-0000758E0000}"/>
    <cellStyle name="Normal 545 2" xfId="36717" xr:uid="{00000000-0005-0000-0000-0000768E0000}"/>
    <cellStyle name="Normal 545 2 2" xfId="36718" xr:uid="{00000000-0005-0000-0000-0000778E0000}"/>
    <cellStyle name="Normal 545 2 2 2" xfId="36719" xr:uid="{00000000-0005-0000-0000-0000788E0000}"/>
    <cellStyle name="Normal 545 2 3" xfId="36720" xr:uid="{00000000-0005-0000-0000-0000798E0000}"/>
    <cellStyle name="Normal 545 2 3 2" xfId="36721" xr:uid="{00000000-0005-0000-0000-00007A8E0000}"/>
    <cellStyle name="Normal 545 2 3 2 2" xfId="36722" xr:uid="{00000000-0005-0000-0000-00007B8E0000}"/>
    <cellStyle name="Normal 545 2 3 3" xfId="36723" xr:uid="{00000000-0005-0000-0000-00007C8E0000}"/>
    <cellStyle name="Normal 545 2 4" xfId="36724" xr:uid="{00000000-0005-0000-0000-00007D8E0000}"/>
    <cellStyle name="Normal 545 3" xfId="36725" xr:uid="{00000000-0005-0000-0000-00007E8E0000}"/>
    <cellStyle name="Normal 545 3 2" xfId="36726" xr:uid="{00000000-0005-0000-0000-00007F8E0000}"/>
    <cellStyle name="Normal 545 3 2 2" xfId="36727" xr:uid="{00000000-0005-0000-0000-0000808E0000}"/>
    <cellStyle name="Normal 545 3 3" xfId="36728" xr:uid="{00000000-0005-0000-0000-0000818E0000}"/>
    <cellStyle name="Normal 545 4" xfId="36729" xr:uid="{00000000-0005-0000-0000-0000828E0000}"/>
    <cellStyle name="Normal 545 4 2" xfId="36730" xr:uid="{00000000-0005-0000-0000-0000838E0000}"/>
    <cellStyle name="Normal 545 4 2 2" xfId="36731" xr:uid="{00000000-0005-0000-0000-0000848E0000}"/>
    <cellStyle name="Normal 545 4 3" xfId="36732" xr:uid="{00000000-0005-0000-0000-0000858E0000}"/>
    <cellStyle name="Normal 545 5" xfId="36733" xr:uid="{00000000-0005-0000-0000-0000868E0000}"/>
    <cellStyle name="Normal 545 5 2" xfId="36734" xr:uid="{00000000-0005-0000-0000-0000878E0000}"/>
    <cellStyle name="Normal 545 5 2 2" xfId="36735" xr:uid="{00000000-0005-0000-0000-0000888E0000}"/>
    <cellStyle name="Normal 545 5 3" xfId="36736" xr:uid="{00000000-0005-0000-0000-0000898E0000}"/>
    <cellStyle name="Normal 545 6" xfId="36737" xr:uid="{00000000-0005-0000-0000-00008A8E0000}"/>
    <cellStyle name="Normal 546" xfId="36738" xr:uid="{00000000-0005-0000-0000-00008B8E0000}"/>
    <cellStyle name="Normal 546 2" xfId="36739" xr:uid="{00000000-0005-0000-0000-00008C8E0000}"/>
    <cellStyle name="Normal 546 2 2" xfId="36740" xr:uid="{00000000-0005-0000-0000-00008D8E0000}"/>
    <cellStyle name="Normal 546 2 2 2" xfId="36741" xr:uid="{00000000-0005-0000-0000-00008E8E0000}"/>
    <cellStyle name="Normal 546 2 3" xfId="36742" xr:uid="{00000000-0005-0000-0000-00008F8E0000}"/>
    <cellStyle name="Normal 546 2 3 2" xfId="36743" xr:uid="{00000000-0005-0000-0000-0000908E0000}"/>
    <cellStyle name="Normal 546 2 3 2 2" xfId="36744" xr:uid="{00000000-0005-0000-0000-0000918E0000}"/>
    <cellStyle name="Normal 546 2 3 3" xfId="36745" xr:uid="{00000000-0005-0000-0000-0000928E0000}"/>
    <cellStyle name="Normal 546 2 4" xfId="36746" xr:uid="{00000000-0005-0000-0000-0000938E0000}"/>
    <cellStyle name="Normal 546 3" xfId="36747" xr:uid="{00000000-0005-0000-0000-0000948E0000}"/>
    <cellStyle name="Normal 546 3 2" xfId="36748" xr:uid="{00000000-0005-0000-0000-0000958E0000}"/>
    <cellStyle name="Normal 546 3 2 2" xfId="36749" xr:uid="{00000000-0005-0000-0000-0000968E0000}"/>
    <cellStyle name="Normal 546 3 3" xfId="36750" xr:uid="{00000000-0005-0000-0000-0000978E0000}"/>
    <cellStyle name="Normal 546 4" xfId="36751" xr:uid="{00000000-0005-0000-0000-0000988E0000}"/>
    <cellStyle name="Normal 546 4 2" xfId="36752" xr:uid="{00000000-0005-0000-0000-0000998E0000}"/>
    <cellStyle name="Normal 546 4 2 2" xfId="36753" xr:uid="{00000000-0005-0000-0000-00009A8E0000}"/>
    <cellStyle name="Normal 546 4 3" xfId="36754" xr:uid="{00000000-0005-0000-0000-00009B8E0000}"/>
    <cellStyle name="Normal 546 5" xfId="36755" xr:uid="{00000000-0005-0000-0000-00009C8E0000}"/>
    <cellStyle name="Normal 546 5 2" xfId="36756" xr:uid="{00000000-0005-0000-0000-00009D8E0000}"/>
    <cellStyle name="Normal 546 5 2 2" xfId="36757" xr:uid="{00000000-0005-0000-0000-00009E8E0000}"/>
    <cellStyle name="Normal 546 5 3" xfId="36758" xr:uid="{00000000-0005-0000-0000-00009F8E0000}"/>
    <cellStyle name="Normal 546 6" xfId="36759" xr:uid="{00000000-0005-0000-0000-0000A08E0000}"/>
    <cellStyle name="Normal 547" xfId="36760" xr:uid="{00000000-0005-0000-0000-0000A18E0000}"/>
    <cellStyle name="Normal 547 2" xfId="36761" xr:uid="{00000000-0005-0000-0000-0000A28E0000}"/>
    <cellStyle name="Normal 547 2 2" xfId="36762" xr:uid="{00000000-0005-0000-0000-0000A38E0000}"/>
    <cellStyle name="Normal 547 2 2 2" xfId="36763" xr:uid="{00000000-0005-0000-0000-0000A48E0000}"/>
    <cellStyle name="Normal 547 2 3" xfId="36764" xr:uid="{00000000-0005-0000-0000-0000A58E0000}"/>
    <cellStyle name="Normal 547 2 3 2" xfId="36765" xr:uid="{00000000-0005-0000-0000-0000A68E0000}"/>
    <cellStyle name="Normal 547 2 3 2 2" xfId="36766" xr:uid="{00000000-0005-0000-0000-0000A78E0000}"/>
    <cellStyle name="Normal 547 2 3 3" xfId="36767" xr:uid="{00000000-0005-0000-0000-0000A88E0000}"/>
    <cellStyle name="Normal 547 2 4" xfId="36768" xr:uid="{00000000-0005-0000-0000-0000A98E0000}"/>
    <cellStyle name="Normal 547 3" xfId="36769" xr:uid="{00000000-0005-0000-0000-0000AA8E0000}"/>
    <cellStyle name="Normal 547 3 2" xfId="36770" xr:uid="{00000000-0005-0000-0000-0000AB8E0000}"/>
    <cellStyle name="Normal 547 3 2 2" xfId="36771" xr:uid="{00000000-0005-0000-0000-0000AC8E0000}"/>
    <cellStyle name="Normal 547 3 3" xfId="36772" xr:uid="{00000000-0005-0000-0000-0000AD8E0000}"/>
    <cellStyle name="Normal 547 4" xfId="36773" xr:uid="{00000000-0005-0000-0000-0000AE8E0000}"/>
    <cellStyle name="Normal 547 4 2" xfId="36774" xr:uid="{00000000-0005-0000-0000-0000AF8E0000}"/>
    <cellStyle name="Normal 547 4 2 2" xfId="36775" xr:uid="{00000000-0005-0000-0000-0000B08E0000}"/>
    <cellStyle name="Normal 547 4 3" xfId="36776" xr:uid="{00000000-0005-0000-0000-0000B18E0000}"/>
    <cellStyle name="Normal 547 5" xfId="36777" xr:uid="{00000000-0005-0000-0000-0000B28E0000}"/>
    <cellStyle name="Normal 547 5 2" xfId="36778" xr:uid="{00000000-0005-0000-0000-0000B38E0000}"/>
    <cellStyle name="Normal 547 5 2 2" xfId="36779" xr:uid="{00000000-0005-0000-0000-0000B48E0000}"/>
    <cellStyle name="Normal 547 5 3" xfId="36780" xr:uid="{00000000-0005-0000-0000-0000B58E0000}"/>
    <cellStyle name="Normal 547 6" xfId="36781" xr:uid="{00000000-0005-0000-0000-0000B68E0000}"/>
    <cellStyle name="Normal 548" xfId="36782" xr:uid="{00000000-0005-0000-0000-0000B78E0000}"/>
    <cellStyle name="Normal 548 2" xfId="36783" xr:uid="{00000000-0005-0000-0000-0000B88E0000}"/>
    <cellStyle name="Normal 548 2 2" xfId="36784" xr:uid="{00000000-0005-0000-0000-0000B98E0000}"/>
    <cellStyle name="Normal 548 2 2 2" xfId="36785" xr:uid="{00000000-0005-0000-0000-0000BA8E0000}"/>
    <cellStyle name="Normal 548 2 3" xfId="36786" xr:uid="{00000000-0005-0000-0000-0000BB8E0000}"/>
    <cellStyle name="Normal 548 2 3 2" xfId="36787" xr:uid="{00000000-0005-0000-0000-0000BC8E0000}"/>
    <cellStyle name="Normal 548 2 3 2 2" xfId="36788" xr:uid="{00000000-0005-0000-0000-0000BD8E0000}"/>
    <cellStyle name="Normal 548 2 3 3" xfId="36789" xr:uid="{00000000-0005-0000-0000-0000BE8E0000}"/>
    <cellStyle name="Normal 548 2 4" xfId="36790" xr:uid="{00000000-0005-0000-0000-0000BF8E0000}"/>
    <cellStyle name="Normal 548 3" xfId="36791" xr:uid="{00000000-0005-0000-0000-0000C08E0000}"/>
    <cellStyle name="Normal 548 3 2" xfId="36792" xr:uid="{00000000-0005-0000-0000-0000C18E0000}"/>
    <cellStyle name="Normal 548 3 2 2" xfId="36793" xr:uid="{00000000-0005-0000-0000-0000C28E0000}"/>
    <cellStyle name="Normal 548 3 3" xfId="36794" xr:uid="{00000000-0005-0000-0000-0000C38E0000}"/>
    <cellStyle name="Normal 548 4" xfId="36795" xr:uid="{00000000-0005-0000-0000-0000C48E0000}"/>
    <cellStyle name="Normal 548 4 2" xfId="36796" xr:uid="{00000000-0005-0000-0000-0000C58E0000}"/>
    <cellStyle name="Normal 548 4 2 2" xfId="36797" xr:uid="{00000000-0005-0000-0000-0000C68E0000}"/>
    <cellStyle name="Normal 548 4 3" xfId="36798" xr:uid="{00000000-0005-0000-0000-0000C78E0000}"/>
    <cellStyle name="Normal 548 5" xfId="36799" xr:uid="{00000000-0005-0000-0000-0000C88E0000}"/>
    <cellStyle name="Normal 548 5 2" xfId="36800" xr:uid="{00000000-0005-0000-0000-0000C98E0000}"/>
    <cellStyle name="Normal 548 5 2 2" xfId="36801" xr:uid="{00000000-0005-0000-0000-0000CA8E0000}"/>
    <cellStyle name="Normal 548 5 3" xfId="36802" xr:uid="{00000000-0005-0000-0000-0000CB8E0000}"/>
    <cellStyle name="Normal 548 6" xfId="36803" xr:uid="{00000000-0005-0000-0000-0000CC8E0000}"/>
    <cellStyle name="Normal 549" xfId="36804" xr:uid="{00000000-0005-0000-0000-0000CD8E0000}"/>
    <cellStyle name="Normal 549 2" xfId="36805" xr:uid="{00000000-0005-0000-0000-0000CE8E0000}"/>
    <cellStyle name="Normal 549 2 2" xfId="36806" xr:uid="{00000000-0005-0000-0000-0000CF8E0000}"/>
    <cellStyle name="Normal 549 2 2 2" xfId="36807" xr:uid="{00000000-0005-0000-0000-0000D08E0000}"/>
    <cellStyle name="Normal 549 2 3" xfId="36808" xr:uid="{00000000-0005-0000-0000-0000D18E0000}"/>
    <cellStyle name="Normal 549 2 3 2" xfId="36809" xr:uid="{00000000-0005-0000-0000-0000D28E0000}"/>
    <cellStyle name="Normal 549 2 3 2 2" xfId="36810" xr:uid="{00000000-0005-0000-0000-0000D38E0000}"/>
    <cellStyle name="Normal 549 2 3 3" xfId="36811" xr:uid="{00000000-0005-0000-0000-0000D48E0000}"/>
    <cellStyle name="Normal 549 2 4" xfId="36812" xr:uid="{00000000-0005-0000-0000-0000D58E0000}"/>
    <cellStyle name="Normal 549 3" xfId="36813" xr:uid="{00000000-0005-0000-0000-0000D68E0000}"/>
    <cellStyle name="Normal 549 3 2" xfId="36814" xr:uid="{00000000-0005-0000-0000-0000D78E0000}"/>
    <cellStyle name="Normal 549 3 2 2" xfId="36815" xr:uid="{00000000-0005-0000-0000-0000D88E0000}"/>
    <cellStyle name="Normal 549 3 3" xfId="36816" xr:uid="{00000000-0005-0000-0000-0000D98E0000}"/>
    <cellStyle name="Normal 549 4" xfId="36817" xr:uid="{00000000-0005-0000-0000-0000DA8E0000}"/>
    <cellStyle name="Normal 549 4 2" xfId="36818" xr:uid="{00000000-0005-0000-0000-0000DB8E0000}"/>
    <cellStyle name="Normal 549 4 2 2" xfId="36819" xr:uid="{00000000-0005-0000-0000-0000DC8E0000}"/>
    <cellStyle name="Normal 549 4 3" xfId="36820" xr:uid="{00000000-0005-0000-0000-0000DD8E0000}"/>
    <cellStyle name="Normal 549 5" xfId="36821" xr:uid="{00000000-0005-0000-0000-0000DE8E0000}"/>
    <cellStyle name="Normal 549 5 2" xfId="36822" xr:uid="{00000000-0005-0000-0000-0000DF8E0000}"/>
    <cellStyle name="Normal 549 5 2 2" xfId="36823" xr:uid="{00000000-0005-0000-0000-0000E08E0000}"/>
    <cellStyle name="Normal 549 5 3" xfId="36824" xr:uid="{00000000-0005-0000-0000-0000E18E0000}"/>
    <cellStyle name="Normal 549 6" xfId="36825" xr:uid="{00000000-0005-0000-0000-0000E28E0000}"/>
    <cellStyle name="Normal 55" xfId="36826" xr:uid="{00000000-0005-0000-0000-0000E38E0000}"/>
    <cellStyle name="Normal 55 2" xfId="36827" xr:uid="{00000000-0005-0000-0000-0000E48E0000}"/>
    <cellStyle name="Normal 55 2 2" xfId="36828" xr:uid="{00000000-0005-0000-0000-0000E58E0000}"/>
    <cellStyle name="Normal 55 2 2 2" xfId="36829" xr:uid="{00000000-0005-0000-0000-0000E68E0000}"/>
    <cellStyle name="Normal 55 2 3" xfId="36830" xr:uid="{00000000-0005-0000-0000-0000E78E0000}"/>
    <cellStyle name="Normal 55 2 3 2" xfId="36831" xr:uid="{00000000-0005-0000-0000-0000E88E0000}"/>
    <cellStyle name="Normal 55 2 3 2 2" xfId="36832" xr:uid="{00000000-0005-0000-0000-0000E98E0000}"/>
    <cellStyle name="Normal 55 2 3 3" xfId="36833" xr:uid="{00000000-0005-0000-0000-0000EA8E0000}"/>
    <cellStyle name="Normal 55 2 4" xfId="36834" xr:uid="{00000000-0005-0000-0000-0000EB8E0000}"/>
    <cellStyle name="Normal 55 2 4 2" xfId="36835" xr:uid="{00000000-0005-0000-0000-0000EC8E0000}"/>
    <cellStyle name="Normal 55 2 4 2 2" xfId="36836" xr:uid="{00000000-0005-0000-0000-0000ED8E0000}"/>
    <cellStyle name="Normal 55 2 4 3" xfId="36837" xr:uid="{00000000-0005-0000-0000-0000EE8E0000}"/>
    <cellStyle name="Normal 55 2 5" xfId="36838" xr:uid="{00000000-0005-0000-0000-0000EF8E0000}"/>
    <cellStyle name="Normal 55 3" xfId="36839" xr:uid="{00000000-0005-0000-0000-0000F08E0000}"/>
    <cellStyle name="Normal 55 3 2" xfId="36840" xr:uid="{00000000-0005-0000-0000-0000F18E0000}"/>
    <cellStyle name="Normal 55 3 2 2" xfId="36841" xr:uid="{00000000-0005-0000-0000-0000F28E0000}"/>
    <cellStyle name="Normal 55 3 2 2 2" xfId="36842" xr:uid="{00000000-0005-0000-0000-0000F38E0000}"/>
    <cellStyle name="Normal 55 3 2 3" xfId="36843" xr:uid="{00000000-0005-0000-0000-0000F48E0000}"/>
    <cellStyle name="Normal 55 3 2 3 2" xfId="36844" xr:uid="{00000000-0005-0000-0000-0000F58E0000}"/>
    <cellStyle name="Normal 55 3 2 3 2 2" xfId="36845" xr:uid="{00000000-0005-0000-0000-0000F68E0000}"/>
    <cellStyle name="Normal 55 3 2 3 3" xfId="36846" xr:uid="{00000000-0005-0000-0000-0000F78E0000}"/>
    <cellStyle name="Normal 55 3 2 4" xfId="36847" xr:uid="{00000000-0005-0000-0000-0000F88E0000}"/>
    <cellStyle name="Normal 55 3 3" xfId="36848" xr:uid="{00000000-0005-0000-0000-0000F98E0000}"/>
    <cellStyle name="Normal 55 3 3 2" xfId="36849" xr:uid="{00000000-0005-0000-0000-0000FA8E0000}"/>
    <cellStyle name="Normal 55 3 3 2 2" xfId="36850" xr:uid="{00000000-0005-0000-0000-0000FB8E0000}"/>
    <cellStyle name="Normal 55 3 3 3" xfId="36851" xr:uid="{00000000-0005-0000-0000-0000FC8E0000}"/>
    <cellStyle name="Normal 55 3 4" xfId="36852" xr:uid="{00000000-0005-0000-0000-0000FD8E0000}"/>
    <cellStyle name="Normal 55 3 4 2" xfId="36853" xr:uid="{00000000-0005-0000-0000-0000FE8E0000}"/>
    <cellStyle name="Normal 55 3 4 2 2" xfId="36854" xr:uid="{00000000-0005-0000-0000-0000FF8E0000}"/>
    <cellStyle name="Normal 55 3 4 3" xfId="36855" xr:uid="{00000000-0005-0000-0000-0000008F0000}"/>
    <cellStyle name="Normal 55 3 5" xfId="36856" xr:uid="{00000000-0005-0000-0000-0000018F0000}"/>
    <cellStyle name="Normal 55 3 5 2" xfId="36857" xr:uid="{00000000-0005-0000-0000-0000028F0000}"/>
    <cellStyle name="Normal 55 3 5 2 2" xfId="36858" xr:uid="{00000000-0005-0000-0000-0000038F0000}"/>
    <cellStyle name="Normal 55 3 5 3" xfId="36859" xr:uid="{00000000-0005-0000-0000-0000048F0000}"/>
    <cellStyle name="Normal 55 3 6" xfId="36860" xr:uid="{00000000-0005-0000-0000-0000058F0000}"/>
    <cellStyle name="Normal 55 4" xfId="36861" xr:uid="{00000000-0005-0000-0000-0000068F0000}"/>
    <cellStyle name="Normal 55 4 2" xfId="36862" xr:uid="{00000000-0005-0000-0000-0000078F0000}"/>
    <cellStyle name="Normal 55 4 2 2" xfId="36863" xr:uid="{00000000-0005-0000-0000-0000088F0000}"/>
    <cellStyle name="Normal 55 4 3" xfId="36864" xr:uid="{00000000-0005-0000-0000-0000098F0000}"/>
    <cellStyle name="Normal 55 5" xfId="36865" xr:uid="{00000000-0005-0000-0000-00000A8F0000}"/>
    <cellStyle name="Normal 55 5 2" xfId="36866" xr:uid="{00000000-0005-0000-0000-00000B8F0000}"/>
    <cellStyle name="Normal 55 5 2 2" xfId="36867" xr:uid="{00000000-0005-0000-0000-00000C8F0000}"/>
    <cellStyle name="Normal 55 5 3" xfId="36868" xr:uid="{00000000-0005-0000-0000-00000D8F0000}"/>
    <cellStyle name="Normal 55 6" xfId="36869" xr:uid="{00000000-0005-0000-0000-00000E8F0000}"/>
    <cellStyle name="Normal 55 6 2" xfId="36870" xr:uid="{00000000-0005-0000-0000-00000F8F0000}"/>
    <cellStyle name="Normal 55 6 2 2" xfId="36871" xr:uid="{00000000-0005-0000-0000-0000108F0000}"/>
    <cellStyle name="Normal 55 6 3" xfId="36872" xr:uid="{00000000-0005-0000-0000-0000118F0000}"/>
    <cellStyle name="Normal 55 7" xfId="36873" xr:uid="{00000000-0005-0000-0000-0000128F0000}"/>
    <cellStyle name="Normal 550" xfId="36874" xr:uid="{00000000-0005-0000-0000-0000138F0000}"/>
    <cellStyle name="Normal 550 2" xfId="36875" xr:uid="{00000000-0005-0000-0000-0000148F0000}"/>
    <cellStyle name="Normal 550 2 2" xfId="36876" xr:uid="{00000000-0005-0000-0000-0000158F0000}"/>
    <cellStyle name="Normal 550 2 2 2" xfId="36877" xr:uid="{00000000-0005-0000-0000-0000168F0000}"/>
    <cellStyle name="Normal 550 2 3" xfId="36878" xr:uid="{00000000-0005-0000-0000-0000178F0000}"/>
    <cellStyle name="Normal 550 2 3 2" xfId="36879" xr:uid="{00000000-0005-0000-0000-0000188F0000}"/>
    <cellStyle name="Normal 550 2 3 2 2" xfId="36880" xr:uid="{00000000-0005-0000-0000-0000198F0000}"/>
    <cellStyle name="Normal 550 2 3 3" xfId="36881" xr:uid="{00000000-0005-0000-0000-00001A8F0000}"/>
    <cellStyle name="Normal 550 2 4" xfId="36882" xr:uid="{00000000-0005-0000-0000-00001B8F0000}"/>
    <cellStyle name="Normal 550 3" xfId="36883" xr:uid="{00000000-0005-0000-0000-00001C8F0000}"/>
    <cellStyle name="Normal 550 3 2" xfId="36884" xr:uid="{00000000-0005-0000-0000-00001D8F0000}"/>
    <cellStyle name="Normal 550 3 2 2" xfId="36885" xr:uid="{00000000-0005-0000-0000-00001E8F0000}"/>
    <cellStyle name="Normal 550 3 3" xfId="36886" xr:uid="{00000000-0005-0000-0000-00001F8F0000}"/>
    <cellStyle name="Normal 550 4" xfId="36887" xr:uid="{00000000-0005-0000-0000-0000208F0000}"/>
    <cellStyle name="Normal 550 4 2" xfId="36888" xr:uid="{00000000-0005-0000-0000-0000218F0000}"/>
    <cellStyle name="Normal 550 4 2 2" xfId="36889" xr:uid="{00000000-0005-0000-0000-0000228F0000}"/>
    <cellStyle name="Normal 550 4 3" xfId="36890" xr:uid="{00000000-0005-0000-0000-0000238F0000}"/>
    <cellStyle name="Normal 550 5" xfId="36891" xr:uid="{00000000-0005-0000-0000-0000248F0000}"/>
    <cellStyle name="Normal 550 5 2" xfId="36892" xr:uid="{00000000-0005-0000-0000-0000258F0000}"/>
    <cellStyle name="Normal 550 5 2 2" xfId="36893" xr:uid="{00000000-0005-0000-0000-0000268F0000}"/>
    <cellStyle name="Normal 550 5 3" xfId="36894" xr:uid="{00000000-0005-0000-0000-0000278F0000}"/>
    <cellStyle name="Normal 550 6" xfId="36895" xr:uid="{00000000-0005-0000-0000-0000288F0000}"/>
    <cellStyle name="Normal 551" xfId="36896" xr:uid="{00000000-0005-0000-0000-0000298F0000}"/>
    <cellStyle name="Normal 551 2" xfId="36897" xr:uid="{00000000-0005-0000-0000-00002A8F0000}"/>
    <cellStyle name="Normal 551 2 2" xfId="36898" xr:uid="{00000000-0005-0000-0000-00002B8F0000}"/>
    <cellStyle name="Normal 551 2 2 2" xfId="36899" xr:uid="{00000000-0005-0000-0000-00002C8F0000}"/>
    <cellStyle name="Normal 551 2 3" xfId="36900" xr:uid="{00000000-0005-0000-0000-00002D8F0000}"/>
    <cellStyle name="Normal 551 2 3 2" xfId="36901" xr:uid="{00000000-0005-0000-0000-00002E8F0000}"/>
    <cellStyle name="Normal 551 2 3 2 2" xfId="36902" xr:uid="{00000000-0005-0000-0000-00002F8F0000}"/>
    <cellStyle name="Normal 551 2 3 3" xfId="36903" xr:uid="{00000000-0005-0000-0000-0000308F0000}"/>
    <cellStyle name="Normal 551 2 4" xfId="36904" xr:uid="{00000000-0005-0000-0000-0000318F0000}"/>
    <cellStyle name="Normal 551 3" xfId="36905" xr:uid="{00000000-0005-0000-0000-0000328F0000}"/>
    <cellStyle name="Normal 551 3 2" xfId="36906" xr:uid="{00000000-0005-0000-0000-0000338F0000}"/>
    <cellStyle name="Normal 551 3 2 2" xfId="36907" xr:uid="{00000000-0005-0000-0000-0000348F0000}"/>
    <cellStyle name="Normal 551 3 3" xfId="36908" xr:uid="{00000000-0005-0000-0000-0000358F0000}"/>
    <cellStyle name="Normal 551 4" xfId="36909" xr:uid="{00000000-0005-0000-0000-0000368F0000}"/>
    <cellStyle name="Normal 551 4 2" xfId="36910" xr:uid="{00000000-0005-0000-0000-0000378F0000}"/>
    <cellStyle name="Normal 551 4 2 2" xfId="36911" xr:uid="{00000000-0005-0000-0000-0000388F0000}"/>
    <cellStyle name="Normal 551 4 3" xfId="36912" xr:uid="{00000000-0005-0000-0000-0000398F0000}"/>
    <cellStyle name="Normal 551 5" xfId="36913" xr:uid="{00000000-0005-0000-0000-00003A8F0000}"/>
    <cellStyle name="Normal 551 5 2" xfId="36914" xr:uid="{00000000-0005-0000-0000-00003B8F0000}"/>
    <cellStyle name="Normal 551 5 2 2" xfId="36915" xr:uid="{00000000-0005-0000-0000-00003C8F0000}"/>
    <cellStyle name="Normal 551 5 3" xfId="36916" xr:uid="{00000000-0005-0000-0000-00003D8F0000}"/>
    <cellStyle name="Normal 551 6" xfId="36917" xr:uid="{00000000-0005-0000-0000-00003E8F0000}"/>
    <cellStyle name="Normal 552" xfId="36918" xr:uid="{00000000-0005-0000-0000-00003F8F0000}"/>
    <cellStyle name="Normal 552 2" xfId="36919" xr:uid="{00000000-0005-0000-0000-0000408F0000}"/>
    <cellStyle name="Normal 552 2 2" xfId="36920" xr:uid="{00000000-0005-0000-0000-0000418F0000}"/>
    <cellStyle name="Normal 552 2 2 2" xfId="36921" xr:uid="{00000000-0005-0000-0000-0000428F0000}"/>
    <cellStyle name="Normal 552 2 3" xfId="36922" xr:uid="{00000000-0005-0000-0000-0000438F0000}"/>
    <cellStyle name="Normal 552 2 3 2" xfId="36923" xr:uid="{00000000-0005-0000-0000-0000448F0000}"/>
    <cellStyle name="Normal 552 2 3 2 2" xfId="36924" xr:uid="{00000000-0005-0000-0000-0000458F0000}"/>
    <cellStyle name="Normal 552 2 3 3" xfId="36925" xr:uid="{00000000-0005-0000-0000-0000468F0000}"/>
    <cellStyle name="Normal 552 2 4" xfId="36926" xr:uid="{00000000-0005-0000-0000-0000478F0000}"/>
    <cellStyle name="Normal 552 3" xfId="36927" xr:uid="{00000000-0005-0000-0000-0000488F0000}"/>
    <cellStyle name="Normal 552 3 2" xfId="36928" xr:uid="{00000000-0005-0000-0000-0000498F0000}"/>
    <cellStyle name="Normal 552 3 2 2" xfId="36929" xr:uid="{00000000-0005-0000-0000-00004A8F0000}"/>
    <cellStyle name="Normal 552 3 3" xfId="36930" xr:uid="{00000000-0005-0000-0000-00004B8F0000}"/>
    <cellStyle name="Normal 552 4" xfId="36931" xr:uid="{00000000-0005-0000-0000-00004C8F0000}"/>
    <cellStyle name="Normal 552 4 2" xfId="36932" xr:uid="{00000000-0005-0000-0000-00004D8F0000}"/>
    <cellStyle name="Normal 552 4 2 2" xfId="36933" xr:uid="{00000000-0005-0000-0000-00004E8F0000}"/>
    <cellStyle name="Normal 552 4 3" xfId="36934" xr:uid="{00000000-0005-0000-0000-00004F8F0000}"/>
    <cellStyle name="Normal 552 5" xfId="36935" xr:uid="{00000000-0005-0000-0000-0000508F0000}"/>
    <cellStyle name="Normal 552 5 2" xfId="36936" xr:uid="{00000000-0005-0000-0000-0000518F0000}"/>
    <cellStyle name="Normal 552 5 2 2" xfId="36937" xr:uid="{00000000-0005-0000-0000-0000528F0000}"/>
    <cellStyle name="Normal 552 5 3" xfId="36938" xr:uid="{00000000-0005-0000-0000-0000538F0000}"/>
    <cellStyle name="Normal 552 6" xfId="36939" xr:uid="{00000000-0005-0000-0000-0000548F0000}"/>
    <cellStyle name="Normal 553" xfId="36940" xr:uid="{00000000-0005-0000-0000-0000558F0000}"/>
    <cellStyle name="Normal 553 2" xfId="36941" xr:uid="{00000000-0005-0000-0000-0000568F0000}"/>
    <cellStyle name="Normal 553 2 2" xfId="36942" xr:uid="{00000000-0005-0000-0000-0000578F0000}"/>
    <cellStyle name="Normal 553 2 2 2" xfId="36943" xr:uid="{00000000-0005-0000-0000-0000588F0000}"/>
    <cellStyle name="Normal 553 2 3" xfId="36944" xr:uid="{00000000-0005-0000-0000-0000598F0000}"/>
    <cellStyle name="Normal 553 2 3 2" xfId="36945" xr:uid="{00000000-0005-0000-0000-00005A8F0000}"/>
    <cellStyle name="Normal 553 2 3 2 2" xfId="36946" xr:uid="{00000000-0005-0000-0000-00005B8F0000}"/>
    <cellStyle name="Normal 553 2 3 3" xfId="36947" xr:uid="{00000000-0005-0000-0000-00005C8F0000}"/>
    <cellStyle name="Normal 553 2 4" xfId="36948" xr:uid="{00000000-0005-0000-0000-00005D8F0000}"/>
    <cellStyle name="Normal 553 3" xfId="36949" xr:uid="{00000000-0005-0000-0000-00005E8F0000}"/>
    <cellStyle name="Normal 553 3 2" xfId="36950" xr:uid="{00000000-0005-0000-0000-00005F8F0000}"/>
    <cellStyle name="Normal 553 3 2 2" xfId="36951" xr:uid="{00000000-0005-0000-0000-0000608F0000}"/>
    <cellStyle name="Normal 553 3 3" xfId="36952" xr:uid="{00000000-0005-0000-0000-0000618F0000}"/>
    <cellStyle name="Normal 553 4" xfId="36953" xr:uid="{00000000-0005-0000-0000-0000628F0000}"/>
    <cellStyle name="Normal 553 4 2" xfId="36954" xr:uid="{00000000-0005-0000-0000-0000638F0000}"/>
    <cellStyle name="Normal 553 4 2 2" xfId="36955" xr:uid="{00000000-0005-0000-0000-0000648F0000}"/>
    <cellStyle name="Normal 553 4 3" xfId="36956" xr:uid="{00000000-0005-0000-0000-0000658F0000}"/>
    <cellStyle name="Normal 553 5" xfId="36957" xr:uid="{00000000-0005-0000-0000-0000668F0000}"/>
    <cellStyle name="Normal 553 5 2" xfId="36958" xr:uid="{00000000-0005-0000-0000-0000678F0000}"/>
    <cellStyle name="Normal 553 5 2 2" xfId="36959" xr:uid="{00000000-0005-0000-0000-0000688F0000}"/>
    <cellStyle name="Normal 553 5 3" xfId="36960" xr:uid="{00000000-0005-0000-0000-0000698F0000}"/>
    <cellStyle name="Normal 553 6" xfId="36961" xr:uid="{00000000-0005-0000-0000-00006A8F0000}"/>
    <cellStyle name="Normal 554" xfId="36962" xr:uid="{00000000-0005-0000-0000-00006B8F0000}"/>
    <cellStyle name="Normal 554 2" xfId="36963" xr:uid="{00000000-0005-0000-0000-00006C8F0000}"/>
    <cellStyle name="Normal 554 2 2" xfId="36964" xr:uid="{00000000-0005-0000-0000-00006D8F0000}"/>
    <cellStyle name="Normal 554 2 2 2" xfId="36965" xr:uid="{00000000-0005-0000-0000-00006E8F0000}"/>
    <cellStyle name="Normal 554 2 3" xfId="36966" xr:uid="{00000000-0005-0000-0000-00006F8F0000}"/>
    <cellStyle name="Normal 554 2 3 2" xfId="36967" xr:uid="{00000000-0005-0000-0000-0000708F0000}"/>
    <cellStyle name="Normal 554 2 3 2 2" xfId="36968" xr:uid="{00000000-0005-0000-0000-0000718F0000}"/>
    <cellStyle name="Normal 554 2 3 3" xfId="36969" xr:uid="{00000000-0005-0000-0000-0000728F0000}"/>
    <cellStyle name="Normal 554 2 4" xfId="36970" xr:uid="{00000000-0005-0000-0000-0000738F0000}"/>
    <cellStyle name="Normal 554 3" xfId="36971" xr:uid="{00000000-0005-0000-0000-0000748F0000}"/>
    <cellStyle name="Normal 554 3 2" xfId="36972" xr:uid="{00000000-0005-0000-0000-0000758F0000}"/>
    <cellStyle name="Normal 554 3 2 2" xfId="36973" xr:uid="{00000000-0005-0000-0000-0000768F0000}"/>
    <cellStyle name="Normal 554 3 3" xfId="36974" xr:uid="{00000000-0005-0000-0000-0000778F0000}"/>
    <cellStyle name="Normal 554 4" xfId="36975" xr:uid="{00000000-0005-0000-0000-0000788F0000}"/>
    <cellStyle name="Normal 554 4 2" xfId="36976" xr:uid="{00000000-0005-0000-0000-0000798F0000}"/>
    <cellStyle name="Normal 554 4 2 2" xfId="36977" xr:uid="{00000000-0005-0000-0000-00007A8F0000}"/>
    <cellStyle name="Normal 554 4 3" xfId="36978" xr:uid="{00000000-0005-0000-0000-00007B8F0000}"/>
    <cellStyle name="Normal 554 5" xfId="36979" xr:uid="{00000000-0005-0000-0000-00007C8F0000}"/>
    <cellStyle name="Normal 554 5 2" xfId="36980" xr:uid="{00000000-0005-0000-0000-00007D8F0000}"/>
    <cellStyle name="Normal 554 5 2 2" xfId="36981" xr:uid="{00000000-0005-0000-0000-00007E8F0000}"/>
    <cellStyle name="Normal 554 5 3" xfId="36982" xr:uid="{00000000-0005-0000-0000-00007F8F0000}"/>
    <cellStyle name="Normal 554 6" xfId="36983" xr:uid="{00000000-0005-0000-0000-0000808F0000}"/>
    <cellStyle name="Normal 555" xfId="36984" xr:uid="{00000000-0005-0000-0000-0000818F0000}"/>
    <cellStyle name="Normal 555 2" xfId="36985" xr:uid="{00000000-0005-0000-0000-0000828F0000}"/>
    <cellStyle name="Normal 555 2 2" xfId="36986" xr:uid="{00000000-0005-0000-0000-0000838F0000}"/>
    <cellStyle name="Normal 555 2 2 2" xfId="36987" xr:uid="{00000000-0005-0000-0000-0000848F0000}"/>
    <cellStyle name="Normal 555 2 3" xfId="36988" xr:uid="{00000000-0005-0000-0000-0000858F0000}"/>
    <cellStyle name="Normal 555 2 3 2" xfId="36989" xr:uid="{00000000-0005-0000-0000-0000868F0000}"/>
    <cellStyle name="Normal 555 2 3 2 2" xfId="36990" xr:uid="{00000000-0005-0000-0000-0000878F0000}"/>
    <cellStyle name="Normal 555 2 3 3" xfId="36991" xr:uid="{00000000-0005-0000-0000-0000888F0000}"/>
    <cellStyle name="Normal 555 2 4" xfId="36992" xr:uid="{00000000-0005-0000-0000-0000898F0000}"/>
    <cellStyle name="Normal 555 3" xfId="36993" xr:uid="{00000000-0005-0000-0000-00008A8F0000}"/>
    <cellStyle name="Normal 555 3 2" xfId="36994" xr:uid="{00000000-0005-0000-0000-00008B8F0000}"/>
    <cellStyle name="Normal 555 3 2 2" xfId="36995" xr:uid="{00000000-0005-0000-0000-00008C8F0000}"/>
    <cellStyle name="Normal 555 3 3" xfId="36996" xr:uid="{00000000-0005-0000-0000-00008D8F0000}"/>
    <cellStyle name="Normal 555 4" xfId="36997" xr:uid="{00000000-0005-0000-0000-00008E8F0000}"/>
    <cellStyle name="Normal 555 4 2" xfId="36998" xr:uid="{00000000-0005-0000-0000-00008F8F0000}"/>
    <cellStyle name="Normal 555 4 2 2" xfId="36999" xr:uid="{00000000-0005-0000-0000-0000908F0000}"/>
    <cellStyle name="Normal 555 4 3" xfId="37000" xr:uid="{00000000-0005-0000-0000-0000918F0000}"/>
    <cellStyle name="Normal 555 5" xfId="37001" xr:uid="{00000000-0005-0000-0000-0000928F0000}"/>
    <cellStyle name="Normal 555 5 2" xfId="37002" xr:uid="{00000000-0005-0000-0000-0000938F0000}"/>
    <cellStyle name="Normal 555 5 2 2" xfId="37003" xr:uid="{00000000-0005-0000-0000-0000948F0000}"/>
    <cellStyle name="Normal 555 5 3" xfId="37004" xr:uid="{00000000-0005-0000-0000-0000958F0000}"/>
    <cellStyle name="Normal 555 6" xfId="37005" xr:uid="{00000000-0005-0000-0000-0000968F0000}"/>
    <cellStyle name="Normal 556" xfId="37006" xr:uid="{00000000-0005-0000-0000-0000978F0000}"/>
    <cellStyle name="Normal 556 2" xfId="37007" xr:uid="{00000000-0005-0000-0000-0000988F0000}"/>
    <cellStyle name="Normal 556 2 2" xfId="37008" xr:uid="{00000000-0005-0000-0000-0000998F0000}"/>
    <cellStyle name="Normal 556 2 2 2" xfId="37009" xr:uid="{00000000-0005-0000-0000-00009A8F0000}"/>
    <cellStyle name="Normal 556 2 3" xfId="37010" xr:uid="{00000000-0005-0000-0000-00009B8F0000}"/>
    <cellStyle name="Normal 556 2 3 2" xfId="37011" xr:uid="{00000000-0005-0000-0000-00009C8F0000}"/>
    <cellStyle name="Normal 556 2 3 2 2" xfId="37012" xr:uid="{00000000-0005-0000-0000-00009D8F0000}"/>
    <cellStyle name="Normal 556 2 3 3" xfId="37013" xr:uid="{00000000-0005-0000-0000-00009E8F0000}"/>
    <cellStyle name="Normal 556 2 4" xfId="37014" xr:uid="{00000000-0005-0000-0000-00009F8F0000}"/>
    <cellStyle name="Normal 556 3" xfId="37015" xr:uid="{00000000-0005-0000-0000-0000A08F0000}"/>
    <cellStyle name="Normal 556 3 2" xfId="37016" xr:uid="{00000000-0005-0000-0000-0000A18F0000}"/>
    <cellStyle name="Normal 556 3 2 2" xfId="37017" xr:uid="{00000000-0005-0000-0000-0000A28F0000}"/>
    <cellStyle name="Normal 556 3 3" xfId="37018" xr:uid="{00000000-0005-0000-0000-0000A38F0000}"/>
    <cellStyle name="Normal 556 4" xfId="37019" xr:uid="{00000000-0005-0000-0000-0000A48F0000}"/>
    <cellStyle name="Normal 556 4 2" xfId="37020" xr:uid="{00000000-0005-0000-0000-0000A58F0000}"/>
    <cellStyle name="Normal 556 4 2 2" xfId="37021" xr:uid="{00000000-0005-0000-0000-0000A68F0000}"/>
    <cellStyle name="Normal 556 4 3" xfId="37022" xr:uid="{00000000-0005-0000-0000-0000A78F0000}"/>
    <cellStyle name="Normal 556 5" xfId="37023" xr:uid="{00000000-0005-0000-0000-0000A88F0000}"/>
    <cellStyle name="Normal 556 5 2" xfId="37024" xr:uid="{00000000-0005-0000-0000-0000A98F0000}"/>
    <cellStyle name="Normal 556 5 2 2" xfId="37025" xr:uid="{00000000-0005-0000-0000-0000AA8F0000}"/>
    <cellStyle name="Normal 556 5 3" xfId="37026" xr:uid="{00000000-0005-0000-0000-0000AB8F0000}"/>
    <cellStyle name="Normal 556 6" xfId="37027" xr:uid="{00000000-0005-0000-0000-0000AC8F0000}"/>
    <cellStyle name="Normal 557" xfId="37028" xr:uid="{00000000-0005-0000-0000-0000AD8F0000}"/>
    <cellStyle name="Normal 557 2" xfId="37029" xr:uid="{00000000-0005-0000-0000-0000AE8F0000}"/>
    <cellStyle name="Normal 557 2 2" xfId="37030" xr:uid="{00000000-0005-0000-0000-0000AF8F0000}"/>
    <cellStyle name="Normal 557 2 2 2" xfId="37031" xr:uid="{00000000-0005-0000-0000-0000B08F0000}"/>
    <cellStyle name="Normal 557 2 3" xfId="37032" xr:uid="{00000000-0005-0000-0000-0000B18F0000}"/>
    <cellStyle name="Normal 557 2 3 2" xfId="37033" xr:uid="{00000000-0005-0000-0000-0000B28F0000}"/>
    <cellStyle name="Normal 557 2 3 2 2" xfId="37034" xr:uid="{00000000-0005-0000-0000-0000B38F0000}"/>
    <cellStyle name="Normal 557 2 3 3" xfId="37035" xr:uid="{00000000-0005-0000-0000-0000B48F0000}"/>
    <cellStyle name="Normal 557 2 4" xfId="37036" xr:uid="{00000000-0005-0000-0000-0000B58F0000}"/>
    <cellStyle name="Normal 557 3" xfId="37037" xr:uid="{00000000-0005-0000-0000-0000B68F0000}"/>
    <cellStyle name="Normal 557 3 2" xfId="37038" xr:uid="{00000000-0005-0000-0000-0000B78F0000}"/>
    <cellStyle name="Normal 557 3 2 2" xfId="37039" xr:uid="{00000000-0005-0000-0000-0000B88F0000}"/>
    <cellStyle name="Normal 557 3 3" xfId="37040" xr:uid="{00000000-0005-0000-0000-0000B98F0000}"/>
    <cellStyle name="Normal 557 4" xfId="37041" xr:uid="{00000000-0005-0000-0000-0000BA8F0000}"/>
    <cellStyle name="Normal 557 4 2" xfId="37042" xr:uid="{00000000-0005-0000-0000-0000BB8F0000}"/>
    <cellStyle name="Normal 557 4 2 2" xfId="37043" xr:uid="{00000000-0005-0000-0000-0000BC8F0000}"/>
    <cellStyle name="Normal 557 4 3" xfId="37044" xr:uid="{00000000-0005-0000-0000-0000BD8F0000}"/>
    <cellStyle name="Normal 557 5" xfId="37045" xr:uid="{00000000-0005-0000-0000-0000BE8F0000}"/>
    <cellStyle name="Normal 557 5 2" xfId="37046" xr:uid="{00000000-0005-0000-0000-0000BF8F0000}"/>
    <cellStyle name="Normal 557 5 2 2" xfId="37047" xr:uid="{00000000-0005-0000-0000-0000C08F0000}"/>
    <cellStyle name="Normal 557 5 3" xfId="37048" xr:uid="{00000000-0005-0000-0000-0000C18F0000}"/>
    <cellStyle name="Normal 557 6" xfId="37049" xr:uid="{00000000-0005-0000-0000-0000C28F0000}"/>
    <cellStyle name="Normal 558" xfId="37050" xr:uid="{00000000-0005-0000-0000-0000C38F0000}"/>
    <cellStyle name="Normal 558 2" xfId="37051" xr:uid="{00000000-0005-0000-0000-0000C48F0000}"/>
    <cellStyle name="Normal 558 2 2" xfId="37052" xr:uid="{00000000-0005-0000-0000-0000C58F0000}"/>
    <cellStyle name="Normal 558 2 2 2" xfId="37053" xr:uid="{00000000-0005-0000-0000-0000C68F0000}"/>
    <cellStyle name="Normal 558 2 3" xfId="37054" xr:uid="{00000000-0005-0000-0000-0000C78F0000}"/>
    <cellStyle name="Normal 558 2 3 2" xfId="37055" xr:uid="{00000000-0005-0000-0000-0000C88F0000}"/>
    <cellStyle name="Normal 558 2 3 2 2" xfId="37056" xr:uid="{00000000-0005-0000-0000-0000C98F0000}"/>
    <cellStyle name="Normal 558 2 3 3" xfId="37057" xr:uid="{00000000-0005-0000-0000-0000CA8F0000}"/>
    <cellStyle name="Normal 558 2 4" xfId="37058" xr:uid="{00000000-0005-0000-0000-0000CB8F0000}"/>
    <cellStyle name="Normal 558 3" xfId="37059" xr:uid="{00000000-0005-0000-0000-0000CC8F0000}"/>
    <cellStyle name="Normal 558 3 2" xfId="37060" xr:uid="{00000000-0005-0000-0000-0000CD8F0000}"/>
    <cellStyle name="Normal 558 3 2 2" xfId="37061" xr:uid="{00000000-0005-0000-0000-0000CE8F0000}"/>
    <cellStyle name="Normal 558 3 3" xfId="37062" xr:uid="{00000000-0005-0000-0000-0000CF8F0000}"/>
    <cellStyle name="Normal 558 4" xfId="37063" xr:uid="{00000000-0005-0000-0000-0000D08F0000}"/>
    <cellStyle name="Normal 558 4 2" xfId="37064" xr:uid="{00000000-0005-0000-0000-0000D18F0000}"/>
    <cellStyle name="Normal 558 4 2 2" xfId="37065" xr:uid="{00000000-0005-0000-0000-0000D28F0000}"/>
    <cellStyle name="Normal 558 4 3" xfId="37066" xr:uid="{00000000-0005-0000-0000-0000D38F0000}"/>
    <cellStyle name="Normal 558 5" xfId="37067" xr:uid="{00000000-0005-0000-0000-0000D48F0000}"/>
    <cellStyle name="Normal 558 5 2" xfId="37068" xr:uid="{00000000-0005-0000-0000-0000D58F0000}"/>
    <cellStyle name="Normal 558 5 2 2" xfId="37069" xr:uid="{00000000-0005-0000-0000-0000D68F0000}"/>
    <cellStyle name="Normal 558 5 3" xfId="37070" xr:uid="{00000000-0005-0000-0000-0000D78F0000}"/>
    <cellStyle name="Normal 558 6" xfId="37071" xr:uid="{00000000-0005-0000-0000-0000D88F0000}"/>
    <cellStyle name="Normal 559" xfId="37072" xr:uid="{00000000-0005-0000-0000-0000D98F0000}"/>
    <cellStyle name="Normal 559 2" xfId="37073" xr:uid="{00000000-0005-0000-0000-0000DA8F0000}"/>
    <cellStyle name="Normal 559 2 2" xfId="37074" xr:uid="{00000000-0005-0000-0000-0000DB8F0000}"/>
    <cellStyle name="Normal 559 2 2 2" xfId="37075" xr:uid="{00000000-0005-0000-0000-0000DC8F0000}"/>
    <cellStyle name="Normal 559 2 3" xfId="37076" xr:uid="{00000000-0005-0000-0000-0000DD8F0000}"/>
    <cellStyle name="Normal 559 2 3 2" xfId="37077" xr:uid="{00000000-0005-0000-0000-0000DE8F0000}"/>
    <cellStyle name="Normal 559 2 3 2 2" xfId="37078" xr:uid="{00000000-0005-0000-0000-0000DF8F0000}"/>
    <cellStyle name="Normal 559 2 3 3" xfId="37079" xr:uid="{00000000-0005-0000-0000-0000E08F0000}"/>
    <cellStyle name="Normal 559 2 4" xfId="37080" xr:uid="{00000000-0005-0000-0000-0000E18F0000}"/>
    <cellStyle name="Normal 559 3" xfId="37081" xr:uid="{00000000-0005-0000-0000-0000E28F0000}"/>
    <cellStyle name="Normal 559 3 2" xfId="37082" xr:uid="{00000000-0005-0000-0000-0000E38F0000}"/>
    <cellStyle name="Normal 559 3 2 2" xfId="37083" xr:uid="{00000000-0005-0000-0000-0000E48F0000}"/>
    <cellStyle name="Normal 559 3 3" xfId="37084" xr:uid="{00000000-0005-0000-0000-0000E58F0000}"/>
    <cellStyle name="Normal 559 4" xfId="37085" xr:uid="{00000000-0005-0000-0000-0000E68F0000}"/>
    <cellStyle name="Normal 559 4 2" xfId="37086" xr:uid="{00000000-0005-0000-0000-0000E78F0000}"/>
    <cellStyle name="Normal 559 4 2 2" xfId="37087" xr:uid="{00000000-0005-0000-0000-0000E88F0000}"/>
    <cellStyle name="Normal 559 4 3" xfId="37088" xr:uid="{00000000-0005-0000-0000-0000E98F0000}"/>
    <cellStyle name="Normal 559 5" xfId="37089" xr:uid="{00000000-0005-0000-0000-0000EA8F0000}"/>
    <cellStyle name="Normal 559 5 2" xfId="37090" xr:uid="{00000000-0005-0000-0000-0000EB8F0000}"/>
    <cellStyle name="Normal 559 5 2 2" xfId="37091" xr:uid="{00000000-0005-0000-0000-0000EC8F0000}"/>
    <cellStyle name="Normal 559 5 3" xfId="37092" xr:uid="{00000000-0005-0000-0000-0000ED8F0000}"/>
    <cellStyle name="Normal 559 6" xfId="37093" xr:uid="{00000000-0005-0000-0000-0000EE8F0000}"/>
    <cellStyle name="Normal 56" xfId="37094" xr:uid="{00000000-0005-0000-0000-0000EF8F0000}"/>
    <cellStyle name="Normal 56 2" xfId="37095" xr:uid="{00000000-0005-0000-0000-0000F08F0000}"/>
    <cellStyle name="Normal 56 2 2" xfId="37096" xr:uid="{00000000-0005-0000-0000-0000F18F0000}"/>
    <cellStyle name="Normal 56 2 2 2" xfId="37097" xr:uid="{00000000-0005-0000-0000-0000F28F0000}"/>
    <cellStyle name="Normal 56 2 3" xfId="37098" xr:uid="{00000000-0005-0000-0000-0000F38F0000}"/>
    <cellStyle name="Normal 56 2 3 2" xfId="37099" xr:uid="{00000000-0005-0000-0000-0000F48F0000}"/>
    <cellStyle name="Normal 56 2 3 2 2" xfId="37100" xr:uid="{00000000-0005-0000-0000-0000F58F0000}"/>
    <cellStyle name="Normal 56 2 3 3" xfId="37101" xr:uid="{00000000-0005-0000-0000-0000F68F0000}"/>
    <cellStyle name="Normal 56 2 4" xfId="37102" xr:uid="{00000000-0005-0000-0000-0000F78F0000}"/>
    <cellStyle name="Normal 56 2 4 2" xfId="37103" xr:uid="{00000000-0005-0000-0000-0000F88F0000}"/>
    <cellStyle name="Normal 56 2 4 2 2" xfId="37104" xr:uid="{00000000-0005-0000-0000-0000F98F0000}"/>
    <cellStyle name="Normal 56 2 4 3" xfId="37105" xr:uid="{00000000-0005-0000-0000-0000FA8F0000}"/>
    <cellStyle name="Normal 56 2 5" xfId="37106" xr:uid="{00000000-0005-0000-0000-0000FB8F0000}"/>
    <cellStyle name="Normal 56 3" xfId="37107" xr:uid="{00000000-0005-0000-0000-0000FC8F0000}"/>
    <cellStyle name="Normal 56 3 2" xfId="37108" xr:uid="{00000000-0005-0000-0000-0000FD8F0000}"/>
    <cellStyle name="Normal 56 3 2 2" xfId="37109" xr:uid="{00000000-0005-0000-0000-0000FE8F0000}"/>
    <cellStyle name="Normal 56 3 2 2 2" xfId="37110" xr:uid="{00000000-0005-0000-0000-0000FF8F0000}"/>
    <cellStyle name="Normal 56 3 2 3" xfId="37111" xr:uid="{00000000-0005-0000-0000-000000900000}"/>
    <cellStyle name="Normal 56 3 2 3 2" xfId="37112" xr:uid="{00000000-0005-0000-0000-000001900000}"/>
    <cellStyle name="Normal 56 3 2 3 2 2" xfId="37113" xr:uid="{00000000-0005-0000-0000-000002900000}"/>
    <cellStyle name="Normal 56 3 2 3 3" xfId="37114" xr:uid="{00000000-0005-0000-0000-000003900000}"/>
    <cellStyle name="Normal 56 3 2 4" xfId="37115" xr:uid="{00000000-0005-0000-0000-000004900000}"/>
    <cellStyle name="Normal 56 3 3" xfId="37116" xr:uid="{00000000-0005-0000-0000-000005900000}"/>
    <cellStyle name="Normal 56 3 3 2" xfId="37117" xr:uid="{00000000-0005-0000-0000-000006900000}"/>
    <cellStyle name="Normal 56 3 3 2 2" xfId="37118" xr:uid="{00000000-0005-0000-0000-000007900000}"/>
    <cellStyle name="Normal 56 3 3 3" xfId="37119" xr:uid="{00000000-0005-0000-0000-000008900000}"/>
    <cellStyle name="Normal 56 3 4" xfId="37120" xr:uid="{00000000-0005-0000-0000-000009900000}"/>
    <cellStyle name="Normal 56 3 4 2" xfId="37121" xr:uid="{00000000-0005-0000-0000-00000A900000}"/>
    <cellStyle name="Normal 56 3 4 2 2" xfId="37122" xr:uid="{00000000-0005-0000-0000-00000B900000}"/>
    <cellStyle name="Normal 56 3 4 3" xfId="37123" xr:uid="{00000000-0005-0000-0000-00000C900000}"/>
    <cellStyle name="Normal 56 3 5" xfId="37124" xr:uid="{00000000-0005-0000-0000-00000D900000}"/>
    <cellStyle name="Normal 56 3 5 2" xfId="37125" xr:uid="{00000000-0005-0000-0000-00000E900000}"/>
    <cellStyle name="Normal 56 3 5 2 2" xfId="37126" xr:uid="{00000000-0005-0000-0000-00000F900000}"/>
    <cellStyle name="Normal 56 3 5 3" xfId="37127" xr:uid="{00000000-0005-0000-0000-000010900000}"/>
    <cellStyle name="Normal 56 3 6" xfId="37128" xr:uid="{00000000-0005-0000-0000-000011900000}"/>
    <cellStyle name="Normal 56 4" xfId="37129" xr:uid="{00000000-0005-0000-0000-000012900000}"/>
    <cellStyle name="Normal 56 4 2" xfId="37130" xr:uid="{00000000-0005-0000-0000-000013900000}"/>
    <cellStyle name="Normal 56 4 2 2" xfId="37131" xr:uid="{00000000-0005-0000-0000-000014900000}"/>
    <cellStyle name="Normal 56 4 3" xfId="37132" xr:uid="{00000000-0005-0000-0000-000015900000}"/>
    <cellStyle name="Normal 56 5" xfId="37133" xr:uid="{00000000-0005-0000-0000-000016900000}"/>
    <cellStyle name="Normal 56 5 2" xfId="37134" xr:uid="{00000000-0005-0000-0000-000017900000}"/>
    <cellStyle name="Normal 56 5 2 2" xfId="37135" xr:uid="{00000000-0005-0000-0000-000018900000}"/>
    <cellStyle name="Normal 56 5 3" xfId="37136" xr:uid="{00000000-0005-0000-0000-000019900000}"/>
    <cellStyle name="Normal 56 6" xfId="37137" xr:uid="{00000000-0005-0000-0000-00001A900000}"/>
    <cellStyle name="Normal 56 6 2" xfId="37138" xr:uid="{00000000-0005-0000-0000-00001B900000}"/>
    <cellStyle name="Normal 56 6 2 2" xfId="37139" xr:uid="{00000000-0005-0000-0000-00001C900000}"/>
    <cellStyle name="Normal 56 6 3" xfId="37140" xr:uid="{00000000-0005-0000-0000-00001D900000}"/>
    <cellStyle name="Normal 56 7" xfId="37141" xr:uid="{00000000-0005-0000-0000-00001E900000}"/>
    <cellStyle name="Normal 560" xfId="37142" xr:uid="{00000000-0005-0000-0000-00001F900000}"/>
    <cellStyle name="Normal 560 2" xfId="37143" xr:uid="{00000000-0005-0000-0000-000020900000}"/>
    <cellStyle name="Normal 560 2 2" xfId="37144" xr:uid="{00000000-0005-0000-0000-000021900000}"/>
    <cellStyle name="Normal 560 2 2 2" xfId="37145" xr:uid="{00000000-0005-0000-0000-000022900000}"/>
    <cellStyle name="Normal 560 2 3" xfId="37146" xr:uid="{00000000-0005-0000-0000-000023900000}"/>
    <cellStyle name="Normal 560 2 3 2" xfId="37147" xr:uid="{00000000-0005-0000-0000-000024900000}"/>
    <cellStyle name="Normal 560 2 3 2 2" xfId="37148" xr:uid="{00000000-0005-0000-0000-000025900000}"/>
    <cellStyle name="Normal 560 2 3 3" xfId="37149" xr:uid="{00000000-0005-0000-0000-000026900000}"/>
    <cellStyle name="Normal 560 2 4" xfId="37150" xr:uid="{00000000-0005-0000-0000-000027900000}"/>
    <cellStyle name="Normal 560 3" xfId="37151" xr:uid="{00000000-0005-0000-0000-000028900000}"/>
    <cellStyle name="Normal 560 3 2" xfId="37152" xr:uid="{00000000-0005-0000-0000-000029900000}"/>
    <cellStyle name="Normal 560 3 2 2" xfId="37153" xr:uid="{00000000-0005-0000-0000-00002A900000}"/>
    <cellStyle name="Normal 560 3 3" xfId="37154" xr:uid="{00000000-0005-0000-0000-00002B900000}"/>
    <cellStyle name="Normal 560 4" xfId="37155" xr:uid="{00000000-0005-0000-0000-00002C900000}"/>
    <cellStyle name="Normal 560 4 2" xfId="37156" xr:uid="{00000000-0005-0000-0000-00002D900000}"/>
    <cellStyle name="Normal 560 4 2 2" xfId="37157" xr:uid="{00000000-0005-0000-0000-00002E900000}"/>
    <cellStyle name="Normal 560 4 3" xfId="37158" xr:uid="{00000000-0005-0000-0000-00002F900000}"/>
    <cellStyle name="Normal 560 5" xfId="37159" xr:uid="{00000000-0005-0000-0000-000030900000}"/>
    <cellStyle name="Normal 560 5 2" xfId="37160" xr:uid="{00000000-0005-0000-0000-000031900000}"/>
    <cellStyle name="Normal 560 5 2 2" xfId="37161" xr:uid="{00000000-0005-0000-0000-000032900000}"/>
    <cellStyle name="Normal 560 5 3" xfId="37162" xr:uid="{00000000-0005-0000-0000-000033900000}"/>
    <cellStyle name="Normal 560 6" xfId="37163" xr:uid="{00000000-0005-0000-0000-000034900000}"/>
    <cellStyle name="Normal 561" xfId="37164" xr:uid="{00000000-0005-0000-0000-000035900000}"/>
    <cellStyle name="Normal 561 2" xfId="37165" xr:uid="{00000000-0005-0000-0000-000036900000}"/>
    <cellStyle name="Normal 561 2 2" xfId="37166" xr:uid="{00000000-0005-0000-0000-000037900000}"/>
    <cellStyle name="Normal 561 2 2 2" xfId="37167" xr:uid="{00000000-0005-0000-0000-000038900000}"/>
    <cellStyle name="Normal 561 2 3" xfId="37168" xr:uid="{00000000-0005-0000-0000-000039900000}"/>
    <cellStyle name="Normal 561 2 3 2" xfId="37169" xr:uid="{00000000-0005-0000-0000-00003A900000}"/>
    <cellStyle name="Normal 561 2 3 2 2" xfId="37170" xr:uid="{00000000-0005-0000-0000-00003B900000}"/>
    <cellStyle name="Normal 561 2 3 3" xfId="37171" xr:uid="{00000000-0005-0000-0000-00003C900000}"/>
    <cellStyle name="Normal 561 2 4" xfId="37172" xr:uid="{00000000-0005-0000-0000-00003D900000}"/>
    <cellStyle name="Normal 561 3" xfId="37173" xr:uid="{00000000-0005-0000-0000-00003E900000}"/>
    <cellStyle name="Normal 561 3 2" xfId="37174" xr:uid="{00000000-0005-0000-0000-00003F900000}"/>
    <cellStyle name="Normal 561 3 2 2" xfId="37175" xr:uid="{00000000-0005-0000-0000-000040900000}"/>
    <cellStyle name="Normal 561 3 3" xfId="37176" xr:uid="{00000000-0005-0000-0000-000041900000}"/>
    <cellStyle name="Normal 561 4" xfId="37177" xr:uid="{00000000-0005-0000-0000-000042900000}"/>
    <cellStyle name="Normal 561 4 2" xfId="37178" xr:uid="{00000000-0005-0000-0000-000043900000}"/>
    <cellStyle name="Normal 561 4 2 2" xfId="37179" xr:uid="{00000000-0005-0000-0000-000044900000}"/>
    <cellStyle name="Normal 561 4 3" xfId="37180" xr:uid="{00000000-0005-0000-0000-000045900000}"/>
    <cellStyle name="Normal 561 5" xfId="37181" xr:uid="{00000000-0005-0000-0000-000046900000}"/>
    <cellStyle name="Normal 561 5 2" xfId="37182" xr:uid="{00000000-0005-0000-0000-000047900000}"/>
    <cellStyle name="Normal 561 5 2 2" xfId="37183" xr:uid="{00000000-0005-0000-0000-000048900000}"/>
    <cellStyle name="Normal 561 5 3" xfId="37184" xr:uid="{00000000-0005-0000-0000-000049900000}"/>
    <cellStyle name="Normal 561 6" xfId="37185" xr:uid="{00000000-0005-0000-0000-00004A900000}"/>
    <cellStyle name="Normal 562" xfId="37186" xr:uid="{00000000-0005-0000-0000-00004B900000}"/>
    <cellStyle name="Normal 562 2" xfId="37187" xr:uid="{00000000-0005-0000-0000-00004C900000}"/>
    <cellStyle name="Normal 562 2 2" xfId="37188" xr:uid="{00000000-0005-0000-0000-00004D900000}"/>
    <cellStyle name="Normal 562 2 2 2" xfId="37189" xr:uid="{00000000-0005-0000-0000-00004E900000}"/>
    <cellStyle name="Normal 562 2 3" xfId="37190" xr:uid="{00000000-0005-0000-0000-00004F900000}"/>
    <cellStyle name="Normal 562 2 3 2" xfId="37191" xr:uid="{00000000-0005-0000-0000-000050900000}"/>
    <cellStyle name="Normal 562 2 3 2 2" xfId="37192" xr:uid="{00000000-0005-0000-0000-000051900000}"/>
    <cellStyle name="Normal 562 2 3 3" xfId="37193" xr:uid="{00000000-0005-0000-0000-000052900000}"/>
    <cellStyle name="Normal 562 2 4" xfId="37194" xr:uid="{00000000-0005-0000-0000-000053900000}"/>
    <cellStyle name="Normal 562 3" xfId="37195" xr:uid="{00000000-0005-0000-0000-000054900000}"/>
    <cellStyle name="Normal 562 3 2" xfId="37196" xr:uid="{00000000-0005-0000-0000-000055900000}"/>
    <cellStyle name="Normal 562 3 2 2" xfId="37197" xr:uid="{00000000-0005-0000-0000-000056900000}"/>
    <cellStyle name="Normal 562 3 3" xfId="37198" xr:uid="{00000000-0005-0000-0000-000057900000}"/>
    <cellStyle name="Normal 562 4" xfId="37199" xr:uid="{00000000-0005-0000-0000-000058900000}"/>
    <cellStyle name="Normal 562 4 2" xfId="37200" xr:uid="{00000000-0005-0000-0000-000059900000}"/>
    <cellStyle name="Normal 562 4 2 2" xfId="37201" xr:uid="{00000000-0005-0000-0000-00005A900000}"/>
    <cellStyle name="Normal 562 4 3" xfId="37202" xr:uid="{00000000-0005-0000-0000-00005B900000}"/>
    <cellStyle name="Normal 562 5" xfId="37203" xr:uid="{00000000-0005-0000-0000-00005C900000}"/>
    <cellStyle name="Normal 562 5 2" xfId="37204" xr:uid="{00000000-0005-0000-0000-00005D900000}"/>
    <cellStyle name="Normal 562 5 2 2" xfId="37205" xr:uid="{00000000-0005-0000-0000-00005E900000}"/>
    <cellStyle name="Normal 562 5 3" xfId="37206" xr:uid="{00000000-0005-0000-0000-00005F900000}"/>
    <cellStyle name="Normal 562 6" xfId="37207" xr:uid="{00000000-0005-0000-0000-000060900000}"/>
    <cellStyle name="Normal 563" xfId="37208" xr:uid="{00000000-0005-0000-0000-000061900000}"/>
    <cellStyle name="Normal 563 2" xfId="37209" xr:uid="{00000000-0005-0000-0000-000062900000}"/>
    <cellStyle name="Normal 563 2 2" xfId="37210" xr:uid="{00000000-0005-0000-0000-000063900000}"/>
    <cellStyle name="Normal 563 2 2 2" xfId="37211" xr:uid="{00000000-0005-0000-0000-000064900000}"/>
    <cellStyle name="Normal 563 2 3" xfId="37212" xr:uid="{00000000-0005-0000-0000-000065900000}"/>
    <cellStyle name="Normal 563 2 3 2" xfId="37213" xr:uid="{00000000-0005-0000-0000-000066900000}"/>
    <cellStyle name="Normal 563 2 3 2 2" xfId="37214" xr:uid="{00000000-0005-0000-0000-000067900000}"/>
    <cellStyle name="Normal 563 2 3 3" xfId="37215" xr:uid="{00000000-0005-0000-0000-000068900000}"/>
    <cellStyle name="Normal 563 2 4" xfId="37216" xr:uid="{00000000-0005-0000-0000-000069900000}"/>
    <cellStyle name="Normal 563 3" xfId="37217" xr:uid="{00000000-0005-0000-0000-00006A900000}"/>
    <cellStyle name="Normal 563 3 2" xfId="37218" xr:uid="{00000000-0005-0000-0000-00006B900000}"/>
    <cellStyle name="Normal 563 3 2 2" xfId="37219" xr:uid="{00000000-0005-0000-0000-00006C900000}"/>
    <cellStyle name="Normal 563 3 3" xfId="37220" xr:uid="{00000000-0005-0000-0000-00006D900000}"/>
    <cellStyle name="Normal 563 4" xfId="37221" xr:uid="{00000000-0005-0000-0000-00006E900000}"/>
    <cellStyle name="Normal 563 4 2" xfId="37222" xr:uid="{00000000-0005-0000-0000-00006F900000}"/>
    <cellStyle name="Normal 563 4 2 2" xfId="37223" xr:uid="{00000000-0005-0000-0000-000070900000}"/>
    <cellStyle name="Normal 563 4 3" xfId="37224" xr:uid="{00000000-0005-0000-0000-000071900000}"/>
    <cellStyle name="Normal 563 5" xfId="37225" xr:uid="{00000000-0005-0000-0000-000072900000}"/>
    <cellStyle name="Normal 563 5 2" xfId="37226" xr:uid="{00000000-0005-0000-0000-000073900000}"/>
    <cellStyle name="Normal 563 5 2 2" xfId="37227" xr:uid="{00000000-0005-0000-0000-000074900000}"/>
    <cellStyle name="Normal 563 5 3" xfId="37228" xr:uid="{00000000-0005-0000-0000-000075900000}"/>
    <cellStyle name="Normal 563 6" xfId="37229" xr:uid="{00000000-0005-0000-0000-000076900000}"/>
    <cellStyle name="Normal 564" xfId="37230" xr:uid="{00000000-0005-0000-0000-000077900000}"/>
    <cellStyle name="Normal 564 2" xfId="37231" xr:uid="{00000000-0005-0000-0000-000078900000}"/>
    <cellStyle name="Normal 564 2 2" xfId="37232" xr:uid="{00000000-0005-0000-0000-000079900000}"/>
    <cellStyle name="Normal 564 2 2 2" xfId="37233" xr:uid="{00000000-0005-0000-0000-00007A900000}"/>
    <cellStyle name="Normal 564 2 3" xfId="37234" xr:uid="{00000000-0005-0000-0000-00007B900000}"/>
    <cellStyle name="Normal 564 2 3 2" xfId="37235" xr:uid="{00000000-0005-0000-0000-00007C900000}"/>
    <cellStyle name="Normal 564 2 3 2 2" xfId="37236" xr:uid="{00000000-0005-0000-0000-00007D900000}"/>
    <cellStyle name="Normal 564 2 3 3" xfId="37237" xr:uid="{00000000-0005-0000-0000-00007E900000}"/>
    <cellStyle name="Normal 564 2 4" xfId="37238" xr:uid="{00000000-0005-0000-0000-00007F900000}"/>
    <cellStyle name="Normal 564 3" xfId="37239" xr:uid="{00000000-0005-0000-0000-000080900000}"/>
    <cellStyle name="Normal 564 3 2" xfId="37240" xr:uid="{00000000-0005-0000-0000-000081900000}"/>
    <cellStyle name="Normal 564 3 2 2" xfId="37241" xr:uid="{00000000-0005-0000-0000-000082900000}"/>
    <cellStyle name="Normal 564 3 3" xfId="37242" xr:uid="{00000000-0005-0000-0000-000083900000}"/>
    <cellStyle name="Normal 564 4" xfId="37243" xr:uid="{00000000-0005-0000-0000-000084900000}"/>
    <cellStyle name="Normal 564 4 2" xfId="37244" xr:uid="{00000000-0005-0000-0000-000085900000}"/>
    <cellStyle name="Normal 564 4 2 2" xfId="37245" xr:uid="{00000000-0005-0000-0000-000086900000}"/>
    <cellStyle name="Normal 564 4 3" xfId="37246" xr:uid="{00000000-0005-0000-0000-000087900000}"/>
    <cellStyle name="Normal 564 5" xfId="37247" xr:uid="{00000000-0005-0000-0000-000088900000}"/>
    <cellStyle name="Normal 564 5 2" xfId="37248" xr:uid="{00000000-0005-0000-0000-000089900000}"/>
    <cellStyle name="Normal 564 5 2 2" xfId="37249" xr:uid="{00000000-0005-0000-0000-00008A900000}"/>
    <cellStyle name="Normal 564 5 3" xfId="37250" xr:uid="{00000000-0005-0000-0000-00008B900000}"/>
    <cellStyle name="Normal 564 6" xfId="37251" xr:uid="{00000000-0005-0000-0000-00008C900000}"/>
    <cellStyle name="Normal 565" xfId="37252" xr:uid="{00000000-0005-0000-0000-00008D900000}"/>
    <cellStyle name="Normal 565 2" xfId="37253" xr:uid="{00000000-0005-0000-0000-00008E900000}"/>
    <cellStyle name="Normal 565 2 2" xfId="37254" xr:uid="{00000000-0005-0000-0000-00008F900000}"/>
    <cellStyle name="Normal 565 2 2 2" xfId="37255" xr:uid="{00000000-0005-0000-0000-000090900000}"/>
    <cellStyle name="Normal 565 2 2 2 2" xfId="37256" xr:uid="{00000000-0005-0000-0000-000091900000}"/>
    <cellStyle name="Normal 565 2 2 3" xfId="37257" xr:uid="{00000000-0005-0000-0000-000092900000}"/>
    <cellStyle name="Normal 565 2 2 3 2" xfId="37258" xr:uid="{00000000-0005-0000-0000-000093900000}"/>
    <cellStyle name="Normal 565 2 2 3 2 2" xfId="37259" xr:uid="{00000000-0005-0000-0000-000094900000}"/>
    <cellStyle name="Normal 565 2 2 3 3" xfId="37260" xr:uid="{00000000-0005-0000-0000-000095900000}"/>
    <cellStyle name="Normal 565 2 2 4" xfId="37261" xr:uid="{00000000-0005-0000-0000-000096900000}"/>
    <cellStyle name="Normal 565 2 3" xfId="37262" xr:uid="{00000000-0005-0000-0000-000097900000}"/>
    <cellStyle name="Normal 565 2 3 2" xfId="37263" xr:uid="{00000000-0005-0000-0000-000098900000}"/>
    <cellStyle name="Normal 565 2 3 2 2" xfId="37264" xr:uid="{00000000-0005-0000-0000-000099900000}"/>
    <cellStyle name="Normal 565 2 3 3" xfId="37265" xr:uid="{00000000-0005-0000-0000-00009A900000}"/>
    <cellStyle name="Normal 565 2 4" xfId="37266" xr:uid="{00000000-0005-0000-0000-00009B900000}"/>
    <cellStyle name="Normal 565 2 4 2" xfId="37267" xr:uid="{00000000-0005-0000-0000-00009C900000}"/>
    <cellStyle name="Normal 565 2 4 2 2" xfId="37268" xr:uid="{00000000-0005-0000-0000-00009D900000}"/>
    <cellStyle name="Normal 565 2 4 3" xfId="37269" xr:uid="{00000000-0005-0000-0000-00009E900000}"/>
    <cellStyle name="Normal 565 2 5" xfId="37270" xr:uid="{00000000-0005-0000-0000-00009F900000}"/>
    <cellStyle name="Normal 565 2 5 2" xfId="37271" xr:uid="{00000000-0005-0000-0000-0000A0900000}"/>
    <cellStyle name="Normal 565 2 5 2 2" xfId="37272" xr:uid="{00000000-0005-0000-0000-0000A1900000}"/>
    <cellStyle name="Normal 565 2 5 3" xfId="37273" xr:uid="{00000000-0005-0000-0000-0000A2900000}"/>
    <cellStyle name="Normal 565 2 6" xfId="37274" xr:uid="{00000000-0005-0000-0000-0000A3900000}"/>
    <cellStyle name="Normal 565 3" xfId="37275" xr:uid="{00000000-0005-0000-0000-0000A4900000}"/>
    <cellStyle name="Normal 565 3 2" xfId="37276" xr:uid="{00000000-0005-0000-0000-0000A5900000}"/>
    <cellStyle name="Normal 565 3 2 2" xfId="37277" xr:uid="{00000000-0005-0000-0000-0000A6900000}"/>
    <cellStyle name="Normal 565 3 3" xfId="37278" xr:uid="{00000000-0005-0000-0000-0000A7900000}"/>
    <cellStyle name="Normal 565 3 3 2" xfId="37279" xr:uid="{00000000-0005-0000-0000-0000A8900000}"/>
    <cellStyle name="Normal 565 3 3 2 2" xfId="37280" xr:uid="{00000000-0005-0000-0000-0000A9900000}"/>
    <cellStyle name="Normal 565 3 3 3" xfId="37281" xr:uid="{00000000-0005-0000-0000-0000AA900000}"/>
    <cellStyle name="Normal 565 3 4" xfId="37282" xr:uid="{00000000-0005-0000-0000-0000AB900000}"/>
    <cellStyle name="Normal 565 3 4 2" xfId="37283" xr:uid="{00000000-0005-0000-0000-0000AC900000}"/>
    <cellStyle name="Normal 565 3 4 2 2" xfId="37284" xr:uid="{00000000-0005-0000-0000-0000AD900000}"/>
    <cellStyle name="Normal 565 3 4 3" xfId="37285" xr:uid="{00000000-0005-0000-0000-0000AE900000}"/>
    <cellStyle name="Normal 565 3 5" xfId="37286" xr:uid="{00000000-0005-0000-0000-0000AF900000}"/>
    <cellStyle name="Normal 565 4" xfId="37287" xr:uid="{00000000-0005-0000-0000-0000B0900000}"/>
    <cellStyle name="Normal 565 4 2" xfId="37288" xr:uid="{00000000-0005-0000-0000-0000B1900000}"/>
    <cellStyle name="Normal 565 4 2 2" xfId="37289" xr:uid="{00000000-0005-0000-0000-0000B2900000}"/>
    <cellStyle name="Normal 565 4 3" xfId="37290" xr:uid="{00000000-0005-0000-0000-0000B3900000}"/>
    <cellStyle name="Normal 565 4 3 2" xfId="37291" xr:uid="{00000000-0005-0000-0000-0000B4900000}"/>
    <cellStyle name="Normal 565 4 3 2 2" xfId="37292" xr:uid="{00000000-0005-0000-0000-0000B5900000}"/>
    <cellStyle name="Normal 565 4 3 3" xfId="37293" xr:uid="{00000000-0005-0000-0000-0000B6900000}"/>
    <cellStyle name="Normal 565 4 4" xfId="37294" xr:uid="{00000000-0005-0000-0000-0000B7900000}"/>
    <cellStyle name="Normal 565 4 4 2" xfId="37295" xr:uid="{00000000-0005-0000-0000-0000B8900000}"/>
    <cellStyle name="Normal 565 4 4 2 2" xfId="37296" xr:uid="{00000000-0005-0000-0000-0000B9900000}"/>
    <cellStyle name="Normal 565 4 4 3" xfId="37297" xr:uid="{00000000-0005-0000-0000-0000BA900000}"/>
    <cellStyle name="Normal 565 4 5" xfId="37298" xr:uid="{00000000-0005-0000-0000-0000BB900000}"/>
    <cellStyle name="Normal 565 5" xfId="37299" xr:uid="{00000000-0005-0000-0000-0000BC900000}"/>
    <cellStyle name="Normal 565 5 2" xfId="37300" xr:uid="{00000000-0005-0000-0000-0000BD900000}"/>
    <cellStyle name="Normal 565 6" xfId="37301" xr:uid="{00000000-0005-0000-0000-0000BE900000}"/>
    <cellStyle name="Normal 565 6 2" xfId="37302" xr:uid="{00000000-0005-0000-0000-0000BF900000}"/>
    <cellStyle name="Normal 565 6 2 2" xfId="37303" xr:uid="{00000000-0005-0000-0000-0000C0900000}"/>
    <cellStyle name="Normal 565 6 3" xfId="37304" xr:uid="{00000000-0005-0000-0000-0000C1900000}"/>
    <cellStyle name="Normal 565 7" xfId="37305" xr:uid="{00000000-0005-0000-0000-0000C2900000}"/>
    <cellStyle name="Normal 565 7 2" xfId="37306" xr:uid="{00000000-0005-0000-0000-0000C3900000}"/>
    <cellStyle name="Normal 565 7 2 2" xfId="37307" xr:uid="{00000000-0005-0000-0000-0000C4900000}"/>
    <cellStyle name="Normal 565 7 3" xfId="37308" xr:uid="{00000000-0005-0000-0000-0000C5900000}"/>
    <cellStyle name="Normal 565 8" xfId="37309" xr:uid="{00000000-0005-0000-0000-0000C6900000}"/>
    <cellStyle name="Normal 566" xfId="37310" xr:uid="{00000000-0005-0000-0000-0000C7900000}"/>
    <cellStyle name="Normal 566 2" xfId="37311" xr:uid="{00000000-0005-0000-0000-0000C8900000}"/>
    <cellStyle name="Normal 566 2 2" xfId="37312" xr:uid="{00000000-0005-0000-0000-0000C9900000}"/>
    <cellStyle name="Normal 566 3" xfId="37313" xr:uid="{00000000-0005-0000-0000-0000CA900000}"/>
    <cellStyle name="Normal 566 3 2" xfId="37314" xr:uid="{00000000-0005-0000-0000-0000CB900000}"/>
    <cellStyle name="Normal 566 3 2 2" xfId="37315" xr:uid="{00000000-0005-0000-0000-0000CC900000}"/>
    <cellStyle name="Normal 566 3 3" xfId="37316" xr:uid="{00000000-0005-0000-0000-0000CD900000}"/>
    <cellStyle name="Normal 566 4" xfId="37317" xr:uid="{00000000-0005-0000-0000-0000CE900000}"/>
    <cellStyle name="Normal 566 4 2" xfId="37318" xr:uid="{00000000-0005-0000-0000-0000CF900000}"/>
    <cellStyle name="Normal 566 4 2 2" xfId="37319" xr:uid="{00000000-0005-0000-0000-0000D0900000}"/>
    <cellStyle name="Normal 566 4 3" xfId="37320" xr:uid="{00000000-0005-0000-0000-0000D1900000}"/>
    <cellStyle name="Normal 566 5" xfId="37321" xr:uid="{00000000-0005-0000-0000-0000D2900000}"/>
    <cellStyle name="Normal 567" xfId="37322" xr:uid="{00000000-0005-0000-0000-0000D3900000}"/>
    <cellStyle name="Normal 567 2" xfId="37323" xr:uid="{00000000-0005-0000-0000-0000D4900000}"/>
    <cellStyle name="Normal 567 2 2" xfId="37324" xr:uid="{00000000-0005-0000-0000-0000D5900000}"/>
    <cellStyle name="Normal 567 2 2 2" xfId="37325" xr:uid="{00000000-0005-0000-0000-0000D6900000}"/>
    <cellStyle name="Normal 567 2 3" xfId="37326" xr:uid="{00000000-0005-0000-0000-0000D7900000}"/>
    <cellStyle name="Normal 567 2 3 2" xfId="37327" xr:uid="{00000000-0005-0000-0000-0000D8900000}"/>
    <cellStyle name="Normal 567 2 3 2 2" xfId="37328" xr:uid="{00000000-0005-0000-0000-0000D9900000}"/>
    <cellStyle name="Normal 567 2 3 3" xfId="37329" xr:uid="{00000000-0005-0000-0000-0000DA900000}"/>
    <cellStyle name="Normal 567 2 4" xfId="37330" xr:uid="{00000000-0005-0000-0000-0000DB900000}"/>
    <cellStyle name="Normal 567 3" xfId="37331" xr:uid="{00000000-0005-0000-0000-0000DC900000}"/>
    <cellStyle name="Normal 567 3 2" xfId="37332" xr:uid="{00000000-0005-0000-0000-0000DD900000}"/>
    <cellStyle name="Normal 567 3 2 2" xfId="37333" xr:uid="{00000000-0005-0000-0000-0000DE900000}"/>
    <cellStyle name="Normal 567 3 3" xfId="37334" xr:uid="{00000000-0005-0000-0000-0000DF900000}"/>
    <cellStyle name="Normal 567 4" xfId="37335" xr:uid="{00000000-0005-0000-0000-0000E0900000}"/>
    <cellStyle name="Normal 567 4 2" xfId="37336" xr:uid="{00000000-0005-0000-0000-0000E1900000}"/>
    <cellStyle name="Normal 567 4 2 2" xfId="37337" xr:uid="{00000000-0005-0000-0000-0000E2900000}"/>
    <cellStyle name="Normal 567 4 3" xfId="37338" xr:uid="{00000000-0005-0000-0000-0000E3900000}"/>
    <cellStyle name="Normal 567 5" xfId="37339" xr:uid="{00000000-0005-0000-0000-0000E4900000}"/>
    <cellStyle name="Normal 567 5 2" xfId="37340" xr:uid="{00000000-0005-0000-0000-0000E5900000}"/>
    <cellStyle name="Normal 567 5 2 2" xfId="37341" xr:uid="{00000000-0005-0000-0000-0000E6900000}"/>
    <cellStyle name="Normal 567 5 3" xfId="37342" xr:uid="{00000000-0005-0000-0000-0000E7900000}"/>
    <cellStyle name="Normal 567 6" xfId="37343" xr:uid="{00000000-0005-0000-0000-0000E8900000}"/>
    <cellStyle name="Normal 568" xfId="37344" xr:uid="{00000000-0005-0000-0000-0000E9900000}"/>
    <cellStyle name="Normal 568 2" xfId="37345" xr:uid="{00000000-0005-0000-0000-0000EA900000}"/>
    <cellStyle name="Normal 568 2 2" xfId="37346" xr:uid="{00000000-0005-0000-0000-0000EB900000}"/>
    <cellStyle name="Normal 568 2 2 2" xfId="37347" xr:uid="{00000000-0005-0000-0000-0000EC900000}"/>
    <cellStyle name="Normal 568 2 3" xfId="37348" xr:uid="{00000000-0005-0000-0000-0000ED900000}"/>
    <cellStyle name="Normal 568 2 3 2" xfId="37349" xr:uid="{00000000-0005-0000-0000-0000EE900000}"/>
    <cellStyle name="Normal 568 2 3 2 2" xfId="37350" xr:uid="{00000000-0005-0000-0000-0000EF900000}"/>
    <cellStyle name="Normal 568 2 3 3" xfId="37351" xr:uid="{00000000-0005-0000-0000-0000F0900000}"/>
    <cellStyle name="Normal 568 2 4" xfId="37352" xr:uid="{00000000-0005-0000-0000-0000F1900000}"/>
    <cellStyle name="Normal 568 3" xfId="37353" xr:uid="{00000000-0005-0000-0000-0000F2900000}"/>
    <cellStyle name="Normal 568 3 2" xfId="37354" xr:uid="{00000000-0005-0000-0000-0000F3900000}"/>
    <cellStyle name="Normal 568 3 2 2" xfId="37355" xr:uid="{00000000-0005-0000-0000-0000F4900000}"/>
    <cellStyle name="Normal 568 3 3" xfId="37356" xr:uid="{00000000-0005-0000-0000-0000F5900000}"/>
    <cellStyle name="Normal 568 4" xfId="37357" xr:uid="{00000000-0005-0000-0000-0000F6900000}"/>
    <cellStyle name="Normal 568 4 2" xfId="37358" xr:uid="{00000000-0005-0000-0000-0000F7900000}"/>
    <cellStyle name="Normal 568 4 2 2" xfId="37359" xr:uid="{00000000-0005-0000-0000-0000F8900000}"/>
    <cellStyle name="Normal 568 4 3" xfId="37360" xr:uid="{00000000-0005-0000-0000-0000F9900000}"/>
    <cellStyle name="Normal 568 5" xfId="37361" xr:uid="{00000000-0005-0000-0000-0000FA900000}"/>
    <cellStyle name="Normal 568 5 2" xfId="37362" xr:uid="{00000000-0005-0000-0000-0000FB900000}"/>
    <cellStyle name="Normal 568 5 2 2" xfId="37363" xr:uid="{00000000-0005-0000-0000-0000FC900000}"/>
    <cellStyle name="Normal 568 5 3" xfId="37364" xr:uid="{00000000-0005-0000-0000-0000FD900000}"/>
    <cellStyle name="Normal 568 6" xfId="37365" xr:uid="{00000000-0005-0000-0000-0000FE900000}"/>
    <cellStyle name="Normal 569" xfId="37366" xr:uid="{00000000-0005-0000-0000-0000FF900000}"/>
    <cellStyle name="Normal 569 2" xfId="37367" xr:uid="{00000000-0005-0000-0000-000000910000}"/>
    <cellStyle name="Normal 569 2 2" xfId="37368" xr:uid="{00000000-0005-0000-0000-000001910000}"/>
    <cellStyle name="Normal 569 2 2 2" xfId="37369" xr:uid="{00000000-0005-0000-0000-000002910000}"/>
    <cellStyle name="Normal 569 2 3" xfId="37370" xr:uid="{00000000-0005-0000-0000-000003910000}"/>
    <cellStyle name="Normal 569 2 3 2" xfId="37371" xr:uid="{00000000-0005-0000-0000-000004910000}"/>
    <cellStyle name="Normal 569 2 3 2 2" xfId="37372" xr:uid="{00000000-0005-0000-0000-000005910000}"/>
    <cellStyle name="Normal 569 2 3 3" xfId="37373" xr:uid="{00000000-0005-0000-0000-000006910000}"/>
    <cellStyle name="Normal 569 2 4" xfId="37374" xr:uid="{00000000-0005-0000-0000-000007910000}"/>
    <cellStyle name="Normal 569 3" xfId="37375" xr:uid="{00000000-0005-0000-0000-000008910000}"/>
    <cellStyle name="Normal 569 3 2" xfId="37376" xr:uid="{00000000-0005-0000-0000-000009910000}"/>
    <cellStyle name="Normal 569 3 2 2" xfId="37377" xr:uid="{00000000-0005-0000-0000-00000A910000}"/>
    <cellStyle name="Normal 569 3 3" xfId="37378" xr:uid="{00000000-0005-0000-0000-00000B910000}"/>
    <cellStyle name="Normal 569 4" xfId="37379" xr:uid="{00000000-0005-0000-0000-00000C910000}"/>
    <cellStyle name="Normal 569 4 2" xfId="37380" xr:uid="{00000000-0005-0000-0000-00000D910000}"/>
    <cellStyle name="Normal 569 4 2 2" xfId="37381" xr:uid="{00000000-0005-0000-0000-00000E910000}"/>
    <cellStyle name="Normal 569 4 3" xfId="37382" xr:uid="{00000000-0005-0000-0000-00000F910000}"/>
    <cellStyle name="Normal 569 5" xfId="37383" xr:uid="{00000000-0005-0000-0000-000010910000}"/>
    <cellStyle name="Normal 57" xfId="37384" xr:uid="{00000000-0005-0000-0000-000011910000}"/>
    <cellStyle name="Normal 57 2" xfId="37385" xr:uid="{00000000-0005-0000-0000-000012910000}"/>
    <cellStyle name="Normal 57 2 2" xfId="37386" xr:uid="{00000000-0005-0000-0000-000013910000}"/>
    <cellStyle name="Normal 57 2 2 2" xfId="37387" xr:uid="{00000000-0005-0000-0000-000014910000}"/>
    <cellStyle name="Normal 57 2 3" xfId="37388" xr:uid="{00000000-0005-0000-0000-000015910000}"/>
    <cellStyle name="Normal 57 2 3 2" xfId="37389" xr:uid="{00000000-0005-0000-0000-000016910000}"/>
    <cellStyle name="Normal 57 2 3 2 2" xfId="37390" xr:uid="{00000000-0005-0000-0000-000017910000}"/>
    <cellStyle name="Normal 57 2 3 3" xfId="37391" xr:uid="{00000000-0005-0000-0000-000018910000}"/>
    <cellStyle name="Normal 57 2 4" xfId="37392" xr:uid="{00000000-0005-0000-0000-000019910000}"/>
    <cellStyle name="Normal 57 2 4 2" xfId="37393" xr:uid="{00000000-0005-0000-0000-00001A910000}"/>
    <cellStyle name="Normal 57 2 4 2 2" xfId="37394" xr:uid="{00000000-0005-0000-0000-00001B910000}"/>
    <cellStyle name="Normal 57 2 4 3" xfId="37395" xr:uid="{00000000-0005-0000-0000-00001C910000}"/>
    <cellStyle name="Normal 57 2 5" xfId="37396" xr:uid="{00000000-0005-0000-0000-00001D910000}"/>
    <cellStyle name="Normal 57 3" xfId="37397" xr:uid="{00000000-0005-0000-0000-00001E910000}"/>
    <cellStyle name="Normal 57 3 2" xfId="37398" xr:uid="{00000000-0005-0000-0000-00001F910000}"/>
    <cellStyle name="Normal 57 3 2 2" xfId="37399" xr:uid="{00000000-0005-0000-0000-000020910000}"/>
    <cellStyle name="Normal 57 3 2 2 2" xfId="37400" xr:uid="{00000000-0005-0000-0000-000021910000}"/>
    <cellStyle name="Normal 57 3 2 3" xfId="37401" xr:uid="{00000000-0005-0000-0000-000022910000}"/>
    <cellStyle name="Normal 57 3 2 3 2" xfId="37402" xr:uid="{00000000-0005-0000-0000-000023910000}"/>
    <cellStyle name="Normal 57 3 2 3 2 2" xfId="37403" xr:uid="{00000000-0005-0000-0000-000024910000}"/>
    <cellStyle name="Normal 57 3 2 3 3" xfId="37404" xr:uid="{00000000-0005-0000-0000-000025910000}"/>
    <cellStyle name="Normal 57 3 2 4" xfId="37405" xr:uid="{00000000-0005-0000-0000-000026910000}"/>
    <cellStyle name="Normal 57 3 3" xfId="37406" xr:uid="{00000000-0005-0000-0000-000027910000}"/>
    <cellStyle name="Normal 57 3 3 2" xfId="37407" xr:uid="{00000000-0005-0000-0000-000028910000}"/>
    <cellStyle name="Normal 57 3 3 2 2" xfId="37408" xr:uid="{00000000-0005-0000-0000-000029910000}"/>
    <cellStyle name="Normal 57 3 3 3" xfId="37409" xr:uid="{00000000-0005-0000-0000-00002A910000}"/>
    <cellStyle name="Normal 57 3 4" xfId="37410" xr:uid="{00000000-0005-0000-0000-00002B910000}"/>
    <cellStyle name="Normal 57 3 4 2" xfId="37411" xr:uid="{00000000-0005-0000-0000-00002C910000}"/>
    <cellStyle name="Normal 57 3 4 2 2" xfId="37412" xr:uid="{00000000-0005-0000-0000-00002D910000}"/>
    <cellStyle name="Normal 57 3 4 3" xfId="37413" xr:uid="{00000000-0005-0000-0000-00002E910000}"/>
    <cellStyle name="Normal 57 3 5" xfId="37414" xr:uid="{00000000-0005-0000-0000-00002F910000}"/>
    <cellStyle name="Normal 57 3 5 2" xfId="37415" xr:uid="{00000000-0005-0000-0000-000030910000}"/>
    <cellStyle name="Normal 57 3 5 2 2" xfId="37416" xr:uid="{00000000-0005-0000-0000-000031910000}"/>
    <cellStyle name="Normal 57 3 5 3" xfId="37417" xr:uid="{00000000-0005-0000-0000-000032910000}"/>
    <cellStyle name="Normal 57 3 6" xfId="37418" xr:uid="{00000000-0005-0000-0000-000033910000}"/>
    <cellStyle name="Normal 57 4" xfId="37419" xr:uid="{00000000-0005-0000-0000-000034910000}"/>
    <cellStyle name="Normal 57 4 2" xfId="37420" xr:uid="{00000000-0005-0000-0000-000035910000}"/>
    <cellStyle name="Normal 57 4 2 2" xfId="37421" xr:uid="{00000000-0005-0000-0000-000036910000}"/>
    <cellStyle name="Normal 57 4 3" xfId="37422" xr:uid="{00000000-0005-0000-0000-000037910000}"/>
    <cellStyle name="Normal 57 5" xfId="37423" xr:uid="{00000000-0005-0000-0000-000038910000}"/>
    <cellStyle name="Normal 57 5 2" xfId="37424" xr:uid="{00000000-0005-0000-0000-000039910000}"/>
    <cellStyle name="Normal 57 5 2 2" xfId="37425" xr:uid="{00000000-0005-0000-0000-00003A910000}"/>
    <cellStyle name="Normal 57 5 3" xfId="37426" xr:uid="{00000000-0005-0000-0000-00003B910000}"/>
    <cellStyle name="Normal 57 6" xfId="37427" xr:uid="{00000000-0005-0000-0000-00003C910000}"/>
    <cellStyle name="Normal 57 6 2" xfId="37428" xr:uid="{00000000-0005-0000-0000-00003D910000}"/>
    <cellStyle name="Normal 57 6 2 2" xfId="37429" xr:uid="{00000000-0005-0000-0000-00003E910000}"/>
    <cellStyle name="Normal 57 6 3" xfId="37430" xr:uid="{00000000-0005-0000-0000-00003F910000}"/>
    <cellStyle name="Normal 57 7" xfId="37431" xr:uid="{00000000-0005-0000-0000-000040910000}"/>
    <cellStyle name="Normal 570" xfId="37432" xr:uid="{00000000-0005-0000-0000-000041910000}"/>
    <cellStyle name="Normal 570 2" xfId="37433" xr:uid="{00000000-0005-0000-0000-000042910000}"/>
    <cellStyle name="Normal 570 2 2" xfId="37434" xr:uid="{00000000-0005-0000-0000-000043910000}"/>
    <cellStyle name="Normal 570 2 2 2" xfId="37435" xr:uid="{00000000-0005-0000-0000-000044910000}"/>
    <cellStyle name="Normal 570 2 3" xfId="37436" xr:uid="{00000000-0005-0000-0000-000045910000}"/>
    <cellStyle name="Normal 570 2 3 2" xfId="37437" xr:uid="{00000000-0005-0000-0000-000046910000}"/>
    <cellStyle name="Normal 570 2 3 2 2" xfId="37438" xr:uid="{00000000-0005-0000-0000-000047910000}"/>
    <cellStyle name="Normal 570 2 3 3" xfId="37439" xr:uid="{00000000-0005-0000-0000-000048910000}"/>
    <cellStyle name="Normal 570 2 4" xfId="37440" xr:uid="{00000000-0005-0000-0000-000049910000}"/>
    <cellStyle name="Normal 570 3" xfId="37441" xr:uid="{00000000-0005-0000-0000-00004A910000}"/>
    <cellStyle name="Normal 570 3 2" xfId="37442" xr:uid="{00000000-0005-0000-0000-00004B910000}"/>
    <cellStyle name="Normal 570 3 2 2" xfId="37443" xr:uid="{00000000-0005-0000-0000-00004C910000}"/>
    <cellStyle name="Normal 570 3 3" xfId="37444" xr:uid="{00000000-0005-0000-0000-00004D910000}"/>
    <cellStyle name="Normal 570 4" xfId="37445" xr:uid="{00000000-0005-0000-0000-00004E910000}"/>
    <cellStyle name="Normal 570 4 2" xfId="37446" xr:uid="{00000000-0005-0000-0000-00004F910000}"/>
    <cellStyle name="Normal 570 4 2 2" xfId="37447" xr:uid="{00000000-0005-0000-0000-000050910000}"/>
    <cellStyle name="Normal 570 4 3" xfId="37448" xr:uid="{00000000-0005-0000-0000-000051910000}"/>
    <cellStyle name="Normal 570 5" xfId="37449" xr:uid="{00000000-0005-0000-0000-000052910000}"/>
    <cellStyle name="Normal 571" xfId="37450" xr:uid="{00000000-0005-0000-0000-000053910000}"/>
    <cellStyle name="Normal 571 2" xfId="37451" xr:uid="{00000000-0005-0000-0000-000054910000}"/>
    <cellStyle name="Normal 571 2 2" xfId="37452" xr:uid="{00000000-0005-0000-0000-000055910000}"/>
    <cellStyle name="Normal 571 2 2 2" xfId="37453" xr:uid="{00000000-0005-0000-0000-000056910000}"/>
    <cellStyle name="Normal 571 2 3" xfId="37454" xr:uid="{00000000-0005-0000-0000-000057910000}"/>
    <cellStyle name="Normal 571 2 3 2" xfId="37455" xr:uid="{00000000-0005-0000-0000-000058910000}"/>
    <cellStyle name="Normal 571 2 3 2 2" xfId="37456" xr:uid="{00000000-0005-0000-0000-000059910000}"/>
    <cellStyle name="Normal 571 2 3 3" xfId="37457" xr:uid="{00000000-0005-0000-0000-00005A910000}"/>
    <cellStyle name="Normal 571 2 4" xfId="37458" xr:uid="{00000000-0005-0000-0000-00005B910000}"/>
    <cellStyle name="Normal 571 3" xfId="37459" xr:uid="{00000000-0005-0000-0000-00005C910000}"/>
    <cellStyle name="Normal 571 3 2" xfId="37460" xr:uid="{00000000-0005-0000-0000-00005D910000}"/>
    <cellStyle name="Normal 571 3 2 2" xfId="37461" xr:uid="{00000000-0005-0000-0000-00005E910000}"/>
    <cellStyle name="Normal 571 3 3" xfId="37462" xr:uid="{00000000-0005-0000-0000-00005F910000}"/>
    <cellStyle name="Normal 571 4" xfId="37463" xr:uid="{00000000-0005-0000-0000-000060910000}"/>
    <cellStyle name="Normal 571 4 2" xfId="37464" xr:uid="{00000000-0005-0000-0000-000061910000}"/>
    <cellStyle name="Normal 571 4 2 2" xfId="37465" xr:uid="{00000000-0005-0000-0000-000062910000}"/>
    <cellStyle name="Normal 571 4 3" xfId="37466" xr:uid="{00000000-0005-0000-0000-000063910000}"/>
    <cellStyle name="Normal 571 5" xfId="37467" xr:uid="{00000000-0005-0000-0000-000064910000}"/>
    <cellStyle name="Normal 572" xfId="37468" xr:uid="{00000000-0005-0000-0000-000065910000}"/>
    <cellStyle name="Normal 572 2" xfId="37469" xr:uid="{00000000-0005-0000-0000-000066910000}"/>
    <cellStyle name="Normal 572 2 2" xfId="37470" xr:uid="{00000000-0005-0000-0000-000067910000}"/>
    <cellStyle name="Normal 572 2 2 2" xfId="37471" xr:uid="{00000000-0005-0000-0000-000068910000}"/>
    <cellStyle name="Normal 572 2 3" xfId="37472" xr:uid="{00000000-0005-0000-0000-000069910000}"/>
    <cellStyle name="Normal 572 2 3 2" xfId="37473" xr:uid="{00000000-0005-0000-0000-00006A910000}"/>
    <cellStyle name="Normal 572 2 3 2 2" xfId="37474" xr:uid="{00000000-0005-0000-0000-00006B910000}"/>
    <cellStyle name="Normal 572 2 3 3" xfId="37475" xr:uid="{00000000-0005-0000-0000-00006C910000}"/>
    <cellStyle name="Normal 572 2 4" xfId="37476" xr:uid="{00000000-0005-0000-0000-00006D910000}"/>
    <cellStyle name="Normal 572 3" xfId="37477" xr:uid="{00000000-0005-0000-0000-00006E910000}"/>
    <cellStyle name="Normal 572 3 2" xfId="37478" xr:uid="{00000000-0005-0000-0000-00006F910000}"/>
    <cellStyle name="Normal 572 3 2 2" xfId="37479" xr:uid="{00000000-0005-0000-0000-000070910000}"/>
    <cellStyle name="Normal 572 3 3" xfId="37480" xr:uid="{00000000-0005-0000-0000-000071910000}"/>
    <cellStyle name="Normal 572 4" xfId="37481" xr:uid="{00000000-0005-0000-0000-000072910000}"/>
    <cellStyle name="Normal 572 4 2" xfId="37482" xr:uid="{00000000-0005-0000-0000-000073910000}"/>
    <cellStyle name="Normal 572 4 2 2" xfId="37483" xr:uid="{00000000-0005-0000-0000-000074910000}"/>
    <cellStyle name="Normal 572 4 3" xfId="37484" xr:uid="{00000000-0005-0000-0000-000075910000}"/>
    <cellStyle name="Normal 572 5" xfId="37485" xr:uid="{00000000-0005-0000-0000-000076910000}"/>
    <cellStyle name="Normal 573" xfId="37486" xr:uid="{00000000-0005-0000-0000-000077910000}"/>
    <cellStyle name="Normal 573 2" xfId="37487" xr:uid="{00000000-0005-0000-0000-000078910000}"/>
    <cellStyle name="Normal 573 2 2" xfId="37488" xr:uid="{00000000-0005-0000-0000-000079910000}"/>
    <cellStyle name="Normal 573 2 2 2" xfId="37489" xr:uid="{00000000-0005-0000-0000-00007A910000}"/>
    <cellStyle name="Normal 573 2 3" xfId="37490" xr:uid="{00000000-0005-0000-0000-00007B910000}"/>
    <cellStyle name="Normal 573 2 3 2" xfId="37491" xr:uid="{00000000-0005-0000-0000-00007C910000}"/>
    <cellStyle name="Normal 573 2 3 2 2" xfId="37492" xr:uid="{00000000-0005-0000-0000-00007D910000}"/>
    <cellStyle name="Normal 573 2 3 3" xfId="37493" xr:uid="{00000000-0005-0000-0000-00007E910000}"/>
    <cellStyle name="Normal 573 2 4" xfId="37494" xr:uid="{00000000-0005-0000-0000-00007F910000}"/>
    <cellStyle name="Normal 573 3" xfId="37495" xr:uid="{00000000-0005-0000-0000-000080910000}"/>
    <cellStyle name="Normal 573 3 2" xfId="37496" xr:uid="{00000000-0005-0000-0000-000081910000}"/>
    <cellStyle name="Normal 573 3 2 2" xfId="37497" xr:uid="{00000000-0005-0000-0000-000082910000}"/>
    <cellStyle name="Normal 573 3 3" xfId="37498" xr:uid="{00000000-0005-0000-0000-000083910000}"/>
    <cellStyle name="Normal 573 4" xfId="37499" xr:uid="{00000000-0005-0000-0000-000084910000}"/>
    <cellStyle name="Normal 573 4 2" xfId="37500" xr:uid="{00000000-0005-0000-0000-000085910000}"/>
    <cellStyle name="Normal 573 4 2 2" xfId="37501" xr:uid="{00000000-0005-0000-0000-000086910000}"/>
    <cellStyle name="Normal 573 4 3" xfId="37502" xr:uid="{00000000-0005-0000-0000-000087910000}"/>
    <cellStyle name="Normal 573 5" xfId="37503" xr:uid="{00000000-0005-0000-0000-000088910000}"/>
    <cellStyle name="Normal 574" xfId="37504" xr:uid="{00000000-0005-0000-0000-000089910000}"/>
    <cellStyle name="Normal 574 2" xfId="37505" xr:uid="{00000000-0005-0000-0000-00008A910000}"/>
    <cellStyle name="Normal 574 2 2" xfId="37506" xr:uid="{00000000-0005-0000-0000-00008B910000}"/>
    <cellStyle name="Normal 574 3" xfId="37507" xr:uid="{00000000-0005-0000-0000-00008C910000}"/>
    <cellStyle name="Normal 574 3 2" xfId="37508" xr:uid="{00000000-0005-0000-0000-00008D910000}"/>
    <cellStyle name="Normal 574 3 2 2" xfId="37509" xr:uid="{00000000-0005-0000-0000-00008E910000}"/>
    <cellStyle name="Normal 574 3 3" xfId="37510" xr:uid="{00000000-0005-0000-0000-00008F910000}"/>
    <cellStyle name="Normal 574 4" xfId="37511" xr:uid="{00000000-0005-0000-0000-000090910000}"/>
    <cellStyle name="Normal 575" xfId="37512" xr:uid="{00000000-0005-0000-0000-000091910000}"/>
    <cellStyle name="Normal 575 2" xfId="37513" xr:uid="{00000000-0005-0000-0000-000092910000}"/>
    <cellStyle name="Normal 575 2 2" xfId="37514" xr:uid="{00000000-0005-0000-0000-000093910000}"/>
    <cellStyle name="Normal 575 3" xfId="37515" xr:uid="{00000000-0005-0000-0000-000094910000}"/>
    <cellStyle name="Normal 575 3 2" xfId="37516" xr:uid="{00000000-0005-0000-0000-000095910000}"/>
    <cellStyle name="Normal 575 3 2 2" xfId="37517" xr:uid="{00000000-0005-0000-0000-000096910000}"/>
    <cellStyle name="Normal 575 3 3" xfId="37518" xr:uid="{00000000-0005-0000-0000-000097910000}"/>
    <cellStyle name="Normal 575 4" xfId="37519" xr:uid="{00000000-0005-0000-0000-000098910000}"/>
    <cellStyle name="Normal 576" xfId="37520" xr:uid="{00000000-0005-0000-0000-000099910000}"/>
    <cellStyle name="Normal 576 2" xfId="37521" xr:uid="{00000000-0005-0000-0000-00009A910000}"/>
    <cellStyle name="Normal 576 2 2" xfId="37522" xr:uid="{00000000-0005-0000-0000-00009B910000}"/>
    <cellStyle name="Normal 576 2 2 2" xfId="37523" xr:uid="{00000000-0005-0000-0000-00009C910000}"/>
    <cellStyle name="Normal 576 2 3" xfId="37524" xr:uid="{00000000-0005-0000-0000-00009D910000}"/>
    <cellStyle name="Normal 576 2 3 2" xfId="37525" xr:uid="{00000000-0005-0000-0000-00009E910000}"/>
    <cellStyle name="Normal 576 2 3 2 2" xfId="37526" xr:uid="{00000000-0005-0000-0000-00009F910000}"/>
    <cellStyle name="Normal 576 2 3 3" xfId="37527" xr:uid="{00000000-0005-0000-0000-0000A0910000}"/>
    <cellStyle name="Normal 576 2 4" xfId="37528" xr:uid="{00000000-0005-0000-0000-0000A1910000}"/>
    <cellStyle name="Normal 576 3" xfId="37529" xr:uid="{00000000-0005-0000-0000-0000A2910000}"/>
    <cellStyle name="Normal 576 3 2" xfId="37530" xr:uid="{00000000-0005-0000-0000-0000A3910000}"/>
    <cellStyle name="Normal 576 3 2 2" xfId="37531" xr:uid="{00000000-0005-0000-0000-0000A4910000}"/>
    <cellStyle name="Normal 576 3 3" xfId="37532" xr:uid="{00000000-0005-0000-0000-0000A5910000}"/>
    <cellStyle name="Normal 576 4" xfId="37533" xr:uid="{00000000-0005-0000-0000-0000A6910000}"/>
    <cellStyle name="Normal 576 4 2" xfId="37534" xr:uid="{00000000-0005-0000-0000-0000A7910000}"/>
    <cellStyle name="Normal 576 4 2 2" xfId="37535" xr:uid="{00000000-0005-0000-0000-0000A8910000}"/>
    <cellStyle name="Normal 576 4 3" xfId="37536" xr:uid="{00000000-0005-0000-0000-0000A9910000}"/>
    <cellStyle name="Normal 576 5" xfId="37537" xr:uid="{00000000-0005-0000-0000-0000AA910000}"/>
    <cellStyle name="Normal 577" xfId="37538" xr:uid="{00000000-0005-0000-0000-0000AB910000}"/>
    <cellStyle name="Normal 577 2" xfId="37539" xr:uid="{00000000-0005-0000-0000-0000AC910000}"/>
    <cellStyle name="Normal 577 2 2" xfId="37540" xr:uid="{00000000-0005-0000-0000-0000AD910000}"/>
    <cellStyle name="Normal 577 2 2 2" xfId="37541" xr:uid="{00000000-0005-0000-0000-0000AE910000}"/>
    <cellStyle name="Normal 577 2 3" xfId="37542" xr:uid="{00000000-0005-0000-0000-0000AF910000}"/>
    <cellStyle name="Normal 577 2 3 2" xfId="37543" xr:uid="{00000000-0005-0000-0000-0000B0910000}"/>
    <cellStyle name="Normal 577 2 3 2 2" xfId="37544" xr:uid="{00000000-0005-0000-0000-0000B1910000}"/>
    <cellStyle name="Normal 577 2 3 3" xfId="37545" xr:uid="{00000000-0005-0000-0000-0000B2910000}"/>
    <cellStyle name="Normal 577 2 4" xfId="37546" xr:uid="{00000000-0005-0000-0000-0000B3910000}"/>
    <cellStyle name="Normal 577 3" xfId="37547" xr:uid="{00000000-0005-0000-0000-0000B4910000}"/>
    <cellStyle name="Normal 577 3 2" xfId="37548" xr:uid="{00000000-0005-0000-0000-0000B5910000}"/>
    <cellStyle name="Normal 577 3 2 2" xfId="37549" xr:uid="{00000000-0005-0000-0000-0000B6910000}"/>
    <cellStyle name="Normal 577 3 3" xfId="37550" xr:uid="{00000000-0005-0000-0000-0000B7910000}"/>
    <cellStyle name="Normal 577 4" xfId="37551" xr:uid="{00000000-0005-0000-0000-0000B8910000}"/>
    <cellStyle name="Normal 577 4 2" xfId="37552" xr:uid="{00000000-0005-0000-0000-0000B9910000}"/>
    <cellStyle name="Normal 577 4 2 2" xfId="37553" xr:uid="{00000000-0005-0000-0000-0000BA910000}"/>
    <cellStyle name="Normal 577 4 3" xfId="37554" xr:uid="{00000000-0005-0000-0000-0000BB910000}"/>
    <cellStyle name="Normal 577 5" xfId="37555" xr:uid="{00000000-0005-0000-0000-0000BC910000}"/>
    <cellStyle name="Normal 578" xfId="37556" xr:uid="{00000000-0005-0000-0000-0000BD910000}"/>
    <cellStyle name="Normal 578 2" xfId="37557" xr:uid="{00000000-0005-0000-0000-0000BE910000}"/>
    <cellStyle name="Normal 578 2 2" xfId="37558" xr:uid="{00000000-0005-0000-0000-0000BF910000}"/>
    <cellStyle name="Normal 578 2 2 2" xfId="37559" xr:uid="{00000000-0005-0000-0000-0000C0910000}"/>
    <cellStyle name="Normal 578 2 3" xfId="37560" xr:uid="{00000000-0005-0000-0000-0000C1910000}"/>
    <cellStyle name="Normal 578 2 3 2" xfId="37561" xr:uid="{00000000-0005-0000-0000-0000C2910000}"/>
    <cellStyle name="Normal 578 2 3 2 2" xfId="37562" xr:uid="{00000000-0005-0000-0000-0000C3910000}"/>
    <cellStyle name="Normal 578 2 3 3" xfId="37563" xr:uid="{00000000-0005-0000-0000-0000C4910000}"/>
    <cellStyle name="Normal 578 2 4" xfId="37564" xr:uid="{00000000-0005-0000-0000-0000C5910000}"/>
    <cellStyle name="Normal 578 3" xfId="37565" xr:uid="{00000000-0005-0000-0000-0000C6910000}"/>
    <cellStyle name="Normal 578 3 2" xfId="37566" xr:uid="{00000000-0005-0000-0000-0000C7910000}"/>
    <cellStyle name="Normal 578 3 2 2" xfId="37567" xr:uid="{00000000-0005-0000-0000-0000C8910000}"/>
    <cellStyle name="Normal 578 3 3" xfId="37568" xr:uid="{00000000-0005-0000-0000-0000C9910000}"/>
    <cellStyle name="Normal 578 4" xfId="37569" xr:uid="{00000000-0005-0000-0000-0000CA910000}"/>
    <cellStyle name="Normal 578 4 2" xfId="37570" xr:uid="{00000000-0005-0000-0000-0000CB910000}"/>
    <cellStyle name="Normal 578 4 2 2" xfId="37571" xr:uid="{00000000-0005-0000-0000-0000CC910000}"/>
    <cellStyle name="Normal 578 4 3" xfId="37572" xr:uid="{00000000-0005-0000-0000-0000CD910000}"/>
    <cellStyle name="Normal 578 5" xfId="37573" xr:uid="{00000000-0005-0000-0000-0000CE910000}"/>
    <cellStyle name="Normal 579" xfId="37574" xr:uid="{00000000-0005-0000-0000-0000CF910000}"/>
    <cellStyle name="Normal 579 2" xfId="37575" xr:uid="{00000000-0005-0000-0000-0000D0910000}"/>
    <cellStyle name="Normal 579 2 2" xfId="37576" xr:uid="{00000000-0005-0000-0000-0000D1910000}"/>
    <cellStyle name="Normal 579 2 2 2" xfId="37577" xr:uid="{00000000-0005-0000-0000-0000D2910000}"/>
    <cellStyle name="Normal 579 2 3" xfId="37578" xr:uid="{00000000-0005-0000-0000-0000D3910000}"/>
    <cellStyle name="Normal 579 2 3 2" xfId="37579" xr:uid="{00000000-0005-0000-0000-0000D4910000}"/>
    <cellStyle name="Normal 579 2 3 2 2" xfId="37580" xr:uid="{00000000-0005-0000-0000-0000D5910000}"/>
    <cellStyle name="Normal 579 2 3 3" xfId="37581" xr:uid="{00000000-0005-0000-0000-0000D6910000}"/>
    <cellStyle name="Normal 579 2 4" xfId="37582" xr:uid="{00000000-0005-0000-0000-0000D7910000}"/>
    <cellStyle name="Normal 579 3" xfId="37583" xr:uid="{00000000-0005-0000-0000-0000D8910000}"/>
    <cellStyle name="Normal 579 3 2" xfId="37584" xr:uid="{00000000-0005-0000-0000-0000D9910000}"/>
    <cellStyle name="Normal 579 3 2 2" xfId="37585" xr:uid="{00000000-0005-0000-0000-0000DA910000}"/>
    <cellStyle name="Normal 579 3 3" xfId="37586" xr:uid="{00000000-0005-0000-0000-0000DB910000}"/>
    <cellStyle name="Normal 579 4" xfId="37587" xr:uid="{00000000-0005-0000-0000-0000DC910000}"/>
    <cellStyle name="Normal 579 4 2" xfId="37588" xr:uid="{00000000-0005-0000-0000-0000DD910000}"/>
    <cellStyle name="Normal 579 4 2 2" xfId="37589" xr:uid="{00000000-0005-0000-0000-0000DE910000}"/>
    <cellStyle name="Normal 579 4 3" xfId="37590" xr:uid="{00000000-0005-0000-0000-0000DF910000}"/>
    <cellStyle name="Normal 579 5" xfId="37591" xr:uid="{00000000-0005-0000-0000-0000E0910000}"/>
    <cellStyle name="Normal 58" xfId="37592" xr:uid="{00000000-0005-0000-0000-0000E1910000}"/>
    <cellStyle name="Normal 58 2" xfId="37593" xr:uid="{00000000-0005-0000-0000-0000E2910000}"/>
    <cellStyle name="Normal 58 2 2" xfId="37594" xr:uid="{00000000-0005-0000-0000-0000E3910000}"/>
    <cellStyle name="Normal 58 2 2 2" xfId="37595" xr:uid="{00000000-0005-0000-0000-0000E4910000}"/>
    <cellStyle name="Normal 58 2 3" xfId="37596" xr:uid="{00000000-0005-0000-0000-0000E5910000}"/>
    <cellStyle name="Normal 58 2 3 2" xfId="37597" xr:uid="{00000000-0005-0000-0000-0000E6910000}"/>
    <cellStyle name="Normal 58 2 3 2 2" xfId="37598" xr:uid="{00000000-0005-0000-0000-0000E7910000}"/>
    <cellStyle name="Normal 58 2 3 3" xfId="37599" xr:uid="{00000000-0005-0000-0000-0000E8910000}"/>
    <cellStyle name="Normal 58 2 4" xfId="37600" xr:uid="{00000000-0005-0000-0000-0000E9910000}"/>
    <cellStyle name="Normal 58 2 4 2" xfId="37601" xr:uid="{00000000-0005-0000-0000-0000EA910000}"/>
    <cellStyle name="Normal 58 2 4 2 2" xfId="37602" xr:uid="{00000000-0005-0000-0000-0000EB910000}"/>
    <cellStyle name="Normal 58 2 4 3" xfId="37603" xr:uid="{00000000-0005-0000-0000-0000EC910000}"/>
    <cellStyle name="Normal 58 2 5" xfId="37604" xr:uid="{00000000-0005-0000-0000-0000ED910000}"/>
    <cellStyle name="Normal 58 3" xfId="37605" xr:uid="{00000000-0005-0000-0000-0000EE910000}"/>
    <cellStyle name="Normal 58 3 2" xfId="37606" xr:uid="{00000000-0005-0000-0000-0000EF910000}"/>
    <cellStyle name="Normal 58 3 2 2" xfId="37607" xr:uid="{00000000-0005-0000-0000-0000F0910000}"/>
    <cellStyle name="Normal 58 3 2 2 2" xfId="37608" xr:uid="{00000000-0005-0000-0000-0000F1910000}"/>
    <cellStyle name="Normal 58 3 2 3" xfId="37609" xr:uid="{00000000-0005-0000-0000-0000F2910000}"/>
    <cellStyle name="Normal 58 3 2 3 2" xfId="37610" xr:uid="{00000000-0005-0000-0000-0000F3910000}"/>
    <cellStyle name="Normal 58 3 2 3 2 2" xfId="37611" xr:uid="{00000000-0005-0000-0000-0000F4910000}"/>
    <cellStyle name="Normal 58 3 2 3 3" xfId="37612" xr:uid="{00000000-0005-0000-0000-0000F5910000}"/>
    <cellStyle name="Normal 58 3 2 4" xfId="37613" xr:uid="{00000000-0005-0000-0000-0000F6910000}"/>
    <cellStyle name="Normal 58 3 3" xfId="37614" xr:uid="{00000000-0005-0000-0000-0000F7910000}"/>
    <cellStyle name="Normal 58 3 3 2" xfId="37615" xr:uid="{00000000-0005-0000-0000-0000F8910000}"/>
    <cellStyle name="Normal 58 3 3 2 2" xfId="37616" xr:uid="{00000000-0005-0000-0000-0000F9910000}"/>
    <cellStyle name="Normal 58 3 3 3" xfId="37617" xr:uid="{00000000-0005-0000-0000-0000FA910000}"/>
    <cellStyle name="Normal 58 3 4" xfId="37618" xr:uid="{00000000-0005-0000-0000-0000FB910000}"/>
    <cellStyle name="Normal 58 3 4 2" xfId="37619" xr:uid="{00000000-0005-0000-0000-0000FC910000}"/>
    <cellStyle name="Normal 58 3 4 2 2" xfId="37620" xr:uid="{00000000-0005-0000-0000-0000FD910000}"/>
    <cellStyle name="Normal 58 3 4 3" xfId="37621" xr:uid="{00000000-0005-0000-0000-0000FE910000}"/>
    <cellStyle name="Normal 58 3 5" xfId="37622" xr:uid="{00000000-0005-0000-0000-0000FF910000}"/>
    <cellStyle name="Normal 58 3 5 2" xfId="37623" xr:uid="{00000000-0005-0000-0000-000000920000}"/>
    <cellStyle name="Normal 58 3 5 2 2" xfId="37624" xr:uid="{00000000-0005-0000-0000-000001920000}"/>
    <cellStyle name="Normal 58 3 5 3" xfId="37625" xr:uid="{00000000-0005-0000-0000-000002920000}"/>
    <cellStyle name="Normal 58 3 6" xfId="37626" xr:uid="{00000000-0005-0000-0000-000003920000}"/>
    <cellStyle name="Normal 58 4" xfId="37627" xr:uid="{00000000-0005-0000-0000-000004920000}"/>
    <cellStyle name="Normal 58 4 2" xfId="37628" xr:uid="{00000000-0005-0000-0000-000005920000}"/>
    <cellStyle name="Normal 58 4 2 2" xfId="37629" xr:uid="{00000000-0005-0000-0000-000006920000}"/>
    <cellStyle name="Normal 58 4 3" xfId="37630" xr:uid="{00000000-0005-0000-0000-000007920000}"/>
    <cellStyle name="Normal 58 5" xfId="37631" xr:uid="{00000000-0005-0000-0000-000008920000}"/>
    <cellStyle name="Normal 58 5 2" xfId="37632" xr:uid="{00000000-0005-0000-0000-000009920000}"/>
    <cellStyle name="Normal 58 5 2 2" xfId="37633" xr:uid="{00000000-0005-0000-0000-00000A920000}"/>
    <cellStyle name="Normal 58 5 3" xfId="37634" xr:uid="{00000000-0005-0000-0000-00000B920000}"/>
    <cellStyle name="Normal 58 6" xfId="37635" xr:uid="{00000000-0005-0000-0000-00000C920000}"/>
    <cellStyle name="Normal 58 6 2" xfId="37636" xr:uid="{00000000-0005-0000-0000-00000D920000}"/>
    <cellStyle name="Normal 58 6 2 2" xfId="37637" xr:uid="{00000000-0005-0000-0000-00000E920000}"/>
    <cellStyle name="Normal 58 6 3" xfId="37638" xr:uid="{00000000-0005-0000-0000-00000F920000}"/>
    <cellStyle name="Normal 58 7" xfId="37639" xr:uid="{00000000-0005-0000-0000-000010920000}"/>
    <cellStyle name="Normal 580" xfId="37640" xr:uid="{00000000-0005-0000-0000-000011920000}"/>
    <cellStyle name="Normal 580 2" xfId="37641" xr:uid="{00000000-0005-0000-0000-000012920000}"/>
    <cellStyle name="Normal 580 2 2" xfId="37642" xr:uid="{00000000-0005-0000-0000-000013920000}"/>
    <cellStyle name="Normal 580 3" xfId="37643" xr:uid="{00000000-0005-0000-0000-000014920000}"/>
    <cellStyle name="Normal 580 3 2" xfId="37644" xr:uid="{00000000-0005-0000-0000-000015920000}"/>
    <cellStyle name="Normal 580 3 2 2" xfId="37645" xr:uid="{00000000-0005-0000-0000-000016920000}"/>
    <cellStyle name="Normal 580 3 3" xfId="37646" xr:uid="{00000000-0005-0000-0000-000017920000}"/>
    <cellStyle name="Normal 580 4" xfId="37647" xr:uid="{00000000-0005-0000-0000-000018920000}"/>
    <cellStyle name="Normal 581" xfId="37648" xr:uid="{00000000-0005-0000-0000-000019920000}"/>
    <cellStyle name="Normal 581 2" xfId="37649" xr:uid="{00000000-0005-0000-0000-00001A920000}"/>
    <cellStyle name="Normal 581 2 2" xfId="37650" xr:uid="{00000000-0005-0000-0000-00001B920000}"/>
    <cellStyle name="Normal 581 3" xfId="37651" xr:uid="{00000000-0005-0000-0000-00001C920000}"/>
    <cellStyle name="Normal 581 3 2" xfId="37652" xr:uid="{00000000-0005-0000-0000-00001D920000}"/>
    <cellStyle name="Normal 581 3 2 2" xfId="37653" xr:uid="{00000000-0005-0000-0000-00001E920000}"/>
    <cellStyle name="Normal 581 3 3" xfId="37654" xr:uid="{00000000-0005-0000-0000-00001F920000}"/>
    <cellStyle name="Normal 581 4" xfId="37655" xr:uid="{00000000-0005-0000-0000-000020920000}"/>
    <cellStyle name="Normal 582" xfId="37656" xr:uid="{00000000-0005-0000-0000-000021920000}"/>
    <cellStyle name="Normal 582 2" xfId="37657" xr:uid="{00000000-0005-0000-0000-000022920000}"/>
    <cellStyle name="Normal 582 2 2" xfId="37658" xr:uid="{00000000-0005-0000-0000-000023920000}"/>
    <cellStyle name="Normal 582 3" xfId="37659" xr:uid="{00000000-0005-0000-0000-000024920000}"/>
    <cellStyle name="Normal 582 3 2" xfId="37660" xr:uid="{00000000-0005-0000-0000-000025920000}"/>
    <cellStyle name="Normal 582 3 2 2" xfId="37661" xr:uid="{00000000-0005-0000-0000-000026920000}"/>
    <cellStyle name="Normal 582 3 3" xfId="37662" xr:uid="{00000000-0005-0000-0000-000027920000}"/>
    <cellStyle name="Normal 582 4" xfId="37663" xr:uid="{00000000-0005-0000-0000-000028920000}"/>
    <cellStyle name="Normal 583" xfId="37664" xr:uid="{00000000-0005-0000-0000-000029920000}"/>
    <cellStyle name="Normal 583 2" xfId="37665" xr:uid="{00000000-0005-0000-0000-00002A920000}"/>
    <cellStyle name="Normal 583 2 2" xfId="37666" xr:uid="{00000000-0005-0000-0000-00002B920000}"/>
    <cellStyle name="Normal 583 3" xfId="37667" xr:uid="{00000000-0005-0000-0000-00002C920000}"/>
    <cellStyle name="Normal 583 3 2" xfId="37668" xr:uid="{00000000-0005-0000-0000-00002D920000}"/>
    <cellStyle name="Normal 583 3 2 2" xfId="37669" xr:uid="{00000000-0005-0000-0000-00002E920000}"/>
    <cellStyle name="Normal 583 3 3" xfId="37670" xr:uid="{00000000-0005-0000-0000-00002F920000}"/>
    <cellStyle name="Normal 583 4" xfId="37671" xr:uid="{00000000-0005-0000-0000-000030920000}"/>
    <cellStyle name="Normal 584" xfId="37672" xr:uid="{00000000-0005-0000-0000-000031920000}"/>
    <cellStyle name="Normal 584 2" xfId="37673" xr:uid="{00000000-0005-0000-0000-000032920000}"/>
    <cellStyle name="Normal 584 2 2" xfId="37674" xr:uid="{00000000-0005-0000-0000-000033920000}"/>
    <cellStyle name="Normal 584 2 2 2" xfId="37675" xr:uid="{00000000-0005-0000-0000-000034920000}"/>
    <cellStyle name="Normal 584 2 3" xfId="37676" xr:uid="{00000000-0005-0000-0000-000035920000}"/>
    <cellStyle name="Normal 584 3" xfId="37677" xr:uid="{00000000-0005-0000-0000-000036920000}"/>
    <cellStyle name="Normal 584 3 2" xfId="37678" xr:uid="{00000000-0005-0000-0000-000037920000}"/>
    <cellStyle name="Normal 584 3 2 2" xfId="37679" xr:uid="{00000000-0005-0000-0000-000038920000}"/>
    <cellStyle name="Normal 584 3 2 2 2" xfId="37680" xr:uid="{00000000-0005-0000-0000-000039920000}"/>
    <cellStyle name="Normal 584 3 2 3" xfId="37681" xr:uid="{00000000-0005-0000-0000-00003A920000}"/>
    <cellStyle name="Normal 584 3 3" xfId="37682" xr:uid="{00000000-0005-0000-0000-00003B920000}"/>
    <cellStyle name="Normal 584 3 3 2" xfId="37683" xr:uid="{00000000-0005-0000-0000-00003C920000}"/>
    <cellStyle name="Normal 584 3 4" xfId="37684" xr:uid="{00000000-0005-0000-0000-00003D920000}"/>
    <cellStyle name="Normal 584 4" xfId="37685" xr:uid="{00000000-0005-0000-0000-00003E920000}"/>
    <cellStyle name="Normal 584 4 2" xfId="37686" xr:uid="{00000000-0005-0000-0000-00003F920000}"/>
    <cellStyle name="Normal 584 4 2 2" xfId="37687" xr:uid="{00000000-0005-0000-0000-000040920000}"/>
    <cellStyle name="Normal 584 4 3" xfId="37688" xr:uid="{00000000-0005-0000-0000-000041920000}"/>
    <cellStyle name="Normal 584 5" xfId="37689" xr:uid="{00000000-0005-0000-0000-000042920000}"/>
    <cellStyle name="Normal 584 5 2" xfId="37690" xr:uid="{00000000-0005-0000-0000-000043920000}"/>
    <cellStyle name="Normal 584 6" xfId="37691" xr:uid="{00000000-0005-0000-0000-000044920000}"/>
    <cellStyle name="Normal 585" xfId="37692" xr:uid="{00000000-0005-0000-0000-000045920000}"/>
    <cellStyle name="Normal 585 2" xfId="37693" xr:uid="{00000000-0005-0000-0000-000046920000}"/>
    <cellStyle name="Normal 585 2 2" xfId="37694" xr:uid="{00000000-0005-0000-0000-000047920000}"/>
    <cellStyle name="Normal 585 2 2 2" xfId="37695" xr:uid="{00000000-0005-0000-0000-000048920000}"/>
    <cellStyle name="Normal 585 2 3" xfId="37696" xr:uid="{00000000-0005-0000-0000-000049920000}"/>
    <cellStyle name="Normal 585 3" xfId="37697" xr:uid="{00000000-0005-0000-0000-00004A920000}"/>
    <cellStyle name="Normal 585 3 2" xfId="37698" xr:uid="{00000000-0005-0000-0000-00004B920000}"/>
    <cellStyle name="Normal 585 4" xfId="37699" xr:uid="{00000000-0005-0000-0000-00004C920000}"/>
    <cellStyle name="Normal 586" xfId="37700" xr:uid="{00000000-0005-0000-0000-00004D920000}"/>
    <cellStyle name="Normal 586 2" xfId="37701" xr:uid="{00000000-0005-0000-0000-00004E920000}"/>
    <cellStyle name="Normal 586 2 2" xfId="37702" xr:uid="{00000000-0005-0000-0000-00004F920000}"/>
    <cellStyle name="Normal 586 2 2 2" xfId="37703" xr:uid="{00000000-0005-0000-0000-000050920000}"/>
    <cellStyle name="Normal 586 2 3" xfId="37704" xr:uid="{00000000-0005-0000-0000-000051920000}"/>
    <cellStyle name="Normal 586 3" xfId="37705" xr:uid="{00000000-0005-0000-0000-000052920000}"/>
    <cellStyle name="Normal 586 3 2" xfId="37706" xr:uid="{00000000-0005-0000-0000-000053920000}"/>
    <cellStyle name="Normal 586 4" xfId="37707" xr:uid="{00000000-0005-0000-0000-000054920000}"/>
    <cellStyle name="Normal 587" xfId="37708" xr:uid="{00000000-0005-0000-0000-000055920000}"/>
    <cellStyle name="Normal 587 2" xfId="37709" xr:uid="{00000000-0005-0000-0000-000056920000}"/>
    <cellStyle name="Normal 587 2 2" xfId="37710" xr:uid="{00000000-0005-0000-0000-000057920000}"/>
    <cellStyle name="Normal 587 2 2 2" xfId="37711" xr:uid="{00000000-0005-0000-0000-000058920000}"/>
    <cellStyle name="Normal 587 2 3" xfId="37712" xr:uid="{00000000-0005-0000-0000-000059920000}"/>
    <cellStyle name="Normal 587 3" xfId="37713" xr:uid="{00000000-0005-0000-0000-00005A920000}"/>
    <cellStyle name="Normal 587 3 2" xfId="37714" xr:uid="{00000000-0005-0000-0000-00005B920000}"/>
    <cellStyle name="Normal 587 4" xfId="37715" xr:uid="{00000000-0005-0000-0000-00005C920000}"/>
    <cellStyle name="Normal 588" xfId="37716" xr:uid="{00000000-0005-0000-0000-00005D920000}"/>
    <cellStyle name="Normal 588 2" xfId="37717" xr:uid="{00000000-0005-0000-0000-00005E920000}"/>
    <cellStyle name="Normal 588 2 2" xfId="37718" xr:uid="{00000000-0005-0000-0000-00005F920000}"/>
    <cellStyle name="Normal 588 3" xfId="37719" xr:uid="{00000000-0005-0000-0000-000060920000}"/>
    <cellStyle name="Normal 589" xfId="37720" xr:uid="{00000000-0005-0000-0000-000061920000}"/>
    <cellStyle name="Normal 589 2" xfId="37721" xr:uid="{00000000-0005-0000-0000-000062920000}"/>
    <cellStyle name="Normal 589 2 2" xfId="37722" xr:uid="{00000000-0005-0000-0000-000063920000}"/>
    <cellStyle name="Normal 589 3" xfId="37723" xr:uid="{00000000-0005-0000-0000-000064920000}"/>
    <cellStyle name="Normal 59" xfId="37724" xr:uid="{00000000-0005-0000-0000-000065920000}"/>
    <cellStyle name="Normal 59 2" xfId="37725" xr:uid="{00000000-0005-0000-0000-000066920000}"/>
    <cellStyle name="Normal 59 2 2" xfId="37726" xr:uid="{00000000-0005-0000-0000-000067920000}"/>
    <cellStyle name="Normal 59 2 2 2" xfId="37727" xr:uid="{00000000-0005-0000-0000-000068920000}"/>
    <cellStyle name="Normal 59 2 3" xfId="37728" xr:uid="{00000000-0005-0000-0000-000069920000}"/>
    <cellStyle name="Normal 59 2 3 2" xfId="37729" xr:uid="{00000000-0005-0000-0000-00006A920000}"/>
    <cellStyle name="Normal 59 2 3 2 2" xfId="37730" xr:uid="{00000000-0005-0000-0000-00006B920000}"/>
    <cellStyle name="Normal 59 2 3 3" xfId="37731" xr:uid="{00000000-0005-0000-0000-00006C920000}"/>
    <cellStyle name="Normal 59 2 4" xfId="37732" xr:uid="{00000000-0005-0000-0000-00006D920000}"/>
    <cellStyle name="Normal 59 2 4 2" xfId="37733" xr:uid="{00000000-0005-0000-0000-00006E920000}"/>
    <cellStyle name="Normal 59 2 4 2 2" xfId="37734" xr:uid="{00000000-0005-0000-0000-00006F920000}"/>
    <cellStyle name="Normal 59 2 4 3" xfId="37735" xr:uid="{00000000-0005-0000-0000-000070920000}"/>
    <cellStyle name="Normal 59 2 5" xfId="37736" xr:uid="{00000000-0005-0000-0000-000071920000}"/>
    <cellStyle name="Normal 59 3" xfId="37737" xr:uid="{00000000-0005-0000-0000-000072920000}"/>
    <cellStyle name="Normal 59 3 2" xfId="37738" xr:uid="{00000000-0005-0000-0000-000073920000}"/>
    <cellStyle name="Normal 59 3 2 2" xfId="37739" xr:uid="{00000000-0005-0000-0000-000074920000}"/>
    <cellStyle name="Normal 59 3 2 2 2" xfId="37740" xr:uid="{00000000-0005-0000-0000-000075920000}"/>
    <cellStyle name="Normal 59 3 2 3" xfId="37741" xr:uid="{00000000-0005-0000-0000-000076920000}"/>
    <cellStyle name="Normal 59 3 2 3 2" xfId="37742" xr:uid="{00000000-0005-0000-0000-000077920000}"/>
    <cellStyle name="Normal 59 3 2 3 2 2" xfId="37743" xr:uid="{00000000-0005-0000-0000-000078920000}"/>
    <cellStyle name="Normal 59 3 2 3 3" xfId="37744" xr:uid="{00000000-0005-0000-0000-000079920000}"/>
    <cellStyle name="Normal 59 3 2 4" xfId="37745" xr:uid="{00000000-0005-0000-0000-00007A920000}"/>
    <cellStyle name="Normal 59 3 3" xfId="37746" xr:uid="{00000000-0005-0000-0000-00007B920000}"/>
    <cellStyle name="Normal 59 3 3 2" xfId="37747" xr:uid="{00000000-0005-0000-0000-00007C920000}"/>
    <cellStyle name="Normal 59 3 3 2 2" xfId="37748" xr:uid="{00000000-0005-0000-0000-00007D920000}"/>
    <cellStyle name="Normal 59 3 3 3" xfId="37749" xr:uid="{00000000-0005-0000-0000-00007E920000}"/>
    <cellStyle name="Normal 59 3 4" xfId="37750" xr:uid="{00000000-0005-0000-0000-00007F920000}"/>
    <cellStyle name="Normal 59 3 4 2" xfId="37751" xr:uid="{00000000-0005-0000-0000-000080920000}"/>
    <cellStyle name="Normal 59 3 4 2 2" xfId="37752" xr:uid="{00000000-0005-0000-0000-000081920000}"/>
    <cellStyle name="Normal 59 3 4 3" xfId="37753" xr:uid="{00000000-0005-0000-0000-000082920000}"/>
    <cellStyle name="Normal 59 3 5" xfId="37754" xr:uid="{00000000-0005-0000-0000-000083920000}"/>
    <cellStyle name="Normal 59 3 5 2" xfId="37755" xr:uid="{00000000-0005-0000-0000-000084920000}"/>
    <cellStyle name="Normal 59 3 5 2 2" xfId="37756" xr:uid="{00000000-0005-0000-0000-000085920000}"/>
    <cellStyle name="Normal 59 3 5 3" xfId="37757" xr:uid="{00000000-0005-0000-0000-000086920000}"/>
    <cellStyle name="Normal 59 3 6" xfId="37758" xr:uid="{00000000-0005-0000-0000-000087920000}"/>
    <cellStyle name="Normal 59 4" xfId="37759" xr:uid="{00000000-0005-0000-0000-000088920000}"/>
    <cellStyle name="Normal 59 4 2" xfId="37760" xr:uid="{00000000-0005-0000-0000-000089920000}"/>
    <cellStyle name="Normal 59 4 2 2" xfId="37761" xr:uid="{00000000-0005-0000-0000-00008A920000}"/>
    <cellStyle name="Normal 59 4 3" xfId="37762" xr:uid="{00000000-0005-0000-0000-00008B920000}"/>
    <cellStyle name="Normal 59 5" xfId="37763" xr:uid="{00000000-0005-0000-0000-00008C920000}"/>
    <cellStyle name="Normal 59 5 2" xfId="37764" xr:uid="{00000000-0005-0000-0000-00008D920000}"/>
    <cellStyle name="Normal 59 5 2 2" xfId="37765" xr:uid="{00000000-0005-0000-0000-00008E920000}"/>
    <cellStyle name="Normal 59 5 3" xfId="37766" xr:uid="{00000000-0005-0000-0000-00008F920000}"/>
    <cellStyle name="Normal 59 6" xfId="37767" xr:uid="{00000000-0005-0000-0000-000090920000}"/>
    <cellStyle name="Normal 59 6 2" xfId="37768" xr:uid="{00000000-0005-0000-0000-000091920000}"/>
    <cellStyle name="Normal 59 6 2 2" xfId="37769" xr:uid="{00000000-0005-0000-0000-000092920000}"/>
    <cellStyle name="Normal 59 6 3" xfId="37770" xr:uid="{00000000-0005-0000-0000-000093920000}"/>
    <cellStyle name="Normal 59 7" xfId="37771" xr:uid="{00000000-0005-0000-0000-000094920000}"/>
    <cellStyle name="Normal 590" xfId="37772" xr:uid="{00000000-0005-0000-0000-000095920000}"/>
    <cellStyle name="Normal 590 2" xfId="37773" xr:uid="{00000000-0005-0000-0000-000096920000}"/>
    <cellStyle name="Normal 590 2 2" xfId="37774" xr:uid="{00000000-0005-0000-0000-000097920000}"/>
    <cellStyle name="Normal 590 3" xfId="37775" xr:uid="{00000000-0005-0000-0000-000098920000}"/>
    <cellStyle name="Normal 591" xfId="37776" xr:uid="{00000000-0005-0000-0000-000099920000}"/>
    <cellStyle name="Normal 591 2" xfId="37777" xr:uid="{00000000-0005-0000-0000-00009A920000}"/>
    <cellStyle name="Normal 591 2 2" xfId="37778" xr:uid="{00000000-0005-0000-0000-00009B920000}"/>
    <cellStyle name="Normal 591 3" xfId="37779" xr:uid="{00000000-0005-0000-0000-00009C920000}"/>
    <cellStyle name="Normal 592" xfId="37780" xr:uid="{00000000-0005-0000-0000-00009D920000}"/>
    <cellStyle name="Normal 592 2" xfId="37781" xr:uid="{00000000-0005-0000-0000-00009E920000}"/>
    <cellStyle name="Normal 592 2 2" xfId="37782" xr:uid="{00000000-0005-0000-0000-00009F920000}"/>
    <cellStyle name="Normal 592 3" xfId="37783" xr:uid="{00000000-0005-0000-0000-0000A0920000}"/>
    <cellStyle name="Normal 593" xfId="37784" xr:uid="{00000000-0005-0000-0000-0000A1920000}"/>
    <cellStyle name="Normal 593 2" xfId="37785" xr:uid="{00000000-0005-0000-0000-0000A2920000}"/>
    <cellStyle name="Normal 593 2 2" xfId="37786" xr:uid="{00000000-0005-0000-0000-0000A3920000}"/>
    <cellStyle name="Normal 593 3" xfId="37787" xr:uid="{00000000-0005-0000-0000-0000A4920000}"/>
    <cellStyle name="Normal 594" xfId="37788" xr:uid="{00000000-0005-0000-0000-0000A5920000}"/>
    <cellStyle name="Normal 594 2" xfId="37789" xr:uid="{00000000-0005-0000-0000-0000A6920000}"/>
    <cellStyle name="Normal 594 2 2" xfId="37790" xr:uid="{00000000-0005-0000-0000-0000A7920000}"/>
    <cellStyle name="Normal 594 3" xfId="37791" xr:uid="{00000000-0005-0000-0000-0000A8920000}"/>
    <cellStyle name="Normal 595" xfId="37792" xr:uid="{00000000-0005-0000-0000-0000A9920000}"/>
    <cellStyle name="Normal 595 2" xfId="37793" xr:uid="{00000000-0005-0000-0000-0000AA920000}"/>
    <cellStyle name="Normal 595 2 2" xfId="37794" xr:uid="{00000000-0005-0000-0000-0000AB920000}"/>
    <cellStyle name="Normal 595 3" xfId="37795" xr:uid="{00000000-0005-0000-0000-0000AC920000}"/>
    <cellStyle name="Normal 596" xfId="37796" xr:uid="{00000000-0005-0000-0000-0000AD920000}"/>
    <cellStyle name="Normal 596 2" xfId="37797" xr:uid="{00000000-0005-0000-0000-0000AE920000}"/>
    <cellStyle name="Normal 596 2 2" xfId="37798" xr:uid="{00000000-0005-0000-0000-0000AF920000}"/>
    <cellStyle name="Normal 596 3" xfId="37799" xr:uid="{00000000-0005-0000-0000-0000B0920000}"/>
    <cellStyle name="Normal 597" xfId="37800" xr:uid="{00000000-0005-0000-0000-0000B1920000}"/>
    <cellStyle name="Normal 597 2" xfId="37801" xr:uid="{00000000-0005-0000-0000-0000B2920000}"/>
    <cellStyle name="Normal 597 2 2" xfId="37802" xr:uid="{00000000-0005-0000-0000-0000B3920000}"/>
    <cellStyle name="Normal 597 3" xfId="37803" xr:uid="{00000000-0005-0000-0000-0000B4920000}"/>
    <cellStyle name="Normal 598" xfId="37804" xr:uid="{00000000-0005-0000-0000-0000B5920000}"/>
    <cellStyle name="Normal 598 2" xfId="37805" xr:uid="{00000000-0005-0000-0000-0000B6920000}"/>
    <cellStyle name="Normal 598 2 2" xfId="37806" xr:uid="{00000000-0005-0000-0000-0000B7920000}"/>
    <cellStyle name="Normal 598 3" xfId="37807" xr:uid="{00000000-0005-0000-0000-0000B8920000}"/>
    <cellStyle name="Normal 599" xfId="37808" xr:uid="{00000000-0005-0000-0000-0000B9920000}"/>
    <cellStyle name="Normal 599 2" xfId="37809" xr:uid="{00000000-0005-0000-0000-0000BA920000}"/>
    <cellStyle name="Normal 599 2 2" xfId="37810" xr:uid="{00000000-0005-0000-0000-0000BB920000}"/>
    <cellStyle name="Normal 599 3" xfId="37811" xr:uid="{00000000-0005-0000-0000-0000BC920000}"/>
    <cellStyle name="Normal 6" xfId="81" xr:uid="{00000000-0005-0000-0000-0000BD920000}"/>
    <cellStyle name="Normal 6 10" xfId="203" xr:uid="{00000000-0005-0000-0000-0000BE920000}"/>
    <cellStyle name="Normal 6 10 2" xfId="339" xr:uid="{00000000-0005-0000-0000-0000BF920000}"/>
    <cellStyle name="Normal 6 10 2 2" xfId="37814" xr:uid="{00000000-0005-0000-0000-0000C0920000}"/>
    <cellStyle name="Normal 6 10 3" xfId="462" xr:uid="{00000000-0005-0000-0000-0000C1920000}"/>
    <cellStyle name="Normal 6 10 4" xfId="605" xr:uid="{00000000-0005-0000-0000-0000C2920000}"/>
    <cellStyle name="Normal 6 10 5" xfId="37813" xr:uid="{00000000-0005-0000-0000-0000C3920000}"/>
    <cellStyle name="Normal 6 10 6" xfId="53829" xr:uid="{00000000-0005-0000-0000-0000C4920000}"/>
    <cellStyle name="Normal 6 11" xfId="249" xr:uid="{00000000-0005-0000-0000-0000C5920000}"/>
    <cellStyle name="Normal 6 11 2" xfId="37815" xr:uid="{00000000-0005-0000-0000-0000C6920000}"/>
    <cellStyle name="Normal 6 12" xfId="257" xr:uid="{00000000-0005-0000-0000-0000C7920000}"/>
    <cellStyle name="Normal 6 12 2" xfId="37816" xr:uid="{00000000-0005-0000-0000-0000C8920000}"/>
    <cellStyle name="Normal 6 13" xfId="380" xr:uid="{00000000-0005-0000-0000-0000C9920000}"/>
    <cellStyle name="Normal 6 13 2" xfId="37817" xr:uid="{00000000-0005-0000-0000-0000CA920000}"/>
    <cellStyle name="Normal 6 14" xfId="503" xr:uid="{00000000-0005-0000-0000-0000CB920000}"/>
    <cellStyle name="Normal 6 15" xfId="604" xr:uid="{00000000-0005-0000-0000-0000CC920000}"/>
    <cellStyle name="Normal 6 16" xfId="37812" xr:uid="{00000000-0005-0000-0000-0000CD920000}"/>
    <cellStyle name="Normal 6 17" xfId="53704" xr:uid="{00000000-0005-0000-0000-0000CE920000}"/>
    <cellStyle name="Normal 6 18" xfId="53766" xr:uid="{00000000-0005-0000-0000-0000CF920000}"/>
    <cellStyle name="Normal 6 19" xfId="53897" xr:uid="{372E6AC3-F7F1-4976-8A38-9D71ADCD033D}"/>
    <cellStyle name="Normal 6 2" xfId="109" xr:uid="{00000000-0005-0000-0000-0000D0920000}"/>
    <cellStyle name="Normal 6 2 10" xfId="382" xr:uid="{00000000-0005-0000-0000-0000D1920000}"/>
    <cellStyle name="Normal 6 2 11" xfId="505" xr:uid="{00000000-0005-0000-0000-0000D2920000}"/>
    <cellStyle name="Normal 6 2 12" xfId="606" xr:uid="{00000000-0005-0000-0000-0000D3920000}"/>
    <cellStyle name="Normal 6 2 13" xfId="37818" xr:uid="{00000000-0005-0000-0000-0000D4920000}"/>
    <cellStyle name="Normal 6 2 14" xfId="53706" xr:uid="{00000000-0005-0000-0000-0000D5920000}"/>
    <cellStyle name="Normal 6 2 15" xfId="53767" xr:uid="{00000000-0005-0000-0000-0000D6920000}"/>
    <cellStyle name="Normal 6 2 2" xfId="115" xr:uid="{00000000-0005-0000-0000-0000D7920000}"/>
    <cellStyle name="Normal 6 2 2 10" xfId="53712" xr:uid="{00000000-0005-0000-0000-0000D8920000}"/>
    <cellStyle name="Normal 6 2 2 11" xfId="53768" xr:uid="{00000000-0005-0000-0000-0000D9920000}"/>
    <cellStyle name="Normal 6 2 2 2" xfId="152" xr:uid="{00000000-0005-0000-0000-0000DA920000}"/>
    <cellStyle name="Normal 6 2 2 2 10" xfId="53769" xr:uid="{00000000-0005-0000-0000-0000DB920000}"/>
    <cellStyle name="Normal 6 2 2 2 2" xfId="193" xr:uid="{00000000-0005-0000-0000-0000DC920000}"/>
    <cellStyle name="Normal 6 2 2 2 2 2" xfId="329" xr:uid="{00000000-0005-0000-0000-0000DD920000}"/>
    <cellStyle name="Normal 6 2 2 2 2 3" xfId="452" xr:uid="{00000000-0005-0000-0000-0000DE920000}"/>
    <cellStyle name="Normal 6 2 2 2 2 4" xfId="609" xr:uid="{00000000-0005-0000-0000-0000DF920000}"/>
    <cellStyle name="Normal 6 2 2 2 2 5" xfId="37821" xr:uid="{00000000-0005-0000-0000-0000E0920000}"/>
    <cellStyle name="Normal 6 2 2 2 2 6" xfId="53819" xr:uid="{00000000-0005-0000-0000-0000E1920000}"/>
    <cellStyle name="Normal 6 2 2 2 3" xfId="234" xr:uid="{00000000-0005-0000-0000-0000E2920000}"/>
    <cellStyle name="Normal 6 2 2 2 3 2" xfId="370" xr:uid="{00000000-0005-0000-0000-0000E3920000}"/>
    <cellStyle name="Normal 6 2 2 2 3 3" xfId="493" xr:uid="{00000000-0005-0000-0000-0000E4920000}"/>
    <cellStyle name="Normal 6 2 2 2 3 4" xfId="610" xr:uid="{00000000-0005-0000-0000-0000E5920000}"/>
    <cellStyle name="Normal 6 2 2 2 3 5" xfId="53860" xr:uid="{00000000-0005-0000-0000-0000E6920000}"/>
    <cellStyle name="Normal 6 2 2 2 4" xfId="288" xr:uid="{00000000-0005-0000-0000-0000E7920000}"/>
    <cellStyle name="Normal 6 2 2 2 5" xfId="411" xr:uid="{00000000-0005-0000-0000-0000E8920000}"/>
    <cellStyle name="Normal 6 2 2 2 6" xfId="534" xr:uid="{00000000-0005-0000-0000-0000E9920000}"/>
    <cellStyle name="Normal 6 2 2 2 7" xfId="608" xr:uid="{00000000-0005-0000-0000-0000EA920000}"/>
    <cellStyle name="Normal 6 2 2 2 8" xfId="37820" xr:uid="{00000000-0005-0000-0000-0000EB920000}"/>
    <cellStyle name="Normal 6 2 2 2 9" xfId="53735" xr:uid="{00000000-0005-0000-0000-0000EC920000}"/>
    <cellStyle name="Normal 6 2 2 3" xfId="170" xr:uid="{00000000-0005-0000-0000-0000ED920000}"/>
    <cellStyle name="Normal 6 2 2 3 2" xfId="306" xr:uid="{00000000-0005-0000-0000-0000EE920000}"/>
    <cellStyle name="Normal 6 2 2 3 2 2" xfId="37824" xr:uid="{00000000-0005-0000-0000-0000EF920000}"/>
    <cellStyle name="Normal 6 2 2 3 2 3" xfId="37823" xr:uid="{00000000-0005-0000-0000-0000F0920000}"/>
    <cellStyle name="Normal 6 2 2 3 3" xfId="429" xr:uid="{00000000-0005-0000-0000-0000F1920000}"/>
    <cellStyle name="Normal 6 2 2 3 3 2" xfId="37825" xr:uid="{00000000-0005-0000-0000-0000F2920000}"/>
    <cellStyle name="Normal 6 2 2 3 4" xfId="611" xr:uid="{00000000-0005-0000-0000-0000F3920000}"/>
    <cellStyle name="Normal 6 2 2 3 5" xfId="37822" xr:uid="{00000000-0005-0000-0000-0000F4920000}"/>
    <cellStyle name="Normal 6 2 2 3 6" xfId="53796" xr:uid="{00000000-0005-0000-0000-0000F5920000}"/>
    <cellStyle name="Normal 6 2 2 4" xfId="211" xr:uid="{00000000-0005-0000-0000-0000F6920000}"/>
    <cellStyle name="Normal 6 2 2 4 2" xfId="347" xr:uid="{00000000-0005-0000-0000-0000F7920000}"/>
    <cellStyle name="Normal 6 2 2 4 2 2" xfId="37828" xr:uid="{00000000-0005-0000-0000-0000F8920000}"/>
    <cellStyle name="Normal 6 2 2 4 2 3" xfId="37827" xr:uid="{00000000-0005-0000-0000-0000F9920000}"/>
    <cellStyle name="Normal 6 2 2 4 3" xfId="470" xr:uid="{00000000-0005-0000-0000-0000FA920000}"/>
    <cellStyle name="Normal 6 2 2 4 3 2" xfId="37829" xr:uid="{00000000-0005-0000-0000-0000FB920000}"/>
    <cellStyle name="Normal 6 2 2 4 4" xfId="612" xr:uid="{00000000-0005-0000-0000-0000FC920000}"/>
    <cellStyle name="Normal 6 2 2 4 5" xfId="37826" xr:uid="{00000000-0005-0000-0000-0000FD920000}"/>
    <cellStyle name="Normal 6 2 2 4 6" xfId="53837" xr:uid="{00000000-0005-0000-0000-0000FE920000}"/>
    <cellStyle name="Normal 6 2 2 5" xfId="265" xr:uid="{00000000-0005-0000-0000-0000FF920000}"/>
    <cellStyle name="Normal 6 2 2 5 2" xfId="37830" xr:uid="{00000000-0005-0000-0000-000000930000}"/>
    <cellStyle name="Normal 6 2 2 6" xfId="388" xr:uid="{00000000-0005-0000-0000-000001930000}"/>
    <cellStyle name="Normal 6 2 2 7" xfId="511" xr:uid="{00000000-0005-0000-0000-000002930000}"/>
    <cellStyle name="Normal 6 2 2 8" xfId="607" xr:uid="{00000000-0005-0000-0000-000003930000}"/>
    <cellStyle name="Normal 6 2 2 9" xfId="37819" xr:uid="{00000000-0005-0000-0000-000004930000}"/>
    <cellStyle name="Normal 6 2 3" xfId="119" xr:uid="{00000000-0005-0000-0000-000005930000}"/>
    <cellStyle name="Normal 6 2 3 10" xfId="53716" xr:uid="{00000000-0005-0000-0000-000006930000}"/>
    <cellStyle name="Normal 6 2 3 11" xfId="53770" xr:uid="{00000000-0005-0000-0000-000007930000}"/>
    <cellStyle name="Normal 6 2 3 2" xfId="156" xr:uid="{00000000-0005-0000-0000-000008930000}"/>
    <cellStyle name="Normal 6 2 3 2 10" xfId="53771" xr:uid="{00000000-0005-0000-0000-000009930000}"/>
    <cellStyle name="Normal 6 2 3 2 2" xfId="197" xr:uid="{00000000-0005-0000-0000-00000A930000}"/>
    <cellStyle name="Normal 6 2 3 2 2 2" xfId="333" xr:uid="{00000000-0005-0000-0000-00000B930000}"/>
    <cellStyle name="Normal 6 2 3 2 2 2 2" xfId="37834" xr:uid="{00000000-0005-0000-0000-00000C930000}"/>
    <cellStyle name="Normal 6 2 3 2 2 3" xfId="456" xr:uid="{00000000-0005-0000-0000-00000D930000}"/>
    <cellStyle name="Normal 6 2 3 2 2 4" xfId="615" xr:uid="{00000000-0005-0000-0000-00000E930000}"/>
    <cellStyle name="Normal 6 2 3 2 2 5" xfId="37833" xr:uid="{00000000-0005-0000-0000-00000F930000}"/>
    <cellStyle name="Normal 6 2 3 2 2 6" xfId="53823" xr:uid="{00000000-0005-0000-0000-000010930000}"/>
    <cellStyle name="Normal 6 2 3 2 3" xfId="238" xr:uid="{00000000-0005-0000-0000-000011930000}"/>
    <cellStyle name="Normal 6 2 3 2 3 2" xfId="374" xr:uid="{00000000-0005-0000-0000-000012930000}"/>
    <cellStyle name="Normal 6 2 3 2 3 2 2" xfId="37837" xr:uid="{00000000-0005-0000-0000-000013930000}"/>
    <cellStyle name="Normal 6 2 3 2 3 2 3" xfId="37836" xr:uid="{00000000-0005-0000-0000-000014930000}"/>
    <cellStyle name="Normal 6 2 3 2 3 3" xfId="497" xr:uid="{00000000-0005-0000-0000-000015930000}"/>
    <cellStyle name="Normal 6 2 3 2 3 3 2" xfId="37838" xr:uid="{00000000-0005-0000-0000-000016930000}"/>
    <cellStyle name="Normal 6 2 3 2 3 4" xfId="616" xr:uid="{00000000-0005-0000-0000-000017930000}"/>
    <cellStyle name="Normal 6 2 3 2 3 5" xfId="37835" xr:uid="{00000000-0005-0000-0000-000018930000}"/>
    <cellStyle name="Normal 6 2 3 2 3 6" xfId="53864" xr:uid="{00000000-0005-0000-0000-000019930000}"/>
    <cellStyle name="Normal 6 2 3 2 4" xfId="292" xr:uid="{00000000-0005-0000-0000-00001A930000}"/>
    <cellStyle name="Normal 6 2 3 2 4 2" xfId="37839" xr:uid="{00000000-0005-0000-0000-00001B930000}"/>
    <cellStyle name="Normal 6 2 3 2 5" xfId="415" xr:uid="{00000000-0005-0000-0000-00001C930000}"/>
    <cellStyle name="Normal 6 2 3 2 6" xfId="538" xr:uid="{00000000-0005-0000-0000-00001D930000}"/>
    <cellStyle name="Normal 6 2 3 2 7" xfId="614" xr:uid="{00000000-0005-0000-0000-00001E930000}"/>
    <cellStyle name="Normal 6 2 3 2 8" xfId="37832" xr:uid="{00000000-0005-0000-0000-00001F930000}"/>
    <cellStyle name="Normal 6 2 3 2 9" xfId="53739" xr:uid="{00000000-0005-0000-0000-000020930000}"/>
    <cellStyle name="Normal 6 2 3 3" xfId="174" xr:uid="{00000000-0005-0000-0000-000021930000}"/>
    <cellStyle name="Normal 6 2 3 3 2" xfId="310" xr:uid="{00000000-0005-0000-0000-000022930000}"/>
    <cellStyle name="Normal 6 2 3 3 2 2" xfId="37842" xr:uid="{00000000-0005-0000-0000-000023930000}"/>
    <cellStyle name="Normal 6 2 3 3 2 3" xfId="37841" xr:uid="{00000000-0005-0000-0000-000024930000}"/>
    <cellStyle name="Normal 6 2 3 3 3" xfId="433" xr:uid="{00000000-0005-0000-0000-000025930000}"/>
    <cellStyle name="Normal 6 2 3 3 3 2" xfId="37843" xr:uid="{00000000-0005-0000-0000-000026930000}"/>
    <cellStyle name="Normal 6 2 3 3 4" xfId="617" xr:uid="{00000000-0005-0000-0000-000027930000}"/>
    <cellStyle name="Normal 6 2 3 3 5" xfId="37840" xr:uid="{00000000-0005-0000-0000-000028930000}"/>
    <cellStyle name="Normal 6 2 3 3 6" xfId="53800" xr:uid="{00000000-0005-0000-0000-000029930000}"/>
    <cellStyle name="Normal 6 2 3 4" xfId="215" xr:uid="{00000000-0005-0000-0000-00002A930000}"/>
    <cellStyle name="Normal 6 2 3 4 2" xfId="351" xr:uid="{00000000-0005-0000-0000-00002B930000}"/>
    <cellStyle name="Normal 6 2 3 4 2 2" xfId="37846" xr:uid="{00000000-0005-0000-0000-00002C930000}"/>
    <cellStyle name="Normal 6 2 3 4 2 3" xfId="37845" xr:uid="{00000000-0005-0000-0000-00002D930000}"/>
    <cellStyle name="Normal 6 2 3 4 3" xfId="474" xr:uid="{00000000-0005-0000-0000-00002E930000}"/>
    <cellStyle name="Normal 6 2 3 4 3 2" xfId="37847" xr:uid="{00000000-0005-0000-0000-00002F930000}"/>
    <cellStyle name="Normal 6 2 3 4 4" xfId="618" xr:uid="{00000000-0005-0000-0000-000030930000}"/>
    <cellStyle name="Normal 6 2 3 4 5" xfId="37844" xr:uid="{00000000-0005-0000-0000-000031930000}"/>
    <cellStyle name="Normal 6 2 3 4 6" xfId="53841" xr:uid="{00000000-0005-0000-0000-000032930000}"/>
    <cellStyle name="Normal 6 2 3 5" xfId="269" xr:uid="{00000000-0005-0000-0000-000033930000}"/>
    <cellStyle name="Normal 6 2 3 5 2" xfId="37849" xr:uid="{00000000-0005-0000-0000-000034930000}"/>
    <cellStyle name="Normal 6 2 3 5 2 2" xfId="37850" xr:uid="{00000000-0005-0000-0000-000035930000}"/>
    <cellStyle name="Normal 6 2 3 5 3" xfId="37851" xr:uid="{00000000-0005-0000-0000-000036930000}"/>
    <cellStyle name="Normal 6 2 3 5 4" xfId="37848" xr:uid="{00000000-0005-0000-0000-000037930000}"/>
    <cellStyle name="Normal 6 2 3 6" xfId="392" xr:uid="{00000000-0005-0000-0000-000038930000}"/>
    <cellStyle name="Normal 6 2 3 6 2" xfId="37852" xr:uid="{00000000-0005-0000-0000-000039930000}"/>
    <cellStyle name="Normal 6 2 3 7" xfId="515" xr:uid="{00000000-0005-0000-0000-00003A930000}"/>
    <cellStyle name="Normal 6 2 3 8" xfId="613" xr:uid="{00000000-0005-0000-0000-00003B930000}"/>
    <cellStyle name="Normal 6 2 3 9" xfId="37831" xr:uid="{00000000-0005-0000-0000-00003C930000}"/>
    <cellStyle name="Normal 6 2 4" xfId="123" xr:uid="{00000000-0005-0000-0000-00003D930000}"/>
    <cellStyle name="Normal 6 2 4 10" xfId="53720" xr:uid="{00000000-0005-0000-0000-00003E930000}"/>
    <cellStyle name="Normal 6 2 4 11" xfId="53772" xr:uid="{00000000-0005-0000-0000-00003F930000}"/>
    <cellStyle name="Normal 6 2 4 2" xfId="160" xr:uid="{00000000-0005-0000-0000-000040930000}"/>
    <cellStyle name="Normal 6 2 4 2 10" xfId="53773" xr:uid="{00000000-0005-0000-0000-000041930000}"/>
    <cellStyle name="Normal 6 2 4 2 2" xfId="201" xr:uid="{00000000-0005-0000-0000-000042930000}"/>
    <cellStyle name="Normal 6 2 4 2 2 2" xfId="337" xr:uid="{00000000-0005-0000-0000-000043930000}"/>
    <cellStyle name="Normal 6 2 4 2 2 3" xfId="460" xr:uid="{00000000-0005-0000-0000-000044930000}"/>
    <cellStyle name="Normal 6 2 4 2 2 4" xfId="621" xr:uid="{00000000-0005-0000-0000-000045930000}"/>
    <cellStyle name="Normal 6 2 4 2 2 5" xfId="37855" xr:uid="{00000000-0005-0000-0000-000046930000}"/>
    <cellStyle name="Normal 6 2 4 2 2 6" xfId="53827" xr:uid="{00000000-0005-0000-0000-000047930000}"/>
    <cellStyle name="Normal 6 2 4 2 3" xfId="242" xr:uid="{00000000-0005-0000-0000-000048930000}"/>
    <cellStyle name="Normal 6 2 4 2 3 2" xfId="378" xr:uid="{00000000-0005-0000-0000-000049930000}"/>
    <cellStyle name="Normal 6 2 4 2 3 3" xfId="501" xr:uid="{00000000-0005-0000-0000-00004A930000}"/>
    <cellStyle name="Normal 6 2 4 2 3 4" xfId="622" xr:uid="{00000000-0005-0000-0000-00004B930000}"/>
    <cellStyle name="Normal 6 2 4 2 3 5" xfId="53868" xr:uid="{00000000-0005-0000-0000-00004C930000}"/>
    <cellStyle name="Normal 6 2 4 2 4" xfId="296" xr:uid="{00000000-0005-0000-0000-00004D930000}"/>
    <cellStyle name="Normal 6 2 4 2 5" xfId="419" xr:uid="{00000000-0005-0000-0000-00004E930000}"/>
    <cellStyle name="Normal 6 2 4 2 6" xfId="542" xr:uid="{00000000-0005-0000-0000-00004F930000}"/>
    <cellStyle name="Normal 6 2 4 2 7" xfId="620" xr:uid="{00000000-0005-0000-0000-000050930000}"/>
    <cellStyle name="Normal 6 2 4 2 8" xfId="37854" xr:uid="{00000000-0005-0000-0000-000051930000}"/>
    <cellStyle name="Normal 6 2 4 2 9" xfId="53743" xr:uid="{00000000-0005-0000-0000-000052930000}"/>
    <cellStyle name="Normal 6 2 4 3" xfId="178" xr:uid="{00000000-0005-0000-0000-000053930000}"/>
    <cellStyle name="Normal 6 2 4 3 2" xfId="314" xr:uid="{00000000-0005-0000-0000-000054930000}"/>
    <cellStyle name="Normal 6 2 4 3 3" xfId="437" xr:uid="{00000000-0005-0000-0000-000055930000}"/>
    <cellStyle name="Normal 6 2 4 3 4" xfId="623" xr:uid="{00000000-0005-0000-0000-000056930000}"/>
    <cellStyle name="Normal 6 2 4 3 5" xfId="37856" xr:uid="{00000000-0005-0000-0000-000057930000}"/>
    <cellStyle name="Normal 6 2 4 3 6" xfId="53804" xr:uid="{00000000-0005-0000-0000-000058930000}"/>
    <cellStyle name="Normal 6 2 4 4" xfId="219" xr:uid="{00000000-0005-0000-0000-000059930000}"/>
    <cellStyle name="Normal 6 2 4 4 2" xfId="355" xr:uid="{00000000-0005-0000-0000-00005A930000}"/>
    <cellStyle name="Normal 6 2 4 4 3" xfId="478" xr:uid="{00000000-0005-0000-0000-00005B930000}"/>
    <cellStyle name="Normal 6 2 4 4 4" xfId="624" xr:uid="{00000000-0005-0000-0000-00005C930000}"/>
    <cellStyle name="Normal 6 2 4 4 5" xfId="53845" xr:uid="{00000000-0005-0000-0000-00005D930000}"/>
    <cellStyle name="Normal 6 2 4 5" xfId="273" xr:uid="{00000000-0005-0000-0000-00005E930000}"/>
    <cellStyle name="Normal 6 2 4 6" xfId="396" xr:uid="{00000000-0005-0000-0000-00005F930000}"/>
    <cellStyle name="Normal 6 2 4 7" xfId="519" xr:uid="{00000000-0005-0000-0000-000060930000}"/>
    <cellStyle name="Normal 6 2 4 8" xfId="619" xr:uid="{00000000-0005-0000-0000-000061930000}"/>
    <cellStyle name="Normal 6 2 4 9" xfId="37853" xr:uid="{00000000-0005-0000-0000-000062930000}"/>
    <cellStyle name="Normal 6 2 5" xfId="146" xr:uid="{00000000-0005-0000-0000-000063930000}"/>
    <cellStyle name="Normal 6 2 5 10" xfId="53774" xr:uid="{00000000-0005-0000-0000-000064930000}"/>
    <cellStyle name="Normal 6 2 5 2" xfId="187" xr:uid="{00000000-0005-0000-0000-000065930000}"/>
    <cellStyle name="Normal 6 2 5 2 2" xfId="323" xr:uid="{00000000-0005-0000-0000-000066930000}"/>
    <cellStyle name="Normal 6 2 5 2 2 2" xfId="37859" xr:uid="{00000000-0005-0000-0000-000067930000}"/>
    <cellStyle name="Normal 6 2 5 2 3" xfId="446" xr:uid="{00000000-0005-0000-0000-000068930000}"/>
    <cellStyle name="Normal 6 2 5 2 4" xfId="626" xr:uid="{00000000-0005-0000-0000-000069930000}"/>
    <cellStyle name="Normal 6 2 5 2 5" xfId="37858" xr:uid="{00000000-0005-0000-0000-00006A930000}"/>
    <cellStyle name="Normal 6 2 5 2 6" xfId="53813" xr:uid="{00000000-0005-0000-0000-00006B930000}"/>
    <cellStyle name="Normal 6 2 5 3" xfId="228" xr:uid="{00000000-0005-0000-0000-00006C930000}"/>
    <cellStyle name="Normal 6 2 5 3 2" xfId="364" xr:uid="{00000000-0005-0000-0000-00006D930000}"/>
    <cellStyle name="Normal 6 2 5 3 3" xfId="487" xr:uid="{00000000-0005-0000-0000-00006E930000}"/>
    <cellStyle name="Normal 6 2 5 3 4" xfId="627" xr:uid="{00000000-0005-0000-0000-00006F930000}"/>
    <cellStyle name="Normal 6 2 5 3 5" xfId="37860" xr:uid="{00000000-0005-0000-0000-000070930000}"/>
    <cellStyle name="Normal 6 2 5 3 6" xfId="53854" xr:uid="{00000000-0005-0000-0000-000071930000}"/>
    <cellStyle name="Normal 6 2 5 4" xfId="282" xr:uid="{00000000-0005-0000-0000-000072930000}"/>
    <cellStyle name="Normal 6 2 5 5" xfId="405" xr:uid="{00000000-0005-0000-0000-000073930000}"/>
    <cellStyle name="Normal 6 2 5 6" xfId="528" xr:uid="{00000000-0005-0000-0000-000074930000}"/>
    <cellStyle name="Normal 6 2 5 7" xfId="625" xr:uid="{00000000-0005-0000-0000-000075930000}"/>
    <cellStyle name="Normal 6 2 5 8" xfId="37857" xr:uid="{00000000-0005-0000-0000-000076930000}"/>
    <cellStyle name="Normal 6 2 5 9" xfId="53729" xr:uid="{00000000-0005-0000-0000-000077930000}"/>
    <cellStyle name="Normal 6 2 6" xfId="142" xr:uid="{00000000-0005-0000-0000-000078930000}"/>
    <cellStyle name="Normal 6 2 6 10" xfId="53775" xr:uid="{00000000-0005-0000-0000-000079930000}"/>
    <cellStyle name="Normal 6 2 6 2" xfId="183" xr:uid="{00000000-0005-0000-0000-00007A930000}"/>
    <cellStyle name="Normal 6 2 6 2 2" xfId="319" xr:uid="{00000000-0005-0000-0000-00007B930000}"/>
    <cellStyle name="Normal 6 2 6 2 2 2" xfId="37863" xr:uid="{00000000-0005-0000-0000-00007C930000}"/>
    <cellStyle name="Normal 6 2 6 2 3" xfId="442" xr:uid="{00000000-0005-0000-0000-00007D930000}"/>
    <cellStyle name="Normal 6 2 6 2 4" xfId="629" xr:uid="{00000000-0005-0000-0000-00007E930000}"/>
    <cellStyle name="Normal 6 2 6 2 5" xfId="37862" xr:uid="{00000000-0005-0000-0000-00007F930000}"/>
    <cellStyle name="Normal 6 2 6 2 6" xfId="53809" xr:uid="{00000000-0005-0000-0000-000080930000}"/>
    <cellStyle name="Normal 6 2 6 3" xfId="224" xr:uid="{00000000-0005-0000-0000-000081930000}"/>
    <cellStyle name="Normal 6 2 6 3 2" xfId="360" xr:uid="{00000000-0005-0000-0000-000082930000}"/>
    <cellStyle name="Normal 6 2 6 3 3" xfId="483" xr:uid="{00000000-0005-0000-0000-000083930000}"/>
    <cellStyle name="Normal 6 2 6 3 4" xfId="630" xr:uid="{00000000-0005-0000-0000-000084930000}"/>
    <cellStyle name="Normal 6 2 6 3 5" xfId="37864" xr:uid="{00000000-0005-0000-0000-000085930000}"/>
    <cellStyle name="Normal 6 2 6 3 6" xfId="53850" xr:uid="{00000000-0005-0000-0000-000086930000}"/>
    <cellStyle name="Normal 6 2 6 4" xfId="278" xr:uid="{00000000-0005-0000-0000-000087930000}"/>
    <cellStyle name="Normal 6 2 6 5" xfId="401" xr:uid="{00000000-0005-0000-0000-000088930000}"/>
    <cellStyle name="Normal 6 2 6 6" xfId="524" xr:uid="{00000000-0005-0000-0000-000089930000}"/>
    <cellStyle name="Normal 6 2 6 7" xfId="628" xr:uid="{00000000-0005-0000-0000-00008A930000}"/>
    <cellStyle name="Normal 6 2 6 8" xfId="37861" xr:uid="{00000000-0005-0000-0000-00008B930000}"/>
    <cellStyle name="Normal 6 2 6 9" xfId="53725" xr:uid="{00000000-0005-0000-0000-00008C930000}"/>
    <cellStyle name="Normal 6 2 7" xfId="164" xr:uid="{00000000-0005-0000-0000-00008D930000}"/>
    <cellStyle name="Normal 6 2 7 2" xfId="300" xr:uid="{00000000-0005-0000-0000-00008E930000}"/>
    <cellStyle name="Normal 6 2 7 3" xfId="423" xr:uid="{00000000-0005-0000-0000-00008F930000}"/>
    <cellStyle name="Normal 6 2 7 4" xfId="631" xr:uid="{00000000-0005-0000-0000-000090930000}"/>
    <cellStyle name="Normal 6 2 7 5" xfId="37865" xr:uid="{00000000-0005-0000-0000-000091930000}"/>
    <cellStyle name="Normal 6 2 7 6" xfId="53790" xr:uid="{00000000-0005-0000-0000-000092930000}"/>
    <cellStyle name="Normal 6 2 8" xfId="205" xr:uid="{00000000-0005-0000-0000-000093930000}"/>
    <cellStyle name="Normal 6 2 8 2" xfId="341" xr:uid="{00000000-0005-0000-0000-000094930000}"/>
    <cellStyle name="Normal 6 2 8 3" xfId="464" xr:uid="{00000000-0005-0000-0000-000095930000}"/>
    <cellStyle name="Normal 6 2 8 4" xfId="632" xr:uid="{00000000-0005-0000-0000-000096930000}"/>
    <cellStyle name="Normal 6 2 8 5" xfId="53831" xr:uid="{00000000-0005-0000-0000-000097930000}"/>
    <cellStyle name="Normal 6 2 9" xfId="259" xr:uid="{00000000-0005-0000-0000-000098930000}"/>
    <cellStyle name="Normal 6 3" xfId="112" xr:uid="{00000000-0005-0000-0000-000099930000}"/>
    <cellStyle name="Normal 6 3 10" xfId="53709" xr:uid="{00000000-0005-0000-0000-00009A930000}"/>
    <cellStyle name="Normal 6 3 11" xfId="53776" xr:uid="{00000000-0005-0000-0000-00009B930000}"/>
    <cellStyle name="Normal 6 3 2" xfId="149" xr:uid="{00000000-0005-0000-0000-00009C930000}"/>
    <cellStyle name="Normal 6 3 2 10" xfId="53777" xr:uid="{00000000-0005-0000-0000-00009D930000}"/>
    <cellStyle name="Normal 6 3 2 2" xfId="190" xr:uid="{00000000-0005-0000-0000-00009E930000}"/>
    <cellStyle name="Normal 6 3 2 2 2" xfId="326" xr:uid="{00000000-0005-0000-0000-00009F930000}"/>
    <cellStyle name="Normal 6 3 2 2 2 2" xfId="37869" xr:uid="{00000000-0005-0000-0000-0000A0930000}"/>
    <cellStyle name="Normal 6 3 2 2 3" xfId="449" xr:uid="{00000000-0005-0000-0000-0000A1930000}"/>
    <cellStyle name="Normal 6 3 2 2 4" xfId="635" xr:uid="{00000000-0005-0000-0000-0000A2930000}"/>
    <cellStyle name="Normal 6 3 2 2 5" xfId="37868" xr:uid="{00000000-0005-0000-0000-0000A3930000}"/>
    <cellStyle name="Normal 6 3 2 2 6" xfId="53816" xr:uid="{00000000-0005-0000-0000-0000A4930000}"/>
    <cellStyle name="Normal 6 3 2 3" xfId="231" xr:uid="{00000000-0005-0000-0000-0000A5930000}"/>
    <cellStyle name="Normal 6 3 2 3 2" xfId="367" xr:uid="{00000000-0005-0000-0000-0000A6930000}"/>
    <cellStyle name="Normal 6 3 2 3 2 2" xfId="37872" xr:uid="{00000000-0005-0000-0000-0000A7930000}"/>
    <cellStyle name="Normal 6 3 2 3 2 3" xfId="37871" xr:uid="{00000000-0005-0000-0000-0000A8930000}"/>
    <cellStyle name="Normal 6 3 2 3 3" xfId="490" xr:uid="{00000000-0005-0000-0000-0000A9930000}"/>
    <cellStyle name="Normal 6 3 2 3 3 2" xfId="37873" xr:uid="{00000000-0005-0000-0000-0000AA930000}"/>
    <cellStyle name="Normal 6 3 2 3 4" xfId="636" xr:uid="{00000000-0005-0000-0000-0000AB930000}"/>
    <cellStyle name="Normal 6 3 2 3 5" xfId="37870" xr:uid="{00000000-0005-0000-0000-0000AC930000}"/>
    <cellStyle name="Normal 6 3 2 3 6" xfId="53857" xr:uid="{00000000-0005-0000-0000-0000AD930000}"/>
    <cellStyle name="Normal 6 3 2 4" xfId="285" xr:uid="{00000000-0005-0000-0000-0000AE930000}"/>
    <cellStyle name="Normal 6 3 2 4 2" xfId="37875" xr:uid="{00000000-0005-0000-0000-0000AF930000}"/>
    <cellStyle name="Normal 6 3 2 4 2 2" xfId="37876" xr:uid="{00000000-0005-0000-0000-0000B0930000}"/>
    <cellStyle name="Normal 6 3 2 4 3" xfId="37877" xr:uid="{00000000-0005-0000-0000-0000B1930000}"/>
    <cellStyle name="Normal 6 3 2 4 4" xfId="37874" xr:uid="{00000000-0005-0000-0000-0000B2930000}"/>
    <cellStyle name="Normal 6 3 2 5" xfId="408" xr:uid="{00000000-0005-0000-0000-0000B3930000}"/>
    <cellStyle name="Normal 6 3 2 5 2" xfId="37878" xr:uid="{00000000-0005-0000-0000-0000B4930000}"/>
    <cellStyle name="Normal 6 3 2 6" xfId="531" xr:uid="{00000000-0005-0000-0000-0000B5930000}"/>
    <cellStyle name="Normal 6 3 2 7" xfId="634" xr:uid="{00000000-0005-0000-0000-0000B6930000}"/>
    <cellStyle name="Normal 6 3 2 8" xfId="37867" xr:uid="{00000000-0005-0000-0000-0000B7930000}"/>
    <cellStyle name="Normal 6 3 2 9" xfId="53732" xr:uid="{00000000-0005-0000-0000-0000B8930000}"/>
    <cellStyle name="Normal 6 3 3" xfId="167" xr:uid="{00000000-0005-0000-0000-0000B9930000}"/>
    <cellStyle name="Normal 6 3 3 2" xfId="303" xr:uid="{00000000-0005-0000-0000-0000BA930000}"/>
    <cellStyle name="Normal 6 3 3 2 2" xfId="37881" xr:uid="{00000000-0005-0000-0000-0000BB930000}"/>
    <cellStyle name="Normal 6 3 3 2 3" xfId="37880" xr:uid="{00000000-0005-0000-0000-0000BC930000}"/>
    <cellStyle name="Normal 6 3 3 3" xfId="426" xr:uid="{00000000-0005-0000-0000-0000BD930000}"/>
    <cellStyle name="Normal 6 3 3 3 2" xfId="37882" xr:uid="{00000000-0005-0000-0000-0000BE930000}"/>
    <cellStyle name="Normal 6 3 3 4" xfId="637" xr:uid="{00000000-0005-0000-0000-0000BF930000}"/>
    <cellStyle name="Normal 6 3 3 5" xfId="37879" xr:uid="{00000000-0005-0000-0000-0000C0930000}"/>
    <cellStyle name="Normal 6 3 3 6" xfId="53793" xr:uid="{00000000-0005-0000-0000-0000C1930000}"/>
    <cellStyle name="Normal 6 3 4" xfId="208" xr:uid="{00000000-0005-0000-0000-0000C2930000}"/>
    <cellStyle name="Normal 6 3 4 2" xfId="344" xr:uid="{00000000-0005-0000-0000-0000C3930000}"/>
    <cellStyle name="Normal 6 3 4 2 2" xfId="37885" xr:uid="{00000000-0005-0000-0000-0000C4930000}"/>
    <cellStyle name="Normal 6 3 4 2 3" xfId="37884" xr:uid="{00000000-0005-0000-0000-0000C5930000}"/>
    <cellStyle name="Normal 6 3 4 3" xfId="467" xr:uid="{00000000-0005-0000-0000-0000C6930000}"/>
    <cellStyle name="Normal 6 3 4 3 2" xfId="37886" xr:uid="{00000000-0005-0000-0000-0000C7930000}"/>
    <cellStyle name="Normal 6 3 4 4" xfId="638" xr:uid="{00000000-0005-0000-0000-0000C8930000}"/>
    <cellStyle name="Normal 6 3 4 5" xfId="37883" xr:uid="{00000000-0005-0000-0000-0000C9930000}"/>
    <cellStyle name="Normal 6 3 4 6" xfId="53834" xr:uid="{00000000-0005-0000-0000-0000CA930000}"/>
    <cellStyle name="Normal 6 3 5" xfId="262" xr:uid="{00000000-0005-0000-0000-0000CB930000}"/>
    <cellStyle name="Normal 6 3 5 2" xfId="37888" xr:uid="{00000000-0005-0000-0000-0000CC930000}"/>
    <cellStyle name="Normal 6 3 5 2 2" xfId="37889" xr:uid="{00000000-0005-0000-0000-0000CD930000}"/>
    <cellStyle name="Normal 6 3 5 3" xfId="37890" xr:uid="{00000000-0005-0000-0000-0000CE930000}"/>
    <cellStyle name="Normal 6 3 5 4" xfId="37887" xr:uid="{00000000-0005-0000-0000-0000CF930000}"/>
    <cellStyle name="Normal 6 3 6" xfId="385" xr:uid="{00000000-0005-0000-0000-0000D0930000}"/>
    <cellStyle name="Normal 6 3 6 2" xfId="37891" xr:uid="{00000000-0005-0000-0000-0000D1930000}"/>
    <cellStyle name="Normal 6 3 7" xfId="508" xr:uid="{00000000-0005-0000-0000-0000D2930000}"/>
    <cellStyle name="Normal 6 3 8" xfId="633" xr:uid="{00000000-0005-0000-0000-0000D3930000}"/>
    <cellStyle name="Normal 6 3 9" xfId="37866" xr:uid="{00000000-0005-0000-0000-0000D4930000}"/>
    <cellStyle name="Normal 6 4" xfId="113" xr:uid="{00000000-0005-0000-0000-0000D5930000}"/>
    <cellStyle name="Normal 6 4 10" xfId="53710" xr:uid="{00000000-0005-0000-0000-0000D6930000}"/>
    <cellStyle name="Normal 6 4 11" xfId="53778" xr:uid="{00000000-0005-0000-0000-0000D7930000}"/>
    <cellStyle name="Normal 6 4 2" xfId="150" xr:uid="{00000000-0005-0000-0000-0000D8930000}"/>
    <cellStyle name="Normal 6 4 2 10" xfId="53779" xr:uid="{00000000-0005-0000-0000-0000D9930000}"/>
    <cellStyle name="Normal 6 4 2 2" xfId="191" xr:uid="{00000000-0005-0000-0000-0000DA930000}"/>
    <cellStyle name="Normal 6 4 2 2 2" xfId="327" xr:uid="{00000000-0005-0000-0000-0000DB930000}"/>
    <cellStyle name="Normal 6 4 2 2 2 2" xfId="37895" xr:uid="{00000000-0005-0000-0000-0000DC930000}"/>
    <cellStyle name="Normal 6 4 2 2 3" xfId="450" xr:uid="{00000000-0005-0000-0000-0000DD930000}"/>
    <cellStyle name="Normal 6 4 2 2 4" xfId="641" xr:uid="{00000000-0005-0000-0000-0000DE930000}"/>
    <cellStyle name="Normal 6 4 2 2 5" xfId="37894" xr:uid="{00000000-0005-0000-0000-0000DF930000}"/>
    <cellStyle name="Normal 6 4 2 2 6" xfId="53817" xr:uid="{00000000-0005-0000-0000-0000E0930000}"/>
    <cellStyle name="Normal 6 4 2 3" xfId="232" xr:uid="{00000000-0005-0000-0000-0000E1930000}"/>
    <cellStyle name="Normal 6 4 2 3 2" xfId="368" xr:uid="{00000000-0005-0000-0000-0000E2930000}"/>
    <cellStyle name="Normal 6 4 2 3 2 2" xfId="37898" xr:uid="{00000000-0005-0000-0000-0000E3930000}"/>
    <cellStyle name="Normal 6 4 2 3 2 3" xfId="37897" xr:uid="{00000000-0005-0000-0000-0000E4930000}"/>
    <cellStyle name="Normal 6 4 2 3 3" xfId="491" xr:uid="{00000000-0005-0000-0000-0000E5930000}"/>
    <cellStyle name="Normal 6 4 2 3 3 2" xfId="37899" xr:uid="{00000000-0005-0000-0000-0000E6930000}"/>
    <cellStyle name="Normal 6 4 2 3 4" xfId="642" xr:uid="{00000000-0005-0000-0000-0000E7930000}"/>
    <cellStyle name="Normal 6 4 2 3 5" xfId="37896" xr:uid="{00000000-0005-0000-0000-0000E8930000}"/>
    <cellStyle name="Normal 6 4 2 3 6" xfId="53858" xr:uid="{00000000-0005-0000-0000-0000E9930000}"/>
    <cellStyle name="Normal 6 4 2 4" xfId="286" xr:uid="{00000000-0005-0000-0000-0000EA930000}"/>
    <cellStyle name="Normal 6 4 2 4 2" xfId="37901" xr:uid="{00000000-0005-0000-0000-0000EB930000}"/>
    <cellStyle name="Normal 6 4 2 4 2 2" xfId="37902" xr:uid="{00000000-0005-0000-0000-0000EC930000}"/>
    <cellStyle name="Normal 6 4 2 4 3" xfId="37903" xr:uid="{00000000-0005-0000-0000-0000ED930000}"/>
    <cellStyle name="Normal 6 4 2 4 4" xfId="37900" xr:uid="{00000000-0005-0000-0000-0000EE930000}"/>
    <cellStyle name="Normal 6 4 2 5" xfId="409" xr:uid="{00000000-0005-0000-0000-0000EF930000}"/>
    <cellStyle name="Normal 6 4 2 5 2" xfId="37904" xr:uid="{00000000-0005-0000-0000-0000F0930000}"/>
    <cellStyle name="Normal 6 4 2 6" xfId="532" xr:uid="{00000000-0005-0000-0000-0000F1930000}"/>
    <cellStyle name="Normal 6 4 2 7" xfId="640" xr:uid="{00000000-0005-0000-0000-0000F2930000}"/>
    <cellStyle name="Normal 6 4 2 8" xfId="37893" xr:uid="{00000000-0005-0000-0000-0000F3930000}"/>
    <cellStyle name="Normal 6 4 2 9" xfId="53733" xr:uid="{00000000-0005-0000-0000-0000F4930000}"/>
    <cellStyle name="Normal 6 4 3" xfId="168" xr:uid="{00000000-0005-0000-0000-0000F5930000}"/>
    <cellStyle name="Normal 6 4 3 2" xfId="304" xr:uid="{00000000-0005-0000-0000-0000F6930000}"/>
    <cellStyle name="Normal 6 4 3 2 2" xfId="37907" xr:uid="{00000000-0005-0000-0000-0000F7930000}"/>
    <cellStyle name="Normal 6 4 3 2 2 2" xfId="37908" xr:uid="{00000000-0005-0000-0000-0000F8930000}"/>
    <cellStyle name="Normal 6 4 3 2 3" xfId="37909" xr:uid="{00000000-0005-0000-0000-0000F9930000}"/>
    <cellStyle name="Normal 6 4 3 2 3 2" xfId="37910" xr:uid="{00000000-0005-0000-0000-0000FA930000}"/>
    <cellStyle name="Normal 6 4 3 2 3 2 2" xfId="37911" xr:uid="{00000000-0005-0000-0000-0000FB930000}"/>
    <cellStyle name="Normal 6 4 3 2 3 3" xfId="37912" xr:uid="{00000000-0005-0000-0000-0000FC930000}"/>
    <cellStyle name="Normal 6 4 3 2 4" xfId="37913" xr:uid="{00000000-0005-0000-0000-0000FD930000}"/>
    <cellStyle name="Normal 6 4 3 2 5" xfId="37906" xr:uid="{00000000-0005-0000-0000-0000FE930000}"/>
    <cellStyle name="Normal 6 4 3 3" xfId="427" xr:uid="{00000000-0005-0000-0000-0000FF930000}"/>
    <cellStyle name="Normal 6 4 3 3 2" xfId="37915" xr:uid="{00000000-0005-0000-0000-000000940000}"/>
    <cellStyle name="Normal 6 4 3 3 2 2" xfId="37916" xr:uid="{00000000-0005-0000-0000-000001940000}"/>
    <cellStyle name="Normal 6 4 3 3 3" xfId="37917" xr:uid="{00000000-0005-0000-0000-000002940000}"/>
    <cellStyle name="Normal 6 4 3 3 4" xfId="37914" xr:uid="{00000000-0005-0000-0000-000003940000}"/>
    <cellStyle name="Normal 6 4 3 4" xfId="643" xr:uid="{00000000-0005-0000-0000-000004940000}"/>
    <cellStyle name="Normal 6 4 3 4 2" xfId="37919" xr:uid="{00000000-0005-0000-0000-000005940000}"/>
    <cellStyle name="Normal 6 4 3 4 2 2" xfId="37920" xr:uid="{00000000-0005-0000-0000-000006940000}"/>
    <cellStyle name="Normal 6 4 3 4 3" xfId="37921" xr:uid="{00000000-0005-0000-0000-000007940000}"/>
    <cellStyle name="Normal 6 4 3 4 4" xfId="37918" xr:uid="{00000000-0005-0000-0000-000008940000}"/>
    <cellStyle name="Normal 6 4 3 5" xfId="37922" xr:uid="{00000000-0005-0000-0000-000009940000}"/>
    <cellStyle name="Normal 6 4 3 5 2" xfId="37923" xr:uid="{00000000-0005-0000-0000-00000A940000}"/>
    <cellStyle name="Normal 6 4 3 5 2 2" xfId="37924" xr:uid="{00000000-0005-0000-0000-00000B940000}"/>
    <cellStyle name="Normal 6 4 3 5 3" xfId="37925" xr:uid="{00000000-0005-0000-0000-00000C940000}"/>
    <cellStyle name="Normal 6 4 3 6" xfId="37926" xr:uid="{00000000-0005-0000-0000-00000D940000}"/>
    <cellStyle name="Normal 6 4 3 7" xfId="37905" xr:uid="{00000000-0005-0000-0000-00000E940000}"/>
    <cellStyle name="Normal 6 4 3 8" xfId="53794" xr:uid="{00000000-0005-0000-0000-00000F940000}"/>
    <cellStyle name="Normal 6 4 4" xfId="209" xr:uid="{00000000-0005-0000-0000-000010940000}"/>
    <cellStyle name="Normal 6 4 4 2" xfId="345" xr:uid="{00000000-0005-0000-0000-000011940000}"/>
    <cellStyle name="Normal 6 4 4 3" xfId="468" xr:uid="{00000000-0005-0000-0000-000012940000}"/>
    <cellStyle name="Normal 6 4 4 4" xfId="644" xr:uid="{00000000-0005-0000-0000-000013940000}"/>
    <cellStyle name="Normal 6 4 4 5" xfId="37927" xr:uid="{00000000-0005-0000-0000-000014940000}"/>
    <cellStyle name="Normal 6 4 4 6" xfId="53835" xr:uid="{00000000-0005-0000-0000-000015940000}"/>
    <cellStyle name="Normal 6 4 5" xfId="263" xr:uid="{00000000-0005-0000-0000-000016940000}"/>
    <cellStyle name="Normal 6 4 6" xfId="386" xr:uid="{00000000-0005-0000-0000-000017940000}"/>
    <cellStyle name="Normal 6 4 7" xfId="509" xr:uid="{00000000-0005-0000-0000-000018940000}"/>
    <cellStyle name="Normal 6 4 8" xfId="639" xr:uid="{00000000-0005-0000-0000-000019940000}"/>
    <cellStyle name="Normal 6 4 9" xfId="37892" xr:uid="{00000000-0005-0000-0000-00001A940000}"/>
    <cellStyle name="Normal 6 5" xfId="117" xr:uid="{00000000-0005-0000-0000-00001B940000}"/>
    <cellStyle name="Normal 6 5 10" xfId="53714" xr:uid="{00000000-0005-0000-0000-00001C940000}"/>
    <cellStyle name="Normal 6 5 11" xfId="53780" xr:uid="{00000000-0005-0000-0000-00001D940000}"/>
    <cellStyle name="Normal 6 5 2" xfId="154" xr:uid="{00000000-0005-0000-0000-00001E940000}"/>
    <cellStyle name="Normal 6 5 2 10" xfId="53781" xr:uid="{00000000-0005-0000-0000-00001F940000}"/>
    <cellStyle name="Normal 6 5 2 2" xfId="195" xr:uid="{00000000-0005-0000-0000-000020940000}"/>
    <cellStyle name="Normal 6 5 2 2 2" xfId="331" xr:uid="{00000000-0005-0000-0000-000021940000}"/>
    <cellStyle name="Normal 6 5 2 2 3" xfId="454" xr:uid="{00000000-0005-0000-0000-000022940000}"/>
    <cellStyle name="Normal 6 5 2 2 4" xfId="647" xr:uid="{00000000-0005-0000-0000-000023940000}"/>
    <cellStyle name="Normal 6 5 2 2 5" xfId="37930" xr:uid="{00000000-0005-0000-0000-000024940000}"/>
    <cellStyle name="Normal 6 5 2 2 6" xfId="53821" xr:uid="{00000000-0005-0000-0000-000025940000}"/>
    <cellStyle name="Normal 6 5 2 3" xfId="236" xr:uid="{00000000-0005-0000-0000-000026940000}"/>
    <cellStyle name="Normal 6 5 2 3 2" xfId="372" xr:uid="{00000000-0005-0000-0000-000027940000}"/>
    <cellStyle name="Normal 6 5 2 3 3" xfId="495" xr:uid="{00000000-0005-0000-0000-000028940000}"/>
    <cellStyle name="Normal 6 5 2 3 4" xfId="648" xr:uid="{00000000-0005-0000-0000-000029940000}"/>
    <cellStyle name="Normal 6 5 2 3 5" xfId="53862" xr:uid="{00000000-0005-0000-0000-00002A940000}"/>
    <cellStyle name="Normal 6 5 2 4" xfId="290" xr:uid="{00000000-0005-0000-0000-00002B940000}"/>
    <cellStyle name="Normal 6 5 2 5" xfId="413" xr:uid="{00000000-0005-0000-0000-00002C940000}"/>
    <cellStyle name="Normal 6 5 2 6" xfId="536" xr:uid="{00000000-0005-0000-0000-00002D940000}"/>
    <cellStyle name="Normal 6 5 2 7" xfId="646" xr:uid="{00000000-0005-0000-0000-00002E940000}"/>
    <cellStyle name="Normal 6 5 2 8" xfId="37929" xr:uid="{00000000-0005-0000-0000-00002F940000}"/>
    <cellStyle name="Normal 6 5 2 9" xfId="53737" xr:uid="{00000000-0005-0000-0000-000030940000}"/>
    <cellStyle name="Normal 6 5 3" xfId="172" xr:uid="{00000000-0005-0000-0000-000031940000}"/>
    <cellStyle name="Normal 6 5 3 2" xfId="308" xr:uid="{00000000-0005-0000-0000-000032940000}"/>
    <cellStyle name="Normal 6 5 3 2 2" xfId="37933" xr:uid="{00000000-0005-0000-0000-000033940000}"/>
    <cellStyle name="Normal 6 5 3 2 3" xfId="37932" xr:uid="{00000000-0005-0000-0000-000034940000}"/>
    <cellStyle name="Normal 6 5 3 3" xfId="431" xr:uid="{00000000-0005-0000-0000-000035940000}"/>
    <cellStyle name="Normal 6 5 3 3 2" xfId="37934" xr:uid="{00000000-0005-0000-0000-000036940000}"/>
    <cellStyle name="Normal 6 5 3 4" xfId="649" xr:uid="{00000000-0005-0000-0000-000037940000}"/>
    <cellStyle name="Normal 6 5 3 5" xfId="37931" xr:uid="{00000000-0005-0000-0000-000038940000}"/>
    <cellStyle name="Normal 6 5 3 6" xfId="53798" xr:uid="{00000000-0005-0000-0000-000039940000}"/>
    <cellStyle name="Normal 6 5 4" xfId="213" xr:uid="{00000000-0005-0000-0000-00003A940000}"/>
    <cellStyle name="Normal 6 5 4 2" xfId="349" xr:uid="{00000000-0005-0000-0000-00003B940000}"/>
    <cellStyle name="Normal 6 5 4 2 2" xfId="37937" xr:uid="{00000000-0005-0000-0000-00003C940000}"/>
    <cellStyle name="Normal 6 5 4 2 3" xfId="37936" xr:uid="{00000000-0005-0000-0000-00003D940000}"/>
    <cellStyle name="Normal 6 5 4 3" xfId="472" xr:uid="{00000000-0005-0000-0000-00003E940000}"/>
    <cellStyle name="Normal 6 5 4 3 2" xfId="37938" xr:uid="{00000000-0005-0000-0000-00003F940000}"/>
    <cellStyle name="Normal 6 5 4 4" xfId="650" xr:uid="{00000000-0005-0000-0000-000040940000}"/>
    <cellStyle name="Normal 6 5 4 5" xfId="37935" xr:uid="{00000000-0005-0000-0000-000041940000}"/>
    <cellStyle name="Normal 6 5 4 6" xfId="53839" xr:uid="{00000000-0005-0000-0000-000042940000}"/>
    <cellStyle name="Normal 6 5 5" xfId="267" xr:uid="{00000000-0005-0000-0000-000043940000}"/>
    <cellStyle name="Normal 6 5 5 2" xfId="37939" xr:uid="{00000000-0005-0000-0000-000044940000}"/>
    <cellStyle name="Normal 6 5 6" xfId="390" xr:uid="{00000000-0005-0000-0000-000045940000}"/>
    <cellStyle name="Normal 6 5 7" xfId="513" xr:uid="{00000000-0005-0000-0000-000046940000}"/>
    <cellStyle name="Normal 6 5 8" xfId="645" xr:uid="{00000000-0005-0000-0000-000047940000}"/>
    <cellStyle name="Normal 6 5 9" xfId="37928" xr:uid="{00000000-0005-0000-0000-000048940000}"/>
    <cellStyle name="Normal 6 6" xfId="121" xr:uid="{00000000-0005-0000-0000-000049940000}"/>
    <cellStyle name="Normal 6 6 10" xfId="53718" xr:uid="{00000000-0005-0000-0000-00004A940000}"/>
    <cellStyle name="Normal 6 6 11" xfId="53782" xr:uid="{00000000-0005-0000-0000-00004B940000}"/>
    <cellStyle name="Normal 6 6 2" xfId="158" xr:uid="{00000000-0005-0000-0000-00004C940000}"/>
    <cellStyle name="Normal 6 6 2 10" xfId="53783" xr:uid="{00000000-0005-0000-0000-00004D940000}"/>
    <cellStyle name="Normal 6 6 2 2" xfId="199" xr:uid="{00000000-0005-0000-0000-00004E940000}"/>
    <cellStyle name="Normal 6 6 2 2 2" xfId="335" xr:uid="{00000000-0005-0000-0000-00004F940000}"/>
    <cellStyle name="Normal 6 6 2 2 2 2" xfId="37944" xr:uid="{00000000-0005-0000-0000-000050940000}"/>
    <cellStyle name="Normal 6 6 2 2 2 3" xfId="37943" xr:uid="{00000000-0005-0000-0000-000051940000}"/>
    <cellStyle name="Normal 6 6 2 2 3" xfId="458" xr:uid="{00000000-0005-0000-0000-000052940000}"/>
    <cellStyle name="Normal 6 6 2 2 3 2" xfId="37946" xr:uid="{00000000-0005-0000-0000-000053940000}"/>
    <cellStyle name="Normal 6 6 2 2 3 2 2" xfId="37947" xr:uid="{00000000-0005-0000-0000-000054940000}"/>
    <cellStyle name="Normal 6 6 2 2 3 3" xfId="37948" xr:uid="{00000000-0005-0000-0000-000055940000}"/>
    <cellStyle name="Normal 6 6 2 2 3 4" xfId="37945" xr:uid="{00000000-0005-0000-0000-000056940000}"/>
    <cellStyle name="Normal 6 6 2 2 4" xfId="653" xr:uid="{00000000-0005-0000-0000-000057940000}"/>
    <cellStyle name="Normal 6 6 2 2 4 2" xfId="37949" xr:uid="{00000000-0005-0000-0000-000058940000}"/>
    <cellStyle name="Normal 6 6 2 2 5" xfId="37942" xr:uid="{00000000-0005-0000-0000-000059940000}"/>
    <cellStyle name="Normal 6 6 2 2 6" xfId="53825" xr:uid="{00000000-0005-0000-0000-00005A940000}"/>
    <cellStyle name="Normal 6 6 2 3" xfId="240" xr:uid="{00000000-0005-0000-0000-00005B940000}"/>
    <cellStyle name="Normal 6 6 2 3 2" xfId="376" xr:uid="{00000000-0005-0000-0000-00005C940000}"/>
    <cellStyle name="Normal 6 6 2 3 2 2" xfId="37952" xr:uid="{00000000-0005-0000-0000-00005D940000}"/>
    <cellStyle name="Normal 6 6 2 3 2 3" xfId="37951" xr:uid="{00000000-0005-0000-0000-00005E940000}"/>
    <cellStyle name="Normal 6 6 2 3 3" xfId="499" xr:uid="{00000000-0005-0000-0000-00005F940000}"/>
    <cellStyle name="Normal 6 6 2 3 3 2" xfId="37953" xr:uid="{00000000-0005-0000-0000-000060940000}"/>
    <cellStyle name="Normal 6 6 2 3 4" xfId="654" xr:uid="{00000000-0005-0000-0000-000061940000}"/>
    <cellStyle name="Normal 6 6 2 3 5" xfId="37950" xr:uid="{00000000-0005-0000-0000-000062940000}"/>
    <cellStyle name="Normal 6 6 2 3 6" xfId="53866" xr:uid="{00000000-0005-0000-0000-000063940000}"/>
    <cellStyle name="Normal 6 6 2 4" xfId="294" xr:uid="{00000000-0005-0000-0000-000064940000}"/>
    <cellStyle name="Normal 6 6 2 4 2" xfId="37955" xr:uid="{00000000-0005-0000-0000-000065940000}"/>
    <cellStyle name="Normal 6 6 2 4 2 2" xfId="37956" xr:uid="{00000000-0005-0000-0000-000066940000}"/>
    <cellStyle name="Normal 6 6 2 4 3" xfId="37957" xr:uid="{00000000-0005-0000-0000-000067940000}"/>
    <cellStyle name="Normal 6 6 2 4 4" xfId="37954" xr:uid="{00000000-0005-0000-0000-000068940000}"/>
    <cellStyle name="Normal 6 6 2 5" xfId="417" xr:uid="{00000000-0005-0000-0000-000069940000}"/>
    <cellStyle name="Normal 6 6 2 5 2" xfId="37959" xr:uid="{00000000-0005-0000-0000-00006A940000}"/>
    <cellStyle name="Normal 6 6 2 5 2 2" xfId="37960" xr:uid="{00000000-0005-0000-0000-00006B940000}"/>
    <cellStyle name="Normal 6 6 2 5 3" xfId="37961" xr:uid="{00000000-0005-0000-0000-00006C940000}"/>
    <cellStyle name="Normal 6 6 2 5 4" xfId="37958" xr:uid="{00000000-0005-0000-0000-00006D940000}"/>
    <cellStyle name="Normal 6 6 2 6" xfId="540" xr:uid="{00000000-0005-0000-0000-00006E940000}"/>
    <cellStyle name="Normal 6 6 2 6 2" xfId="37962" xr:uid="{00000000-0005-0000-0000-00006F940000}"/>
    <cellStyle name="Normal 6 6 2 7" xfId="652" xr:uid="{00000000-0005-0000-0000-000070940000}"/>
    <cellStyle name="Normal 6 6 2 8" xfId="37941" xr:uid="{00000000-0005-0000-0000-000071940000}"/>
    <cellStyle name="Normal 6 6 2 9" xfId="53741" xr:uid="{00000000-0005-0000-0000-000072940000}"/>
    <cellStyle name="Normal 6 6 3" xfId="176" xr:uid="{00000000-0005-0000-0000-000073940000}"/>
    <cellStyle name="Normal 6 6 3 2" xfId="312" xr:uid="{00000000-0005-0000-0000-000074940000}"/>
    <cellStyle name="Normal 6 6 3 2 2" xfId="37965" xr:uid="{00000000-0005-0000-0000-000075940000}"/>
    <cellStyle name="Normal 6 6 3 2 3" xfId="37964" xr:uid="{00000000-0005-0000-0000-000076940000}"/>
    <cellStyle name="Normal 6 6 3 3" xfId="435" xr:uid="{00000000-0005-0000-0000-000077940000}"/>
    <cellStyle name="Normal 6 6 3 3 2" xfId="37967" xr:uid="{00000000-0005-0000-0000-000078940000}"/>
    <cellStyle name="Normal 6 6 3 3 2 2" xfId="37968" xr:uid="{00000000-0005-0000-0000-000079940000}"/>
    <cellStyle name="Normal 6 6 3 3 3" xfId="37969" xr:uid="{00000000-0005-0000-0000-00007A940000}"/>
    <cellStyle name="Normal 6 6 3 3 4" xfId="37966" xr:uid="{00000000-0005-0000-0000-00007B940000}"/>
    <cellStyle name="Normal 6 6 3 4" xfId="655" xr:uid="{00000000-0005-0000-0000-00007C940000}"/>
    <cellStyle name="Normal 6 6 3 4 2" xfId="37971" xr:uid="{00000000-0005-0000-0000-00007D940000}"/>
    <cellStyle name="Normal 6 6 3 4 2 2" xfId="37972" xr:uid="{00000000-0005-0000-0000-00007E940000}"/>
    <cellStyle name="Normal 6 6 3 4 3" xfId="37973" xr:uid="{00000000-0005-0000-0000-00007F940000}"/>
    <cellStyle name="Normal 6 6 3 4 4" xfId="37970" xr:uid="{00000000-0005-0000-0000-000080940000}"/>
    <cellStyle name="Normal 6 6 3 5" xfId="37974" xr:uid="{00000000-0005-0000-0000-000081940000}"/>
    <cellStyle name="Normal 6 6 3 6" xfId="37963" xr:uid="{00000000-0005-0000-0000-000082940000}"/>
    <cellStyle name="Normal 6 6 3 7" xfId="53802" xr:uid="{00000000-0005-0000-0000-000083940000}"/>
    <cellStyle name="Normal 6 6 4" xfId="217" xr:uid="{00000000-0005-0000-0000-000084940000}"/>
    <cellStyle name="Normal 6 6 4 2" xfId="353" xr:uid="{00000000-0005-0000-0000-000085940000}"/>
    <cellStyle name="Normal 6 6 4 2 2" xfId="37977" xr:uid="{00000000-0005-0000-0000-000086940000}"/>
    <cellStyle name="Normal 6 6 4 2 3" xfId="37976" xr:uid="{00000000-0005-0000-0000-000087940000}"/>
    <cellStyle name="Normal 6 6 4 3" xfId="476" xr:uid="{00000000-0005-0000-0000-000088940000}"/>
    <cellStyle name="Normal 6 6 4 3 2" xfId="37979" xr:uid="{00000000-0005-0000-0000-000089940000}"/>
    <cellStyle name="Normal 6 6 4 3 2 2" xfId="37980" xr:uid="{00000000-0005-0000-0000-00008A940000}"/>
    <cellStyle name="Normal 6 6 4 3 3" xfId="37981" xr:uid="{00000000-0005-0000-0000-00008B940000}"/>
    <cellStyle name="Normal 6 6 4 3 4" xfId="37978" xr:uid="{00000000-0005-0000-0000-00008C940000}"/>
    <cellStyle name="Normal 6 6 4 4" xfId="656" xr:uid="{00000000-0005-0000-0000-00008D940000}"/>
    <cellStyle name="Normal 6 6 4 4 2" xfId="37983" xr:uid="{00000000-0005-0000-0000-00008E940000}"/>
    <cellStyle name="Normal 6 6 4 4 2 2" xfId="37984" xr:uid="{00000000-0005-0000-0000-00008F940000}"/>
    <cellStyle name="Normal 6 6 4 4 3" xfId="37985" xr:uid="{00000000-0005-0000-0000-000090940000}"/>
    <cellStyle name="Normal 6 6 4 4 4" xfId="37982" xr:uid="{00000000-0005-0000-0000-000091940000}"/>
    <cellStyle name="Normal 6 6 4 5" xfId="37986" xr:uid="{00000000-0005-0000-0000-000092940000}"/>
    <cellStyle name="Normal 6 6 4 6" xfId="37975" xr:uid="{00000000-0005-0000-0000-000093940000}"/>
    <cellStyle name="Normal 6 6 4 7" xfId="53843" xr:uid="{00000000-0005-0000-0000-000094940000}"/>
    <cellStyle name="Normal 6 6 5" xfId="271" xr:uid="{00000000-0005-0000-0000-000095940000}"/>
    <cellStyle name="Normal 6 6 5 2" xfId="37988" xr:uid="{00000000-0005-0000-0000-000096940000}"/>
    <cellStyle name="Normal 6 6 5 3" xfId="37987" xr:uid="{00000000-0005-0000-0000-000097940000}"/>
    <cellStyle name="Normal 6 6 6" xfId="394" xr:uid="{00000000-0005-0000-0000-000098940000}"/>
    <cellStyle name="Normal 6 6 6 2" xfId="37990" xr:uid="{00000000-0005-0000-0000-000099940000}"/>
    <cellStyle name="Normal 6 6 6 2 2" xfId="37991" xr:uid="{00000000-0005-0000-0000-00009A940000}"/>
    <cellStyle name="Normal 6 6 6 3" xfId="37992" xr:uid="{00000000-0005-0000-0000-00009B940000}"/>
    <cellStyle name="Normal 6 6 6 4" xfId="37989" xr:uid="{00000000-0005-0000-0000-00009C940000}"/>
    <cellStyle name="Normal 6 6 7" xfId="517" xr:uid="{00000000-0005-0000-0000-00009D940000}"/>
    <cellStyle name="Normal 6 6 7 2" xfId="37994" xr:uid="{00000000-0005-0000-0000-00009E940000}"/>
    <cellStyle name="Normal 6 6 7 2 2" xfId="37995" xr:uid="{00000000-0005-0000-0000-00009F940000}"/>
    <cellStyle name="Normal 6 6 7 3" xfId="37996" xr:uid="{00000000-0005-0000-0000-0000A0940000}"/>
    <cellStyle name="Normal 6 6 7 4" xfId="37993" xr:uid="{00000000-0005-0000-0000-0000A1940000}"/>
    <cellStyle name="Normal 6 6 8" xfId="651" xr:uid="{00000000-0005-0000-0000-0000A2940000}"/>
    <cellStyle name="Normal 6 6 8 2" xfId="37997" xr:uid="{00000000-0005-0000-0000-0000A3940000}"/>
    <cellStyle name="Normal 6 6 9" xfId="37940" xr:uid="{00000000-0005-0000-0000-0000A4940000}"/>
    <cellStyle name="Normal 6 7" xfId="144" xr:uid="{00000000-0005-0000-0000-0000A5940000}"/>
    <cellStyle name="Normal 6 7 10" xfId="37998" xr:uid="{00000000-0005-0000-0000-0000A6940000}"/>
    <cellStyle name="Normal 6 7 11" xfId="53727" xr:uid="{00000000-0005-0000-0000-0000A7940000}"/>
    <cellStyle name="Normal 6 7 12" xfId="53784" xr:uid="{00000000-0005-0000-0000-0000A8940000}"/>
    <cellStyle name="Normal 6 7 2" xfId="185" xr:uid="{00000000-0005-0000-0000-0000A9940000}"/>
    <cellStyle name="Normal 6 7 2 2" xfId="321" xr:uid="{00000000-0005-0000-0000-0000AA940000}"/>
    <cellStyle name="Normal 6 7 2 2 2" xfId="38001" xr:uid="{00000000-0005-0000-0000-0000AB940000}"/>
    <cellStyle name="Normal 6 7 2 2 2 2" xfId="38002" xr:uid="{00000000-0005-0000-0000-0000AC940000}"/>
    <cellStyle name="Normal 6 7 2 2 3" xfId="38003" xr:uid="{00000000-0005-0000-0000-0000AD940000}"/>
    <cellStyle name="Normal 6 7 2 2 3 2" xfId="38004" xr:uid="{00000000-0005-0000-0000-0000AE940000}"/>
    <cellStyle name="Normal 6 7 2 2 3 2 2" xfId="38005" xr:uid="{00000000-0005-0000-0000-0000AF940000}"/>
    <cellStyle name="Normal 6 7 2 2 3 3" xfId="38006" xr:uid="{00000000-0005-0000-0000-0000B0940000}"/>
    <cellStyle name="Normal 6 7 2 2 4" xfId="38007" xr:uid="{00000000-0005-0000-0000-0000B1940000}"/>
    <cellStyle name="Normal 6 7 2 2 5" xfId="38000" xr:uid="{00000000-0005-0000-0000-0000B2940000}"/>
    <cellStyle name="Normal 6 7 2 3" xfId="444" xr:uid="{00000000-0005-0000-0000-0000B3940000}"/>
    <cellStyle name="Normal 6 7 2 3 2" xfId="38009" xr:uid="{00000000-0005-0000-0000-0000B4940000}"/>
    <cellStyle name="Normal 6 7 2 3 2 2" xfId="38010" xr:uid="{00000000-0005-0000-0000-0000B5940000}"/>
    <cellStyle name="Normal 6 7 2 3 3" xfId="38011" xr:uid="{00000000-0005-0000-0000-0000B6940000}"/>
    <cellStyle name="Normal 6 7 2 3 4" xfId="38008" xr:uid="{00000000-0005-0000-0000-0000B7940000}"/>
    <cellStyle name="Normal 6 7 2 4" xfId="658" xr:uid="{00000000-0005-0000-0000-0000B8940000}"/>
    <cellStyle name="Normal 6 7 2 4 2" xfId="38013" xr:uid="{00000000-0005-0000-0000-0000B9940000}"/>
    <cellStyle name="Normal 6 7 2 4 2 2" xfId="38014" xr:uid="{00000000-0005-0000-0000-0000BA940000}"/>
    <cellStyle name="Normal 6 7 2 4 3" xfId="38015" xr:uid="{00000000-0005-0000-0000-0000BB940000}"/>
    <cellStyle name="Normal 6 7 2 4 4" xfId="38012" xr:uid="{00000000-0005-0000-0000-0000BC940000}"/>
    <cellStyle name="Normal 6 7 2 5" xfId="38016" xr:uid="{00000000-0005-0000-0000-0000BD940000}"/>
    <cellStyle name="Normal 6 7 2 5 2" xfId="38017" xr:uid="{00000000-0005-0000-0000-0000BE940000}"/>
    <cellStyle name="Normal 6 7 2 5 2 2" xfId="38018" xr:uid="{00000000-0005-0000-0000-0000BF940000}"/>
    <cellStyle name="Normal 6 7 2 5 3" xfId="38019" xr:uid="{00000000-0005-0000-0000-0000C0940000}"/>
    <cellStyle name="Normal 6 7 2 6" xfId="38020" xr:uid="{00000000-0005-0000-0000-0000C1940000}"/>
    <cellStyle name="Normal 6 7 2 7" xfId="37999" xr:uid="{00000000-0005-0000-0000-0000C2940000}"/>
    <cellStyle name="Normal 6 7 2 8" xfId="53811" xr:uid="{00000000-0005-0000-0000-0000C3940000}"/>
    <cellStyle name="Normal 6 7 3" xfId="226" xr:uid="{00000000-0005-0000-0000-0000C4940000}"/>
    <cellStyle name="Normal 6 7 3 2" xfId="362" xr:uid="{00000000-0005-0000-0000-0000C5940000}"/>
    <cellStyle name="Normal 6 7 3 2 2" xfId="38023" xr:uid="{00000000-0005-0000-0000-0000C6940000}"/>
    <cellStyle name="Normal 6 7 3 2 2 2" xfId="38024" xr:uid="{00000000-0005-0000-0000-0000C7940000}"/>
    <cellStyle name="Normal 6 7 3 2 2 2 2" xfId="38025" xr:uid="{00000000-0005-0000-0000-0000C8940000}"/>
    <cellStyle name="Normal 6 7 3 2 2 3" xfId="38026" xr:uid="{00000000-0005-0000-0000-0000C9940000}"/>
    <cellStyle name="Normal 6 7 3 2 2 3 2" xfId="38027" xr:uid="{00000000-0005-0000-0000-0000CA940000}"/>
    <cellStyle name="Normal 6 7 3 2 2 3 2 2" xfId="38028" xr:uid="{00000000-0005-0000-0000-0000CB940000}"/>
    <cellStyle name="Normal 6 7 3 2 2 3 3" xfId="38029" xr:uid="{00000000-0005-0000-0000-0000CC940000}"/>
    <cellStyle name="Normal 6 7 3 2 2 4" xfId="38030" xr:uid="{00000000-0005-0000-0000-0000CD940000}"/>
    <cellStyle name="Normal 6 7 3 2 3" xfId="38031" xr:uid="{00000000-0005-0000-0000-0000CE940000}"/>
    <cellStyle name="Normal 6 7 3 2 3 2" xfId="38032" xr:uid="{00000000-0005-0000-0000-0000CF940000}"/>
    <cellStyle name="Normal 6 7 3 2 3 2 2" xfId="38033" xr:uid="{00000000-0005-0000-0000-0000D0940000}"/>
    <cellStyle name="Normal 6 7 3 2 3 3" xfId="38034" xr:uid="{00000000-0005-0000-0000-0000D1940000}"/>
    <cellStyle name="Normal 6 7 3 2 4" xfId="38035" xr:uid="{00000000-0005-0000-0000-0000D2940000}"/>
    <cellStyle name="Normal 6 7 3 2 4 2" xfId="38036" xr:uid="{00000000-0005-0000-0000-0000D3940000}"/>
    <cellStyle name="Normal 6 7 3 2 4 2 2" xfId="38037" xr:uid="{00000000-0005-0000-0000-0000D4940000}"/>
    <cellStyle name="Normal 6 7 3 2 4 3" xfId="38038" xr:uid="{00000000-0005-0000-0000-0000D5940000}"/>
    <cellStyle name="Normal 6 7 3 2 5" xfId="38039" xr:uid="{00000000-0005-0000-0000-0000D6940000}"/>
    <cellStyle name="Normal 6 7 3 2 6" xfId="38022" xr:uid="{00000000-0005-0000-0000-0000D7940000}"/>
    <cellStyle name="Normal 6 7 3 3" xfId="485" xr:uid="{00000000-0005-0000-0000-0000D8940000}"/>
    <cellStyle name="Normal 6 7 3 3 2" xfId="38041" xr:uid="{00000000-0005-0000-0000-0000D9940000}"/>
    <cellStyle name="Normal 6 7 3 3 2 2" xfId="38042" xr:uid="{00000000-0005-0000-0000-0000DA940000}"/>
    <cellStyle name="Normal 6 7 3 3 3" xfId="38043" xr:uid="{00000000-0005-0000-0000-0000DB940000}"/>
    <cellStyle name="Normal 6 7 3 3 3 2" xfId="38044" xr:uid="{00000000-0005-0000-0000-0000DC940000}"/>
    <cellStyle name="Normal 6 7 3 3 3 2 2" xfId="38045" xr:uid="{00000000-0005-0000-0000-0000DD940000}"/>
    <cellStyle name="Normal 6 7 3 3 3 3" xfId="38046" xr:uid="{00000000-0005-0000-0000-0000DE940000}"/>
    <cellStyle name="Normal 6 7 3 3 4" xfId="38047" xr:uid="{00000000-0005-0000-0000-0000DF940000}"/>
    <cellStyle name="Normal 6 7 3 3 5" xfId="38040" xr:uid="{00000000-0005-0000-0000-0000E0940000}"/>
    <cellStyle name="Normal 6 7 3 4" xfId="659" xr:uid="{00000000-0005-0000-0000-0000E1940000}"/>
    <cellStyle name="Normal 6 7 3 4 2" xfId="38049" xr:uid="{00000000-0005-0000-0000-0000E2940000}"/>
    <cellStyle name="Normal 6 7 3 4 2 2" xfId="38050" xr:uid="{00000000-0005-0000-0000-0000E3940000}"/>
    <cellStyle name="Normal 6 7 3 4 3" xfId="38051" xr:uid="{00000000-0005-0000-0000-0000E4940000}"/>
    <cellStyle name="Normal 6 7 3 4 4" xfId="38048" xr:uid="{00000000-0005-0000-0000-0000E5940000}"/>
    <cellStyle name="Normal 6 7 3 5" xfId="38052" xr:uid="{00000000-0005-0000-0000-0000E6940000}"/>
    <cellStyle name="Normal 6 7 3 5 2" xfId="38053" xr:uid="{00000000-0005-0000-0000-0000E7940000}"/>
    <cellStyle name="Normal 6 7 3 5 2 2" xfId="38054" xr:uid="{00000000-0005-0000-0000-0000E8940000}"/>
    <cellStyle name="Normal 6 7 3 5 3" xfId="38055" xr:uid="{00000000-0005-0000-0000-0000E9940000}"/>
    <cellStyle name="Normal 6 7 3 6" xfId="38056" xr:uid="{00000000-0005-0000-0000-0000EA940000}"/>
    <cellStyle name="Normal 6 7 3 7" xfId="38021" xr:uid="{00000000-0005-0000-0000-0000EB940000}"/>
    <cellStyle name="Normal 6 7 3 8" xfId="53852" xr:uid="{00000000-0005-0000-0000-0000EC940000}"/>
    <cellStyle name="Normal 6 7 4" xfId="280" xr:uid="{00000000-0005-0000-0000-0000ED940000}"/>
    <cellStyle name="Normal 6 7 4 2" xfId="38058" xr:uid="{00000000-0005-0000-0000-0000EE940000}"/>
    <cellStyle name="Normal 6 7 4 2 2" xfId="38059" xr:uid="{00000000-0005-0000-0000-0000EF940000}"/>
    <cellStyle name="Normal 6 7 4 3" xfId="38060" xr:uid="{00000000-0005-0000-0000-0000F0940000}"/>
    <cellStyle name="Normal 6 7 4 3 2" xfId="38061" xr:uid="{00000000-0005-0000-0000-0000F1940000}"/>
    <cellStyle name="Normal 6 7 4 3 2 2" xfId="38062" xr:uid="{00000000-0005-0000-0000-0000F2940000}"/>
    <cellStyle name="Normal 6 7 4 3 3" xfId="38063" xr:uid="{00000000-0005-0000-0000-0000F3940000}"/>
    <cellStyle name="Normal 6 7 4 4" xfId="38064" xr:uid="{00000000-0005-0000-0000-0000F4940000}"/>
    <cellStyle name="Normal 6 7 4 5" xfId="38057" xr:uid="{00000000-0005-0000-0000-0000F5940000}"/>
    <cellStyle name="Normal 6 7 5" xfId="403" xr:uid="{00000000-0005-0000-0000-0000F6940000}"/>
    <cellStyle name="Normal 6 7 5 2" xfId="38066" xr:uid="{00000000-0005-0000-0000-0000F7940000}"/>
    <cellStyle name="Normal 6 7 5 2 2" xfId="38067" xr:uid="{00000000-0005-0000-0000-0000F8940000}"/>
    <cellStyle name="Normal 6 7 5 3" xfId="38068" xr:uid="{00000000-0005-0000-0000-0000F9940000}"/>
    <cellStyle name="Normal 6 7 5 4" xfId="38065" xr:uid="{00000000-0005-0000-0000-0000FA940000}"/>
    <cellStyle name="Normal 6 7 6" xfId="526" xr:uid="{00000000-0005-0000-0000-0000FB940000}"/>
    <cellStyle name="Normal 6 7 6 2" xfId="38070" xr:uid="{00000000-0005-0000-0000-0000FC940000}"/>
    <cellStyle name="Normal 6 7 6 2 2" xfId="38071" xr:uid="{00000000-0005-0000-0000-0000FD940000}"/>
    <cellStyle name="Normal 6 7 6 3" xfId="38072" xr:uid="{00000000-0005-0000-0000-0000FE940000}"/>
    <cellStyle name="Normal 6 7 6 4" xfId="38069" xr:uid="{00000000-0005-0000-0000-0000FF940000}"/>
    <cellStyle name="Normal 6 7 7" xfId="657" xr:uid="{00000000-0005-0000-0000-000000950000}"/>
    <cellStyle name="Normal 6 7 7 2" xfId="38074" xr:uid="{00000000-0005-0000-0000-000001950000}"/>
    <cellStyle name="Normal 6 7 7 2 2" xfId="38075" xr:uid="{00000000-0005-0000-0000-000002950000}"/>
    <cellStyle name="Normal 6 7 7 3" xfId="38076" xr:uid="{00000000-0005-0000-0000-000003950000}"/>
    <cellStyle name="Normal 6 7 7 4" xfId="38073" xr:uid="{00000000-0005-0000-0000-000004950000}"/>
    <cellStyle name="Normal 6 7 8" xfId="38077" xr:uid="{00000000-0005-0000-0000-000005950000}"/>
    <cellStyle name="Normal 6 7 8 2" xfId="38078" xr:uid="{00000000-0005-0000-0000-000006950000}"/>
    <cellStyle name="Normal 6 7 8 2 2" xfId="38079" xr:uid="{00000000-0005-0000-0000-000007950000}"/>
    <cellStyle name="Normal 6 7 8 2 2 2" xfId="38080" xr:uid="{00000000-0005-0000-0000-000008950000}"/>
    <cellStyle name="Normal 6 7 8 2 3" xfId="38081" xr:uid="{00000000-0005-0000-0000-000009950000}"/>
    <cellStyle name="Normal 6 7 8 3" xfId="38082" xr:uid="{00000000-0005-0000-0000-00000A950000}"/>
    <cellStyle name="Normal 6 7 8 3 2" xfId="38083" xr:uid="{00000000-0005-0000-0000-00000B950000}"/>
    <cellStyle name="Normal 6 7 8 3 2 2" xfId="38084" xr:uid="{00000000-0005-0000-0000-00000C950000}"/>
    <cellStyle name="Normal 6 7 8 3 3" xfId="38085" xr:uid="{00000000-0005-0000-0000-00000D950000}"/>
    <cellStyle name="Normal 6 7 8 4" xfId="38086" xr:uid="{00000000-0005-0000-0000-00000E950000}"/>
    <cellStyle name="Normal 6 7 8 4 2" xfId="38087" xr:uid="{00000000-0005-0000-0000-00000F950000}"/>
    <cellStyle name="Normal 6 7 8 5" xfId="38088" xr:uid="{00000000-0005-0000-0000-000010950000}"/>
    <cellStyle name="Normal 6 7 8 5 2" xfId="38089" xr:uid="{00000000-0005-0000-0000-000011950000}"/>
    <cellStyle name="Normal 6 7 8 6" xfId="38090" xr:uid="{00000000-0005-0000-0000-000012950000}"/>
    <cellStyle name="Normal 6 7 9" xfId="38091" xr:uid="{00000000-0005-0000-0000-000013950000}"/>
    <cellStyle name="Normal 6 8" xfId="136" xr:uid="{00000000-0005-0000-0000-000014950000}"/>
    <cellStyle name="Normal 6 8 10" xfId="53785" xr:uid="{00000000-0005-0000-0000-000015950000}"/>
    <cellStyle name="Normal 6 8 2" xfId="180" xr:uid="{00000000-0005-0000-0000-000016950000}"/>
    <cellStyle name="Normal 6 8 2 2" xfId="316" xr:uid="{00000000-0005-0000-0000-000017950000}"/>
    <cellStyle name="Normal 6 8 2 2 2" xfId="38094" xr:uid="{00000000-0005-0000-0000-000018950000}"/>
    <cellStyle name="Normal 6 8 2 3" xfId="439" xr:uid="{00000000-0005-0000-0000-000019950000}"/>
    <cellStyle name="Normal 6 8 2 4" xfId="661" xr:uid="{00000000-0005-0000-0000-00001A950000}"/>
    <cellStyle name="Normal 6 8 2 5" xfId="38093" xr:uid="{00000000-0005-0000-0000-00001B950000}"/>
    <cellStyle name="Normal 6 8 2 6" xfId="53806" xr:uid="{00000000-0005-0000-0000-00001C950000}"/>
    <cellStyle name="Normal 6 8 3" xfId="221" xr:uid="{00000000-0005-0000-0000-00001D950000}"/>
    <cellStyle name="Normal 6 8 3 2" xfId="357" xr:uid="{00000000-0005-0000-0000-00001E950000}"/>
    <cellStyle name="Normal 6 8 3 3" xfId="480" xr:uid="{00000000-0005-0000-0000-00001F950000}"/>
    <cellStyle name="Normal 6 8 3 4" xfId="662" xr:uid="{00000000-0005-0000-0000-000020950000}"/>
    <cellStyle name="Normal 6 8 3 5" xfId="38095" xr:uid="{00000000-0005-0000-0000-000021950000}"/>
    <cellStyle name="Normal 6 8 3 6" xfId="53847" xr:uid="{00000000-0005-0000-0000-000022950000}"/>
    <cellStyle name="Normal 6 8 4" xfId="275" xr:uid="{00000000-0005-0000-0000-000023950000}"/>
    <cellStyle name="Normal 6 8 5" xfId="398" xr:uid="{00000000-0005-0000-0000-000024950000}"/>
    <cellStyle name="Normal 6 8 6" xfId="521" xr:uid="{00000000-0005-0000-0000-000025950000}"/>
    <cellStyle name="Normal 6 8 7" xfId="660" xr:uid="{00000000-0005-0000-0000-000026950000}"/>
    <cellStyle name="Normal 6 8 8" xfId="38092" xr:uid="{00000000-0005-0000-0000-000027950000}"/>
    <cellStyle name="Normal 6 8 9" xfId="53722" xr:uid="{00000000-0005-0000-0000-000028950000}"/>
    <cellStyle name="Normal 6 9" xfId="162" xr:uid="{00000000-0005-0000-0000-000029950000}"/>
    <cellStyle name="Normal 6 9 2" xfId="298" xr:uid="{00000000-0005-0000-0000-00002A950000}"/>
    <cellStyle name="Normal 6 9 2 2" xfId="38098" xr:uid="{00000000-0005-0000-0000-00002B950000}"/>
    <cellStyle name="Normal 6 9 2 2 2" xfId="38099" xr:uid="{00000000-0005-0000-0000-00002C950000}"/>
    <cellStyle name="Normal 6 9 2 3" xfId="38100" xr:uid="{00000000-0005-0000-0000-00002D950000}"/>
    <cellStyle name="Normal 6 9 2 4" xfId="38097" xr:uid="{00000000-0005-0000-0000-00002E950000}"/>
    <cellStyle name="Normal 6 9 3" xfId="421" xr:uid="{00000000-0005-0000-0000-00002F950000}"/>
    <cellStyle name="Normal 6 9 3 2" xfId="38102" xr:uid="{00000000-0005-0000-0000-000030950000}"/>
    <cellStyle name="Normal 6 9 3 2 2" xfId="38103" xr:uid="{00000000-0005-0000-0000-000031950000}"/>
    <cellStyle name="Normal 6 9 3 3" xfId="38104" xr:uid="{00000000-0005-0000-0000-000032950000}"/>
    <cellStyle name="Normal 6 9 3 4" xfId="38101" xr:uid="{00000000-0005-0000-0000-000033950000}"/>
    <cellStyle name="Normal 6 9 4" xfId="663" xr:uid="{00000000-0005-0000-0000-000034950000}"/>
    <cellStyle name="Normal 6 9 4 2" xfId="38106" xr:uid="{00000000-0005-0000-0000-000035950000}"/>
    <cellStyle name="Normal 6 9 4 3" xfId="38105" xr:uid="{00000000-0005-0000-0000-000036950000}"/>
    <cellStyle name="Normal 6 9 5" xfId="38107" xr:uid="{00000000-0005-0000-0000-000037950000}"/>
    <cellStyle name="Normal 6 9 5 2" xfId="38108" xr:uid="{00000000-0005-0000-0000-000038950000}"/>
    <cellStyle name="Normal 6 9 6" xfId="38109" xr:uid="{00000000-0005-0000-0000-000039950000}"/>
    <cellStyle name="Normal 6 9 7" xfId="38096" xr:uid="{00000000-0005-0000-0000-00003A950000}"/>
    <cellStyle name="Normal 6 9 8" xfId="53788" xr:uid="{00000000-0005-0000-0000-00003B950000}"/>
    <cellStyle name="Normal 60" xfId="38110" xr:uid="{00000000-0005-0000-0000-00003C950000}"/>
    <cellStyle name="Normal 60 2" xfId="38111" xr:uid="{00000000-0005-0000-0000-00003D950000}"/>
    <cellStyle name="Normal 60 2 2" xfId="38112" xr:uid="{00000000-0005-0000-0000-00003E950000}"/>
    <cellStyle name="Normal 60 2 2 2" xfId="38113" xr:uid="{00000000-0005-0000-0000-00003F950000}"/>
    <cellStyle name="Normal 60 2 3" xfId="38114" xr:uid="{00000000-0005-0000-0000-000040950000}"/>
    <cellStyle name="Normal 60 2 3 2" xfId="38115" xr:uid="{00000000-0005-0000-0000-000041950000}"/>
    <cellStyle name="Normal 60 2 3 2 2" xfId="38116" xr:uid="{00000000-0005-0000-0000-000042950000}"/>
    <cellStyle name="Normal 60 2 3 3" xfId="38117" xr:uid="{00000000-0005-0000-0000-000043950000}"/>
    <cellStyle name="Normal 60 2 4" xfId="38118" xr:uid="{00000000-0005-0000-0000-000044950000}"/>
    <cellStyle name="Normal 60 2 4 2" xfId="38119" xr:uid="{00000000-0005-0000-0000-000045950000}"/>
    <cellStyle name="Normal 60 2 4 2 2" xfId="38120" xr:uid="{00000000-0005-0000-0000-000046950000}"/>
    <cellStyle name="Normal 60 2 4 3" xfId="38121" xr:uid="{00000000-0005-0000-0000-000047950000}"/>
    <cellStyle name="Normal 60 2 5" xfId="38122" xr:uid="{00000000-0005-0000-0000-000048950000}"/>
    <cellStyle name="Normal 60 3" xfId="38123" xr:uid="{00000000-0005-0000-0000-000049950000}"/>
    <cellStyle name="Normal 60 3 2" xfId="38124" xr:uid="{00000000-0005-0000-0000-00004A950000}"/>
    <cellStyle name="Normal 60 3 2 2" xfId="38125" xr:uid="{00000000-0005-0000-0000-00004B950000}"/>
    <cellStyle name="Normal 60 3 2 2 2" xfId="38126" xr:uid="{00000000-0005-0000-0000-00004C950000}"/>
    <cellStyle name="Normal 60 3 2 3" xfId="38127" xr:uid="{00000000-0005-0000-0000-00004D950000}"/>
    <cellStyle name="Normal 60 3 2 3 2" xfId="38128" xr:uid="{00000000-0005-0000-0000-00004E950000}"/>
    <cellStyle name="Normal 60 3 2 3 2 2" xfId="38129" xr:uid="{00000000-0005-0000-0000-00004F950000}"/>
    <cellStyle name="Normal 60 3 2 3 3" xfId="38130" xr:uid="{00000000-0005-0000-0000-000050950000}"/>
    <cellStyle name="Normal 60 3 2 4" xfId="38131" xr:uid="{00000000-0005-0000-0000-000051950000}"/>
    <cellStyle name="Normal 60 3 3" xfId="38132" xr:uid="{00000000-0005-0000-0000-000052950000}"/>
    <cellStyle name="Normal 60 3 3 2" xfId="38133" xr:uid="{00000000-0005-0000-0000-000053950000}"/>
    <cellStyle name="Normal 60 3 3 2 2" xfId="38134" xr:uid="{00000000-0005-0000-0000-000054950000}"/>
    <cellStyle name="Normal 60 3 3 3" xfId="38135" xr:uid="{00000000-0005-0000-0000-000055950000}"/>
    <cellStyle name="Normal 60 3 4" xfId="38136" xr:uid="{00000000-0005-0000-0000-000056950000}"/>
    <cellStyle name="Normal 60 3 4 2" xfId="38137" xr:uid="{00000000-0005-0000-0000-000057950000}"/>
    <cellStyle name="Normal 60 3 4 2 2" xfId="38138" xr:uid="{00000000-0005-0000-0000-000058950000}"/>
    <cellStyle name="Normal 60 3 4 3" xfId="38139" xr:uid="{00000000-0005-0000-0000-000059950000}"/>
    <cellStyle name="Normal 60 3 5" xfId="38140" xr:uid="{00000000-0005-0000-0000-00005A950000}"/>
    <cellStyle name="Normal 60 3 5 2" xfId="38141" xr:uid="{00000000-0005-0000-0000-00005B950000}"/>
    <cellStyle name="Normal 60 3 5 2 2" xfId="38142" xr:uid="{00000000-0005-0000-0000-00005C950000}"/>
    <cellStyle name="Normal 60 3 5 3" xfId="38143" xr:uid="{00000000-0005-0000-0000-00005D950000}"/>
    <cellStyle name="Normal 60 3 6" xfId="38144" xr:uid="{00000000-0005-0000-0000-00005E950000}"/>
    <cellStyle name="Normal 60 4" xfId="38145" xr:uid="{00000000-0005-0000-0000-00005F950000}"/>
    <cellStyle name="Normal 60 4 2" xfId="38146" xr:uid="{00000000-0005-0000-0000-000060950000}"/>
    <cellStyle name="Normal 60 4 2 2" xfId="38147" xr:uid="{00000000-0005-0000-0000-000061950000}"/>
    <cellStyle name="Normal 60 4 3" xfId="38148" xr:uid="{00000000-0005-0000-0000-000062950000}"/>
    <cellStyle name="Normal 60 5" xfId="38149" xr:uid="{00000000-0005-0000-0000-000063950000}"/>
    <cellStyle name="Normal 60 5 2" xfId="38150" xr:uid="{00000000-0005-0000-0000-000064950000}"/>
    <cellStyle name="Normal 60 5 2 2" xfId="38151" xr:uid="{00000000-0005-0000-0000-000065950000}"/>
    <cellStyle name="Normal 60 5 3" xfId="38152" xr:uid="{00000000-0005-0000-0000-000066950000}"/>
    <cellStyle name="Normal 60 6" xfId="38153" xr:uid="{00000000-0005-0000-0000-000067950000}"/>
    <cellStyle name="Normal 60 6 2" xfId="38154" xr:uid="{00000000-0005-0000-0000-000068950000}"/>
    <cellStyle name="Normal 60 6 2 2" xfId="38155" xr:uid="{00000000-0005-0000-0000-000069950000}"/>
    <cellStyle name="Normal 60 6 3" xfId="38156" xr:uid="{00000000-0005-0000-0000-00006A950000}"/>
    <cellStyle name="Normal 60 7" xfId="38157" xr:uid="{00000000-0005-0000-0000-00006B950000}"/>
    <cellStyle name="Normal 600" xfId="38158" xr:uid="{00000000-0005-0000-0000-00006C950000}"/>
    <cellStyle name="Normal 600 2" xfId="38159" xr:uid="{00000000-0005-0000-0000-00006D950000}"/>
    <cellStyle name="Normal 600 2 2" xfId="38160" xr:uid="{00000000-0005-0000-0000-00006E950000}"/>
    <cellStyle name="Normal 600 3" xfId="38161" xr:uid="{00000000-0005-0000-0000-00006F950000}"/>
    <cellStyle name="Normal 601" xfId="38162" xr:uid="{00000000-0005-0000-0000-000070950000}"/>
    <cellStyle name="Normal 601 2" xfId="38163" xr:uid="{00000000-0005-0000-0000-000071950000}"/>
    <cellStyle name="Normal 601 2 2" xfId="38164" xr:uid="{00000000-0005-0000-0000-000072950000}"/>
    <cellStyle name="Normal 601 3" xfId="38165" xr:uid="{00000000-0005-0000-0000-000073950000}"/>
    <cellStyle name="Normal 602" xfId="38166" xr:uid="{00000000-0005-0000-0000-000074950000}"/>
    <cellStyle name="Normal 602 2" xfId="38167" xr:uid="{00000000-0005-0000-0000-000075950000}"/>
    <cellStyle name="Normal 602 2 2" xfId="38168" xr:uid="{00000000-0005-0000-0000-000076950000}"/>
    <cellStyle name="Normal 602 3" xfId="38169" xr:uid="{00000000-0005-0000-0000-000077950000}"/>
    <cellStyle name="Normal 603" xfId="38170" xr:uid="{00000000-0005-0000-0000-000078950000}"/>
    <cellStyle name="Normal 603 2" xfId="38171" xr:uid="{00000000-0005-0000-0000-000079950000}"/>
    <cellStyle name="Normal 603 2 2" xfId="38172" xr:uid="{00000000-0005-0000-0000-00007A950000}"/>
    <cellStyle name="Normal 603 3" xfId="38173" xr:uid="{00000000-0005-0000-0000-00007B950000}"/>
    <cellStyle name="Normal 604" xfId="38174" xr:uid="{00000000-0005-0000-0000-00007C950000}"/>
    <cellStyle name="Normal 604 2" xfId="38175" xr:uid="{00000000-0005-0000-0000-00007D950000}"/>
    <cellStyle name="Normal 604 2 2" xfId="38176" xr:uid="{00000000-0005-0000-0000-00007E950000}"/>
    <cellStyle name="Normal 604 3" xfId="38177" xr:uid="{00000000-0005-0000-0000-00007F950000}"/>
    <cellStyle name="Normal 605" xfId="38178" xr:uid="{00000000-0005-0000-0000-000080950000}"/>
    <cellStyle name="Normal 605 2" xfId="38179" xr:uid="{00000000-0005-0000-0000-000081950000}"/>
    <cellStyle name="Normal 605 2 2" xfId="38180" xr:uid="{00000000-0005-0000-0000-000082950000}"/>
    <cellStyle name="Normal 605 3" xfId="38181" xr:uid="{00000000-0005-0000-0000-000083950000}"/>
    <cellStyle name="Normal 606" xfId="38182" xr:uid="{00000000-0005-0000-0000-000084950000}"/>
    <cellStyle name="Normal 606 2" xfId="38183" xr:uid="{00000000-0005-0000-0000-000085950000}"/>
    <cellStyle name="Normal 606 2 2" xfId="38184" xr:uid="{00000000-0005-0000-0000-000086950000}"/>
    <cellStyle name="Normal 606 3" xfId="38185" xr:uid="{00000000-0005-0000-0000-000087950000}"/>
    <cellStyle name="Normal 607" xfId="38186" xr:uid="{00000000-0005-0000-0000-000088950000}"/>
    <cellStyle name="Normal 607 2" xfId="38187" xr:uid="{00000000-0005-0000-0000-000089950000}"/>
    <cellStyle name="Normal 608" xfId="38188" xr:uid="{00000000-0005-0000-0000-00008A950000}"/>
    <cellStyle name="Normal 608 2" xfId="38189" xr:uid="{00000000-0005-0000-0000-00008B950000}"/>
    <cellStyle name="Normal 609" xfId="38190" xr:uid="{00000000-0005-0000-0000-00008C950000}"/>
    <cellStyle name="Normal 609 2" xfId="38191" xr:uid="{00000000-0005-0000-0000-00008D950000}"/>
    <cellStyle name="Normal 61" xfId="38192" xr:uid="{00000000-0005-0000-0000-00008E950000}"/>
    <cellStyle name="Normal 61 2" xfId="38193" xr:uid="{00000000-0005-0000-0000-00008F950000}"/>
    <cellStyle name="Normal 61 2 2" xfId="38194" xr:uid="{00000000-0005-0000-0000-000090950000}"/>
    <cellStyle name="Normal 61 2 2 2" xfId="38195" xr:uid="{00000000-0005-0000-0000-000091950000}"/>
    <cellStyle name="Normal 61 2 3" xfId="38196" xr:uid="{00000000-0005-0000-0000-000092950000}"/>
    <cellStyle name="Normal 61 2 3 2" xfId="38197" xr:uid="{00000000-0005-0000-0000-000093950000}"/>
    <cellStyle name="Normal 61 2 3 2 2" xfId="38198" xr:uid="{00000000-0005-0000-0000-000094950000}"/>
    <cellStyle name="Normal 61 2 3 3" xfId="38199" xr:uid="{00000000-0005-0000-0000-000095950000}"/>
    <cellStyle name="Normal 61 2 4" xfId="38200" xr:uid="{00000000-0005-0000-0000-000096950000}"/>
    <cellStyle name="Normal 61 2 4 2" xfId="38201" xr:uid="{00000000-0005-0000-0000-000097950000}"/>
    <cellStyle name="Normal 61 2 4 2 2" xfId="38202" xr:uid="{00000000-0005-0000-0000-000098950000}"/>
    <cellStyle name="Normal 61 2 4 3" xfId="38203" xr:uid="{00000000-0005-0000-0000-000099950000}"/>
    <cellStyle name="Normal 61 2 5" xfId="38204" xr:uid="{00000000-0005-0000-0000-00009A950000}"/>
    <cellStyle name="Normal 61 3" xfId="38205" xr:uid="{00000000-0005-0000-0000-00009B950000}"/>
    <cellStyle name="Normal 61 3 2" xfId="38206" xr:uid="{00000000-0005-0000-0000-00009C950000}"/>
    <cellStyle name="Normal 61 3 2 2" xfId="38207" xr:uid="{00000000-0005-0000-0000-00009D950000}"/>
    <cellStyle name="Normal 61 3 2 2 2" xfId="38208" xr:uid="{00000000-0005-0000-0000-00009E950000}"/>
    <cellStyle name="Normal 61 3 2 3" xfId="38209" xr:uid="{00000000-0005-0000-0000-00009F950000}"/>
    <cellStyle name="Normal 61 3 2 3 2" xfId="38210" xr:uid="{00000000-0005-0000-0000-0000A0950000}"/>
    <cellStyle name="Normal 61 3 2 3 2 2" xfId="38211" xr:uid="{00000000-0005-0000-0000-0000A1950000}"/>
    <cellStyle name="Normal 61 3 2 3 3" xfId="38212" xr:uid="{00000000-0005-0000-0000-0000A2950000}"/>
    <cellStyle name="Normal 61 3 2 4" xfId="38213" xr:uid="{00000000-0005-0000-0000-0000A3950000}"/>
    <cellStyle name="Normal 61 3 3" xfId="38214" xr:uid="{00000000-0005-0000-0000-0000A4950000}"/>
    <cellStyle name="Normal 61 3 3 2" xfId="38215" xr:uid="{00000000-0005-0000-0000-0000A5950000}"/>
    <cellStyle name="Normal 61 3 3 2 2" xfId="38216" xr:uid="{00000000-0005-0000-0000-0000A6950000}"/>
    <cellStyle name="Normal 61 3 3 3" xfId="38217" xr:uid="{00000000-0005-0000-0000-0000A7950000}"/>
    <cellStyle name="Normal 61 3 4" xfId="38218" xr:uid="{00000000-0005-0000-0000-0000A8950000}"/>
    <cellStyle name="Normal 61 3 4 2" xfId="38219" xr:uid="{00000000-0005-0000-0000-0000A9950000}"/>
    <cellStyle name="Normal 61 3 4 2 2" xfId="38220" xr:uid="{00000000-0005-0000-0000-0000AA950000}"/>
    <cellStyle name="Normal 61 3 4 3" xfId="38221" xr:uid="{00000000-0005-0000-0000-0000AB950000}"/>
    <cellStyle name="Normal 61 3 5" xfId="38222" xr:uid="{00000000-0005-0000-0000-0000AC950000}"/>
    <cellStyle name="Normal 61 3 5 2" xfId="38223" xr:uid="{00000000-0005-0000-0000-0000AD950000}"/>
    <cellStyle name="Normal 61 3 5 2 2" xfId="38224" xr:uid="{00000000-0005-0000-0000-0000AE950000}"/>
    <cellStyle name="Normal 61 3 5 3" xfId="38225" xr:uid="{00000000-0005-0000-0000-0000AF950000}"/>
    <cellStyle name="Normal 61 3 6" xfId="38226" xr:uid="{00000000-0005-0000-0000-0000B0950000}"/>
    <cellStyle name="Normal 61 4" xfId="38227" xr:uid="{00000000-0005-0000-0000-0000B1950000}"/>
    <cellStyle name="Normal 61 4 2" xfId="38228" xr:uid="{00000000-0005-0000-0000-0000B2950000}"/>
    <cellStyle name="Normal 61 4 2 2" xfId="38229" xr:uid="{00000000-0005-0000-0000-0000B3950000}"/>
    <cellStyle name="Normal 61 4 3" xfId="38230" xr:uid="{00000000-0005-0000-0000-0000B4950000}"/>
    <cellStyle name="Normal 61 5" xfId="38231" xr:uid="{00000000-0005-0000-0000-0000B5950000}"/>
    <cellStyle name="Normal 61 5 2" xfId="38232" xr:uid="{00000000-0005-0000-0000-0000B6950000}"/>
    <cellStyle name="Normal 61 5 2 2" xfId="38233" xr:uid="{00000000-0005-0000-0000-0000B7950000}"/>
    <cellStyle name="Normal 61 5 3" xfId="38234" xr:uid="{00000000-0005-0000-0000-0000B8950000}"/>
    <cellStyle name="Normal 61 6" xfId="38235" xr:uid="{00000000-0005-0000-0000-0000B9950000}"/>
    <cellStyle name="Normal 61 6 2" xfId="38236" xr:uid="{00000000-0005-0000-0000-0000BA950000}"/>
    <cellStyle name="Normal 61 6 2 2" xfId="38237" xr:uid="{00000000-0005-0000-0000-0000BB950000}"/>
    <cellStyle name="Normal 61 6 3" xfId="38238" xr:uid="{00000000-0005-0000-0000-0000BC950000}"/>
    <cellStyle name="Normal 61 7" xfId="38239" xr:uid="{00000000-0005-0000-0000-0000BD950000}"/>
    <cellStyle name="Normal 610" xfId="38240" xr:uid="{00000000-0005-0000-0000-0000BE950000}"/>
    <cellStyle name="Normal 610 2" xfId="38241" xr:uid="{00000000-0005-0000-0000-0000BF950000}"/>
    <cellStyle name="Normal 610 2 2" xfId="38242" xr:uid="{00000000-0005-0000-0000-0000C0950000}"/>
    <cellStyle name="Normal 610 3" xfId="38243" xr:uid="{00000000-0005-0000-0000-0000C1950000}"/>
    <cellStyle name="Normal 611" xfId="38244" xr:uid="{00000000-0005-0000-0000-0000C2950000}"/>
    <cellStyle name="Normal 611 2" xfId="38245" xr:uid="{00000000-0005-0000-0000-0000C3950000}"/>
    <cellStyle name="Normal 611 2 2" xfId="38246" xr:uid="{00000000-0005-0000-0000-0000C4950000}"/>
    <cellStyle name="Normal 611 3" xfId="38247" xr:uid="{00000000-0005-0000-0000-0000C5950000}"/>
    <cellStyle name="Normal 612" xfId="38248" xr:uid="{00000000-0005-0000-0000-0000C6950000}"/>
    <cellStyle name="Normal 612 2" xfId="38249" xr:uid="{00000000-0005-0000-0000-0000C7950000}"/>
    <cellStyle name="Normal 612 2 2" xfId="38250" xr:uid="{00000000-0005-0000-0000-0000C8950000}"/>
    <cellStyle name="Normal 612 3" xfId="38251" xr:uid="{00000000-0005-0000-0000-0000C9950000}"/>
    <cellStyle name="Normal 613" xfId="38252" xr:uid="{00000000-0005-0000-0000-0000CA950000}"/>
    <cellStyle name="Normal 613 2" xfId="38253" xr:uid="{00000000-0005-0000-0000-0000CB950000}"/>
    <cellStyle name="Normal 613 2 2" xfId="38254" xr:uid="{00000000-0005-0000-0000-0000CC950000}"/>
    <cellStyle name="Normal 613 3" xfId="38255" xr:uid="{00000000-0005-0000-0000-0000CD950000}"/>
    <cellStyle name="Normal 614" xfId="38256" xr:uid="{00000000-0005-0000-0000-0000CE950000}"/>
    <cellStyle name="Normal 614 2" xfId="38257" xr:uid="{00000000-0005-0000-0000-0000CF950000}"/>
    <cellStyle name="Normal 614 2 2" xfId="38258" xr:uid="{00000000-0005-0000-0000-0000D0950000}"/>
    <cellStyle name="Normal 614 3" xfId="38259" xr:uid="{00000000-0005-0000-0000-0000D1950000}"/>
    <cellStyle name="Normal 615" xfId="38260" xr:uid="{00000000-0005-0000-0000-0000D2950000}"/>
    <cellStyle name="Normal 615 2" xfId="38261" xr:uid="{00000000-0005-0000-0000-0000D3950000}"/>
    <cellStyle name="Normal 615 2 2" xfId="38262" xr:uid="{00000000-0005-0000-0000-0000D4950000}"/>
    <cellStyle name="Normal 615 3" xfId="38263" xr:uid="{00000000-0005-0000-0000-0000D5950000}"/>
    <cellStyle name="Normal 616" xfId="38264" xr:uid="{00000000-0005-0000-0000-0000D6950000}"/>
    <cellStyle name="Normal 616 2" xfId="38265" xr:uid="{00000000-0005-0000-0000-0000D7950000}"/>
    <cellStyle name="Normal 617" xfId="38266" xr:uid="{00000000-0005-0000-0000-0000D8950000}"/>
    <cellStyle name="Normal 617 2" xfId="38267" xr:uid="{00000000-0005-0000-0000-0000D9950000}"/>
    <cellStyle name="Normal 618" xfId="38268" xr:uid="{00000000-0005-0000-0000-0000DA950000}"/>
    <cellStyle name="Normal 618 2" xfId="38269" xr:uid="{00000000-0005-0000-0000-0000DB950000}"/>
    <cellStyle name="Normal 619" xfId="38270" xr:uid="{00000000-0005-0000-0000-0000DC950000}"/>
    <cellStyle name="Normal 619 2" xfId="38271" xr:uid="{00000000-0005-0000-0000-0000DD950000}"/>
    <cellStyle name="Normal 62" xfId="38272" xr:uid="{00000000-0005-0000-0000-0000DE950000}"/>
    <cellStyle name="Normal 62 2" xfId="38273" xr:uid="{00000000-0005-0000-0000-0000DF950000}"/>
    <cellStyle name="Normal 62 2 2" xfId="38274" xr:uid="{00000000-0005-0000-0000-0000E0950000}"/>
    <cellStyle name="Normal 62 2 2 2" xfId="38275" xr:uid="{00000000-0005-0000-0000-0000E1950000}"/>
    <cellStyle name="Normal 62 2 2 2 2" xfId="38276" xr:uid="{00000000-0005-0000-0000-0000E2950000}"/>
    <cellStyle name="Normal 62 2 2 3" xfId="38277" xr:uid="{00000000-0005-0000-0000-0000E3950000}"/>
    <cellStyle name="Normal 62 2 2 3 2" xfId="38278" xr:uid="{00000000-0005-0000-0000-0000E4950000}"/>
    <cellStyle name="Normal 62 2 2 3 2 2" xfId="38279" xr:uid="{00000000-0005-0000-0000-0000E5950000}"/>
    <cellStyle name="Normal 62 2 2 3 3" xfId="38280" xr:uid="{00000000-0005-0000-0000-0000E6950000}"/>
    <cellStyle name="Normal 62 2 2 4" xfId="38281" xr:uid="{00000000-0005-0000-0000-0000E7950000}"/>
    <cellStyle name="Normal 62 2 2 4 2" xfId="38282" xr:uid="{00000000-0005-0000-0000-0000E8950000}"/>
    <cellStyle name="Normal 62 2 2 4 2 2" xfId="38283" xr:uid="{00000000-0005-0000-0000-0000E9950000}"/>
    <cellStyle name="Normal 62 2 2 4 3" xfId="38284" xr:uid="{00000000-0005-0000-0000-0000EA950000}"/>
    <cellStyle name="Normal 62 2 2 5" xfId="38285" xr:uid="{00000000-0005-0000-0000-0000EB950000}"/>
    <cellStyle name="Normal 62 2 3" xfId="38286" xr:uid="{00000000-0005-0000-0000-0000EC950000}"/>
    <cellStyle name="Normal 62 2 3 2" xfId="38287" xr:uid="{00000000-0005-0000-0000-0000ED950000}"/>
    <cellStyle name="Normal 62 2 3 2 2" xfId="38288" xr:uid="{00000000-0005-0000-0000-0000EE950000}"/>
    <cellStyle name="Normal 62 2 3 3" xfId="38289" xr:uid="{00000000-0005-0000-0000-0000EF950000}"/>
    <cellStyle name="Normal 62 2 4" xfId="38290" xr:uid="{00000000-0005-0000-0000-0000F0950000}"/>
    <cellStyle name="Normal 62 2 4 2" xfId="38291" xr:uid="{00000000-0005-0000-0000-0000F1950000}"/>
    <cellStyle name="Normal 62 2 4 2 2" xfId="38292" xr:uid="{00000000-0005-0000-0000-0000F2950000}"/>
    <cellStyle name="Normal 62 2 4 3" xfId="38293" xr:uid="{00000000-0005-0000-0000-0000F3950000}"/>
    <cellStyle name="Normal 62 2 5" xfId="38294" xr:uid="{00000000-0005-0000-0000-0000F4950000}"/>
    <cellStyle name="Normal 62 2 5 2" xfId="38295" xr:uid="{00000000-0005-0000-0000-0000F5950000}"/>
    <cellStyle name="Normal 62 2 5 2 2" xfId="38296" xr:uid="{00000000-0005-0000-0000-0000F6950000}"/>
    <cellStyle name="Normal 62 2 5 3" xfId="38297" xr:uid="{00000000-0005-0000-0000-0000F7950000}"/>
    <cellStyle name="Normal 62 2 6" xfId="38298" xr:uid="{00000000-0005-0000-0000-0000F8950000}"/>
    <cellStyle name="Normal 62 3" xfId="38299" xr:uid="{00000000-0005-0000-0000-0000F9950000}"/>
    <cellStyle name="Normal 62 3 2" xfId="38300" xr:uid="{00000000-0005-0000-0000-0000FA950000}"/>
    <cellStyle name="Normal 62 3 2 2" xfId="38301" xr:uid="{00000000-0005-0000-0000-0000FB950000}"/>
    <cellStyle name="Normal 62 3 3" xfId="38302" xr:uid="{00000000-0005-0000-0000-0000FC950000}"/>
    <cellStyle name="Normal 62 3 3 2" xfId="38303" xr:uid="{00000000-0005-0000-0000-0000FD950000}"/>
    <cellStyle name="Normal 62 3 3 2 2" xfId="38304" xr:uid="{00000000-0005-0000-0000-0000FE950000}"/>
    <cellStyle name="Normal 62 3 3 3" xfId="38305" xr:uid="{00000000-0005-0000-0000-0000FF950000}"/>
    <cellStyle name="Normal 62 3 4" xfId="38306" xr:uid="{00000000-0005-0000-0000-000000960000}"/>
    <cellStyle name="Normal 62 3 4 2" xfId="38307" xr:uid="{00000000-0005-0000-0000-000001960000}"/>
    <cellStyle name="Normal 62 3 4 2 2" xfId="38308" xr:uid="{00000000-0005-0000-0000-000002960000}"/>
    <cellStyle name="Normal 62 3 4 3" xfId="38309" xr:uid="{00000000-0005-0000-0000-000003960000}"/>
    <cellStyle name="Normal 62 3 5" xfId="38310" xr:uid="{00000000-0005-0000-0000-000004960000}"/>
    <cellStyle name="Normal 62 4" xfId="38311" xr:uid="{00000000-0005-0000-0000-000005960000}"/>
    <cellStyle name="Normal 62 4 2" xfId="38312" xr:uid="{00000000-0005-0000-0000-000006960000}"/>
    <cellStyle name="Normal 62 4 2 2" xfId="38313" xr:uid="{00000000-0005-0000-0000-000007960000}"/>
    <cellStyle name="Normal 62 4 3" xfId="38314" xr:uid="{00000000-0005-0000-0000-000008960000}"/>
    <cellStyle name="Normal 62 5" xfId="38315" xr:uid="{00000000-0005-0000-0000-000009960000}"/>
    <cellStyle name="Normal 62 5 2" xfId="38316" xr:uid="{00000000-0005-0000-0000-00000A960000}"/>
    <cellStyle name="Normal 62 5 2 2" xfId="38317" xr:uid="{00000000-0005-0000-0000-00000B960000}"/>
    <cellStyle name="Normal 62 5 3" xfId="38318" xr:uid="{00000000-0005-0000-0000-00000C960000}"/>
    <cellStyle name="Normal 62 6" xfId="38319" xr:uid="{00000000-0005-0000-0000-00000D960000}"/>
    <cellStyle name="Normal 62 6 2" xfId="38320" xr:uid="{00000000-0005-0000-0000-00000E960000}"/>
    <cellStyle name="Normal 62 6 2 2" xfId="38321" xr:uid="{00000000-0005-0000-0000-00000F960000}"/>
    <cellStyle name="Normal 62 6 3" xfId="38322" xr:uid="{00000000-0005-0000-0000-000010960000}"/>
    <cellStyle name="Normal 62 7" xfId="38323" xr:uid="{00000000-0005-0000-0000-000011960000}"/>
    <cellStyle name="Normal 620" xfId="38324" xr:uid="{00000000-0005-0000-0000-000012960000}"/>
    <cellStyle name="Normal 620 2" xfId="38325" xr:uid="{00000000-0005-0000-0000-000013960000}"/>
    <cellStyle name="Normal 621" xfId="38326" xr:uid="{00000000-0005-0000-0000-000014960000}"/>
    <cellStyle name="Normal 621 2" xfId="38327" xr:uid="{00000000-0005-0000-0000-000015960000}"/>
    <cellStyle name="Normal 621 2 2" xfId="38328" xr:uid="{00000000-0005-0000-0000-000016960000}"/>
    <cellStyle name="Normal 621 3" xfId="38329" xr:uid="{00000000-0005-0000-0000-000017960000}"/>
    <cellStyle name="Normal 622" xfId="38330" xr:uid="{00000000-0005-0000-0000-000018960000}"/>
    <cellStyle name="Normal 622 2" xfId="38331" xr:uid="{00000000-0005-0000-0000-000019960000}"/>
    <cellStyle name="Normal 623" xfId="38332" xr:uid="{00000000-0005-0000-0000-00001A960000}"/>
    <cellStyle name="Normal 623 2" xfId="38333" xr:uid="{00000000-0005-0000-0000-00001B960000}"/>
    <cellStyle name="Normal 623 2 2" xfId="38334" xr:uid="{00000000-0005-0000-0000-00001C960000}"/>
    <cellStyle name="Normal 623 3" xfId="38335" xr:uid="{00000000-0005-0000-0000-00001D960000}"/>
    <cellStyle name="Normal 624" xfId="38336" xr:uid="{00000000-0005-0000-0000-00001E960000}"/>
    <cellStyle name="Normal 624 2" xfId="38337" xr:uid="{00000000-0005-0000-0000-00001F960000}"/>
    <cellStyle name="Normal 624 2 2" xfId="38338" xr:uid="{00000000-0005-0000-0000-000020960000}"/>
    <cellStyle name="Normal 624 3" xfId="38339" xr:uid="{00000000-0005-0000-0000-000021960000}"/>
    <cellStyle name="Normal 625" xfId="38340" xr:uid="{00000000-0005-0000-0000-000022960000}"/>
    <cellStyle name="Normal 625 2" xfId="38341" xr:uid="{00000000-0005-0000-0000-000023960000}"/>
    <cellStyle name="Normal 625 2 2" xfId="38342" xr:uid="{00000000-0005-0000-0000-000024960000}"/>
    <cellStyle name="Normal 625 3" xfId="38343" xr:uid="{00000000-0005-0000-0000-000025960000}"/>
    <cellStyle name="Normal 626" xfId="38344" xr:uid="{00000000-0005-0000-0000-000026960000}"/>
    <cellStyle name="Normal 626 2" xfId="38345" xr:uid="{00000000-0005-0000-0000-000027960000}"/>
    <cellStyle name="Normal 626 2 2" xfId="38346" xr:uid="{00000000-0005-0000-0000-000028960000}"/>
    <cellStyle name="Normal 626 3" xfId="38347" xr:uid="{00000000-0005-0000-0000-000029960000}"/>
    <cellStyle name="Normal 627" xfId="38348" xr:uid="{00000000-0005-0000-0000-00002A960000}"/>
    <cellStyle name="Normal 627 2" xfId="38349" xr:uid="{00000000-0005-0000-0000-00002B960000}"/>
    <cellStyle name="Normal 627 2 2" xfId="38350" xr:uid="{00000000-0005-0000-0000-00002C960000}"/>
    <cellStyle name="Normal 627 3" xfId="38351" xr:uid="{00000000-0005-0000-0000-00002D960000}"/>
    <cellStyle name="Normal 628" xfId="38352" xr:uid="{00000000-0005-0000-0000-00002E960000}"/>
    <cellStyle name="Normal 628 2" xfId="38353" xr:uid="{00000000-0005-0000-0000-00002F960000}"/>
    <cellStyle name="Normal 629" xfId="38354" xr:uid="{00000000-0005-0000-0000-000030960000}"/>
    <cellStyle name="Normal 629 2" xfId="38355" xr:uid="{00000000-0005-0000-0000-000031960000}"/>
    <cellStyle name="Normal 63" xfId="38356" xr:uid="{00000000-0005-0000-0000-000032960000}"/>
    <cellStyle name="Normal 63 2" xfId="38357" xr:uid="{00000000-0005-0000-0000-000033960000}"/>
    <cellStyle name="Normal 63 2 2" xfId="38358" xr:uid="{00000000-0005-0000-0000-000034960000}"/>
    <cellStyle name="Normal 63 2 2 2" xfId="38359" xr:uid="{00000000-0005-0000-0000-000035960000}"/>
    <cellStyle name="Normal 63 2 2 2 2" xfId="38360" xr:uid="{00000000-0005-0000-0000-000036960000}"/>
    <cellStyle name="Normal 63 2 2 3" xfId="38361" xr:uid="{00000000-0005-0000-0000-000037960000}"/>
    <cellStyle name="Normal 63 2 2 3 2" xfId="38362" xr:uid="{00000000-0005-0000-0000-000038960000}"/>
    <cellStyle name="Normal 63 2 2 3 2 2" xfId="38363" xr:uid="{00000000-0005-0000-0000-000039960000}"/>
    <cellStyle name="Normal 63 2 2 3 3" xfId="38364" xr:uid="{00000000-0005-0000-0000-00003A960000}"/>
    <cellStyle name="Normal 63 2 2 4" xfId="38365" xr:uid="{00000000-0005-0000-0000-00003B960000}"/>
    <cellStyle name="Normal 63 2 2 4 2" xfId="38366" xr:uid="{00000000-0005-0000-0000-00003C960000}"/>
    <cellStyle name="Normal 63 2 2 4 2 2" xfId="38367" xr:uid="{00000000-0005-0000-0000-00003D960000}"/>
    <cellStyle name="Normal 63 2 2 4 3" xfId="38368" xr:uid="{00000000-0005-0000-0000-00003E960000}"/>
    <cellStyle name="Normal 63 2 2 5" xfId="38369" xr:uid="{00000000-0005-0000-0000-00003F960000}"/>
    <cellStyle name="Normal 63 2 3" xfId="38370" xr:uid="{00000000-0005-0000-0000-000040960000}"/>
    <cellStyle name="Normal 63 2 3 2" xfId="38371" xr:uid="{00000000-0005-0000-0000-000041960000}"/>
    <cellStyle name="Normal 63 2 3 2 2" xfId="38372" xr:uid="{00000000-0005-0000-0000-000042960000}"/>
    <cellStyle name="Normal 63 2 3 3" xfId="38373" xr:uid="{00000000-0005-0000-0000-000043960000}"/>
    <cellStyle name="Normal 63 2 4" xfId="38374" xr:uid="{00000000-0005-0000-0000-000044960000}"/>
    <cellStyle name="Normal 63 2 4 2" xfId="38375" xr:uid="{00000000-0005-0000-0000-000045960000}"/>
    <cellStyle name="Normal 63 2 4 2 2" xfId="38376" xr:uid="{00000000-0005-0000-0000-000046960000}"/>
    <cellStyle name="Normal 63 2 4 3" xfId="38377" xr:uid="{00000000-0005-0000-0000-000047960000}"/>
    <cellStyle name="Normal 63 2 5" xfId="38378" xr:uid="{00000000-0005-0000-0000-000048960000}"/>
    <cellStyle name="Normal 63 2 5 2" xfId="38379" xr:uid="{00000000-0005-0000-0000-000049960000}"/>
    <cellStyle name="Normal 63 2 5 2 2" xfId="38380" xr:uid="{00000000-0005-0000-0000-00004A960000}"/>
    <cellStyle name="Normal 63 2 5 3" xfId="38381" xr:uid="{00000000-0005-0000-0000-00004B960000}"/>
    <cellStyle name="Normal 63 2 6" xfId="38382" xr:uid="{00000000-0005-0000-0000-00004C960000}"/>
    <cellStyle name="Normal 63 3" xfId="38383" xr:uid="{00000000-0005-0000-0000-00004D960000}"/>
    <cellStyle name="Normal 63 3 2" xfId="38384" xr:uid="{00000000-0005-0000-0000-00004E960000}"/>
    <cellStyle name="Normal 63 3 2 2" xfId="38385" xr:uid="{00000000-0005-0000-0000-00004F960000}"/>
    <cellStyle name="Normal 63 3 3" xfId="38386" xr:uid="{00000000-0005-0000-0000-000050960000}"/>
    <cellStyle name="Normal 63 3 3 2" xfId="38387" xr:uid="{00000000-0005-0000-0000-000051960000}"/>
    <cellStyle name="Normal 63 3 3 2 2" xfId="38388" xr:uid="{00000000-0005-0000-0000-000052960000}"/>
    <cellStyle name="Normal 63 3 3 3" xfId="38389" xr:uid="{00000000-0005-0000-0000-000053960000}"/>
    <cellStyle name="Normal 63 3 4" xfId="38390" xr:uid="{00000000-0005-0000-0000-000054960000}"/>
    <cellStyle name="Normal 63 3 4 2" xfId="38391" xr:uid="{00000000-0005-0000-0000-000055960000}"/>
    <cellStyle name="Normal 63 3 4 2 2" xfId="38392" xr:uid="{00000000-0005-0000-0000-000056960000}"/>
    <cellStyle name="Normal 63 3 4 3" xfId="38393" xr:uid="{00000000-0005-0000-0000-000057960000}"/>
    <cellStyle name="Normal 63 3 5" xfId="38394" xr:uid="{00000000-0005-0000-0000-000058960000}"/>
    <cellStyle name="Normal 63 4" xfId="38395" xr:uid="{00000000-0005-0000-0000-000059960000}"/>
    <cellStyle name="Normal 63 4 2" xfId="38396" xr:uid="{00000000-0005-0000-0000-00005A960000}"/>
    <cellStyle name="Normal 63 4 2 2" xfId="38397" xr:uid="{00000000-0005-0000-0000-00005B960000}"/>
    <cellStyle name="Normal 63 4 3" xfId="38398" xr:uid="{00000000-0005-0000-0000-00005C960000}"/>
    <cellStyle name="Normal 63 5" xfId="38399" xr:uid="{00000000-0005-0000-0000-00005D960000}"/>
    <cellStyle name="Normal 63 5 2" xfId="38400" xr:uid="{00000000-0005-0000-0000-00005E960000}"/>
    <cellStyle name="Normal 63 5 2 2" xfId="38401" xr:uid="{00000000-0005-0000-0000-00005F960000}"/>
    <cellStyle name="Normal 63 5 3" xfId="38402" xr:uid="{00000000-0005-0000-0000-000060960000}"/>
    <cellStyle name="Normal 63 6" xfId="38403" xr:uid="{00000000-0005-0000-0000-000061960000}"/>
    <cellStyle name="Normal 63 6 2" xfId="38404" xr:uid="{00000000-0005-0000-0000-000062960000}"/>
    <cellStyle name="Normal 63 6 2 2" xfId="38405" xr:uid="{00000000-0005-0000-0000-000063960000}"/>
    <cellStyle name="Normal 63 6 3" xfId="38406" xr:uid="{00000000-0005-0000-0000-000064960000}"/>
    <cellStyle name="Normal 63 7" xfId="38407" xr:uid="{00000000-0005-0000-0000-000065960000}"/>
    <cellStyle name="Normal 630" xfId="38408" xr:uid="{00000000-0005-0000-0000-000066960000}"/>
    <cellStyle name="Normal 630 2" xfId="38409" xr:uid="{00000000-0005-0000-0000-000067960000}"/>
    <cellStyle name="Normal 631" xfId="38410" xr:uid="{00000000-0005-0000-0000-000068960000}"/>
    <cellStyle name="Normal 631 2" xfId="38411" xr:uid="{00000000-0005-0000-0000-000069960000}"/>
    <cellStyle name="Normal 632" xfId="38412" xr:uid="{00000000-0005-0000-0000-00006A960000}"/>
    <cellStyle name="Normal 632 2" xfId="38413" xr:uid="{00000000-0005-0000-0000-00006B960000}"/>
    <cellStyle name="Normal 633" xfId="38414" xr:uid="{00000000-0005-0000-0000-00006C960000}"/>
    <cellStyle name="Normal 633 2" xfId="38415" xr:uid="{00000000-0005-0000-0000-00006D960000}"/>
    <cellStyle name="Normal 634" xfId="38416" xr:uid="{00000000-0005-0000-0000-00006E960000}"/>
    <cellStyle name="Normal 634 2" xfId="38417" xr:uid="{00000000-0005-0000-0000-00006F960000}"/>
    <cellStyle name="Normal 635" xfId="38418" xr:uid="{00000000-0005-0000-0000-000070960000}"/>
    <cellStyle name="Normal 635 2" xfId="38419" xr:uid="{00000000-0005-0000-0000-000071960000}"/>
    <cellStyle name="Normal 636" xfId="38420" xr:uid="{00000000-0005-0000-0000-000072960000}"/>
    <cellStyle name="Normal 636 2" xfId="38421" xr:uid="{00000000-0005-0000-0000-000073960000}"/>
    <cellStyle name="Normal 637" xfId="38422" xr:uid="{00000000-0005-0000-0000-000074960000}"/>
    <cellStyle name="Normal 638" xfId="38423" xr:uid="{00000000-0005-0000-0000-000075960000}"/>
    <cellStyle name="Normal 639" xfId="38424" xr:uid="{00000000-0005-0000-0000-000076960000}"/>
    <cellStyle name="Normal 64" xfId="38425" xr:uid="{00000000-0005-0000-0000-000077960000}"/>
    <cellStyle name="Normal 64 2" xfId="38426" xr:uid="{00000000-0005-0000-0000-000078960000}"/>
    <cellStyle name="Normal 64 2 2" xfId="38427" xr:uid="{00000000-0005-0000-0000-000079960000}"/>
    <cellStyle name="Normal 64 2 2 2" xfId="38428" xr:uid="{00000000-0005-0000-0000-00007A960000}"/>
    <cellStyle name="Normal 64 2 2 2 2" xfId="38429" xr:uid="{00000000-0005-0000-0000-00007B960000}"/>
    <cellStyle name="Normal 64 2 2 3" xfId="38430" xr:uid="{00000000-0005-0000-0000-00007C960000}"/>
    <cellStyle name="Normal 64 2 2 3 2" xfId="38431" xr:uid="{00000000-0005-0000-0000-00007D960000}"/>
    <cellStyle name="Normal 64 2 2 3 2 2" xfId="38432" xr:uid="{00000000-0005-0000-0000-00007E960000}"/>
    <cellStyle name="Normal 64 2 2 3 3" xfId="38433" xr:uid="{00000000-0005-0000-0000-00007F960000}"/>
    <cellStyle name="Normal 64 2 2 4" xfId="38434" xr:uid="{00000000-0005-0000-0000-000080960000}"/>
    <cellStyle name="Normal 64 2 2 4 2" xfId="38435" xr:uid="{00000000-0005-0000-0000-000081960000}"/>
    <cellStyle name="Normal 64 2 2 4 2 2" xfId="38436" xr:uid="{00000000-0005-0000-0000-000082960000}"/>
    <cellStyle name="Normal 64 2 2 4 3" xfId="38437" xr:uid="{00000000-0005-0000-0000-000083960000}"/>
    <cellStyle name="Normal 64 2 2 5" xfId="38438" xr:uid="{00000000-0005-0000-0000-000084960000}"/>
    <cellStyle name="Normal 64 2 3" xfId="38439" xr:uid="{00000000-0005-0000-0000-000085960000}"/>
    <cellStyle name="Normal 64 2 3 2" xfId="38440" xr:uid="{00000000-0005-0000-0000-000086960000}"/>
    <cellStyle name="Normal 64 2 3 2 2" xfId="38441" xr:uid="{00000000-0005-0000-0000-000087960000}"/>
    <cellStyle name="Normal 64 2 3 3" xfId="38442" xr:uid="{00000000-0005-0000-0000-000088960000}"/>
    <cellStyle name="Normal 64 2 4" xfId="38443" xr:uid="{00000000-0005-0000-0000-000089960000}"/>
    <cellStyle name="Normal 64 2 4 2" xfId="38444" xr:uid="{00000000-0005-0000-0000-00008A960000}"/>
    <cellStyle name="Normal 64 2 4 2 2" xfId="38445" xr:uid="{00000000-0005-0000-0000-00008B960000}"/>
    <cellStyle name="Normal 64 2 4 3" xfId="38446" xr:uid="{00000000-0005-0000-0000-00008C960000}"/>
    <cellStyle name="Normal 64 2 5" xfId="38447" xr:uid="{00000000-0005-0000-0000-00008D960000}"/>
    <cellStyle name="Normal 64 2 5 2" xfId="38448" xr:uid="{00000000-0005-0000-0000-00008E960000}"/>
    <cellStyle name="Normal 64 2 5 2 2" xfId="38449" xr:uid="{00000000-0005-0000-0000-00008F960000}"/>
    <cellStyle name="Normal 64 2 5 3" xfId="38450" xr:uid="{00000000-0005-0000-0000-000090960000}"/>
    <cellStyle name="Normal 64 2 6" xfId="38451" xr:uid="{00000000-0005-0000-0000-000091960000}"/>
    <cellStyle name="Normal 64 3" xfId="38452" xr:uid="{00000000-0005-0000-0000-000092960000}"/>
    <cellStyle name="Normal 64 3 2" xfId="38453" xr:uid="{00000000-0005-0000-0000-000093960000}"/>
    <cellStyle name="Normal 64 3 2 2" xfId="38454" xr:uid="{00000000-0005-0000-0000-000094960000}"/>
    <cellStyle name="Normal 64 3 3" xfId="38455" xr:uid="{00000000-0005-0000-0000-000095960000}"/>
    <cellStyle name="Normal 64 3 3 2" xfId="38456" xr:uid="{00000000-0005-0000-0000-000096960000}"/>
    <cellStyle name="Normal 64 3 3 2 2" xfId="38457" xr:uid="{00000000-0005-0000-0000-000097960000}"/>
    <cellStyle name="Normal 64 3 3 3" xfId="38458" xr:uid="{00000000-0005-0000-0000-000098960000}"/>
    <cellStyle name="Normal 64 3 4" xfId="38459" xr:uid="{00000000-0005-0000-0000-000099960000}"/>
    <cellStyle name="Normal 64 3 4 2" xfId="38460" xr:uid="{00000000-0005-0000-0000-00009A960000}"/>
    <cellStyle name="Normal 64 3 4 2 2" xfId="38461" xr:uid="{00000000-0005-0000-0000-00009B960000}"/>
    <cellStyle name="Normal 64 3 4 3" xfId="38462" xr:uid="{00000000-0005-0000-0000-00009C960000}"/>
    <cellStyle name="Normal 64 3 5" xfId="38463" xr:uid="{00000000-0005-0000-0000-00009D960000}"/>
    <cellStyle name="Normal 64 4" xfId="38464" xr:uid="{00000000-0005-0000-0000-00009E960000}"/>
    <cellStyle name="Normal 64 4 2" xfId="38465" xr:uid="{00000000-0005-0000-0000-00009F960000}"/>
    <cellStyle name="Normal 64 4 2 2" xfId="38466" xr:uid="{00000000-0005-0000-0000-0000A0960000}"/>
    <cellStyle name="Normal 64 4 3" xfId="38467" xr:uid="{00000000-0005-0000-0000-0000A1960000}"/>
    <cellStyle name="Normal 64 5" xfId="38468" xr:uid="{00000000-0005-0000-0000-0000A2960000}"/>
    <cellStyle name="Normal 64 5 2" xfId="38469" xr:uid="{00000000-0005-0000-0000-0000A3960000}"/>
    <cellStyle name="Normal 64 5 2 2" xfId="38470" xr:uid="{00000000-0005-0000-0000-0000A4960000}"/>
    <cellStyle name="Normal 64 5 3" xfId="38471" xr:uid="{00000000-0005-0000-0000-0000A5960000}"/>
    <cellStyle name="Normal 64 6" xfId="38472" xr:uid="{00000000-0005-0000-0000-0000A6960000}"/>
    <cellStyle name="Normal 64 6 2" xfId="38473" xr:uid="{00000000-0005-0000-0000-0000A7960000}"/>
    <cellStyle name="Normal 64 6 2 2" xfId="38474" xr:uid="{00000000-0005-0000-0000-0000A8960000}"/>
    <cellStyle name="Normal 64 6 3" xfId="38475" xr:uid="{00000000-0005-0000-0000-0000A9960000}"/>
    <cellStyle name="Normal 64 7" xfId="38476" xr:uid="{00000000-0005-0000-0000-0000AA960000}"/>
    <cellStyle name="Normal 640" xfId="38477" xr:uid="{00000000-0005-0000-0000-0000AB960000}"/>
    <cellStyle name="Normal 641" xfId="38478" xr:uid="{00000000-0005-0000-0000-0000AC960000}"/>
    <cellStyle name="Normal 642" xfId="38479" xr:uid="{00000000-0005-0000-0000-0000AD960000}"/>
    <cellStyle name="Normal 643" xfId="38480" xr:uid="{00000000-0005-0000-0000-0000AE960000}"/>
    <cellStyle name="Normal 644" xfId="38481" xr:uid="{00000000-0005-0000-0000-0000AF960000}"/>
    <cellStyle name="Normal 645" xfId="38482" xr:uid="{00000000-0005-0000-0000-0000B0960000}"/>
    <cellStyle name="Normal 646" xfId="38483" xr:uid="{00000000-0005-0000-0000-0000B1960000}"/>
    <cellStyle name="Normal 647" xfId="38484" xr:uid="{00000000-0005-0000-0000-0000B2960000}"/>
    <cellStyle name="Normal 648" xfId="38485" xr:uid="{00000000-0005-0000-0000-0000B3960000}"/>
    <cellStyle name="Normal 649" xfId="38486" xr:uid="{00000000-0005-0000-0000-0000B4960000}"/>
    <cellStyle name="Normal 65" xfId="38487" xr:uid="{00000000-0005-0000-0000-0000B5960000}"/>
    <cellStyle name="Normal 65 2" xfId="38488" xr:uid="{00000000-0005-0000-0000-0000B6960000}"/>
    <cellStyle name="Normal 65 2 2" xfId="38489" xr:uid="{00000000-0005-0000-0000-0000B7960000}"/>
    <cellStyle name="Normal 65 2 2 2" xfId="38490" xr:uid="{00000000-0005-0000-0000-0000B8960000}"/>
    <cellStyle name="Normal 65 2 2 2 2" xfId="38491" xr:uid="{00000000-0005-0000-0000-0000B9960000}"/>
    <cellStyle name="Normal 65 2 2 3" xfId="38492" xr:uid="{00000000-0005-0000-0000-0000BA960000}"/>
    <cellStyle name="Normal 65 2 2 3 2" xfId="38493" xr:uid="{00000000-0005-0000-0000-0000BB960000}"/>
    <cellStyle name="Normal 65 2 2 3 2 2" xfId="38494" xr:uid="{00000000-0005-0000-0000-0000BC960000}"/>
    <cellStyle name="Normal 65 2 2 3 3" xfId="38495" xr:uid="{00000000-0005-0000-0000-0000BD960000}"/>
    <cellStyle name="Normal 65 2 2 4" xfId="38496" xr:uid="{00000000-0005-0000-0000-0000BE960000}"/>
    <cellStyle name="Normal 65 2 2 4 2" xfId="38497" xr:uid="{00000000-0005-0000-0000-0000BF960000}"/>
    <cellStyle name="Normal 65 2 2 4 2 2" xfId="38498" xr:uid="{00000000-0005-0000-0000-0000C0960000}"/>
    <cellStyle name="Normal 65 2 2 4 3" xfId="38499" xr:uid="{00000000-0005-0000-0000-0000C1960000}"/>
    <cellStyle name="Normal 65 2 2 5" xfId="38500" xr:uid="{00000000-0005-0000-0000-0000C2960000}"/>
    <cellStyle name="Normal 65 2 3" xfId="38501" xr:uid="{00000000-0005-0000-0000-0000C3960000}"/>
    <cellStyle name="Normal 65 2 3 2" xfId="38502" xr:uid="{00000000-0005-0000-0000-0000C4960000}"/>
    <cellStyle name="Normal 65 2 3 2 2" xfId="38503" xr:uid="{00000000-0005-0000-0000-0000C5960000}"/>
    <cellStyle name="Normal 65 2 3 3" xfId="38504" xr:uid="{00000000-0005-0000-0000-0000C6960000}"/>
    <cellStyle name="Normal 65 2 4" xfId="38505" xr:uid="{00000000-0005-0000-0000-0000C7960000}"/>
    <cellStyle name="Normal 65 2 4 2" xfId="38506" xr:uid="{00000000-0005-0000-0000-0000C8960000}"/>
    <cellStyle name="Normal 65 2 4 2 2" xfId="38507" xr:uid="{00000000-0005-0000-0000-0000C9960000}"/>
    <cellStyle name="Normal 65 2 4 3" xfId="38508" xr:uid="{00000000-0005-0000-0000-0000CA960000}"/>
    <cellStyle name="Normal 65 2 5" xfId="38509" xr:uid="{00000000-0005-0000-0000-0000CB960000}"/>
    <cellStyle name="Normal 65 2 5 2" xfId="38510" xr:uid="{00000000-0005-0000-0000-0000CC960000}"/>
    <cellStyle name="Normal 65 2 5 2 2" xfId="38511" xr:uid="{00000000-0005-0000-0000-0000CD960000}"/>
    <cellStyle name="Normal 65 2 5 3" xfId="38512" xr:uid="{00000000-0005-0000-0000-0000CE960000}"/>
    <cellStyle name="Normal 65 2 6" xfId="38513" xr:uid="{00000000-0005-0000-0000-0000CF960000}"/>
    <cellStyle name="Normal 65 3" xfId="38514" xr:uid="{00000000-0005-0000-0000-0000D0960000}"/>
    <cellStyle name="Normal 65 3 2" xfId="38515" xr:uid="{00000000-0005-0000-0000-0000D1960000}"/>
    <cellStyle name="Normal 65 3 2 2" xfId="38516" xr:uid="{00000000-0005-0000-0000-0000D2960000}"/>
    <cellStyle name="Normal 65 3 3" xfId="38517" xr:uid="{00000000-0005-0000-0000-0000D3960000}"/>
    <cellStyle name="Normal 65 3 3 2" xfId="38518" xr:uid="{00000000-0005-0000-0000-0000D4960000}"/>
    <cellStyle name="Normal 65 3 3 2 2" xfId="38519" xr:uid="{00000000-0005-0000-0000-0000D5960000}"/>
    <cellStyle name="Normal 65 3 3 3" xfId="38520" xr:uid="{00000000-0005-0000-0000-0000D6960000}"/>
    <cellStyle name="Normal 65 3 4" xfId="38521" xr:uid="{00000000-0005-0000-0000-0000D7960000}"/>
    <cellStyle name="Normal 65 3 4 2" xfId="38522" xr:uid="{00000000-0005-0000-0000-0000D8960000}"/>
    <cellStyle name="Normal 65 3 4 2 2" xfId="38523" xr:uid="{00000000-0005-0000-0000-0000D9960000}"/>
    <cellStyle name="Normal 65 3 4 3" xfId="38524" xr:uid="{00000000-0005-0000-0000-0000DA960000}"/>
    <cellStyle name="Normal 65 3 5" xfId="38525" xr:uid="{00000000-0005-0000-0000-0000DB960000}"/>
    <cellStyle name="Normal 65 4" xfId="38526" xr:uid="{00000000-0005-0000-0000-0000DC960000}"/>
    <cellStyle name="Normal 65 4 2" xfId="38527" xr:uid="{00000000-0005-0000-0000-0000DD960000}"/>
    <cellStyle name="Normal 65 4 2 2" xfId="38528" xr:uid="{00000000-0005-0000-0000-0000DE960000}"/>
    <cellStyle name="Normal 65 4 3" xfId="38529" xr:uid="{00000000-0005-0000-0000-0000DF960000}"/>
    <cellStyle name="Normal 65 5" xfId="38530" xr:uid="{00000000-0005-0000-0000-0000E0960000}"/>
    <cellStyle name="Normal 65 5 2" xfId="38531" xr:uid="{00000000-0005-0000-0000-0000E1960000}"/>
    <cellStyle name="Normal 65 5 2 2" xfId="38532" xr:uid="{00000000-0005-0000-0000-0000E2960000}"/>
    <cellStyle name="Normal 65 5 3" xfId="38533" xr:uid="{00000000-0005-0000-0000-0000E3960000}"/>
    <cellStyle name="Normal 65 6" xfId="38534" xr:uid="{00000000-0005-0000-0000-0000E4960000}"/>
    <cellStyle name="Normal 65 6 2" xfId="38535" xr:uid="{00000000-0005-0000-0000-0000E5960000}"/>
    <cellStyle name="Normal 65 6 2 2" xfId="38536" xr:uid="{00000000-0005-0000-0000-0000E6960000}"/>
    <cellStyle name="Normal 65 6 3" xfId="38537" xr:uid="{00000000-0005-0000-0000-0000E7960000}"/>
    <cellStyle name="Normal 65 7" xfId="38538" xr:uid="{00000000-0005-0000-0000-0000E8960000}"/>
    <cellStyle name="Normal 650" xfId="38539" xr:uid="{00000000-0005-0000-0000-0000E9960000}"/>
    <cellStyle name="Normal 651" xfId="38540" xr:uid="{00000000-0005-0000-0000-0000EA960000}"/>
    <cellStyle name="Normal 652" xfId="38541" xr:uid="{00000000-0005-0000-0000-0000EB960000}"/>
    <cellStyle name="Normal 653" xfId="38542" xr:uid="{00000000-0005-0000-0000-0000EC960000}"/>
    <cellStyle name="Normal 654" xfId="38543" xr:uid="{00000000-0005-0000-0000-0000ED960000}"/>
    <cellStyle name="Normal 655" xfId="38544" xr:uid="{00000000-0005-0000-0000-0000EE960000}"/>
    <cellStyle name="Normal 656" xfId="38545" xr:uid="{00000000-0005-0000-0000-0000EF960000}"/>
    <cellStyle name="Normal 657" xfId="38546" xr:uid="{00000000-0005-0000-0000-0000F0960000}"/>
    <cellStyle name="Normal 658" xfId="38547" xr:uid="{00000000-0005-0000-0000-0000F1960000}"/>
    <cellStyle name="Normal 659" xfId="38548" xr:uid="{00000000-0005-0000-0000-0000F2960000}"/>
    <cellStyle name="Normal 66" xfId="38549" xr:uid="{00000000-0005-0000-0000-0000F3960000}"/>
    <cellStyle name="Normal 66 2" xfId="38550" xr:uid="{00000000-0005-0000-0000-0000F4960000}"/>
    <cellStyle name="Normal 66 2 2" xfId="38551" xr:uid="{00000000-0005-0000-0000-0000F5960000}"/>
    <cellStyle name="Normal 66 2 2 2" xfId="38552" xr:uid="{00000000-0005-0000-0000-0000F6960000}"/>
    <cellStyle name="Normal 66 2 2 2 2" xfId="38553" xr:uid="{00000000-0005-0000-0000-0000F7960000}"/>
    <cellStyle name="Normal 66 2 2 3" xfId="38554" xr:uid="{00000000-0005-0000-0000-0000F8960000}"/>
    <cellStyle name="Normal 66 2 2 3 2" xfId="38555" xr:uid="{00000000-0005-0000-0000-0000F9960000}"/>
    <cellStyle name="Normal 66 2 2 3 2 2" xfId="38556" xr:uid="{00000000-0005-0000-0000-0000FA960000}"/>
    <cellStyle name="Normal 66 2 2 3 3" xfId="38557" xr:uid="{00000000-0005-0000-0000-0000FB960000}"/>
    <cellStyle name="Normal 66 2 2 4" xfId="38558" xr:uid="{00000000-0005-0000-0000-0000FC960000}"/>
    <cellStyle name="Normal 66 2 2 4 2" xfId="38559" xr:uid="{00000000-0005-0000-0000-0000FD960000}"/>
    <cellStyle name="Normal 66 2 2 4 2 2" xfId="38560" xr:uid="{00000000-0005-0000-0000-0000FE960000}"/>
    <cellStyle name="Normal 66 2 2 4 3" xfId="38561" xr:uid="{00000000-0005-0000-0000-0000FF960000}"/>
    <cellStyle name="Normal 66 2 2 5" xfId="38562" xr:uid="{00000000-0005-0000-0000-000000970000}"/>
    <cellStyle name="Normal 66 2 3" xfId="38563" xr:uid="{00000000-0005-0000-0000-000001970000}"/>
    <cellStyle name="Normal 66 2 3 2" xfId="38564" xr:uid="{00000000-0005-0000-0000-000002970000}"/>
    <cellStyle name="Normal 66 2 3 2 2" xfId="38565" xr:uid="{00000000-0005-0000-0000-000003970000}"/>
    <cellStyle name="Normal 66 2 3 3" xfId="38566" xr:uid="{00000000-0005-0000-0000-000004970000}"/>
    <cellStyle name="Normal 66 2 4" xfId="38567" xr:uid="{00000000-0005-0000-0000-000005970000}"/>
    <cellStyle name="Normal 66 2 4 2" xfId="38568" xr:uid="{00000000-0005-0000-0000-000006970000}"/>
    <cellStyle name="Normal 66 2 4 2 2" xfId="38569" xr:uid="{00000000-0005-0000-0000-000007970000}"/>
    <cellStyle name="Normal 66 2 4 3" xfId="38570" xr:uid="{00000000-0005-0000-0000-000008970000}"/>
    <cellStyle name="Normal 66 2 5" xfId="38571" xr:uid="{00000000-0005-0000-0000-000009970000}"/>
    <cellStyle name="Normal 66 2 5 2" xfId="38572" xr:uid="{00000000-0005-0000-0000-00000A970000}"/>
    <cellStyle name="Normal 66 2 5 2 2" xfId="38573" xr:uid="{00000000-0005-0000-0000-00000B970000}"/>
    <cellStyle name="Normal 66 2 5 3" xfId="38574" xr:uid="{00000000-0005-0000-0000-00000C970000}"/>
    <cellStyle name="Normal 66 2 6" xfId="38575" xr:uid="{00000000-0005-0000-0000-00000D970000}"/>
    <cellStyle name="Normal 66 3" xfId="38576" xr:uid="{00000000-0005-0000-0000-00000E970000}"/>
    <cellStyle name="Normal 66 3 2" xfId="38577" xr:uid="{00000000-0005-0000-0000-00000F970000}"/>
    <cellStyle name="Normal 66 3 2 2" xfId="38578" xr:uid="{00000000-0005-0000-0000-000010970000}"/>
    <cellStyle name="Normal 66 3 3" xfId="38579" xr:uid="{00000000-0005-0000-0000-000011970000}"/>
    <cellStyle name="Normal 66 3 3 2" xfId="38580" xr:uid="{00000000-0005-0000-0000-000012970000}"/>
    <cellStyle name="Normal 66 3 3 2 2" xfId="38581" xr:uid="{00000000-0005-0000-0000-000013970000}"/>
    <cellStyle name="Normal 66 3 3 3" xfId="38582" xr:uid="{00000000-0005-0000-0000-000014970000}"/>
    <cellStyle name="Normal 66 3 4" xfId="38583" xr:uid="{00000000-0005-0000-0000-000015970000}"/>
    <cellStyle name="Normal 66 3 4 2" xfId="38584" xr:uid="{00000000-0005-0000-0000-000016970000}"/>
    <cellStyle name="Normal 66 3 4 2 2" xfId="38585" xr:uid="{00000000-0005-0000-0000-000017970000}"/>
    <cellStyle name="Normal 66 3 4 3" xfId="38586" xr:uid="{00000000-0005-0000-0000-000018970000}"/>
    <cellStyle name="Normal 66 3 5" xfId="38587" xr:uid="{00000000-0005-0000-0000-000019970000}"/>
    <cellStyle name="Normal 66 4" xfId="38588" xr:uid="{00000000-0005-0000-0000-00001A970000}"/>
    <cellStyle name="Normal 66 4 2" xfId="38589" xr:uid="{00000000-0005-0000-0000-00001B970000}"/>
    <cellStyle name="Normal 66 4 2 2" xfId="38590" xr:uid="{00000000-0005-0000-0000-00001C970000}"/>
    <cellStyle name="Normal 66 4 3" xfId="38591" xr:uid="{00000000-0005-0000-0000-00001D970000}"/>
    <cellStyle name="Normal 66 5" xfId="38592" xr:uid="{00000000-0005-0000-0000-00001E970000}"/>
    <cellStyle name="Normal 66 5 2" xfId="38593" xr:uid="{00000000-0005-0000-0000-00001F970000}"/>
    <cellStyle name="Normal 66 5 2 2" xfId="38594" xr:uid="{00000000-0005-0000-0000-000020970000}"/>
    <cellStyle name="Normal 66 5 3" xfId="38595" xr:uid="{00000000-0005-0000-0000-000021970000}"/>
    <cellStyle name="Normal 66 6" xfId="38596" xr:uid="{00000000-0005-0000-0000-000022970000}"/>
    <cellStyle name="Normal 66 6 2" xfId="38597" xr:uid="{00000000-0005-0000-0000-000023970000}"/>
    <cellStyle name="Normal 66 6 2 2" xfId="38598" xr:uid="{00000000-0005-0000-0000-000024970000}"/>
    <cellStyle name="Normal 66 6 3" xfId="38599" xr:uid="{00000000-0005-0000-0000-000025970000}"/>
    <cellStyle name="Normal 66 7" xfId="38600" xr:uid="{00000000-0005-0000-0000-000026970000}"/>
    <cellStyle name="Normal 660" xfId="38601" xr:uid="{00000000-0005-0000-0000-000027970000}"/>
    <cellStyle name="Normal 661" xfId="38602" xr:uid="{00000000-0005-0000-0000-000028970000}"/>
    <cellStyle name="Normal 662" xfId="38603" xr:uid="{00000000-0005-0000-0000-000029970000}"/>
    <cellStyle name="Normal 663" xfId="38604" xr:uid="{00000000-0005-0000-0000-00002A970000}"/>
    <cellStyle name="Normal 664" xfId="38605" xr:uid="{00000000-0005-0000-0000-00002B970000}"/>
    <cellStyle name="Normal 665" xfId="38606" xr:uid="{00000000-0005-0000-0000-00002C970000}"/>
    <cellStyle name="Normal 666" xfId="38607" xr:uid="{00000000-0005-0000-0000-00002D970000}"/>
    <cellStyle name="Normal 667" xfId="38608" xr:uid="{00000000-0005-0000-0000-00002E970000}"/>
    <cellStyle name="Normal 668" xfId="38609" xr:uid="{00000000-0005-0000-0000-00002F970000}"/>
    <cellStyle name="Normal 669" xfId="38610" xr:uid="{00000000-0005-0000-0000-000030970000}"/>
    <cellStyle name="Normal 67" xfId="38611" xr:uid="{00000000-0005-0000-0000-000031970000}"/>
    <cellStyle name="Normal 67 2" xfId="38612" xr:uid="{00000000-0005-0000-0000-000032970000}"/>
    <cellStyle name="Normal 67 2 2" xfId="38613" xr:uid="{00000000-0005-0000-0000-000033970000}"/>
    <cellStyle name="Normal 67 2 2 2" xfId="38614" xr:uid="{00000000-0005-0000-0000-000034970000}"/>
    <cellStyle name="Normal 67 2 2 2 2" xfId="38615" xr:uid="{00000000-0005-0000-0000-000035970000}"/>
    <cellStyle name="Normal 67 2 2 3" xfId="38616" xr:uid="{00000000-0005-0000-0000-000036970000}"/>
    <cellStyle name="Normal 67 2 2 3 2" xfId="38617" xr:uid="{00000000-0005-0000-0000-000037970000}"/>
    <cellStyle name="Normal 67 2 2 3 2 2" xfId="38618" xr:uid="{00000000-0005-0000-0000-000038970000}"/>
    <cellStyle name="Normal 67 2 2 3 3" xfId="38619" xr:uid="{00000000-0005-0000-0000-000039970000}"/>
    <cellStyle name="Normal 67 2 2 4" xfId="38620" xr:uid="{00000000-0005-0000-0000-00003A970000}"/>
    <cellStyle name="Normal 67 2 2 4 2" xfId="38621" xr:uid="{00000000-0005-0000-0000-00003B970000}"/>
    <cellStyle name="Normal 67 2 2 4 2 2" xfId="38622" xr:uid="{00000000-0005-0000-0000-00003C970000}"/>
    <cellStyle name="Normal 67 2 2 4 3" xfId="38623" xr:uid="{00000000-0005-0000-0000-00003D970000}"/>
    <cellStyle name="Normal 67 2 2 5" xfId="38624" xr:uid="{00000000-0005-0000-0000-00003E970000}"/>
    <cellStyle name="Normal 67 2 3" xfId="38625" xr:uid="{00000000-0005-0000-0000-00003F970000}"/>
    <cellStyle name="Normal 67 2 3 2" xfId="38626" xr:uid="{00000000-0005-0000-0000-000040970000}"/>
    <cellStyle name="Normal 67 2 3 2 2" xfId="38627" xr:uid="{00000000-0005-0000-0000-000041970000}"/>
    <cellStyle name="Normal 67 2 3 3" xfId="38628" xr:uid="{00000000-0005-0000-0000-000042970000}"/>
    <cellStyle name="Normal 67 2 4" xfId="38629" xr:uid="{00000000-0005-0000-0000-000043970000}"/>
    <cellStyle name="Normal 67 2 4 2" xfId="38630" xr:uid="{00000000-0005-0000-0000-000044970000}"/>
    <cellStyle name="Normal 67 2 4 2 2" xfId="38631" xr:uid="{00000000-0005-0000-0000-000045970000}"/>
    <cellStyle name="Normal 67 2 4 3" xfId="38632" xr:uid="{00000000-0005-0000-0000-000046970000}"/>
    <cellStyle name="Normal 67 2 5" xfId="38633" xr:uid="{00000000-0005-0000-0000-000047970000}"/>
    <cellStyle name="Normal 67 2 5 2" xfId="38634" xr:uid="{00000000-0005-0000-0000-000048970000}"/>
    <cellStyle name="Normal 67 2 5 2 2" xfId="38635" xr:uid="{00000000-0005-0000-0000-000049970000}"/>
    <cellStyle name="Normal 67 2 5 3" xfId="38636" xr:uid="{00000000-0005-0000-0000-00004A970000}"/>
    <cellStyle name="Normal 67 2 6" xfId="38637" xr:uid="{00000000-0005-0000-0000-00004B970000}"/>
    <cellStyle name="Normal 67 3" xfId="38638" xr:uid="{00000000-0005-0000-0000-00004C970000}"/>
    <cellStyle name="Normal 67 3 2" xfId="38639" xr:uid="{00000000-0005-0000-0000-00004D970000}"/>
    <cellStyle name="Normal 67 3 2 2" xfId="38640" xr:uid="{00000000-0005-0000-0000-00004E970000}"/>
    <cellStyle name="Normal 67 3 3" xfId="38641" xr:uid="{00000000-0005-0000-0000-00004F970000}"/>
    <cellStyle name="Normal 67 3 3 2" xfId="38642" xr:uid="{00000000-0005-0000-0000-000050970000}"/>
    <cellStyle name="Normal 67 3 3 2 2" xfId="38643" xr:uid="{00000000-0005-0000-0000-000051970000}"/>
    <cellStyle name="Normal 67 3 3 3" xfId="38644" xr:uid="{00000000-0005-0000-0000-000052970000}"/>
    <cellStyle name="Normal 67 3 4" xfId="38645" xr:uid="{00000000-0005-0000-0000-000053970000}"/>
    <cellStyle name="Normal 67 3 4 2" xfId="38646" xr:uid="{00000000-0005-0000-0000-000054970000}"/>
    <cellStyle name="Normal 67 3 4 2 2" xfId="38647" xr:uid="{00000000-0005-0000-0000-000055970000}"/>
    <cellStyle name="Normal 67 3 4 3" xfId="38648" xr:uid="{00000000-0005-0000-0000-000056970000}"/>
    <cellStyle name="Normal 67 3 5" xfId="38649" xr:uid="{00000000-0005-0000-0000-000057970000}"/>
    <cellStyle name="Normal 67 4" xfId="38650" xr:uid="{00000000-0005-0000-0000-000058970000}"/>
    <cellStyle name="Normal 67 4 2" xfId="38651" xr:uid="{00000000-0005-0000-0000-000059970000}"/>
    <cellStyle name="Normal 67 4 2 2" xfId="38652" xr:uid="{00000000-0005-0000-0000-00005A970000}"/>
    <cellStyle name="Normal 67 4 3" xfId="38653" xr:uid="{00000000-0005-0000-0000-00005B970000}"/>
    <cellStyle name="Normal 67 5" xfId="38654" xr:uid="{00000000-0005-0000-0000-00005C970000}"/>
    <cellStyle name="Normal 67 5 2" xfId="38655" xr:uid="{00000000-0005-0000-0000-00005D970000}"/>
    <cellStyle name="Normal 67 5 2 2" xfId="38656" xr:uid="{00000000-0005-0000-0000-00005E970000}"/>
    <cellStyle name="Normal 67 5 3" xfId="38657" xr:uid="{00000000-0005-0000-0000-00005F970000}"/>
    <cellStyle name="Normal 67 6" xfId="38658" xr:uid="{00000000-0005-0000-0000-000060970000}"/>
    <cellStyle name="Normal 67 6 2" xfId="38659" xr:uid="{00000000-0005-0000-0000-000061970000}"/>
    <cellStyle name="Normal 67 6 2 2" xfId="38660" xr:uid="{00000000-0005-0000-0000-000062970000}"/>
    <cellStyle name="Normal 67 6 3" xfId="38661" xr:uid="{00000000-0005-0000-0000-000063970000}"/>
    <cellStyle name="Normal 67 7" xfId="38662" xr:uid="{00000000-0005-0000-0000-000064970000}"/>
    <cellStyle name="Normal 670" xfId="38663" xr:uid="{00000000-0005-0000-0000-000065970000}"/>
    <cellStyle name="Normal 671" xfId="38664" xr:uid="{00000000-0005-0000-0000-000066970000}"/>
    <cellStyle name="Normal 672" xfId="38665" xr:uid="{00000000-0005-0000-0000-000067970000}"/>
    <cellStyle name="Normal 673" xfId="38666" xr:uid="{00000000-0005-0000-0000-000068970000}"/>
    <cellStyle name="Normal 674" xfId="38667" xr:uid="{00000000-0005-0000-0000-000069970000}"/>
    <cellStyle name="Normal 675" xfId="38668" xr:uid="{00000000-0005-0000-0000-00006A970000}"/>
    <cellStyle name="Normal 676" xfId="38669" xr:uid="{00000000-0005-0000-0000-00006B970000}"/>
    <cellStyle name="Normal 677" xfId="38670" xr:uid="{00000000-0005-0000-0000-00006C970000}"/>
    <cellStyle name="Normal 678" xfId="38671" xr:uid="{00000000-0005-0000-0000-00006D970000}"/>
    <cellStyle name="Normal 679" xfId="38672" xr:uid="{00000000-0005-0000-0000-00006E970000}"/>
    <cellStyle name="Normal 68" xfId="38673" xr:uid="{00000000-0005-0000-0000-00006F970000}"/>
    <cellStyle name="Normal 68 2" xfId="38674" xr:uid="{00000000-0005-0000-0000-000070970000}"/>
    <cellStyle name="Normal 68 2 2" xfId="38675" xr:uid="{00000000-0005-0000-0000-000071970000}"/>
    <cellStyle name="Normal 68 2 2 2" xfId="38676" xr:uid="{00000000-0005-0000-0000-000072970000}"/>
    <cellStyle name="Normal 68 2 2 2 2" xfId="38677" xr:uid="{00000000-0005-0000-0000-000073970000}"/>
    <cellStyle name="Normal 68 2 2 3" xfId="38678" xr:uid="{00000000-0005-0000-0000-000074970000}"/>
    <cellStyle name="Normal 68 2 2 3 2" xfId="38679" xr:uid="{00000000-0005-0000-0000-000075970000}"/>
    <cellStyle name="Normal 68 2 2 3 2 2" xfId="38680" xr:uid="{00000000-0005-0000-0000-000076970000}"/>
    <cellStyle name="Normal 68 2 2 3 3" xfId="38681" xr:uid="{00000000-0005-0000-0000-000077970000}"/>
    <cellStyle name="Normal 68 2 2 4" xfId="38682" xr:uid="{00000000-0005-0000-0000-000078970000}"/>
    <cellStyle name="Normal 68 2 2 4 2" xfId="38683" xr:uid="{00000000-0005-0000-0000-000079970000}"/>
    <cellStyle name="Normal 68 2 2 4 2 2" xfId="38684" xr:uid="{00000000-0005-0000-0000-00007A970000}"/>
    <cellStyle name="Normal 68 2 2 4 3" xfId="38685" xr:uid="{00000000-0005-0000-0000-00007B970000}"/>
    <cellStyle name="Normal 68 2 2 5" xfId="38686" xr:uid="{00000000-0005-0000-0000-00007C970000}"/>
    <cellStyle name="Normal 68 2 3" xfId="38687" xr:uid="{00000000-0005-0000-0000-00007D970000}"/>
    <cellStyle name="Normal 68 2 3 2" xfId="38688" xr:uid="{00000000-0005-0000-0000-00007E970000}"/>
    <cellStyle name="Normal 68 2 3 2 2" xfId="38689" xr:uid="{00000000-0005-0000-0000-00007F970000}"/>
    <cellStyle name="Normal 68 2 3 3" xfId="38690" xr:uid="{00000000-0005-0000-0000-000080970000}"/>
    <cellStyle name="Normal 68 2 4" xfId="38691" xr:uid="{00000000-0005-0000-0000-000081970000}"/>
    <cellStyle name="Normal 68 2 4 2" xfId="38692" xr:uid="{00000000-0005-0000-0000-000082970000}"/>
    <cellStyle name="Normal 68 2 4 2 2" xfId="38693" xr:uid="{00000000-0005-0000-0000-000083970000}"/>
    <cellStyle name="Normal 68 2 4 3" xfId="38694" xr:uid="{00000000-0005-0000-0000-000084970000}"/>
    <cellStyle name="Normal 68 2 5" xfId="38695" xr:uid="{00000000-0005-0000-0000-000085970000}"/>
    <cellStyle name="Normal 68 2 5 2" xfId="38696" xr:uid="{00000000-0005-0000-0000-000086970000}"/>
    <cellStyle name="Normal 68 2 5 2 2" xfId="38697" xr:uid="{00000000-0005-0000-0000-000087970000}"/>
    <cellStyle name="Normal 68 2 5 3" xfId="38698" xr:uid="{00000000-0005-0000-0000-000088970000}"/>
    <cellStyle name="Normal 68 2 6" xfId="38699" xr:uid="{00000000-0005-0000-0000-000089970000}"/>
    <cellStyle name="Normal 68 3" xfId="38700" xr:uid="{00000000-0005-0000-0000-00008A970000}"/>
    <cellStyle name="Normal 68 3 2" xfId="38701" xr:uid="{00000000-0005-0000-0000-00008B970000}"/>
    <cellStyle name="Normal 68 3 2 2" xfId="38702" xr:uid="{00000000-0005-0000-0000-00008C970000}"/>
    <cellStyle name="Normal 68 3 3" xfId="38703" xr:uid="{00000000-0005-0000-0000-00008D970000}"/>
    <cellStyle name="Normal 68 3 3 2" xfId="38704" xr:uid="{00000000-0005-0000-0000-00008E970000}"/>
    <cellStyle name="Normal 68 3 3 2 2" xfId="38705" xr:uid="{00000000-0005-0000-0000-00008F970000}"/>
    <cellStyle name="Normal 68 3 3 3" xfId="38706" xr:uid="{00000000-0005-0000-0000-000090970000}"/>
    <cellStyle name="Normal 68 3 4" xfId="38707" xr:uid="{00000000-0005-0000-0000-000091970000}"/>
    <cellStyle name="Normal 68 3 4 2" xfId="38708" xr:uid="{00000000-0005-0000-0000-000092970000}"/>
    <cellStyle name="Normal 68 3 4 2 2" xfId="38709" xr:uid="{00000000-0005-0000-0000-000093970000}"/>
    <cellStyle name="Normal 68 3 4 3" xfId="38710" xr:uid="{00000000-0005-0000-0000-000094970000}"/>
    <cellStyle name="Normal 68 3 5" xfId="38711" xr:uid="{00000000-0005-0000-0000-000095970000}"/>
    <cellStyle name="Normal 68 4" xfId="38712" xr:uid="{00000000-0005-0000-0000-000096970000}"/>
    <cellStyle name="Normal 68 4 2" xfId="38713" xr:uid="{00000000-0005-0000-0000-000097970000}"/>
    <cellStyle name="Normal 68 4 2 2" xfId="38714" xr:uid="{00000000-0005-0000-0000-000098970000}"/>
    <cellStyle name="Normal 68 4 3" xfId="38715" xr:uid="{00000000-0005-0000-0000-000099970000}"/>
    <cellStyle name="Normal 68 5" xfId="38716" xr:uid="{00000000-0005-0000-0000-00009A970000}"/>
    <cellStyle name="Normal 68 5 2" xfId="38717" xr:uid="{00000000-0005-0000-0000-00009B970000}"/>
    <cellStyle name="Normal 68 5 2 2" xfId="38718" xr:uid="{00000000-0005-0000-0000-00009C970000}"/>
    <cellStyle name="Normal 68 5 3" xfId="38719" xr:uid="{00000000-0005-0000-0000-00009D970000}"/>
    <cellStyle name="Normal 68 6" xfId="38720" xr:uid="{00000000-0005-0000-0000-00009E970000}"/>
    <cellStyle name="Normal 68 6 2" xfId="38721" xr:uid="{00000000-0005-0000-0000-00009F970000}"/>
    <cellStyle name="Normal 68 6 2 2" xfId="38722" xr:uid="{00000000-0005-0000-0000-0000A0970000}"/>
    <cellStyle name="Normal 68 6 3" xfId="38723" xr:uid="{00000000-0005-0000-0000-0000A1970000}"/>
    <cellStyle name="Normal 68 7" xfId="38724" xr:uid="{00000000-0005-0000-0000-0000A2970000}"/>
    <cellStyle name="Normal 680" xfId="38725" xr:uid="{00000000-0005-0000-0000-0000A3970000}"/>
    <cellStyle name="Normal 681" xfId="38726" xr:uid="{00000000-0005-0000-0000-0000A4970000}"/>
    <cellStyle name="Normal 682" xfId="38727" xr:uid="{00000000-0005-0000-0000-0000A5970000}"/>
    <cellStyle name="Normal 683" xfId="38728" xr:uid="{00000000-0005-0000-0000-0000A6970000}"/>
    <cellStyle name="Normal 684" xfId="38729" xr:uid="{00000000-0005-0000-0000-0000A7970000}"/>
    <cellStyle name="Normal 685" xfId="38730" xr:uid="{00000000-0005-0000-0000-0000A8970000}"/>
    <cellStyle name="Normal 686" xfId="38731" xr:uid="{00000000-0005-0000-0000-0000A9970000}"/>
    <cellStyle name="Normal 687" xfId="38732" xr:uid="{00000000-0005-0000-0000-0000AA970000}"/>
    <cellStyle name="Normal 688" xfId="38733" xr:uid="{00000000-0005-0000-0000-0000AB970000}"/>
    <cellStyle name="Normal 689" xfId="38734" xr:uid="{00000000-0005-0000-0000-0000AC970000}"/>
    <cellStyle name="Normal 69" xfId="38735" xr:uid="{00000000-0005-0000-0000-0000AD970000}"/>
    <cellStyle name="Normal 69 2" xfId="38736" xr:uid="{00000000-0005-0000-0000-0000AE970000}"/>
    <cellStyle name="Normal 69 2 2" xfId="38737" xr:uid="{00000000-0005-0000-0000-0000AF970000}"/>
    <cellStyle name="Normal 69 2 2 2" xfId="38738" xr:uid="{00000000-0005-0000-0000-0000B0970000}"/>
    <cellStyle name="Normal 69 2 3" xfId="38739" xr:uid="{00000000-0005-0000-0000-0000B1970000}"/>
    <cellStyle name="Normal 69 2 3 2" xfId="38740" xr:uid="{00000000-0005-0000-0000-0000B2970000}"/>
    <cellStyle name="Normal 69 2 3 2 2" xfId="38741" xr:uid="{00000000-0005-0000-0000-0000B3970000}"/>
    <cellStyle name="Normal 69 2 3 3" xfId="38742" xr:uid="{00000000-0005-0000-0000-0000B4970000}"/>
    <cellStyle name="Normal 69 2 4" xfId="38743" xr:uid="{00000000-0005-0000-0000-0000B5970000}"/>
    <cellStyle name="Normal 69 2 4 2" xfId="38744" xr:uid="{00000000-0005-0000-0000-0000B6970000}"/>
    <cellStyle name="Normal 69 2 4 2 2" xfId="38745" xr:uid="{00000000-0005-0000-0000-0000B7970000}"/>
    <cellStyle name="Normal 69 2 4 3" xfId="38746" xr:uid="{00000000-0005-0000-0000-0000B8970000}"/>
    <cellStyle name="Normal 69 2 5" xfId="38747" xr:uid="{00000000-0005-0000-0000-0000B9970000}"/>
    <cellStyle name="Normal 69 3" xfId="38748" xr:uid="{00000000-0005-0000-0000-0000BA970000}"/>
    <cellStyle name="Normal 69 3 2" xfId="38749" xr:uid="{00000000-0005-0000-0000-0000BB970000}"/>
    <cellStyle name="Normal 69 3 2 2" xfId="38750" xr:uid="{00000000-0005-0000-0000-0000BC970000}"/>
    <cellStyle name="Normal 69 3 2 2 2" xfId="38751" xr:uid="{00000000-0005-0000-0000-0000BD970000}"/>
    <cellStyle name="Normal 69 3 2 3" xfId="38752" xr:uid="{00000000-0005-0000-0000-0000BE970000}"/>
    <cellStyle name="Normal 69 3 2 3 2" xfId="38753" xr:uid="{00000000-0005-0000-0000-0000BF970000}"/>
    <cellStyle name="Normal 69 3 2 3 2 2" xfId="38754" xr:uid="{00000000-0005-0000-0000-0000C0970000}"/>
    <cellStyle name="Normal 69 3 2 3 3" xfId="38755" xr:uid="{00000000-0005-0000-0000-0000C1970000}"/>
    <cellStyle name="Normal 69 3 2 4" xfId="38756" xr:uid="{00000000-0005-0000-0000-0000C2970000}"/>
    <cellStyle name="Normal 69 3 3" xfId="38757" xr:uid="{00000000-0005-0000-0000-0000C3970000}"/>
    <cellStyle name="Normal 69 3 3 2" xfId="38758" xr:uid="{00000000-0005-0000-0000-0000C4970000}"/>
    <cellStyle name="Normal 69 3 3 2 2" xfId="38759" xr:uid="{00000000-0005-0000-0000-0000C5970000}"/>
    <cellStyle name="Normal 69 3 3 3" xfId="38760" xr:uid="{00000000-0005-0000-0000-0000C6970000}"/>
    <cellStyle name="Normal 69 3 4" xfId="38761" xr:uid="{00000000-0005-0000-0000-0000C7970000}"/>
    <cellStyle name="Normal 69 3 4 2" xfId="38762" xr:uid="{00000000-0005-0000-0000-0000C8970000}"/>
    <cellStyle name="Normal 69 3 4 2 2" xfId="38763" xr:uid="{00000000-0005-0000-0000-0000C9970000}"/>
    <cellStyle name="Normal 69 3 4 3" xfId="38764" xr:uid="{00000000-0005-0000-0000-0000CA970000}"/>
    <cellStyle name="Normal 69 3 5" xfId="38765" xr:uid="{00000000-0005-0000-0000-0000CB970000}"/>
    <cellStyle name="Normal 69 3 5 2" xfId="38766" xr:uid="{00000000-0005-0000-0000-0000CC970000}"/>
    <cellStyle name="Normal 69 3 5 2 2" xfId="38767" xr:uid="{00000000-0005-0000-0000-0000CD970000}"/>
    <cellStyle name="Normal 69 3 5 3" xfId="38768" xr:uid="{00000000-0005-0000-0000-0000CE970000}"/>
    <cellStyle name="Normal 69 3 6" xfId="38769" xr:uid="{00000000-0005-0000-0000-0000CF970000}"/>
    <cellStyle name="Normal 69 4" xfId="38770" xr:uid="{00000000-0005-0000-0000-0000D0970000}"/>
    <cellStyle name="Normal 69 4 2" xfId="38771" xr:uid="{00000000-0005-0000-0000-0000D1970000}"/>
    <cellStyle name="Normal 69 4 2 2" xfId="38772" xr:uid="{00000000-0005-0000-0000-0000D2970000}"/>
    <cellStyle name="Normal 69 4 3" xfId="38773" xr:uid="{00000000-0005-0000-0000-0000D3970000}"/>
    <cellStyle name="Normal 69 5" xfId="38774" xr:uid="{00000000-0005-0000-0000-0000D4970000}"/>
    <cellStyle name="Normal 69 5 2" xfId="38775" xr:uid="{00000000-0005-0000-0000-0000D5970000}"/>
    <cellStyle name="Normal 69 5 2 2" xfId="38776" xr:uid="{00000000-0005-0000-0000-0000D6970000}"/>
    <cellStyle name="Normal 69 5 3" xfId="38777" xr:uid="{00000000-0005-0000-0000-0000D7970000}"/>
    <cellStyle name="Normal 69 6" xfId="38778" xr:uid="{00000000-0005-0000-0000-0000D8970000}"/>
    <cellStyle name="Normal 69 6 2" xfId="38779" xr:uid="{00000000-0005-0000-0000-0000D9970000}"/>
    <cellStyle name="Normal 69 6 2 2" xfId="38780" xr:uid="{00000000-0005-0000-0000-0000DA970000}"/>
    <cellStyle name="Normal 69 6 3" xfId="38781" xr:uid="{00000000-0005-0000-0000-0000DB970000}"/>
    <cellStyle name="Normal 69 7" xfId="38782" xr:uid="{00000000-0005-0000-0000-0000DC970000}"/>
    <cellStyle name="Normal 690" xfId="38783" xr:uid="{00000000-0005-0000-0000-0000DD970000}"/>
    <cellStyle name="Normal 691" xfId="38784" xr:uid="{00000000-0005-0000-0000-0000DE970000}"/>
    <cellStyle name="Normal 692" xfId="38785" xr:uid="{00000000-0005-0000-0000-0000DF970000}"/>
    <cellStyle name="Normal 693" xfId="38786" xr:uid="{00000000-0005-0000-0000-0000E0970000}"/>
    <cellStyle name="Normal 694" xfId="38787" xr:uid="{00000000-0005-0000-0000-0000E1970000}"/>
    <cellStyle name="Normal 695" xfId="38788" xr:uid="{00000000-0005-0000-0000-0000E2970000}"/>
    <cellStyle name="Normal 696" xfId="38789" xr:uid="{00000000-0005-0000-0000-0000E3970000}"/>
    <cellStyle name="Normal 697" xfId="38790" xr:uid="{00000000-0005-0000-0000-0000E4970000}"/>
    <cellStyle name="Normal 698" xfId="38791" xr:uid="{00000000-0005-0000-0000-0000E5970000}"/>
    <cellStyle name="Normal 699" xfId="38792" xr:uid="{00000000-0005-0000-0000-0000E6970000}"/>
    <cellStyle name="Normal 7" xfId="108" xr:uid="{00000000-0005-0000-0000-0000E7970000}"/>
    <cellStyle name="Normal 7 10" xfId="38794" xr:uid="{00000000-0005-0000-0000-0000E8970000}"/>
    <cellStyle name="Normal 7 11" xfId="38793" xr:uid="{00000000-0005-0000-0000-0000E9970000}"/>
    <cellStyle name="Normal 7 2" xfId="248" xr:uid="{00000000-0005-0000-0000-0000EA970000}"/>
    <cellStyle name="Normal 7 2 2" xfId="38796" xr:uid="{00000000-0005-0000-0000-0000EB970000}"/>
    <cellStyle name="Normal 7 2 2 2" xfId="38797" xr:uid="{00000000-0005-0000-0000-0000EC970000}"/>
    <cellStyle name="Normal 7 2 2 2 2" xfId="38798" xr:uid="{00000000-0005-0000-0000-0000ED970000}"/>
    <cellStyle name="Normal 7 2 2 3" xfId="38799" xr:uid="{00000000-0005-0000-0000-0000EE970000}"/>
    <cellStyle name="Normal 7 2 2 3 2" xfId="38800" xr:uid="{00000000-0005-0000-0000-0000EF970000}"/>
    <cellStyle name="Normal 7 2 2 3 2 2" xfId="38801" xr:uid="{00000000-0005-0000-0000-0000F0970000}"/>
    <cellStyle name="Normal 7 2 2 3 3" xfId="38802" xr:uid="{00000000-0005-0000-0000-0000F1970000}"/>
    <cellStyle name="Normal 7 2 2 4" xfId="38803" xr:uid="{00000000-0005-0000-0000-0000F2970000}"/>
    <cellStyle name="Normal 7 2 2 4 2" xfId="38804" xr:uid="{00000000-0005-0000-0000-0000F3970000}"/>
    <cellStyle name="Normal 7 2 2 4 2 2" xfId="38805" xr:uid="{00000000-0005-0000-0000-0000F4970000}"/>
    <cellStyle name="Normal 7 2 2 4 3" xfId="38806" xr:uid="{00000000-0005-0000-0000-0000F5970000}"/>
    <cellStyle name="Normal 7 2 2 5" xfId="38807" xr:uid="{00000000-0005-0000-0000-0000F6970000}"/>
    <cellStyle name="Normal 7 2 3" xfId="38808" xr:uid="{00000000-0005-0000-0000-0000F7970000}"/>
    <cellStyle name="Normal 7 2 3 2" xfId="38809" xr:uid="{00000000-0005-0000-0000-0000F8970000}"/>
    <cellStyle name="Normal 7 2 3 2 2" xfId="38810" xr:uid="{00000000-0005-0000-0000-0000F9970000}"/>
    <cellStyle name="Normal 7 2 3 2 2 2" xfId="38811" xr:uid="{00000000-0005-0000-0000-0000FA970000}"/>
    <cellStyle name="Normal 7 2 3 2 3" xfId="38812" xr:uid="{00000000-0005-0000-0000-0000FB970000}"/>
    <cellStyle name="Normal 7 2 3 2 3 2" xfId="38813" xr:uid="{00000000-0005-0000-0000-0000FC970000}"/>
    <cellStyle name="Normal 7 2 3 2 3 2 2" xfId="38814" xr:uid="{00000000-0005-0000-0000-0000FD970000}"/>
    <cellStyle name="Normal 7 2 3 2 3 3" xfId="38815" xr:uid="{00000000-0005-0000-0000-0000FE970000}"/>
    <cellStyle name="Normal 7 2 3 2 4" xfId="38816" xr:uid="{00000000-0005-0000-0000-0000FF970000}"/>
    <cellStyle name="Normal 7 2 3 3" xfId="38817" xr:uid="{00000000-0005-0000-0000-000000980000}"/>
    <cellStyle name="Normal 7 2 3 3 2" xfId="38818" xr:uid="{00000000-0005-0000-0000-000001980000}"/>
    <cellStyle name="Normal 7 2 3 3 2 2" xfId="38819" xr:uid="{00000000-0005-0000-0000-000002980000}"/>
    <cellStyle name="Normal 7 2 3 3 3" xfId="38820" xr:uid="{00000000-0005-0000-0000-000003980000}"/>
    <cellStyle name="Normal 7 2 3 4" xfId="38821" xr:uid="{00000000-0005-0000-0000-000004980000}"/>
    <cellStyle name="Normal 7 2 3 4 2" xfId="38822" xr:uid="{00000000-0005-0000-0000-000005980000}"/>
    <cellStyle name="Normal 7 2 3 4 2 2" xfId="38823" xr:uid="{00000000-0005-0000-0000-000006980000}"/>
    <cellStyle name="Normal 7 2 3 4 3" xfId="38824" xr:uid="{00000000-0005-0000-0000-000007980000}"/>
    <cellStyle name="Normal 7 2 3 5" xfId="38825" xr:uid="{00000000-0005-0000-0000-000008980000}"/>
    <cellStyle name="Normal 7 2 3 5 2" xfId="38826" xr:uid="{00000000-0005-0000-0000-000009980000}"/>
    <cellStyle name="Normal 7 2 3 5 2 2" xfId="38827" xr:uid="{00000000-0005-0000-0000-00000A980000}"/>
    <cellStyle name="Normal 7 2 3 5 3" xfId="38828" xr:uid="{00000000-0005-0000-0000-00000B980000}"/>
    <cellStyle name="Normal 7 2 3 6" xfId="38829" xr:uid="{00000000-0005-0000-0000-00000C980000}"/>
    <cellStyle name="Normal 7 2 4" xfId="38830" xr:uid="{00000000-0005-0000-0000-00000D980000}"/>
    <cellStyle name="Normal 7 2 4 2" xfId="38831" xr:uid="{00000000-0005-0000-0000-00000E980000}"/>
    <cellStyle name="Normal 7 2 4 2 2" xfId="38832" xr:uid="{00000000-0005-0000-0000-00000F980000}"/>
    <cellStyle name="Normal 7 2 4 3" xfId="38833" xr:uid="{00000000-0005-0000-0000-000010980000}"/>
    <cellStyle name="Normal 7 2 5" xfId="38834" xr:uid="{00000000-0005-0000-0000-000011980000}"/>
    <cellStyle name="Normal 7 2 5 2" xfId="38835" xr:uid="{00000000-0005-0000-0000-000012980000}"/>
    <cellStyle name="Normal 7 2 5 2 2" xfId="38836" xr:uid="{00000000-0005-0000-0000-000013980000}"/>
    <cellStyle name="Normal 7 2 5 3" xfId="38837" xr:uid="{00000000-0005-0000-0000-000014980000}"/>
    <cellStyle name="Normal 7 2 6" xfId="38838" xr:uid="{00000000-0005-0000-0000-000015980000}"/>
    <cellStyle name="Normal 7 2 6 2" xfId="38839" xr:uid="{00000000-0005-0000-0000-000016980000}"/>
    <cellStyle name="Normal 7 2 6 2 2" xfId="38840" xr:uid="{00000000-0005-0000-0000-000017980000}"/>
    <cellStyle name="Normal 7 2 6 3" xfId="38841" xr:uid="{00000000-0005-0000-0000-000018980000}"/>
    <cellStyle name="Normal 7 2 7" xfId="38842" xr:uid="{00000000-0005-0000-0000-000019980000}"/>
    <cellStyle name="Normal 7 2 8" xfId="38795" xr:uid="{00000000-0005-0000-0000-00001A980000}"/>
    <cellStyle name="Normal 7 3" xfId="38843" xr:uid="{00000000-0005-0000-0000-00001B980000}"/>
    <cellStyle name="Normal 7 3 2" xfId="38844" xr:uid="{00000000-0005-0000-0000-00001C980000}"/>
    <cellStyle name="Normal 7 3 2 2" xfId="38845" xr:uid="{00000000-0005-0000-0000-00001D980000}"/>
    <cellStyle name="Normal 7 3 2 2 2" xfId="38846" xr:uid="{00000000-0005-0000-0000-00001E980000}"/>
    <cellStyle name="Normal 7 3 2 3" xfId="38847" xr:uid="{00000000-0005-0000-0000-00001F980000}"/>
    <cellStyle name="Normal 7 3 2 3 2" xfId="38848" xr:uid="{00000000-0005-0000-0000-000020980000}"/>
    <cellStyle name="Normal 7 3 2 3 2 2" xfId="38849" xr:uid="{00000000-0005-0000-0000-000021980000}"/>
    <cellStyle name="Normal 7 3 2 3 3" xfId="38850" xr:uid="{00000000-0005-0000-0000-000022980000}"/>
    <cellStyle name="Normal 7 3 2 4" xfId="38851" xr:uid="{00000000-0005-0000-0000-000023980000}"/>
    <cellStyle name="Normal 7 3 2 4 2" xfId="38852" xr:uid="{00000000-0005-0000-0000-000024980000}"/>
    <cellStyle name="Normal 7 3 2 4 2 2" xfId="38853" xr:uid="{00000000-0005-0000-0000-000025980000}"/>
    <cellStyle name="Normal 7 3 2 4 3" xfId="38854" xr:uid="{00000000-0005-0000-0000-000026980000}"/>
    <cellStyle name="Normal 7 3 2 5" xfId="38855" xr:uid="{00000000-0005-0000-0000-000027980000}"/>
    <cellStyle name="Normal 7 3 3" xfId="38856" xr:uid="{00000000-0005-0000-0000-000028980000}"/>
    <cellStyle name="Normal 7 3 3 2" xfId="38857" xr:uid="{00000000-0005-0000-0000-000029980000}"/>
    <cellStyle name="Normal 7 3 3 2 2" xfId="38858" xr:uid="{00000000-0005-0000-0000-00002A980000}"/>
    <cellStyle name="Normal 7 3 3 3" xfId="38859" xr:uid="{00000000-0005-0000-0000-00002B980000}"/>
    <cellStyle name="Normal 7 3 4" xfId="38860" xr:uid="{00000000-0005-0000-0000-00002C980000}"/>
    <cellStyle name="Normal 7 3 4 2" xfId="38861" xr:uid="{00000000-0005-0000-0000-00002D980000}"/>
    <cellStyle name="Normal 7 3 4 2 2" xfId="38862" xr:uid="{00000000-0005-0000-0000-00002E980000}"/>
    <cellStyle name="Normal 7 3 4 3" xfId="38863" xr:uid="{00000000-0005-0000-0000-00002F980000}"/>
    <cellStyle name="Normal 7 3 5" xfId="38864" xr:uid="{00000000-0005-0000-0000-000030980000}"/>
    <cellStyle name="Normal 7 3 5 2" xfId="38865" xr:uid="{00000000-0005-0000-0000-000031980000}"/>
    <cellStyle name="Normal 7 3 5 2 2" xfId="38866" xr:uid="{00000000-0005-0000-0000-000032980000}"/>
    <cellStyle name="Normal 7 3 5 3" xfId="38867" xr:uid="{00000000-0005-0000-0000-000033980000}"/>
    <cellStyle name="Normal 7 3 6" xfId="38868" xr:uid="{00000000-0005-0000-0000-000034980000}"/>
    <cellStyle name="Normal 7 4" xfId="38869" xr:uid="{00000000-0005-0000-0000-000035980000}"/>
    <cellStyle name="Normal 7 4 2" xfId="38870" xr:uid="{00000000-0005-0000-0000-000036980000}"/>
    <cellStyle name="Normal 7 4 2 2" xfId="38871" xr:uid="{00000000-0005-0000-0000-000037980000}"/>
    <cellStyle name="Normal 7 4 2 2 2" xfId="38872" xr:uid="{00000000-0005-0000-0000-000038980000}"/>
    <cellStyle name="Normal 7 4 2 3" xfId="38873" xr:uid="{00000000-0005-0000-0000-000039980000}"/>
    <cellStyle name="Normal 7 4 2 3 2" xfId="38874" xr:uid="{00000000-0005-0000-0000-00003A980000}"/>
    <cellStyle name="Normal 7 4 2 3 2 2" xfId="38875" xr:uid="{00000000-0005-0000-0000-00003B980000}"/>
    <cellStyle name="Normal 7 4 2 3 3" xfId="38876" xr:uid="{00000000-0005-0000-0000-00003C980000}"/>
    <cellStyle name="Normal 7 4 2 4" xfId="38877" xr:uid="{00000000-0005-0000-0000-00003D980000}"/>
    <cellStyle name="Normal 7 4 2 4 2" xfId="38878" xr:uid="{00000000-0005-0000-0000-00003E980000}"/>
    <cellStyle name="Normal 7 4 2 4 2 2" xfId="38879" xr:uid="{00000000-0005-0000-0000-00003F980000}"/>
    <cellStyle name="Normal 7 4 2 4 3" xfId="38880" xr:uid="{00000000-0005-0000-0000-000040980000}"/>
    <cellStyle name="Normal 7 4 2 5" xfId="38881" xr:uid="{00000000-0005-0000-0000-000041980000}"/>
    <cellStyle name="Normal 7 4 3" xfId="38882" xr:uid="{00000000-0005-0000-0000-000042980000}"/>
    <cellStyle name="Normal 7 4 3 2" xfId="38883" xr:uid="{00000000-0005-0000-0000-000043980000}"/>
    <cellStyle name="Normal 7 4 3 2 2" xfId="38884" xr:uid="{00000000-0005-0000-0000-000044980000}"/>
    <cellStyle name="Normal 7 4 3 2 2 2" xfId="38885" xr:uid="{00000000-0005-0000-0000-000045980000}"/>
    <cellStyle name="Normal 7 4 3 2 3" xfId="38886" xr:uid="{00000000-0005-0000-0000-000046980000}"/>
    <cellStyle name="Normal 7 4 3 2 3 2" xfId="38887" xr:uid="{00000000-0005-0000-0000-000047980000}"/>
    <cellStyle name="Normal 7 4 3 2 3 2 2" xfId="38888" xr:uid="{00000000-0005-0000-0000-000048980000}"/>
    <cellStyle name="Normal 7 4 3 2 3 3" xfId="38889" xr:uid="{00000000-0005-0000-0000-000049980000}"/>
    <cellStyle name="Normal 7 4 3 2 4" xfId="38890" xr:uid="{00000000-0005-0000-0000-00004A980000}"/>
    <cellStyle name="Normal 7 4 3 3" xfId="38891" xr:uid="{00000000-0005-0000-0000-00004B980000}"/>
    <cellStyle name="Normal 7 4 3 3 2" xfId="38892" xr:uid="{00000000-0005-0000-0000-00004C980000}"/>
    <cellStyle name="Normal 7 4 3 3 2 2" xfId="38893" xr:uid="{00000000-0005-0000-0000-00004D980000}"/>
    <cellStyle name="Normal 7 4 3 3 3" xfId="38894" xr:uid="{00000000-0005-0000-0000-00004E980000}"/>
    <cellStyle name="Normal 7 4 3 4" xfId="38895" xr:uid="{00000000-0005-0000-0000-00004F980000}"/>
    <cellStyle name="Normal 7 4 3 4 2" xfId="38896" xr:uid="{00000000-0005-0000-0000-000050980000}"/>
    <cellStyle name="Normal 7 4 3 4 2 2" xfId="38897" xr:uid="{00000000-0005-0000-0000-000051980000}"/>
    <cellStyle name="Normal 7 4 3 4 3" xfId="38898" xr:uid="{00000000-0005-0000-0000-000052980000}"/>
    <cellStyle name="Normal 7 4 3 5" xfId="38899" xr:uid="{00000000-0005-0000-0000-000053980000}"/>
    <cellStyle name="Normal 7 4 3 5 2" xfId="38900" xr:uid="{00000000-0005-0000-0000-000054980000}"/>
    <cellStyle name="Normal 7 4 3 5 2 2" xfId="38901" xr:uid="{00000000-0005-0000-0000-000055980000}"/>
    <cellStyle name="Normal 7 4 3 5 3" xfId="38902" xr:uid="{00000000-0005-0000-0000-000056980000}"/>
    <cellStyle name="Normal 7 4 3 6" xfId="38903" xr:uid="{00000000-0005-0000-0000-000057980000}"/>
    <cellStyle name="Normal 7 4 4" xfId="38904" xr:uid="{00000000-0005-0000-0000-000058980000}"/>
    <cellStyle name="Normal 7 5" xfId="38905" xr:uid="{00000000-0005-0000-0000-000059980000}"/>
    <cellStyle name="Normal 7 5 2" xfId="38906" xr:uid="{00000000-0005-0000-0000-00005A980000}"/>
    <cellStyle name="Normal 7 5 2 2" xfId="38907" xr:uid="{00000000-0005-0000-0000-00005B980000}"/>
    <cellStyle name="Normal 7 5 3" xfId="38908" xr:uid="{00000000-0005-0000-0000-00005C980000}"/>
    <cellStyle name="Normal 7 5 3 2" xfId="38909" xr:uid="{00000000-0005-0000-0000-00005D980000}"/>
    <cellStyle name="Normal 7 5 3 2 2" xfId="38910" xr:uid="{00000000-0005-0000-0000-00005E980000}"/>
    <cellStyle name="Normal 7 5 3 3" xfId="38911" xr:uid="{00000000-0005-0000-0000-00005F980000}"/>
    <cellStyle name="Normal 7 5 4" xfId="38912" xr:uid="{00000000-0005-0000-0000-000060980000}"/>
    <cellStyle name="Normal 7 5 4 2" xfId="38913" xr:uid="{00000000-0005-0000-0000-000061980000}"/>
    <cellStyle name="Normal 7 5 4 2 2" xfId="38914" xr:uid="{00000000-0005-0000-0000-000062980000}"/>
    <cellStyle name="Normal 7 5 4 3" xfId="38915" xr:uid="{00000000-0005-0000-0000-000063980000}"/>
    <cellStyle name="Normal 7 5 5" xfId="38916" xr:uid="{00000000-0005-0000-0000-000064980000}"/>
    <cellStyle name="Normal 7 6" xfId="38917" xr:uid="{00000000-0005-0000-0000-000065980000}"/>
    <cellStyle name="Normal 7 6 2" xfId="38918" xr:uid="{00000000-0005-0000-0000-000066980000}"/>
    <cellStyle name="Normal 7 6 2 2" xfId="38919" xr:uid="{00000000-0005-0000-0000-000067980000}"/>
    <cellStyle name="Normal 7 6 3" xfId="38920" xr:uid="{00000000-0005-0000-0000-000068980000}"/>
    <cellStyle name="Normal 7 6 3 2" xfId="38921" xr:uid="{00000000-0005-0000-0000-000069980000}"/>
    <cellStyle name="Normal 7 6 3 2 2" xfId="38922" xr:uid="{00000000-0005-0000-0000-00006A980000}"/>
    <cellStyle name="Normal 7 6 3 3" xfId="38923" xr:uid="{00000000-0005-0000-0000-00006B980000}"/>
    <cellStyle name="Normal 7 6 4" xfId="38924" xr:uid="{00000000-0005-0000-0000-00006C980000}"/>
    <cellStyle name="Normal 7 6 4 2" xfId="38925" xr:uid="{00000000-0005-0000-0000-00006D980000}"/>
    <cellStyle name="Normal 7 6 4 2 2" xfId="38926" xr:uid="{00000000-0005-0000-0000-00006E980000}"/>
    <cellStyle name="Normal 7 6 4 3" xfId="38927" xr:uid="{00000000-0005-0000-0000-00006F980000}"/>
    <cellStyle name="Normal 7 6 5" xfId="38928" xr:uid="{00000000-0005-0000-0000-000070980000}"/>
    <cellStyle name="Normal 7 7" xfId="38929" xr:uid="{00000000-0005-0000-0000-000071980000}"/>
    <cellStyle name="Normal 7 7 2" xfId="38930" xr:uid="{00000000-0005-0000-0000-000072980000}"/>
    <cellStyle name="Normal 7 7 2 2" xfId="38931" xr:uid="{00000000-0005-0000-0000-000073980000}"/>
    <cellStyle name="Normal 7 7 3" xfId="38932" xr:uid="{00000000-0005-0000-0000-000074980000}"/>
    <cellStyle name="Normal 7 8" xfId="38933" xr:uid="{00000000-0005-0000-0000-000075980000}"/>
    <cellStyle name="Normal 7 8 2" xfId="38934" xr:uid="{00000000-0005-0000-0000-000076980000}"/>
    <cellStyle name="Normal 7 9" xfId="38935" xr:uid="{00000000-0005-0000-0000-000077980000}"/>
    <cellStyle name="Normal 70" xfId="38936" xr:uid="{00000000-0005-0000-0000-000078980000}"/>
    <cellStyle name="Normal 70 2" xfId="38937" xr:uid="{00000000-0005-0000-0000-000079980000}"/>
    <cellStyle name="Normal 70 2 2" xfId="38938" xr:uid="{00000000-0005-0000-0000-00007A980000}"/>
    <cellStyle name="Normal 70 2 2 2" xfId="38939" xr:uid="{00000000-0005-0000-0000-00007B980000}"/>
    <cellStyle name="Normal 70 2 3" xfId="38940" xr:uid="{00000000-0005-0000-0000-00007C980000}"/>
    <cellStyle name="Normal 70 2 3 2" xfId="38941" xr:uid="{00000000-0005-0000-0000-00007D980000}"/>
    <cellStyle name="Normal 70 2 3 2 2" xfId="38942" xr:uid="{00000000-0005-0000-0000-00007E980000}"/>
    <cellStyle name="Normal 70 2 3 3" xfId="38943" xr:uid="{00000000-0005-0000-0000-00007F980000}"/>
    <cellStyle name="Normal 70 2 4" xfId="38944" xr:uid="{00000000-0005-0000-0000-000080980000}"/>
    <cellStyle name="Normal 70 2 4 2" xfId="38945" xr:uid="{00000000-0005-0000-0000-000081980000}"/>
    <cellStyle name="Normal 70 2 4 2 2" xfId="38946" xr:uid="{00000000-0005-0000-0000-000082980000}"/>
    <cellStyle name="Normal 70 2 4 3" xfId="38947" xr:uid="{00000000-0005-0000-0000-000083980000}"/>
    <cellStyle name="Normal 70 2 5" xfId="38948" xr:uid="{00000000-0005-0000-0000-000084980000}"/>
    <cellStyle name="Normal 70 3" xfId="38949" xr:uid="{00000000-0005-0000-0000-000085980000}"/>
    <cellStyle name="Normal 70 3 2" xfId="38950" xr:uid="{00000000-0005-0000-0000-000086980000}"/>
    <cellStyle name="Normal 70 3 2 2" xfId="38951" xr:uid="{00000000-0005-0000-0000-000087980000}"/>
    <cellStyle name="Normal 70 3 2 2 2" xfId="38952" xr:uid="{00000000-0005-0000-0000-000088980000}"/>
    <cellStyle name="Normal 70 3 2 3" xfId="38953" xr:uid="{00000000-0005-0000-0000-000089980000}"/>
    <cellStyle name="Normal 70 3 2 3 2" xfId="38954" xr:uid="{00000000-0005-0000-0000-00008A980000}"/>
    <cellStyle name="Normal 70 3 2 3 2 2" xfId="38955" xr:uid="{00000000-0005-0000-0000-00008B980000}"/>
    <cellStyle name="Normal 70 3 2 3 3" xfId="38956" xr:uid="{00000000-0005-0000-0000-00008C980000}"/>
    <cellStyle name="Normal 70 3 2 4" xfId="38957" xr:uid="{00000000-0005-0000-0000-00008D980000}"/>
    <cellStyle name="Normal 70 3 3" xfId="38958" xr:uid="{00000000-0005-0000-0000-00008E980000}"/>
    <cellStyle name="Normal 70 3 3 2" xfId="38959" xr:uid="{00000000-0005-0000-0000-00008F980000}"/>
    <cellStyle name="Normal 70 3 3 2 2" xfId="38960" xr:uid="{00000000-0005-0000-0000-000090980000}"/>
    <cellStyle name="Normal 70 3 3 3" xfId="38961" xr:uid="{00000000-0005-0000-0000-000091980000}"/>
    <cellStyle name="Normal 70 3 4" xfId="38962" xr:uid="{00000000-0005-0000-0000-000092980000}"/>
    <cellStyle name="Normal 70 3 4 2" xfId="38963" xr:uid="{00000000-0005-0000-0000-000093980000}"/>
    <cellStyle name="Normal 70 3 4 2 2" xfId="38964" xr:uid="{00000000-0005-0000-0000-000094980000}"/>
    <cellStyle name="Normal 70 3 4 3" xfId="38965" xr:uid="{00000000-0005-0000-0000-000095980000}"/>
    <cellStyle name="Normal 70 3 5" xfId="38966" xr:uid="{00000000-0005-0000-0000-000096980000}"/>
    <cellStyle name="Normal 70 3 5 2" xfId="38967" xr:uid="{00000000-0005-0000-0000-000097980000}"/>
    <cellStyle name="Normal 70 3 5 2 2" xfId="38968" xr:uid="{00000000-0005-0000-0000-000098980000}"/>
    <cellStyle name="Normal 70 3 5 3" xfId="38969" xr:uid="{00000000-0005-0000-0000-000099980000}"/>
    <cellStyle name="Normal 70 3 6" xfId="38970" xr:uid="{00000000-0005-0000-0000-00009A980000}"/>
    <cellStyle name="Normal 70 4" xfId="38971" xr:uid="{00000000-0005-0000-0000-00009B980000}"/>
    <cellStyle name="Normal 70 4 2" xfId="38972" xr:uid="{00000000-0005-0000-0000-00009C980000}"/>
    <cellStyle name="Normal 70 4 2 2" xfId="38973" xr:uid="{00000000-0005-0000-0000-00009D980000}"/>
    <cellStyle name="Normal 70 4 3" xfId="38974" xr:uid="{00000000-0005-0000-0000-00009E980000}"/>
    <cellStyle name="Normal 70 5" xfId="38975" xr:uid="{00000000-0005-0000-0000-00009F980000}"/>
    <cellStyle name="Normal 70 5 2" xfId="38976" xr:uid="{00000000-0005-0000-0000-0000A0980000}"/>
    <cellStyle name="Normal 70 5 2 2" xfId="38977" xr:uid="{00000000-0005-0000-0000-0000A1980000}"/>
    <cellStyle name="Normal 70 5 3" xfId="38978" xr:uid="{00000000-0005-0000-0000-0000A2980000}"/>
    <cellStyle name="Normal 70 6" xfId="38979" xr:uid="{00000000-0005-0000-0000-0000A3980000}"/>
    <cellStyle name="Normal 70 6 2" xfId="38980" xr:uid="{00000000-0005-0000-0000-0000A4980000}"/>
    <cellStyle name="Normal 70 6 2 2" xfId="38981" xr:uid="{00000000-0005-0000-0000-0000A5980000}"/>
    <cellStyle name="Normal 70 6 3" xfId="38982" xr:uid="{00000000-0005-0000-0000-0000A6980000}"/>
    <cellStyle name="Normal 70 7" xfId="38983" xr:uid="{00000000-0005-0000-0000-0000A7980000}"/>
    <cellStyle name="Normal 700" xfId="38984" xr:uid="{00000000-0005-0000-0000-0000A8980000}"/>
    <cellStyle name="Normal 701" xfId="38985" xr:uid="{00000000-0005-0000-0000-0000A9980000}"/>
    <cellStyle name="Normal 702" xfId="38986" xr:uid="{00000000-0005-0000-0000-0000AA980000}"/>
    <cellStyle name="Normal 703" xfId="38987" xr:uid="{00000000-0005-0000-0000-0000AB980000}"/>
    <cellStyle name="Normal 704" xfId="38988" xr:uid="{00000000-0005-0000-0000-0000AC980000}"/>
    <cellStyle name="Normal 705" xfId="38989" xr:uid="{00000000-0005-0000-0000-0000AD980000}"/>
    <cellStyle name="Normal 706" xfId="38990" xr:uid="{00000000-0005-0000-0000-0000AE980000}"/>
    <cellStyle name="Normal 707" xfId="38991" xr:uid="{00000000-0005-0000-0000-0000AF980000}"/>
    <cellStyle name="Normal 708" xfId="38992" xr:uid="{00000000-0005-0000-0000-0000B0980000}"/>
    <cellStyle name="Normal 709" xfId="38993" xr:uid="{00000000-0005-0000-0000-0000B1980000}"/>
    <cellStyle name="Normal 71" xfId="38994" xr:uid="{00000000-0005-0000-0000-0000B2980000}"/>
    <cellStyle name="Normal 71 2" xfId="38995" xr:uid="{00000000-0005-0000-0000-0000B3980000}"/>
    <cellStyle name="Normal 71 2 2" xfId="38996" xr:uid="{00000000-0005-0000-0000-0000B4980000}"/>
    <cellStyle name="Normal 71 2 2 2" xfId="38997" xr:uid="{00000000-0005-0000-0000-0000B5980000}"/>
    <cellStyle name="Normal 71 2 3" xfId="38998" xr:uid="{00000000-0005-0000-0000-0000B6980000}"/>
    <cellStyle name="Normal 71 2 3 2" xfId="38999" xr:uid="{00000000-0005-0000-0000-0000B7980000}"/>
    <cellStyle name="Normal 71 2 3 2 2" xfId="39000" xr:uid="{00000000-0005-0000-0000-0000B8980000}"/>
    <cellStyle name="Normal 71 2 3 3" xfId="39001" xr:uid="{00000000-0005-0000-0000-0000B9980000}"/>
    <cellStyle name="Normal 71 2 4" xfId="39002" xr:uid="{00000000-0005-0000-0000-0000BA980000}"/>
    <cellStyle name="Normal 71 2 4 2" xfId="39003" xr:uid="{00000000-0005-0000-0000-0000BB980000}"/>
    <cellStyle name="Normal 71 2 4 2 2" xfId="39004" xr:uid="{00000000-0005-0000-0000-0000BC980000}"/>
    <cellStyle name="Normal 71 2 4 3" xfId="39005" xr:uid="{00000000-0005-0000-0000-0000BD980000}"/>
    <cellStyle name="Normal 71 2 5" xfId="39006" xr:uid="{00000000-0005-0000-0000-0000BE980000}"/>
    <cellStyle name="Normal 71 3" xfId="39007" xr:uid="{00000000-0005-0000-0000-0000BF980000}"/>
    <cellStyle name="Normal 71 3 2" xfId="39008" xr:uid="{00000000-0005-0000-0000-0000C0980000}"/>
    <cellStyle name="Normal 71 3 2 2" xfId="39009" xr:uid="{00000000-0005-0000-0000-0000C1980000}"/>
    <cellStyle name="Normal 71 3 2 2 2" xfId="39010" xr:uid="{00000000-0005-0000-0000-0000C2980000}"/>
    <cellStyle name="Normal 71 3 2 3" xfId="39011" xr:uid="{00000000-0005-0000-0000-0000C3980000}"/>
    <cellStyle name="Normal 71 3 2 3 2" xfId="39012" xr:uid="{00000000-0005-0000-0000-0000C4980000}"/>
    <cellStyle name="Normal 71 3 2 3 2 2" xfId="39013" xr:uid="{00000000-0005-0000-0000-0000C5980000}"/>
    <cellStyle name="Normal 71 3 2 3 3" xfId="39014" xr:uid="{00000000-0005-0000-0000-0000C6980000}"/>
    <cellStyle name="Normal 71 3 2 4" xfId="39015" xr:uid="{00000000-0005-0000-0000-0000C7980000}"/>
    <cellStyle name="Normal 71 3 3" xfId="39016" xr:uid="{00000000-0005-0000-0000-0000C8980000}"/>
    <cellStyle name="Normal 71 3 3 2" xfId="39017" xr:uid="{00000000-0005-0000-0000-0000C9980000}"/>
    <cellStyle name="Normal 71 3 3 2 2" xfId="39018" xr:uid="{00000000-0005-0000-0000-0000CA980000}"/>
    <cellStyle name="Normal 71 3 3 3" xfId="39019" xr:uid="{00000000-0005-0000-0000-0000CB980000}"/>
    <cellStyle name="Normal 71 3 4" xfId="39020" xr:uid="{00000000-0005-0000-0000-0000CC980000}"/>
    <cellStyle name="Normal 71 3 4 2" xfId="39021" xr:uid="{00000000-0005-0000-0000-0000CD980000}"/>
    <cellStyle name="Normal 71 3 4 2 2" xfId="39022" xr:uid="{00000000-0005-0000-0000-0000CE980000}"/>
    <cellStyle name="Normal 71 3 4 3" xfId="39023" xr:uid="{00000000-0005-0000-0000-0000CF980000}"/>
    <cellStyle name="Normal 71 3 5" xfId="39024" xr:uid="{00000000-0005-0000-0000-0000D0980000}"/>
    <cellStyle name="Normal 71 3 5 2" xfId="39025" xr:uid="{00000000-0005-0000-0000-0000D1980000}"/>
    <cellStyle name="Normal 71 3 5 2 2" xfId="39026" xr:uid="{00000000-0005-0000-0000-0000D2980000}"/>
    <cellStyle name="Normal 71 3 5 3" xfId="39027" xr:uid="{00000000-0005-0000-0000-0000D3980000}"/>
    <cellStyle name="Normal 71 3 6" xfId="39028" xr:uid="{00000000-0005-0000-0000-0000D4980000}"/>
    <cellStyle name="Normal 71 4" xfId="39029" xr:uid="{00000000-0005-0000-0000-0000D5980000}"/>
    <cellStyle name="Normal 71 4 2" xfId="39030" xr:uid="{00000000-0005-0000-0000-0000D6980000}"/>
    <cellStyle name="Normal 71 4 2 2" xfId="39031" xr:uid="{00000000-0005-0000-0000-0000D7980000}"/>
    <cellStyle name="Normal 71 4 3" xfId="39032" xr:uid="{00000000-0005-0000-0000-0000D8980000}"/>
    <cellStyle name="Normal 71 5" xfId="39033" xr:uid="{00000000-0005-0000-0000-0000D9980000}"/>
    <cellStyle name="Normal 71 5 2" xfId="39034" xr:uid="{00000000-0005-0000-0000-0000DA980000}"/>
    <cellStyle name="Normal 71 5 2 2" xfId="39035" xr:uid="{00000000-0005-0000-0000-0000DB980000}"/>
    <cellStyle name="Normal 71 5 3" xfId="39036" xr:uid="{00000000-0005-0000-0000-0000DC980000}"/>
    <cellStyle name="Normal 71 6" xfId="39037" xr:uid="{00000000-0005-0000-0000-0000DD980000}"/>
    <cellStyle name="Normal 71 6 2" xfId="39038" xr:uid="{00000000-0005-0000-0000-0000DE980000}"/>
    <cellStyle name="Normal 71 6 2 2" xfId="39039" xr:uid="{00000000-0005-0000-0000-0000DF980000}"/>
    <cellStyle name="Normal 71 6 3" xfId="39040" xr:uid="{00000000-0005-0000-0000-0000E0980000}"/>
    <cellStyle name="Normal 71 7" xfId="39041" xr:uid="{00000000-0005-0000-0000-0000E1980000}"/>
    <cellStyle name="Normal 710" xfId="39042" xr:uid="{00000000-0005-0000-0000-0000E2980000}"/>
    <cellStyle name="Normal 711" xfId="39043" xr:uid="{00000000-0005-0000-0000-0000E3980000}"/>
    <cellStyle name="Normal 712" xfId="39044" xr:uid="{00000000-0005-0000-0000-0000E4980000}"/>
    <cellStyle name="Normal 713" xfId="39045" xr:uid="{00000000-0005-0000-0000-0000E5980000}"/>
    <cellStyle name="Normal 714" xfId="39046" xr:uid="{00000000-0005-0000-0000-0000E6980000}"/>
    <cellStyle name="Normal 715" xfId="39047" xr:uid="{00000000-0005-0000-0000-0000E7980000}"/>
    <cellStyle name="Normal 716" xfId="39048" xr:uid="{00000000-0005-0000-0000-0000E8980000}"/>
    <cellStyle name="Normal 717" xfId="39049" xr:uid="{00000000-0005-0000-0000-0000E9980000}"/>
    <cellStyle name="Normal 718" xfId="39050" xr:uid="{00000000-0005-0000-0000-0000EA980000}"/>
    <cellStyle name="Normal 719" xfId="39051" xr:uid="{00000000-0005-0000-0000-0000EB980000}"/>
    <cellStyle name="Normal 72" xfId="39052" xr:uid="{00000000-0005-0000-0000-0000EC980000}"/>
    <cellStyle name="Normal 72 2" xfId="39053" xr:uid="{00000000-0005-0000-0000-0000ED980000}"/>
    <cellStyle name="Normal 72 2 2" xfId="39054" xr:uid="{00000000-0005-0000-0000-0000EE980000}"/>
    <cellStyle name="Normal 72 2 2 2" xfId="39055" xr:uid="{00000000-0005-0000-0000-0000EF980000}"/>
    <cellStyle name="Normal 72 2 3" xfId="39056" xr:uid="{00000000-0005-0000-0000-0000F0980000}"/>
    <cellStyle name="Normal 72 2 3 2" xfId="39057" xr:uid="{00000000-0005-0000-0000-0000F1980000}"/>
    <cellStyle name="Normal 72 2 3 2 2" xfId="39058" xr:uid="{00000000-0005-0000-0000-0000F2980000}"/>
    <cellStyle name="Normal 72 2 3 3" xfId="39059" xr:uid="{00000000-0005-0000-0000-0000F3980000}"/>
    <cellStyle name="Normal 72 2 4" xfId="39060" xr:uid="{00000000-0005-0000-0000-0000F4980000}"/>
    <cellStyle name="Normal 72 2 4 2" xfId="39061" xr:uid="{00000000-0005-0000-0000-0000F5980000}"/>
    <cellStyle name="Normal 72 2 4 2 2" xfId="39062" xr:uid="{00000000-0005-0000-0000-0000F6980000}"/>
    <cellStyle name="Normal 72 2 4 3" xfId="39063" xr:uid="{00000000-0005-0000-0000-0000F7980000}"/>
    <cellStyle name="Normal 72 2 5" xfId="39064" xr:uid="{00000000-0005-0000-0000-0000F8980000}"/>
    <cellStyle name="Normal 72 3" xfId="39065" xr:uid="{00000000-0005-0000-0000-0000F9980000}"/>
    <cellStyle name="Normal 72 3 2" xfId="39066" xr:uid="{00000000-0005-0000-0000-0000FA980000}"/>
    <cellStyle name="Normal 72 3 2 2" xfId="39067" xr:uid="{00000000-0005-0000-0000-0000FB980000}"/>
    <cellStyle name="Normal 72 3 2 2 2" xfId="39068" xr:uid="{00000000-0005-0000-0000-0000FC980000}"/>
    <cellStyle name="Normal 72 3 2 3" xfId="39069" xr:uid="{00000000-0005-0000-0000-0000FD980000}"/>
    <cellStyle name="Normal 72 3 2 3 2" xfId="39070" xr:uid="{00000000-0005-0000-0000-0000FE980000}"/>
    <cellStyle name="Normal 72 3 2 3 2 2" xfId="39071" xr:uid="{00000000-0005-0000-0000-0000FF980000}"/>
    <cellStyle name="Normal 72 3 2 3 3" xfId="39072" xr:uid="{00000000-0005-0000-0000-000000990000}"/>
    <cellStyle name="Normal 72 3 2 4" xfId="39073" xr:uid="{00000000-0005-0000-0000-000001990000}"/>
    <cellStyle name="Normal 72 3 3" xfId="39074" xr:uid="{00000000-0005-0000-0000-000002990000}"/>
    <cellStyle name="Normal 72 3 3 2" xfId="39075" xr:uid="{00000000-0005-0000-0000-000003990000}"/>
    <cellStyle name="Normal 72 3 3 2 2" xfId="39076" xr:uid="{00000000-0005-0000-0000-000004990000}"/>
    <cellStyle name="Normal 72 3 3 3" xfId="39077" xr:uid="{00000000-0005-0000-0000-000005990000}"/>
    <cellStyle name="Normal 72 3 4" xfId="39078" xr:uid="{00000000-0005-0000-0000-000006990000}"/>
    <cellStyle name="Normal 72 3 4 2" xfId="39079" xr:uid="{00000000-0005-0000-0000-000007990000}"/>
    <cellStyle name="Normal 72 3 4 2 2" xfId="39080" xr:uid="{00000000-0005-0000-0000-000008990000}"/>
    <cellStyle name="Normal 72 3 4 3" xfId="39081" xr:uid="{00000000-0005-0000-0000-000009990000}"/>
    <cellStyle name="Normal 72 3 5" xfId="39082" xr:uid="{00000000-0005-0000-0000-00000A990000}"/>
    <cellStyle name="Normal 72 3 5 2" xfId="39083" xr:uid="{00000000-0005-0000-0000-00000B990000}"/>
    <cellStyle name="Normal 72 3 5 2 2" xfId="39084" xr:uid="{00000000-0005-0000-0000-00000C990000}"/>
    <cellStyle name="Normal 72 3 5 3" xfId="39085" xr:uid="{00000000-0005-0000-0000-00000D990000}"/>
    <cellStyle name="Normal 72 3 6" xfId="39086" xr:uid="{00000000-0005-0000-0000-00000E990000}"/>
    <cellStyle name="Normal 72 4" xfId="39087" xr:uid="{00000000-0005-0000-0000-00000F990000}"/>
    <cellStyle name="Normal 72 4 2" xfId="39088" xr:uid="{00000000-0005-0000-0000-000010990000}"/>
    <cellStyle name="Normal 72 4 2 2" xfId="39089" xr:uid="{00000000-0005-0000-0000-000011990000}"/>
    <cellStyle name="Normal 72 4 3" xfId="39090" xr:uid="{00000000-0005-0000-0000-000012990000}"/>
    <cellStyle name="Normal 72 5" xfId="39091" xr:uid="{00000000-0005-0000-0000-000013990000}"/>
    <cellStyle name="Normal 72 5 2" xfId="39092" xr:uid="{00000000-0005-0000-0000-000014990000}"/>
    <cellStyle name="Normal 72 5 2 2" xfId="39093" xr:uid="{00000000-0005-0000-0000-000015990000}"/>
    <cellStyle name="Normal 72 5 3" xfId="39094" xr:uid="{00000000-0005-0000-0000-000016990000}"/>
    <cellStyle name="Normal 72 6" xfId="39095" xr:uid="{00000000-0005-0000-0000-000017990000}"/>
    <cellStyle name="Normal 72 6 2" xfId="39096" xr:uid="{00000000-0005-0000-0000-000018990000}"/>
    <cellStyle name="Normal 72 6 2 2" xfId="39097" xr:uid="{00000000-0005-0000-0000-000019990000}"/>
    <cellStyle name="Normal 72 6 3" xfId="39098" xr:uid="{00000000-0005-0000-0000-00001A990000}"/>
    <cellStyle name="Normal 72 7" xfId="39099" xr:uid="{00000000-0005-0000-0000-00001B990000}"/>
    <cellStyle name="Normal 720" xfId="39100" xr:uid="{00000000-0005-0000-0000-00001C990000}"/>
    <cellStyle name="Normal 721" xfId="39101" xr:uid="{00000000-0005-0000-0000-00001D990000}"/>
    <cellStyle name="Normal 722" xfId="39102" xr:uid="{00000000-0005-0000-0000-00001E990000}"/>
    <cellStyle name="Normal 723" xfId="39103" xr:uid="{00000000-0005-0000-0000-00001F990000}"/>
    <cellStyle name="Normal 724" xfId="39104" xr:uid="{00000000-0005-0000-0000-000020990000}"/>
    <cellStyle name="Normal 725" xfId="39105" xr:uid="{00000000-0005-0000-0000-000021990000}"/>
    <cellStyle name="Normal 726" xfId="39106" xr:uid="{00000000-0005-0000-0000-000022990000}"/>
    <cellStyle name="Normal 727" xfId="39107" xr:uid="{00000000-0005-0000-0000-000023990000}"/>
    <cellStyle name="Normal 728" xfId="39108" xr:uid="{00000000-0005-0000-0000-000024990000}"/>
    <cellStyle name="Normal 729" xfId="39109" xr:uid="{00000000-0005-0000-0000-000025990000}"/>
    <cellStyle name="Normal 73" xfId="39110" xr:uid="{00000000-0005-0000-0000-000026990000}"/>
    <cellStyle name="Normal 73 2" xfId="39111" xr:uid="{00000000-0005-0000-0000-000027990000}"/>
    <cellStyle name="Normal 73 2 2" xfId="39112" xr:uid="{00000000-0005-0000-0000-000028990000}"/>
    <cellStyle name="Normal 73 2 2 2" xfId="39113" xr:uid="{00000000-0005-0000-0000-000029990000}"/>
    <cellStyle name="Normal 73 2 3" xfId="39114" xr:uid="{00000000-0005-0000-0000-00002A990000}"/>
    <cellStyle name="Normal 73 2 3 2" xfId="39115" xr:uid="{00000000-0005-0000-0000-00002B990000}"/>
    <cellStyle name="Normal 73 2 3 2 2" xfId="39116" xr:uid="{00000000-0005-0000-0000-00002C990000}"/>
    <cellStyle name="Normal 73 2 3 3" xfId="39117" xr:uid="{00000000-0005-0000-0000-00002D990000}"/>
    <cellStyle name="Normal 73 2 4" xfId="39118" xr:uid="{00000000-0005-0000-0000-00002E990000}"/>
    <cellStyle name="Normal 73 2 4 2" xfId="39119" xr:uid="{00000000-0005-0000-0000-00002F990000}"/>
    <cellStyle name="Normal 73 2 4 2 2" xfId="39120" xr:uid="{00000000-0005-0000-0000-000030990000}"/>
    <cellStyle name="Normal 73 2 4 3" xfId="39121" xr:uid="{00000000-0005-0000-0000-000031990000}"/>
    <cellStyle name="Normal 73 2 5" xfId="39122" xr:uid="{00000000-0005-0000-0000-000032990000}"/>
    <cellStyle name="Normal 73 3" xfId="39123" xr:uid="{00000000-0005-0000-0000-000033990000}"/>
    <cellStyle name="Normal 73 3 2" xfId="39124" xr:uid="{00000000-0005-0000-0000-000034990000}"/>
    <cellStyle name="Normal 73 3 2 2" xfId="39125" xr:uid="{00000000-0005-0000-0000-000035990000}"/>
    <cellStyle name="Normal 73 3 2 2 2" xfId="39126" xr:uid="{00000000-0005-0000-0000-000036990000}"/>
    <cellStyle name="Normal 73 3 2 3" xfId="39127" xr:uid="{00000000-0005-0000-0000-000037990000}"/>
    <cellStyle name="Normal 73 3 2 3 2" xfId="39128" xr:uid="{00000000-0005-0000-0000-000038990000}"/>
    <cellStyle name="Normal 73 3 2 3 2 2" xfId="39129" xr:uid="{00000000-0005-0000-0000-000039990000}"/>
    <cellStyle name="Normal 73 3 2 3 3" xfId="39130" xr:uid="{00000000-0005-0000-0000-00003A990000}"/>
    <cellStyle name="Normal 73 3 2 4" xfId="39131" xr:uid="{00000000-0005-0000-0000-00003B990000}"/>
    <cellStyle name="Normal 73 3 3" xfId="39132" xr:uid="{00000000-0005-0000-0000-00003C990000}"/>
    <cellStyle name="Normal 73 3 3 2" xfId="39133" xr:uid="{00000000-0005-0000-0000-00003D990000}"/>
    <cellStyle name="Normal 73 3 3 2 2" xfId="39134" xr:uid="{00000000-0005-0000-0000-00003E990000}"/>
    <cellStyle name="Normal 73 3 3 3" xfId="39135" xr:uid="{00000000-0005-0000-0000-00003F990000}"/>
    <cellStyle name="Normal 73 3 4" xfId="39136" xr:uid="{00000000-0005-0000-0000-000040990000}"/>
    <cellStyle name="Normal 73 3 4 2" xfId="39137" xr:uid="{00000000-0005-0000-0000-000041990000}"/>
    <cellStyle name="Normal 73 3 4 2 2" xfId="39138" xr:uid="{00000000-0005-0000-0000-000042990000}"/>
    <cellStyle name="Normal 73 3 4 3" xfId="39139" xr:uid="{00000000-0005-0000-0000-000043990000}"/>
    <cellStyle name="Normal 73 3 5" xfId="39140" xr:uid="{00000000-0005-0000-0000-000044990000}"/>
    <cellStyle name="Normal 73 3 5 2" xfId="39141" xr:uid="{00000000-0005-0000-0000-000045990000}"/>
    <cellStyle name="Normal 73 3 5 2 2" xfId="39142" xr:uid="{00000000-0005-0000-0000-000046990000}"/>
    <cellStyle name="Normal 73 3 5 3" xfId="39143" xr:uid="{00000000-0005-0000-0000-000047990000}"/>
    <cellStyle name="Normal 73 3 6" xfId="39144" xr:uid="{00000000-0005-0000-0000-000048990000}"/>
    <cellStyle name="Normal 73 4" xfId="39145" xr:uid="{00000000-0005-0000-0000-000049990000}"/>
    <cellStyle name="Normal 73 4 2" xfId="39146" xr:uid="{00000000-0005-0000-0000-00004A990000}"/>
    <cellStyle name="Normal 73 4 2 2" xfId="39147" xr:uid="{00000000-0005-0000-0000-00004B990000}"/>
    <cellStyle name="Normal 73 4 3" xfId="39148" xr:uid="{00000000-0005-0000-0000-00004C990000}"/>
    <cellStyle name="Normal 73 5" xfId="39149" xr:uid="{00000000-0005-0000-0000-00004D990000}"/>
    <cellStyle name="Normal 73 5 2" xfId="39150" xr:uid="{00000000-0005-0000-0000-00004E990000}"/>
    <cellStyle name="Normal 73 5 2 2" xfId="39151" xr:uid="{00000000-0005-0000-0000-00004F990000}"/>
    <cellStyle name="Normal 73 5 3" xfId="39152" xr:uid="{00000000-0005-0000-0000-000050990000}"/>
    <cellStyle name="Normal 73 6" xfId="39153" xr:uid="{00000000-0005-0000-0000-000051990000}"/>
    <cellStyle name="Normal 73 6 2" xfId="39154" xr:uid="{00000000-0005-0000-0000-000052990000}"/>
    <cellStyle name="Normal 73 6 2 2" xfId="39155" xr:uid="{00000000-0005-0000-0000-000053990000}"/>
    <cellStyle name="Normal 73 6 3" xfId="39156" xr:uid="{00000000-0005-0000-0000-000054990000}"/>
    <cellStyle name="Normal 73 7" xfId="39157" xr:uid="{00000000-0005-0000-0000-000055990000}"/>
    <cellStyle name="Normal 730" xfId="39158" xr:uid="{00000000-0005-0000-0000-000056990000}"/>
    <cellStyle name="Normal 731" xfId="39159" xr:uid="{00000000-0005-0000-0000-000057990000}"/>
    <cellStyle name="Normal 732" xfId="39160" xr:uid="{00000000-0005-0000-0000-000058990000}"/>
    <cellStyle name="Normal 733" xfId="39161" xr:uid="{00000000-0005-0000-0000-000059990000}"/>
    <cellStyle name="Normal 734" xfId="39162" xr:uid="{00000000-0005-0000-0000-00005A990000}"/>
    <cellStyle name="Normal 735" xfId="39163" xr:uid="{00000000-0005-0000-0000-00005B990000}"/>
    <cellStyle name="Normal 736" xfId="39164" xr:uid="{00000000-0005-0000-0000-00005C990000}"/>
    <cellStyle name="Normal 737" xfId="667" xr:uid="{00000000-0005-0000-0000-00005D990000}"/>
    <cellStyle name="Normal 738" xfId="53745" xr:uid="{00000000-0005-0000-0000-00005E990000}"/>
    <cellStyle name="Normal 739" xfId="53787" xr:uid="{00000000-0005-0000-0000-00005F990000}"/>
    <cellStyle name="Normal 74" xfId="39165" xr:uid="{00000000-0005-0000-0000-000060990000}"/>
    <cellStyle name="Normal 74 2" xfId="39166" xr:uid="{00000000-0005-0000-0000-000061990000}"/>
    <cellStyle name="Normal 74 2 2" xfId="39167" xr:uid="{00000000-0005-0000-0000-000062990000}"/>
    <cellStyle name="Normal 74 2 2 2" xfId="39168" xr:uid="{00000000-0005-0000-0000-000063990000}"/>
    <cellStyle name="Normal 74 2 3" xfId="39169" xr:uid="{00000000-0005-0000-0000-000064990000}"/>
    <cellStyle name="Normal 74 2 3 2" xfId="39170" xr:uid="{00000000-0005-0000-0000-000065990000}"/>
    <cellStyle name="Normal 74 2 3 2 2" xfId="39171" xr:uid="{00000000-0005-0000-0000-000066990000}"/>
    <cellStyle name="Normal 74 2 3 3" xfId="39172" xr:uid="{00000000-0005-0000-0000-000067990000}"/>
    <cellStyle name="Normal 74 2 4" xfId="39173" xr:uid="{00000000-0005-0000-0000-000068990000}"/>
    <cellStyle name="Normal 74 2 4 2" xfId="39174" xr:uid="{00000000-0005-0000-0000-000069990000}"/>
    <cellStyle name="Normal 74 2 4 2 2" xfId="39175" xr:uid="{00000000-0005-0000-0000-00006A990000}"/>
    <cellStyle name="Normal 74 2 4 3" xfId="39176" xr:uid="{00000000-0005-0000-0000-00006B990000}"/>
    <cellStyle name="Normal 74 2 5" xfId="39177" xr:uid="{00000000-0005-0000-0000-00006C990000}"/>
    <cellStyle name="Normal 74 3" xfId="39178" xr:uid="{00000000-0005-0000-0000-00006D990000}"/>
    <cellStyle name="Normal 74 3 2" xfId="39179" xr:uid="{00000000-0005-0000-0000-00006E990000}"/>
    <cellStyle name="Normal 74 3 2 2" xfId="39180" xr:uid="{00000000-0005-0000-0000-00006F990000}"/>
    <cellStyle name="Normal 74 3 2 2 2" xfId="39181" xr:uid="{00000000-0005-0000-0000-000070990000}"/>
    <cellStyle name="Normal 74 3 2 3" xfId="39182" xr:uid="{00000000-0005-0000-0000-000071990000}"/>
    <cellStyle name="Normal 74 3 2 3 2" xfId="39183" xr:uid="{00000000-0005-0000-0000-000072990000}"/>
    <cellStyle name="Normal 74 3 2 3 2 2" xfId="39184" xr:uid="{00000000-0005-0000-0000-000073990000}"/>
    <cellStyle name="Normal 74 3 2 3 3" xfId="39185" xr:uid="{00000000-0005-0000-0000-000074990000}"/>
    <cellStyle name="Normal 74 3 2 4" xfId="39186" xr:uid="{00000000-0005-0000-0000-000075990000}"/>
    <cellStyle name="Normal 74 3 3" xfId="39187" xr:uid="{00000000-0005-0000-0000-000076990000}"/>
    <cellStyle name="Normal 74 3 3 2" xfId="39188" xr:uid="{00000000-0005-0000-0000-000077990000}"/>
    <cellStyle name="Normal 74 3 3 2 2" xfId="39189" xr:uid="{00000000-0005-0000-0000-000078990000}"/>
    <cellStyle name="Normal 74 3 3 3" xfId="39190" xr:uid="{00000000-0005-0000-0000-000079990000}"/>
    <cellStyle name="Normal 74 3 4" xfId="39191" xr:uid="{00000000-0005-0000-0000-00007A990000}"/>
    <cellStyle name="Normal 74 3 4 2" xfId="39192" xr:uid="{00000000-0005-0000-0000-00007B990000}"/>
    <cellStyle name="Normal 74 3 4 2 2" xfId="39193" xr:uid="{00000000-0005-0000-0000-00007C990000}"/>
    <cellStyle name="Normal 74 3 4 3" xfId="39194" xr:uid="{00000000-0005-0000-0000-00007D990000}"/>
    <cellStyle name="Normal 74 3 5" xfId="39195" xr:uid="{00000000-0005-0000-0000-00007E990000}"/>
    <cellStyle name="Normal 74 3 5 2" xfId="39196" xr:uid="{00000000-0005-0000-0000-00007F990000}"/>
    <cellStyle name="Normal 74 3 5 2 2" xfId="39197" xr:uid="{00000000-0005-0000-0000-000080990000}"/>
    <cellStyle name="Normal 74 3 5 3" xfId="39198" xr:uid="{00000000-0005-0000-0000-000081990000}"/>
    <cellStyle name="Normal 74 3 6" xfId="39199" xr:uid="{00000000-0005-0000-0000-000082990000}"/>
    <cellStyle name="Normal 74 4" xfId="39200" xr:uid="{00000000-0005-0000-0000-000083990000}"/>
    <cellStyle name="Normal 74 4 2" xfId="39201" xr:uid="{00000000-0005-0000-0000-000084990000}"/>
    <cellStyle name="Normal 74 4 2 2" xfId="39202" xr:uid="{00000000-0005-0000-0000-000085990000}"/>
    <cellStyle name="Normal 74 4 3" xfId="39203" xr:uid="{00000000-0005-0000-0000-000086990000}"/>
    <cellStyle name="Normal 74 5" xfId="39204" xr:uid="{00000000-0005-0000-0000-000087990000}"/>
    <cellStyle name="Normal 74 5 2" xfId="39205" xr:uid="{00000000-0005-0000-0000-000088990000}"/>
    <cellStyle name="Normal 74 5 2 2" xfId="39206" xr:uid="{00000000-0005-0000-0000-000089990000}"/>
    <cellStyle name="Normal 74 5 3" xfId="39207" xr:uid="{00000000-0005-0000-0000-00008A990000}"/>
    <cellStyle name="Normal 74 6" xfId="39208" xr:uid="{00000000-0005-0000-0000-00008B990000}"/>
    <cellStyle name="Normal 74 6 2" xfId="39209" xr:uid="{00000000-0005-0000-0000-00008C990000}"/>
    <cellStyle name="Normal 74 6 2 2" xfId="39210" xr:uid="{00000000-0005-0000-0000-00008D990000}"/>
    <cellStyle name="Normal 74 6 3" xfId="39211" xr:uid="{00000000-0005-0000-0000-00008E990000}"/>
    <cellStyle name="Normal 74 7" xfId="39212" xr:uid="{00000000-0005-0000-0000-00008F990000}"/>
    <cellStyle name="Normal 740" xfId="53870" xr:uid="{00000000-0005-0000-0000-000090990000}"/>
    <cellStyle name="Normal 741" xfId="53874" xr:uid="{00000000-0005-0000-0000-000091990000}"/>
    <cellStyle name="Normal 742" xfId="53877" xr:uid="{00000000-0005-0000-0000-000092990000}"/>
    <cellStyle name="Normal 743" xfId="53880" xr:uid="{00000000-0005-0000-0000-000093990000}"/>
    <cellStyle name="Normal 744" xfId="53883" xr:uid="{00000000-0005-0000-0000-000094990000}"/>
    <cellStyle name="Normal 745" xfId="53886" xr:uid="{00000000-0005-0000-0000-000095990000}"/>
    <cellStyle name="Normal 746" xfId="53890" xr:uid="{00000000-0005-0000-0000-000096990000}"/>
    <cellStyle name="Normal 747" xfId="53893" xr:uid="{6DBCCEF8-EFA8-4D28-B57F-2D0A6FD5C38E}"/>
    <cellStyle name="Normal 75" xfId="39213" xr:uid="{00000000-0005-0000-0000-000097990000}"/>
    <cellStyle name="Normal 75 2" xfId="39214" xr:uid="{00000000-0005-0000-0000-000098990000}"/>
    <cellStyle name="Normal 75 2 2" xfId="39215" xr:uid="{00000000-0005-0000-0000-000099990000}"/>
    <cellStyle name="Normal 75 2 2 2" xfId="39216" xr:uid="{00000000-0005-0000-0000-00009A990000}"/>
    <cellStyle name="Normal 75 2 3" xfId="39217" xr:uid="{00000000-0005-0000-0000-00009B990000}"/>
    <cellStyle name="Normal 75 2 3 2" xfId="39218" xr:uid="{00000000-0005-0000-0000-00009C990000}"/>
    <cellStyle name="Normal 75 2 3 2 2" xfId="39219" xr:uid="{00000000-0005-0000-0000-00009D990000}"/>
    <cellStyle name="Normal 75 2 3 3" xfId="39220" xr:uid="{00000000-0005-0000-0000-00009E990000}"/>
    <cellStyle name="Normal 75 2 4" xfId="39221" xr:uid="{00000000-0005-0000-0000-00009F990000}"/>
    <cellStyle name="Normal 75 2 4 2" xfId="39222" xr:uid="{00000000-0005-0000-0000-0000A0990000}"/>
    <cellStyle name="Normal 75 2 4 2 2" xfId="39223" xr:uid="{00000000-0005-0000-0000-0000A1990000}"/>
    <cellStyle name="Normal 75 2 4 3" xfId="39224" xr:uid="{00000000-0005-0000-0000-0000A2990000}"/>
    <cellStyle name="Normal 75 2 5" xfId="39225" xr:uid="{00000000-0005-0000-0000-0000A3990000}"/>
    <cellStyle name="Normal 75 3" xfId="39226" xr:uid="{00000000-0005-0000-0000-0000A4990000}"/>
    <cellStyle name="Normal 75 3 2" xfId="39227" xr:uid="{00000000-0005-0000-0000-0000A5990000}"/>
    <cellStyle name="Normal 75 3 2 2" xfId="39228" xr:uid="{00000000-0005-0000-0000-0000A6990000}"/>
    <cellStyle name="Normal 75 3 2 2 2" xfId="39229" xr:uid="{00000000-0005-0000-0000-0000A7990000}"/>
    <cellStyle name="Normal 75 3 2 3" xfId="39230" xr:uid="{00000000-0005-0000-0000-0000A8990000}"/>
    <cellStyle name="Normal 75 3 2 3 2" xfId="39231" xr:uid="{00000000-0005-0000-0000-0000A9990000}"/>
    <cellStyle name="Normal 75 3 2 3 2 2" xfId="39232" xr:uid="{00000000-0005-0000-0000-0000AA990000}"/>
    <cellStyle name="Normal 75 3 2 3 3" xfId="39233" xr:uid="{00000000-0005-0000-0000-0000AB990000}"/>
    <cellStyle name="Normal 75 3 2 4" xfId="39234" xr:uid="{00000000-0005-0000-0000-0000AC990000}"/>
    <cellStyle name="Normal 75 3 3" xfId="39235" xr:uid="{00000000-0005-0000-0000-0000AD990000}"/>
    <cellStyle name="Normal 75 3 3 2" xfId="39236" xr:uid="{00000000-0005-0000-0000-0000AE990000}"/>
    <cellStyle name="Normal 75 3 3 2 2" xfId="39237" xr:uid="{00000000-0005-0000-0000-0000AF990000}"/>
    <cellStyle name="Normal 75 3 3 3" xfId="39238" xr:uid="{00000000-0005-0000-0000-0000B0990000}"/>
    <cellStyle name="Normal 75 3 4" xfId="39239" xr:uid="{00000000-0005-0000-0000-0000B1990000}"/>
    <cellStyle name="Normal 75 3 4 2" xfId="39240" xr:uid="{00000000-0005-0000-0000-0000B2990000}"/>
    <cellStyle name="Normal 75 3 4 2 2" xfId="39241" xr:uid="{00000000-0005-0000-0000-0000B3990000}"/>
    <cellStyle name="Normal 75 3 4 3" xfId="39242" xr:uid="{00000000-0005-0000-0000-0000B4990000}"/>
    <cellStyle name="Normal 75 3 5" xfId="39243" xr:uid="{00000000-0005-0000-0000-0000B5990000}"/>
    <cellStyle name="Normal 75 3 5 2" xfId="39244" xr:uid="{00000000-0005-0000-0000-0000B6990000}"/>
    <cellStyle name="Normal 75 3 5 2 2" xfId="39245" xr:uid="{00000000-0005-0000-0000-0000B7990000}"/>
    <cellStyle name="Normal 75 3 5 3" xfId="39246" xr:uid="{00000000-0005-0000-0000-0000B8990000}"/>
    <cellStyle name="Normal 75 3 6" xfId="39247" xr:uid="{00000000-0005-0000-0000-0000B9990000}"/>
    <cellStyle name="Normal 75 4" xfId="39248" xr:uid="{00000000-0005-0000-0000-0000BA990000}"/>
    <cellStyle name="Normal 75 4 2" xfId="39249" xr:uid="{00000000-0005-0000-0000-0000BB990000}"/>
    <cellStyle name="Normal 75 4 2 2" xfId="39250" xr:uid="{00000000-0005-0000-0000-0000BC990000}"/>
    <cellStyle name="Normal 75 4 3" xfId="39251" xr:uid="{00000000-0005-0000-0000-0000BD990000}"/>
    <cellStyle name="Normal 75 5" xfId="39252" xr:uid="{00000000-0005-0000-0000-0000BE990000}"/>
    <cellStyle name="Normal 75 5 2" xfId="39253" xr:uid="{00000000-0005-0000-0000-0000BF990000}"/>
    <cellStyle name="Normal 75 5 2 2" xfId="39254" xr:uid="{00000000-0005-0000-0000-0000C0990000}"/>
    <cellStyle name="Normal 75 5 3" xfId="39255" xr:uid="{00000000-0005-0000-0000-0000C1990000}"/>
    <cellStyle name="Normal 75 6" xfId="39256" xr:uid="{00000000-0005-0000-0000-0000C2990000}"/>
    <cellStyle name="Normal 75 6 2" xfId="39257" xr:uid="{00000000-0005-0000-0000-0000C3990000}"/>
    <cellStyle name="Normal 75 6 2 2" xfId="39258" xr:uid="{00000000-0005-0000-0000-0000C4990000}"/>
    <cellStyle name="Normal 75 6 3" xfId="39259" xr:uid="{00000000-0005-0000-0000-0000C5990000}"/>
    <cellStyle name="Normal 75 7" xfId="39260" xr:uid="{00000000-0005-0000-0000-0000C6990000}"/>
    <cellStyle name="Normal 76" xfId="39261" xr:uid="{00000000-0005-0000-0000-0000C7990000}"/>
    <cellStyle name="Normal 76 2" xfId="39262" xr:uid="{00000000-0005-0000-0000-0000C8990000}"/>
    <cellStyle name="Normal 76 2 2" xfId="39263" xr:uid="{00000000-0005-0000-0000-0000C9990000}"/>
    <cellStyle name="Normal 76 2 2 2" xfId="39264" xr:uid="{00000000-0005-0000-0000-0000CA990000}"/>
    <cellStyle name="Normal 76 2 3" xfId="39265" xr:uid="{00000000-0005-0000-0000-0000CB990000}"/>
    <cellStyle name="Normal 76 2 3 2" xfId="39266" xr:uid="{00000000-0005-0000-0000-0000CC990000}"/>
    <cellStyle name="Normal 76 2 3 2 2" xfId="39267" xr:uid="{00000000-0005-0000-0000-0000CD990000}"/>
    <cellStyle name="Normal 76 2 3 3" xfId="39268" xr:uid="{00000000-0005-0000-0000-0000CE990000}"/>
    <cellStyle name="Normal 76 2 4" xfId="39269" xr:uid="{00000000-0005-0000-0000-0000CF990000}"/>
    <cellStyle name="Normal 76 2 4 2" xfId="39270" xr:uid="{00000000-0005-0000-0000-0000D0990000}"/>
    <cellStyle name="Normal 76 2 4 2 2" xfId="39271" xr:uid="{00000000-0005-0000-0000-0000D1990000}"/>
    <cellStyle name="Normal 76 2 4 3" xfId="39272" xr:uid="{00000000-0005-0000-0000-0000D2990000}"/>
    <cellStyle name="Normal 76 2 5" xfId="39273" xr:uid="{00000000-0005-0000-0000-0000D3990000}"/>
    <cellStyle name="Normal 76 3" xfId="39274" xr:uid="{00000000-0005-0000-0000-0000D4990000}"/>
    <cellStyle name="Normal 76 3 2" xfId="39275" xr:uid="{00000000-0005-0000-0000-0000D5990000}"/>
    <cellStyle name="Normal 76 3 2 2" xfId="39276" xr:uid="{00000000-0005-0000-0000-0000D6990000}"/>
    <cellStyle name="Normal 76 3 2 2 2" xfId="39277" xr:uid="{00000000-0005-0000-0000-0000D7990000}"/>
    <cellStyle name="Normal 76 3 2 3" xfId="39278" xr:uid="{00000000-0005-0000-0000-0000D8990000}"/>
    <cellStyle name="Normal 76 3 2 3 2" xfId="39279" xr:uid="{00000000-0005-0000-0000-0000D9990000}"/>
    <cellStyle name="Normal 76 3 2 3 2 2" xfId="39280" xr:uid="{00000000-0005-0000-0000-0000DA990000}"/>
    <cellStyle name="Normal 76 3 2 3 3" xfId="39281" xr:uid="{00000000-0005-0000-0000-0000DB990000}"/>
    <cellStyle name="Normal 76 3 2 4" xfId="39282" xr:uid="{00000000-0005-0000-0000-0000DC990000}"/>
    <cellStyle name="Normal 76 3 3" xfId="39283" xr:uid="{00000000-0005-0000-0000-0000DD990000}"/>
    <cellStyle name="Normal 76 3 3 2" xfId="39284" xr:uid="{00000000-0005-0000-0000-0000DE990000}"/>
    <cellStyle name="Normal 76 3 3 2 2" xfId="39285" xr:uid="{00000000-0005-0000-0000-0000DF990000}"/>
    <cellStyle name="Normal 76 3 3 3" xfId="39286" xr:uid="{00000000-0005-0000-0000-0000E0990000}"/>
    <cellStyle name="Normal 76 3 4" xfId="39287" xr:uid="{00000000-0005-0000-0000-0000E1990000}"/>
    <cellStyle name="Normal 76 3 4 2" xfId="39288" xr:uid="{00000000-0005-0000-0000-0000E2990000}"/>
    <cellStyle name="Normal 76 3 4 2 2" xfId="39289" xr:uid="{00000000-0005-0000-0000-0000E3990000}"/>
    <cellStyle name="Normal 76 3 4 3" xfId="39290" xr:uid="{00000000-0005-0000-0000-0000E4990000}"/>
    <cellStyle name="Normal 76 3 5" xfId="39291" xr:uid="{00000000-0005-0000-0000-0000E5990000}"/>
    <cellStyle name="Normal 76 3 5 2" xfId="39292" xr:uid="{00000000-0005-0000-0000-0000E6990000}"/>
    <cellStyle name="Normal 76 3 5 2 2" xfId="39293" xr:uid="{00000000-0005-0000-0000-0000E7990000}"/>
    <cellStyle name="Normal 76 3 5 3" xfId="39294" xr:uid="{00000000-0005-0000-0000-0000E8990000}"/>
    <cellStyle name="Normal 76 3 6" xfId="39295" xr:uid="{00000000-0005-0000-0000-0000E9990000}"/>
    <cellStyle name="Normal 76 4" xfId="39296" xr:uid="{00000000-0005-0000-0000-0000EA990000}"/>
    <cellStyle name="Normal 76 4 2" xfId="39297" xr:uid="{00000000-0005-0000-0000-0000EB990000}"/>
    <cellStyle name="Normal 76 4 2 2" xfId="39298" xr:uid="{00000000-0005-0000-0000-0000EC990000}"/>
    <cellStyle name="Normal 76 4 3" xfId="39299" xr:uid="{00000000-0005-0000-0000-0000ED990000}"/>
    <cellStyle name="Normal 76 5" xfId="39300" xr:uid="{00000000-0005-0000-0000-0000EE990000}"/>
    <cellStyle name="Normal 76 5 2" xfId="39301" xr:uid="{00000000-0005-0000-0000-0000EF990000}"/>
    <cellStyle name="Normal 76 5 2 2" xfId="39302" xr:uid="{00000000-0005-0000-0000-0000F0990000}"/>
    <cellStyle name="Normal 76 5 3" xfId="39303" xr:uid="{00000000-0005-0000-0000-0000F1990000}"/>
    <cellStyle name="Normal 76 6" xfId="39304" xr:uid="{00000000-0005-0000-0000-0000F2990000}"/>
    <cellStyle name="Normal 76 6 2" xfId="39305" xr:uid="{00000000-0005-0000-0000-0000F3990000}"/>
    <cellStyle name="Normal 76 6 2 2" xfId="39306" xr:uid="{00000000-0005-0000-0000-0000F4990000}"/>
    <cellStyle name="Normal 76 6 3" xfId="39307" xr:uid="{00000000-0005-0000-0000-0000F5990000}"/>
    <cellStyle name="Normal 76 7" xfId="39308" xr:uid="{00000000-0005-0000-0000-0000F6990000}"/>
    <cellStyle name="Normal 77" xfId="39309" xr:uid="{00000000-0005-0000-0000-0000F7990000}"/>
    <cellStyle name="Normal 77 2" xfId="39310" xr:uid="{00000000-0005-0000-0000-0000F8990000}"/>
    <cellStyle name="Normal 77 2 2" xfId="39311" xr:uid="{00000000-0005-0000-0000-0000F9990000}"/>
    <cellStyle name="Normal 77 2 2 2" xfId="39312" xr:uid="{00000000-0005-0000-0000-0000FA990000}"/>
    <cellStyle name="Normal 77 2 3" xfId="39313" xr:uid="{00000000-0005-0000-0000-0000FB990000}"/>
    <cellStyle name="Normal 77 2 3 2" xfId="39314" xr:uid="{00000000-0005-0000-0000-0000FC990000}"/>
    <cellStyle name="Normal 77 2 3 2 2" xfId="39315" xr:uid="{00000000-0005-0000-0000-0000FD990000}"/>
    <cellStyle name="Normal 77 2 3 3" xfId="39316" xr:uid="{00000000-0005-0000-0000-0000FE990000}"/>
    <cellStyle name="Normal 77 2 4" xfId="39317" xr:uid="{00000000-0005-0000-0000-0000FF990000}"/>
    <cellStyle name="Normal 77 2 4 2" xfId="39318" xr:uid="{00000000-0005-0000-0000-0000009A0000}"/>
    <cellStyle name="Normal 77 2 4 2 2" xfId="39319" xr:uid="{00000000-0005-0000-0000-0000019A0000}"/>
    <cellStyle name="Normal 77 2 4 3" xfId="39320" xr:uid="{00000000-0005-0000-0000-0000029A0000}"/>
    <cellStyle name="Normal 77 2 5" xfId="39321" xr:uid="{00000000-0005-0000-0000-0000039A0000}"/>
    <cellStyle name="Normal 77 3" xfId="39322" xr:uid="{00000000-0005-0000-0000-0000049A0000}"/>
    <cellStyle name="Normal 77 3 2" xfId="39323" xr:uid="{00000000-0005-0000-0000-0000059A0000}"/>
    <cellStyle name="Normal 77 3 2 2" xfId="39324" xr:uid="{00000000-0005-0000-0000-0000069A0000}"/>
    <cellStyle name="Normal 77 3 2 2 2" xfId="39325" xr:uid="{00000000-0005-0000-0000-0000079A0000}"/>
    <cellStyle name="Normal 77 3 2 3" xfId="39326" xr:uid="{00000000-0005-0000-0000-0000089A0000}"/>
    <cellStyle name="Normal 77 3 2 3 2" xfId="39327" xr:uid="{00000000-0005-0000-0000-0000099A0000}"/>
    <cellStyle name="Normal 77 3 2 3 2 2" xfId="39328" xr:uid="{00000000-0005-0000-0000-00000A9A0000}"/>
    <cellStyle name="Normal 77 3 2 3 3" xfId="39329" xr:uid="{00000000-0005-0000-0000-00000B9A0000}"/>
    <cellStyle name="Normal 77 3 2 4" xfId="39330" xr:uid="{00000000-0005-0000-0000-00000C9A0000}"/>
    <cellStyle name="Normal 77 3 3" xfId="39331" xr:uid="{00000000-0005-0000-0000-00000D9A0000}"/>
    <cellStyle name="Normal 77 3 3 2" xfId="39332" xr:uid="{00000000-0005-0000-0000-00000E9A0000}"/>
    <cellStyle name="Normal 77 3 3 2 2" xfId="39333" xr:uid="{00000000-0005-0000-0000-00000F9A0000}"/>
    <cellStyle name="Normal 77 3 3 3" xfId="39334" xr:uid="{00000000-0005-0000-0000-0000109A0000}"/>
    <cellStyle name="Normal 77 3 4" xfId="39335" xr:uid="{00000000-0005-0000-0000-0000119A0000}"/>
    <cellStyle name="Normal 77 3 4 2" xfId="39336" xr:uid="{00000000-0005-0000-0000-0000129A0000}"/>
    <cellStyle name="Normal 77 3 4 2 2" xfId="39337" xr:uid="{00000000-0005-0000-0000-0000139A0000}"/>
    <cellStyle name="Normal 77 3 4 3" xfId="39338" xr:uid="{00000000-0005-0000-0000-0000149A0000}"/>
    <cellStyle name="Normal 77 3 5" xfId="39339" xr:uid="{00000000-0005-0000-0000-0000159A0000}"/>
    <cellStyle name="Normal 77 3 5 2" xfId="39340" xr:uid="{00000000-0005-0000-0000-0000169A0000}"/>
    <cellStyle name="Normal 77 3 5 2 2" xfId="39341" xr:uid="{00000000-0005-0000-0000-0000179A0000}"/>
    <cellStyle name="Normal 77 3 5 3" xfId="39342" xr:uid="{00000000-0005-0000-0000-0000189A0000}"/>
    <cellStyle name="Normal 77 3 6" xfId="39343" xr:uid="{00000000-0005-0000-0000-0000199A0000}"/>
    <cellStyle name="Normal 77 4" xfId="39344" xr:uid="{00000000-0005-0000-0000-00001A9A0000}"/>
    <cellStyle name="Normal 77 4 2" xfId="39345" xr:uid="{00000000-0005-0000-0000-00001B9A0000}"/>
    <cellStyle name="Normal 77 4 2 2" xfId="39346" xr:uid="{00000000-0005-0000-0000-00001C9A0000}"/>
    <cellStyle name="Normal 77 4 3" xfId="39347" xr:uid="{00000000-0005-0000-0000-00001D9A0000}"/>
    <cellStyle name="Normal 77 5" xfId="39348" xr:uid="{00000000-0005-0000-0000-00001E9A0000}"/>
    <cellStyle name="Normal 77 5 2" xfId="39349" xr:uid="{00000000-0005-0000-0000-00001F9A0000}"/>
    <cellStyle name="Normal 77 5 2 2" xfId="39350" xr:uid="{00000000-0005-0000-0000-0000209A0000}"/>
    <cellStyle name="Normal 77 5 3" xfId="39351" xr:uid="{00000000-0005-0000-0000-0000219A0000}"/>
    <cellStyle name="Normal 77 6" xfId="39352" xr:uid="{00000000-0005-0000-0000-0000229A0000}"/>
    <cellStyle name="Normal 77 6 2" xfId="39353" xr:uid="{00000000-0005-0000-0000-0000239A0000}"/>
    <cellStyle name="Normal 77 6 2 2" xfId="39354" xr:uid="{00000000-0005-0000-0000-0000249A0000}"/>
    <cellStyle name="Normal 77 6 3" xfId="39355" xr:uid="{00000000-0005-0000-0000-0000259A0000}"/>
    <cellStyle name="Normal 77 7" xfId="39356" xr:uid="{00000000-0005-0000-0000-0000269A0000}"/>
    <cellStyle name="Normal 78" xfId="39357" xr:uid="{00000000-0005-0000-0000-0000279A0000}"/>
    <cellStyle name="Normal 78 2" xfId="39358" xr:uid="{00000000-0005-0000-0000-0000289A0000}"/>
    <cellStyle name="Normal 78 2 2" xfId="39359" xr:uid="{00000000-0005-0000-0000-0000299A0000}"/>
    <cellStyle name="Normal 78 2 2 2" xfId="39360" xr:uid="{00000000-0005-0000-0000-00002A9A0000}"/>
    <cellStyle name="Normal 78 2 3" xfId="39361" xr:uid="{00000000-0005-0000-0000-00002B9A0000}"/>
    <cellStyle name="Normal 78 2 3 2" xfId="39362" xr:uid="{00000000-0005-0000-0000-00002C9A0000}"/>
    <cellStyle name="Normal 78 2 3 2 2" xfId="39363" xr:uid="{00000000-0005-0000-0000-00002D9A0000}"/>
    <cellStyle name="Normal 78 2 3 3" xfId="39364" xr:uid="{00000000-0005-0000-0000-00002E9A0000}"/>
    <cellStyle name="Normal 78 2 4" xfId="39365" xr:uid="{00000000-0005-0000-0000-00002F9A0000}"/>
    <cellStyle name="Normal 78 2 4 2" xfId="39366" xr:uid="{00000000-0005-0000-0000-0000309A0000}"/>
    <cellStyle name="Normal 78 2 4 2 2" xfId="39367" xr:uid="{00000000-0005-0000-0000-0000319A0000}"/>
    <cellStyle name="Normal 78 2 4 3" xfId="39368" xr:uid="{00000000-0005-0000-0000-0000329A0000}"/>
    <cellStyle name="Normal 78 2 5" xfId="39369" xr:uid="{00000000-0005-0000-0000-0000339A0000}"/>
    <cellStyle name="Normal 78 3" xfId="39370" xr:uid="{00000000-0005-0000-0000-0000349A0000}"/>
    <cellStyle name="Normal 78 3 2" xfId="39371" xr:uid="{00000000-0005-0000-0000-0000359A0000}"/>
    <cellStyle name="Normal 78 3 2 2" xfId="39372" xr:uid="{00000000-0005-0000-0000-0000369A0000}"/>
    <cellStyle name="Normal 78 3 2 2 2" xfId="39373" xr:uid="{00000000-0005-0000-0000-0000379A0000}"/>
    <cellStyle name="Normal 78 3 2 3" xfId="39374" xr:uid="{00000000-0005-0000-0000-0000389A0000}"/>
    <cellStyle name="Normal 78 3 2 3 2" xfId="39375" xr:uid="{00000000-0005-0000-0000-0000399A0000}"/>
    <cellStyle name="Normal 78 3 2 3 2 2" xfId="39376" xr:uid="{00000000-0005-0000-0000-00003A9A0000}"/>
    <cellStyle name="Normal 78 3 2 3 3" xfId="39377" xr:uid="{00000000-0005-0000-0000-00003B9A0000}"/>
    <cellStyle name="Normal 78 3 2 4" xfId="39378" xr:uid="{00000000-0005-0000-0000-00003C9A0000}"/>
    <cellStyle name="Normal 78 3 3" xfId="39379" xr:uid="{00000000-0005-0000-0000-00003D9A0000}"/>
    <cellStyle name="Normal 78 3 3 2" xfId="39380" xr:uid="{00000000-0005-0000-0000-00003E9A0000}"/>
    <cellStyle name="Normal 78 3 3 2 2" xfId="39381" xr:uid="{00000000-0005-0000-0000-00003F9A0000}"/>
    <cellStyle name="Normal 78 3 3 3" xfId="39382" xr:uid="{00000000-0005-0000-0000-0000409A0000}"/>
    <cellStyle name="Normal 78 3 4" xfId="39383" xr:uid="{00000000-0005-0000-0000-0000419A0000}"/>
    <cellStyle name="Normal 78 3 4 2" xfId="39384" xr:uid="{00000000-0005-0000-0000-0000429A0000}"/>
    <cellStyle name="Normal 78 3 4 2 2" xfId="39385" xr:uid="{00000000-0005-0000-0000-0000439A0000}"/>
    <cellStyle name="Normal 78 3 4 3" xfId="39386" xr:uid="{00000000-0005-0000-0000-0000449A0000}"/>
    <cellStyle name="Normal 78 3 5" xfId="39387" xr:uid="{00000000-0005-0000-0000-0000459A0000}"/>
    <cellStyle name="Normal 78 3 5 2" xfId="39388" xr:uid="{00000000-0005-0000-0000-0000469A0000}"/>
    <cellStyle name="Normal 78 3 5 2 2" xfId="39389" xr:uid="{00000000-0005-0000-0000-0000479A0000}"/>
    <cellStyle name="Normal 78 3 5 3" xfId="39390" xr:uid="{00000000-0005-0000-0000-0000489A0000}"/>
    <cellStyle name="Normal 78 3 6" xfId="39391" xr:uid="{00000000-0005-0000-0000-0000499A0000}"/>
    <cellStyle name="Normal 78 4" xfId="39392" xr:uid="{00000000-0005-0000-0000-00004A9A0000}"/>
    <cellStyle name="Normal 78 4 2" xfId="39393" xr:uid="{00000000-0005-0000-0000-00004B9A0000}"/>
    <cellStyle name="Normal 78 4 2 2" xfId="39394" xr:uid="{00000000-0005-0000-0000-00004C9A0000}"/>
    <cellStyle name="Normal 78 4 3" xfId="39395" xr:uid="{00000000-0005-0000-0000-00004D9A0000}"/>
    <cellStyle name="Normal 78 5" xfId="39396" xr:uid="{00000000-0005-0000-0000-00004E9A0000}"/>
    <cellStyle name="Normal 78 5 2" xfId="39397" xr:uid="{00000000-0005-0000-0000-00004F9A0000}"/>
    <cellStyle name="Normal 78 5 2 2" xfId="39398" xr:uid="{00000000-0005-0000-0000-0000509A0000}"/>
    <cellStyle name="Normal 78 5 3" xfId="39399" xr:uid="{00000000-0005-0000-0000-0000519A0000}"/>
    <cellStyle name="Normal 78 6" xfId="39400" xr:uid="{00000000-0005-0000-0000-0000529A0000}"/>
    <cellStyle name="Normal 78 6 2" xfId="39401" xr:uid="{00000000-0005-0000-0000-0000539A0000}"/>
    <cellStyle name="Normal 78 6 2 2" xfId="39402" xr:uid="{00000000-0005-0000-0000-0000549A0000}"/>
    <cellStyle name="Normal 78 6 3" xfId="39403" xr:uid="{00000000-0005-0000-0000-0000559A0000}"/>
    <cellStyle name="Normal 78 7" xfId="39404" xr:uid="{00000000-0005-0000-0000-0000569A0000}"/>
    <cellStyle name="Normal 79" xfId="39405" xr:uid="{00000000-0005-0000-0000-0000579A0000}"/>
    <cellStyle name="Normal 79 2" xfId="39406" xr:uid="{00000000-0005-0000-0000-0000589A0000}"/>
    <cellStyle name="Normal 79 2 2" xfId="39407" xr:uid="{00000000-0005-0000-0000-0000599A0000}"/>
    <cellStyle name="Normal 79 2 2 2" xfId="39408" xr:uid="{00000000-0005-0000-0000-00005A9A0000}"/>
    <cellStyle name="Normal 79 2 3" xfId="39409" xr:uid="{00000000-0005-0000-0000-00005B9A0000}"/>
    <cellStyle name="Normal 79 2 3 2" xfId="39410" xr:uid="{00000000-0005-0000-0000-00005C9A0000}"/>
    <cellStyle name="Normal 79 2 3 2 2" xfId="39411" xr:uid="{00000000-0005-0000-0000-00005D9A0000}"/>
    <cellStyle name="Normal 79 2 3 3" xfId="39412" xr:uid="{00000000-0005-0000-0000-00005E9A0000}"/>
    <cellStyle name="Normal 79 2 4" xfId="39413" xr:uid="{00000000-0005-0000-0000-00005F9A0000}"/>
    <cellStyle name="Normal 79 2 4 2" xfId="39414" xr:uid="{00000000-0005-0000-0000-0000609A0000}"/>
    <cellStyle name="Normal 79 2 4 2 2" xfId="39415" xr:uid="{00000000-0005-0000-0000-0000619A0000}"/>
    <cellStyle name="Normal 79 2 4 3" xfId="39416" xr:uid="{00000000-0005-0000-0000-0000629A0000}"/>
    <cellStyle name="Normal 79 2 5" xfId="39417" xr:uid="{00000000-0005-0000-0000-0000639A0000}"/>
    <cellStyle name="Normal 79 3" xfId="39418" xr:uid="{00000000-0005-0000-0000-0000649A0000}"/>
    <cellStyle name="Normal 79 3 2" xfId="39419" xr:uid="{00000000-0005-0000-0000-0000659A0000}"/>
    <cellStyle name="Normal 79 3 2 2" xfId="39420" xr:uid="{00000000-0005-0000-0000-0000669A0000}"/>
    <cellStyle name="Normal 79 3 2 2 2" xfId="39421" xr:uid="{00000000-0005-0000-0000-0000679A0000}"/>
    <cellStyle name="Normal 79 3 2 3" xfId="39422" xr:uid="{00000000-0005-0000-0000-0000689A0000}"/>
    <cellStyle name="Normal 79 3 2 3 2" xfId="39423" xr:uid="{00000000-0005-0000-0000-0000699A0000}"/>
    <cellStyle name="Normal 79 3 2 3 2 2" xfId="39424" xr:uid="{00000000-0005-0000-0000-00006A9A0000}"/>
    <cellStyle name="Normal 79 3 2 3 3" xfId="39425" xr:uid="{00000000-0005-0000-0000-00006B9A0000}"/>
    <cellStyle name="Normal 79 3 2 4" xfId="39426" xr:uid="{00000000-0005-0000-0000-00006C9A0000}"/>
    <cellStyle name="Normal 79 3 3" xfId="39427" xr:uid="{00000000-0005-0000-0000-00006D9A0000}"/>
    <cellStyle name="Normal 79 3 3 2" xfId="39428" xr:uid="{00000000-0005-0000-0000-00006E9A0000}"/>
    <cellStyle name="Normal 79 3 3 2 2" xfId="39429" xr:uid="{00000000-0005-0000-0000-00006F9A0000}"/>
    <cellStyle name="Normal 79 3 3 3" xfId="39430" xr:uid="{00000000-0005-0000-0000-0000709A0000}"/>
    <cellStyle name="Normal 79 3 4" xfId="39431" xr:uid="{00000000-0005-0000-0000-0000719A0000}"/>
    <cellStyle name="Normal 79 3 4 2" xfId="39432" xr:uid="{00000000-0005-0000-0000-0000729A0000}"/>
    <cellStyle name="Normal 79 3 4 2 2" xfId="39433" xr:uid="{00000000-0005-0000-0000-0000739A0000}"/>
    <cellStyle name="Normal 79 3 4 3" xfId="39434" xr:uid="{00000000-0005-0000-0000-0000749A0000}"/>
    <cellStyle name="Normal 79 3 5" xfId="39435" xr:uid="{00000000-0005-0000-0000-0000759A0000}"/>
    <cellStyle name="Normal 79 3 5 2" xfId="39436" xr:uid="{00000000-0005-0000-0000-0000769A0000}"/>
    <cellStyle name="Normal 79 3 5 2 2" xfId="39437" xr:uid="{00000000-0005-0000-0000-0000779A0000}"/>
    <cellStyle name="Normal 79 3 5 3" xfId="39438" xr:uid="{00000000-0005-0000-0000-0000789A0000}"/>
    <cellStyle name="Normal 79 3 6" xfId="39439" xr:uid="{00000000-0005-0000-0000-0000799A0000}"/>
    <cellStyle name="Normal 79 4" xfId="39440" xr:uid="{00000000-0005-0000-0000-00007A9A0000}"/>
    <cellStyle name="Normal 79 4 2" xfId="39441" xr:uid="{00000000-0005-0000-0000-00007B9A0000}"/>
    <cellStyle name="Normal 79 4 2 2" xfId="39442" xr:uid="{00000000-0005-0000-0000-00007C9A0000}"/>
    <cellStyle name="Normal 79 4 3" xfId="39443" xr:uid="{00000000-0005-0000-0000-00007D9A0000}"/>
    <cellStyle name="Normal 79 5" xfId="39444" xr:uid="{00000000-0005-0000-0000-00007E9A0000}"/>
    <cellStyle name="Normal 79 5 2" xfId="39445" xr:uid="{00000000-0005-0000-0000-00007F9A0000}"/>
    <cellStyle name="Normal 79 5 2 2" xfId="39446" xr:uid="{00000000-0005-0000-0000-0000809A0000}"/>
    <cellStyle name="Normal 79 5 3" xfId="39447" xr:uid="{00000000-0005-0000-0000-0000819A0000}"/>
    <cellStyle name="Normal 79 6" xfId="39448" xr:uid="{00000000-0005-0000-0000-0000829A0000}"/>
    <cellStyle name="Normal 79 6 2" xfId="39449" xr:uid="{00000000-0005-0000-0000-0000839A0000}"/>
    <cellStyle name="Normal 79 6 2 2" xfId="39450" xr:uid="{00000000-0005-0000-0000-0000849A0000}"/>
    <cellStyle name="Normal 79 6 3" xfId="39451" xr:uid="{00000000-0005-0000-0000-0000859A0000}"/>
    <cellStyle name="Normal 79 7" xfId="39452" xr:uid="{00000000-0005-0000-0000-0000869A0000}"/>
    <cellStyle name="Normal 8" xfId="126" xr:uid="{00000000-0005-0000-0000-0000879A0000}"/>
    <cellStyle name="Normal 8 10" xfId="39454" xr:uid="{00000000-0005-0000-0000-0000889A0000}"/>
    <cellStyle name="Normal 8 11" xfId="39453" xr:uid="{00000000-0005-0000-0000-0000899A0000}"/>
    <cellStyle name="Normal 8 2" xfId="39455" xr:uid="{00000000-0005-0000-0000-00008A9A0000}"/>
    <cellStyle name="Normal 8 2 2" xfId="39456" xr:uid="{00000000-0005-0000-0000-00008B9A0000}"/>
    <cellStyle name="Normal 8 2 2 2" xfId="39457" xr:uid="{00000000-0005-0000-0000-00008C9A0000}"/>
    <cellStyle name="Normal 8 2 2 2 2" xfId="39458" xr:uid="{00000000-0005-0000-0000-00008D9A0000}"/>
    <cellStyle name="Normal 8 2 2 3" xfId="39459" xr:uid="{00000000-0005-0000-0000-00008E9A0000}"/>
    <cellStyle name="Normal 8 2 2 3 2" xfId="39460" xr:uid="{00000000-0005-0000-0000-00008F9A0000}"/>
    <cellStyle name="Normal 8 2 2 3 2 2" xfId="39461" xr:uid="{00000000-0005-0000-0000-0000909A0000}"/>
    <cellStyle name="Normal 8 2 2 3 3" xfId="39462" xr:uid="{00000000-0005-0000-0000-0000919A0000}"/>
    <cellStyle name="Normal 8 2 2 4" xfId="39463" xr:uid="{00000000-0005-0000-0000-0000929A0000}"/>
    <cellStyle name="Normal 8 2 2 4 2" xfId="39464" xr:uid="{00000000-0005-0000-0000-0000939A0000}"/>
    <cellStyle name="Normal 8 2 2 4 2 2" xfId="39465" xr:uid="{00000000-0005-0000-0000-0000949A0000}"/>
    <cellStyle name="Normal 8 2 2 4 3" xfId="39466" xr:uid="{00000000-0005-0000-0000-0000959A0000}"/>
    <cellStyle name="Normal 8 2 2 5" xfId="39467" xr:uid="{00000000-0005-0000-0000-0000969A0000}"/>
    <cellStyle name="Normal 8 2 3" xfId="39468" xr:uid="{00000000-0005-0000-0000-0000979A0000}"/>
    <cellStyle name="Normal 8 2 3 2" xfId="39469" xr:uid="{00000000-0005-0000-0000-0000989A0000}"/>
    <cellStyle name="Normal 8 2 3 2 2" xfId="39470" xr:uid="{00000000-0005-0000-0000-0000999A0000}"/>
    <cellStyle name="Normal 8 2 3 2 2 2" xfId="39471" xr:uid="{00000000-0005-0000-0000-00009A9A0000}"/>
    <cellStyle name="Normal 8 2 3 2 3" xfId="39472" xr:uid="{00000000-0005-0000-0000-00009B9A0000}"/>
    <cellStyle name="Normal 8 2 3 2 3 2" xfId="39473" xr:uid="{00000000-0005-0000-0000-00009C9A0000}"/>
    <cellStyle name="Normal 8 2 3 2 3 2 2" xfId="39474" xr:uid="{00000000-0005-0000-0000-00009D9A0000}"/>
    <cellStyle name="Normal 8 2 3 2 3 3" xfId="39475" xr:uid="{00000000-0005-0000-0000-00009E9A0000}"/>
    <cellStyle name="Normal 8 2 3 2 4" xfId="39476" xr:uid="{00000000-0005-0000-0000-00009F9A0000}"/>
    <cellStyle name="Normal 8 2 3 3" xfId="39477" xr:uid="{00000000-0005-0000-0000-0000A09A0000}"/>
    <cellStyle name="Normal 8 2 3 3 2" xfId="39478" xr:uid="{00000000-0005-0000-0000-0000A19A0000}"/>
    <cellStyle name="Normal 8 2 3 3 2 2" xfId="39479" xr:uid="{00000000-0005-0000-0000-0000A29A0000}"/>
    <cellStyle name="Normal 8 2 3 3 3" xfId="39480" xr:uid="{00000000-0005-0000-0000-0000A39A0000}"/>
    <cellStyle name="Normal 8 2 3 4" xfId="39481" xr:uid="{00000000-0005-0000-0000-0000A49A0000}"/>
    <cellStyle name="Normal 8 2 3 4 2" xfId="39482" xr:uid="{00000000-0005-0000-0000-0000A59A0000}"/>
    <cellStyle name="Normal 8 2 3 4 2 2" xfId="39483" xr:uid="{00000000-0005-0000-0000-0000A69A0000}"/>
    <cellStyle name="Normal 8 2 3 4 3" xfId="39484" xr:uid="{00000000-0005-0000-0000-0000A79A0000}"/>
    <cellStyle name="Normal 8 2 3 5" xfId="39485" xr:uid="{00000000-0005-0000-0000-0000A89A0000}"/>
    <cellStyle name="Normal 8 2 3 5 2" xfId="39486" xr:uid="{00000000-0005-0000-0000-0000A99A0000}"/>
    <cellStyle name="Normal 8 2 3 5 2 2" xfId="39487" xr:uid="{00000000-0005-0000-0000-0000AA9A0000}"/>
    <cellStyle name="Normal 8 2 3 5 3" xfId="39488" xr:uid="{00000000-0005-0000-0000-0000AB9A0000}"/>
    <cellStyle name="Normal 8 2 3 6" xfId="39489" xr:uid="{00000000-0005-0000-0000-0000AC9A0000}"/>
    <cellStyle name="Normal 8 2 4" xfId="39490" xr:uid="{00000000-0005-0000-0000-0000AD9A0000}"/>
    <cellStyle name="Normal 8 3" xfId="39491" xr:uid="{00000000-0005-0000-0000-0000AE9A0000}"/>
    <cellStyle name="Normal 8 3 2" xfId="39492" xr:uid="{00000000-0005-0000-0000-0000AF9A0000}"/>
    <cellStyle name="Normal 8 3 2 2" xfId="39493" xr:uid="{00000000-0005-0000-0000-0000B09A0000}"/>
    <cellStyle name="Normal 8 3 2 2 2" xfId="39494" xr:uid="{00000000-0005-0000-0000-0000B19A0000}"/>
    <cellStyle name="Normal 8 3 2 3" xfId="39495" xr:uid="{00000000-0005-0000-0000-0000B29A0000}"/>
    <cellStyle name="Normal 8 3 2 3 2" xfId="39496" xr:uid="{00000000-0005-0000-0000-0000B39A0000}"/>
    <cellStyle name="Normal 8 3 2 3 2 2" xfId="39497" xr:uid="{00000000-0005-0000-0000-0000B49A0000}"/>
    <cellStyle name="Normal 8 3 2 3 3" xfId="39498" xr:uid="{00000000-0005-0000-0000-0000B59A0000}"/>
    <cellStyle name="Normal 8 3 2 4" xfId="39499" xr:uid="{00000000-0005-0000-0000-0000B69A0000}"/>
    <cellStyle name="Normal 8 3 2 4 2" xfId="39500" xr:uid="{00000000-0005-0000-0000-0000B79A0000}"/>
    <cellStyle name="Normal 8 3 2 4 2 2" xfId="39501" xr:uid="{00000000-0005-0000-0000-0000B89A0000}"/>
    <cellStyle name="Normal 8 3 2 4 3" xfId="39502" xr:uid="{00000000-0005-0000-0000-0000B99A0000}"/>
    <cellStyle name="Normal 8 3 2 5" xfId="39503" xr:uid="{00000000-0005-0000-0000-0000BA9A0000}"/>
    <cellStyle name="Normal 8 3 3" xfId="39504" xr:uid="{00000000-0005-0000-0000-0000BB9A0000}"/>
    <cellStyle name="Normal 8 3 3 2" xfId="39505" xr:uid="{00000000-0005-0000-0000-0000BC9A0000}"/>
    <cellStyle name="Normal 8 3 3 2 2" xfId="39506" xr:uid="{00000000-0005-0000-0000-0000BD9A0000}"/>
    <cellStyle name="Normal 8 3 3 2 2 2" xfId="39507" xr:uid="{00000000-0005-0000-0000-0000BE9A0000}"/>
    <cellStyle name="Normal 8 3 3 2 3" xfId="39508" xr:uid="{00000000-0005-0000-0000-0000BF9A0000}"/>
    <cellStyle name="Normal 8 3 3 2 3 2" xfId="39509" xr:uid="{00000000-0005-0000-0000-0000C09A0000}"/>
    <cellStyle name="Normal 8 3 3 2 3 2 2" xfId="39510" xr:uid="{00000000-0005-0000-0000-0000C19A0000}"/>
    <cellStyle name="Normal 8 3 3 2 3 3" xfId="39511" xr:uid="{00000000-0005-0000-0000-0000C29A0000}"/>
    <cellStyle name="Normal 8 3 3 2 4" xfId="39512" xr:uid="{00000000-0005-0000-0000-0000C39A0000}"/>
    <cellStyle name="Normal 8 3 3 3" xfId="39513" xr:uid="{00000000-0005-0000-0000-0000C49A0000}"/>
    <cellStyle name="Normal 8 3 3 3 2" xfId="39514" xr:uid="{00000000-0005-0000-0000-0000C59A0000}"/>
    <cellStyle name="Normal 8 3 3 3 2 2" xfId="39515" xr:uid="{00000000-0005-0000-0000-0000C69A0000}"/>
    <cellStyle name="Normal 8 3 3 3 3" xfId="39516" xr:uid="{00000000-0005-0000-0000-0000C79A0000}"/>
    <cellStyle name="Normal 8 3 3 4" xfId="39517" xr:uid="{00000000-0005-0000-0000-0000C89A0000}"/>
    <cellStyle name="Normal 8 3 3 4 2" xfId="39518" xr:uid="{00000000-0005-0000-0000-0000C99A0000}"/>
    <cellStyle name="Normal 8 3 3 4 2 2" xfId="39519" xr:uid="{00000000-0005-0000-0000-0000CA9A0000}"/>
    <cellStyle name="Normal 8 3 3 4 3" xfId="39520" xr:uid="{00000000-0005-0000-0000-0000CB9A0000}"/>
    <cellStyle name="Normal 8 3 3 5" xfId="39521" xr:uid="{00000000-0005-0000-0000-0000CC9A0000}"/>
    <cellStyle name="Normal 8 3 3 5 2" xfId="39522" xr:uid="{00000000-0005-0000-0000-0000CD9A0000}"/>
    <cellStyle name="Normal 8 3 3 5 2 2" xfId="39523" xr:uid="{00000000-0005-0000-0000-0000CE9A0000}"/>
    <cellStyle name="Normal 8 3 3 5 3" xfId="39524" xr:uid="{00000000-0005-0000-0000-0000CF9A0000}"/>
    <cellStyle name="Normal 8 3 3 6" xfId="39525" xr:uid="{00000000-0005-0000-0000-0000D09A0000}"/>
    <cellStyle name="Normal 8 3 4" xfId="39526" xr:uid="{00000000-0005-0000-0000-0000D19A0000}"/>
    <cellStyle name="Normal 8 4" xfId="39527" xr:uid="{00000000-0005-0000-0000-0000D29A0000}"/>
    <cellStyle name="Normal 8 4 2" xfId="39528" xr:uid="{00000000-0005-0000-0000-0000D39A0000}"/>
    <cellStyle name="Normal 8 4 2 2" xfId="39529" xr:uid="{00000000-0005-0000-0000-0000D49A0000}"/>
    <cellStyle name="Normal 8 4 3" xfId="39530" xr:uid="{00000000-0005-0000-0000-0000D59A0000}"/>
    <cellStyle name="Normal 8 4 3 2" xfId="39531" xr:uid="{00000000-0005-0000-0000-0000D69A0000}"/>
    <cellStyle name="Normal 8 4 3 2 2" xfId="39532" xr:uid="{00000000-0005-0000-0000-0000D79A0000}"/>
    <cellStyle name="Normal 8 4 3 3" xfId="39533" xr:uid="{00000000-0005-0000-0000-0000D89A0000}"/>
    <cellStyle name="Normal 8 4 4" xfId="39534" xr:uid="{00000000-0005-0000-0000-0000D99A0000}"/>
    <cellStyle name="Normal 8 4 4 2" xfId="39535" xr:uid="{00000000-0005-0000-0000-0000DA9A0000}"/>
    <cellStyle name="Normal 8 4 4 2 2" xfId="39536" xr:uid="{00000000-0005-0000-0000-0000DB9A0000}"/>
    <cellStyle name="Normal 8 4 4 3" xfId="39537" xr:uid="{00000000-0005-0000-0000-0000DC9A0000}"/>
    <cellStyle name="Normal 8 4 5" xfId="39538" xr:uid="{00000000-0005-0000-0000-0000DD9A0000}"/>
    <cellStyle name="Normal 8 5" xfId="39539" xr:uid="{00000000-0005-0000-0000-0000DE9A0000}"/>
    <cellStyle name="Normal 8 5 2" xfId="39540" xr:uid="{00000000-0005-0000-0000-0000DF9A0000}"/>
    <cellStyle name="Normal 8 5 2 2" xfId="39541" xr:uid="{00000000-0005-0000-0000-0000E09A0000}"/>
    <cellStyle name="Normal 8 5 3" xfId="39542" xr:uid="{00000000-0005-0000-0000-0000E19A0000}"/>
    <cellStyle name="Normal 8 5 3 2" xfId="39543" xr:uid="{00000000-0005-0000-0000-0000E29A0000}"/>
    <cellStyle name="Normal 8 5 3 2 2" xfId="39544" xr:uid="{00000000-0005-0000-0000-0000E39A0000}"/>
    <cellStyle name="Normal 8 5 3 3" xfId="39545" xr:uid="{00000000-0005-0000-0000-0000E49A0000}"/>
    <cellStyle name="Normal 8 5 4" xfId="39546" xr:uid="{00000000-0005-0000-0000-0000E59A0000}"/>
    <cellStyle name="Normal 8 5 4 2" xfId="39547" xr:uid="{00000000-0005-0000-0000-0000E69A0000}"/>
    <cellStyle name="Normal 8 5 4 2 2" xfId="39548" xr:uid="{00000000-0005-0000-0000-0000E79A0000}"/>
    <cellStyle name="Normal 8 5 4 3" xfId="39549" xr:uid="{00000000-0005-0000-0000-0000E89A0000}"/>
    <cellStyle name="Normal 8 5 5" xfId="39550" xr:uid="{00000000-0005-0000-0000-0000E99A0000}"/>
    <cellStyle name="Normal 8 6" xfId="39551" xr:uid="{00000000-0005-0000-0000-0000EA9A0000}"/>
    <cellStyle name="Normal 8 6 2" xfId="39552" xr:uid="{00000000-0005-0000-0000-0000EB9A0000}"/>
    <cellStyle name="Normal 8 6 2 2" xfId="39553" xr:uid="{00000000-0005-0000-0000-0000EC9A0000}"/>
    <cellStyle name="Normal 8 6 2 2 2" xfId="39554" xr:uid="{00000000-0005-0000-0000-0000ED9A0000}"/>
    <cellStyle name="Normal 8 6 2 3" xfId="39555" xr:uid="{00000000-0005-0000-0000-0000EE9A0000}"/>
    <cellStyle name="Normal 8 6 2 3 2" xfId="39556" xr:uid="{00000000-0005-0000-0000-0000EF9A0000}"/>
    <cellStyle name="Normal 8 6 2 3 2 2" xfId="39557" xr:uid="{00000000-0005-0000-0000-0000F09A0000}"/>
    <cellStyle name="Normal 8 6 2 3 3" xfId="39558" xr:uid="{00000000-0005-0000-0000-0000F19A0000}"/>
    <cellStyle name="Normal 8 6 2 4" xfId="39559" xr:uid="{00000000-0005-0000-0000-0000F29A0000}"/>
    <cellStyle name="Normal 8 6 3" xfId="39560" xr:uid="{00000000-0005-0000-0000-0000F39A0000}"/>
    <cellStyle name="Normal 8 6 3 2" xfId="39561" xr:uid="{00000000-0005-0000-0000-0000F49A0000}"/>
    <cellStyle name="Normal 8 6 3 2 2" xfId="39562" xr:uid="{00000000-0005-0000-0000-0000F59A0000}"/>
    <cellStyle name="Normal 8 6 3 3" xfId="39563" xr:uid="{00000000-0005-0000-0000-0000F69A0000}"/>
    <cellStyle name="Normal 8 6 4" xfId="39564" xr:uid="{00000000-0005-0000-0000-0000F79A0000}"/>
    <cellStyle name="Normal 8 6 4 2" xfId="39565" xr:uid="{00000000-0005-0000-0000-0000F89A0000}"/>
    <cellStyle name="Normal 8 6 4 2 2" xfId="39566" xr:uid="{00000000-0005-0000-0000-0000F99A0000}"/>
    <cellStyle name="Normal 8 6 4 3" xfId="39567" xr:uid="{00000000-0005-0000-0000-0000FA9A0000}"/>
    <cellStyle name="Normal 8 6 5" xfId="39568" xr:uid="{00000000-0005-0000-0000-0000FB9A0000}"/>
    <cellStyle name="Normal 8 6 5 2" xfId="39569" xr:uid="{00000000-0005-0000-0000-0000FC9A0000}"/>
    <cellStyle name="Normal 8 6 5 2 2" xfId="39570" xr:uid="{00000000-0005-0000-0000-0000FD9A0000}"/>
    <cellStyle name="Normal 8 6 5 3" xfId="39571" xr:uid="{00000000-0005-0000-0000-0000FE9A0000}"/>
    <cellStyle name="Normal 8 6 6" xfId="39572" xr:uid="{00000000-0005-0000-0000-0000FF9A0000}"/>
    <cellStyle name="Normal 8 7" xfId="39573" xr:uid="{00000000-0005-0000-0000-0000009B0000}"/>
    <cellStyle name="Normal 8 7 2" xfId="39574" xr:uid="{00000000-0005-0000-0000-0000019B0000}"/>
    <cellStyle name="Normal 8 7 2 2" xfId="39575" xr:uid="{00000000-0005-0000-0000-0000029B0000}"/>
    <cellStyle name="Normal 8 7 3" xfId="39576" xr:uid="{00000000-0005-0000-0000-0000039B0000}"/>
    <cellStyle name="Normal 8 8" xfId="39577" xr:uid="{00000000-0005-0000-0000-0000049B0000}"/>
    <cellStyle name="Normal 8 8 2" xfId="39578" xr:uid="{00000000-0005-0000-0000-0000059B0000}"/>
    <cellStyle name="Normal 8 8 2 2" xfId="39579" xr:uid="{00000000-0005-0000-0000-0000069B0000}"/>
    <cellStyle name="Normal 8 8 3" xfId="39580" xr:uid="{00000000-0005-0000-0000-0000079B0000}"/>
    <cellStyle name="Normal 8 9" xfId="39581" xr:uid="{00000000-0005-0000-0000-0000089B0000}"/>
    <cellStyle name="Normal 8 9 2" xfId="39582" xr:uid="{00000000-0005-0000-0000-0000099B0000}"/>
    <cellStyle name="Normal 80" xfId="39583" xr:uid="{00000000-0005-0000-0000-00000A9B0000}"/>
    <cellStyle name="Normal 80 2" xfId="39584" xr:uid="{00000000-0005-0000-0000-00000B9B0000}"/>
    <cellStyle name="Normal 80 2 2" xfId="39585" xr:uid="{00000000-0005-0000-0000-00000C9B0000}"/>
    <cellStyle name="Normal 80 2 2 2" xfId="39586" xr:uid="{00000000-0005-0000-0000-00000D9B0000}"/>
    <cellStyle name="Normal 80 2 3" xfId="39587" xr:uid="{00000000-0005-0000-0000-00000E9B0000}"/>
    <cellStyle name="Normal 80 2 3 2" xfId="39588" xr:uid="{00000000-0005-0000-0000-00000F9B0000}"/>
    <cellStyle name="Normal 80 2 3 2 2" xfId="39589" xr:uid="{00000000-0005-0000-0000-0000109B0000}"/>
    <cellStyle name="Normal 80 2 3 3" xfId="39590" xr:uid="{00000000-0005-0000-0000-0000119B0000}"/>
    <cellStyle name="Normal 80 2 4" xfId="39591" xr:uid="{00000000-0005-0000-0000-0000129B0000}"/>
    <cellStyle name="Normal 80 2 4 2" xfId="39592" xr:uid="{00000000-0005-0000-0000-0000139B0000}"/>
    <cellStyle name="Normal 80 2 4 2 2" xfId="39593" xr:uid="{00000000-0005-0000-0000-0000149B0000}"/>
    <cellStyle name="Normal 80 2 4 3" xfId="39594" xr:uid="{00000000-0005-0000-0000-0000159B0000}"/>
    <cellStyle name="Normal 80 2 5" xfId="39595" xr:uid="{00000000-0005-0000-0000-0000169B0000}"/>
    <cellStyle name="Normal 80 3" xfId="39596" xr:uid="{00000000-0005-0000-0000-0000179B0000}"/>
    <cellStyle name="Normal 80 3 2" xfId="39597" xr:uid="{00000000-0005-0000-0000-0000189B0000}"/>
    <cellStyle name="Normal 80 3 2 2" xfId="39598" xr:uid="{00000000-0005-0000-0000-0000199B0000}"/>
    <cellStyle name="Normal 80 3 2 2 2" xfId="39599" xr:uid="{00000000-0005-0000-0000-00001A9B0000}"/>
    <cellStyle name="Normal 80 3 2 3" xfId="39600" xr:uid="{00000000-0005-0000-0000-00001B9B0000}"/>
    <cellStyle name="Normal 80 3 2 3 2" xfId="39601" xr:uid="{00000000-0005-0000-0000-00001C9B0000}"/>
    <cellStyle name="Normal 80 3 2 3 2 2" xfId="39602" xr:uid="{00000000-0005-0000-0000-00001D9B0000}"/>
    <cellStyle name="Normal 80 3 2 3 3" xfId="39603" xr:uid="{00000000-0005-0000-0000-00001E9B0000}"/>
    <cellStyle name="Normal 80 3 2 4" xfId="39604" xr:uid="{00000000-0005-0000-0000-00001F9B0000}"/>
    <cellStyle name="Normal 80 3 3" xfId="39605" xr:uid="{00000000-0005-0000-0000-0000209B0000}"/>
    <cellStyle name="Normal 80 3 3 2" xfId="39606" xr:uid="{00000000-0005-0000-0000-0000219B0000}"/>
    <cellStyle name="Normal 80 3 3 2 2" xfId="39607" xr:uid="{00000000-0005-0000-0000-0000229B0000}"/>
    <cellStyle name="Normal 80 3 3 3" xfId="39608" xr:uid="{00000000-0005-0000-0000-0000239B0000}"/>
    <cellStyle name="Normal 80 3 4" xfId="39609" xr:uid="{00000000-0005-0000-0000-0000249B0000}"/>
    <cellStyle name="Normal 80 3 4 2" xfId="39610" xr:uid="{00000000-0005-0000-0000-0000259B0000}"/>
    <cellStyle name="Normal 80 3 4 2 2" xfId="39611" xr:uid="{00000000-0005-0000-0000-0000269B0000}"/>
    <cellStyle name="Normal 80 3 4 3" xfId="39612" xr:uid="{00000000-0005-0000-0000-0000279B0000}"/>
    <cellStyle name="Normal 80 3 5" xfId="39613" xr:uid="{00000000-0005-0000-0000-0000289B0000}"/>
    <cellStyle name="Normal 80 3 5 2" xfId="39614" xr:uid="{00000000-0005-0000-0000-0000299B0000}"/>
    <cellStyle name="Normal 80 3 5 2 2" xfId="39615" xr:uid="{00000000-0005-0000-0000-00002A9B0000}"/>
    <cellStyle name="Normal 80 3 5 3" xfId="39616" xr:uid="{00000000-0005-0000-0000-00002B9B0000}"/>
    <cellStyle name="Normal 80 3 6" xfId="39617" xr:uid="{00000000-0005-0000-0000-00002C9B0000}"/>
    <cellStyle name="Normal 80 4" xfId="39618" xr:uid="{00000000-0005-0000-0000-00002D9B0000}"/>
    <cellStyle name="Normal 80 4 2" xfId="39619" xr:uid="{00000000-0005-0000-0000-00002E9B0000}"/>
    <cellStyle name="Normal 80 4 2 2" xfId="39620" xr:uid="{00000000-0005-0000-0000-00002F9B0000}"/>
    <cellStyle name="Normal 80 4 3" xfId="39621" xr:uid="{00000000-0005-0000-0000-0000309B0000}"/>
    <cellStyle name="Normal 80 5" xfId="39622" xr:uid="{00000000-0005-0000-0000-0000319B0000}"/>
    <cellStyle name="Normal 80 5 2" xfId="39623" xr:uid="{00000000-0005-0000-0000-0000329B0000}"/>
    <cellStyle name="Normal 80 5 2 2" xfId="39624" xr:uid="{00000000-0005-0000-0000-0000339B0000}"/>
    <cellStyle name="Normal 80 5 3" xfId="39625" xr:uid="{00000000-0005-0000-0000-0000349B0000}"/>
    <cellStyle name="Normal 80 6" xfId="39626" xr:uid="{00000000-0005-0000-0000-0000359B0000}"/>
    <cellStyle name="Normal 80 6 2" xfId="39627" xr:uid="{00000000-0005-0000-0000-0000369B0000}"/>
    <cellStyle name="Normal 80 6 2 2" xfId="39628" xr:uid="{00000000-0005-0000-0000-0000379B0000}"/>
    <cellStyle name="Normal 80 6 3" xfId="39629" xr:uid="{00000000-0005-0000-0000-0000389B0000}"/>
    <cellStyle name="Normal 80 7" xfId="39630" xr:uid="{00000000-0005-0000-0000-0000399B0000}"/>
    <cellStyle name="Normal 81" xfId="39631" xr:uid="{00000000-0005-0000-0000-00003A9B0000}"/>
    <cellStyle name="Normal 81 2" xfId="39632" xr:uid="{00000000-0005-0000-0000-00003B9B0000}"/>
    <cellStyle name="Normal 81 2 2" xfId="39633" xr:uid="{00000000-0005-0000-0000-00003C9B0000}"/>
    <cellStyle name="Normal 81 2 2 2" xfId="39634" xr:uid="{00000000-0005-0000-0000-00003D9B0000}"/>
    <cellStyle name="Normal 81 2 3" xfId="39635" xr:uid="{00000000-0005-0000-0000-00003E9B0000}"/>
    <cellStyle name="Normal 81 2 3 2" xfId="39636" xr:uid="{00000000-0005-0000-0000-00003F9B0000}"/>
    <cellStyle name="Normal 81 2 3 2 2" xfId="39637" xr:uid="{00000000-0005-0000-0000-0000409B0000}"/>
    <cellStyle name="Normal 81 2 3 3" xfId="39638" xr:uid="{00000000-0005-0000-0000-0000419B0000}"/>
    <cellStyle name="Normal 81 2 4" xfId="39639" xr:uid="{00000000-0005-0000-0000-0000429B0000}"/>
    <cellStyle name="Normal 81 2 4 2" xfId="39640" xr:uid="{00000000-0005-0000-0000-0000439B0000}"/>
    <cellStyle name="Normal 81 2 4 2 2" xfId="39641" xr:uid="{00000000-0005-0000-0000-0000449B0000}"/>
    <cellStyle name="Normal 81 2 4 3" xfId="39642" xr:uid="{00000000-0005-0000-0000-0000459B0000}"/>
    <cellStyle name="Normal 81 2 5" xfId="39643" xr:uid="{00000000-0005-0000-0000-0000469B0000}"/>
    <cellStyle name="Normal 81 3" xfId="39644" xr:uid="{00000000-0005-0000-0000-0000479B0000}"/>
    <cellStyle name="Normal 81 3 2" xfId="39645" xr:uid="{00000000-0005-0000-0000-0000489B0000}"/>
    <cellStyle name="Normal 81 3 2 2" xfId="39646" xr:uid="{00000000-0005-0000-0000-0000499B0000}"/>
    <cellStyle name="Normal 81 3 2 2 2" xfId="39647" xr:uid="{00000000-0005-0000-0000-00004A9B0000}"/>
    <cellStyle name="Normal 81 3 2 3" xfId="39648" xr:uid="{00000000-0005-0000-0000-00004B9B0000}"/>
    <cellStyle name="Normal 81 3 2 3 2" xfId="39649" xr:uid="{00000000-0005-0000-0000-00004C9B0000}"/>
    <cellStyle name="Normal 81 3 2 3 2 2" xfId="39650" xr:uid="{00000000-0005-0000-0000-00004D9B0000}"/>
    <cellStyle name="Normal 81 3 2 3 3" xfId="39651" xr:uid="{00000000-0005-0000-0000-00004E9B0000}"/>
    <cellStyle name="Normal 81 3 2 4" xfId="39652" xr:uid="{00000000-0005-0000-0000-00004F9B0000}"/>
    <cellStyle name="Normal 81 3 3" xfId="39653" xr:uid="{00000000-0005-0000-0000-0000509B0000}"/>
    <cellStyle name="Normal 81 3 3 2" xfId="39654" xr:uid="{00000000-0005-0000-0000-0000519B0000}"/>
    <cellStyle name="Normal 81 3 3 2 2" xfId="39655" xr:uid="{00000000-0005-0000-0000-0000529B0000}"/>
    <cellStyle name="Normal 81 3 3 3" xfId="39656" xr:uid="{00000000-0005-0000-0000-0000539B0000}"/>
    <cellStyle name="Normal 81 3 4" xfId="39657" xr:uid="{00000000-0005-0000-0000-0000549B0000}"/>
    <cellStyle name="Normal 81 3 4 2" xfId="39658" xr:uid="{00000000-0005-0000-0000-0000559B0000}"/>
    <cellStyle name="Normal 81 3 4 2 2" xfId="39659" xr:uid="{00000000-0005-0000-0000-0000569B0000}"/>
    <cellStyle name="Normal 81 3 4 3" xfId="39660" xr:uid="{00000000-0005-0000-0000-0000579B0000}"/>
    <cellStyle name="Normal 81 3 5" xfId="39661" xr:uid="{00000000-0005-0000-0000-0000589B0000}"/>
    <cellStyle name="Normal 81 3 5 2" xfId="39662" xr:uid="{00000000-0005-0000-0000-0000599B0000}"/>
    <cellStyle name="Normal 81 3 5 2 2" xfId="39663" xr:uid="{00000000-0005-0000-0000-00005A9B0000}"/>
    <cellStyle name="Normal 81 3 5 3" xfId="39664" xr:uid="{00000000-0005-0000-0000-00005B9B0000}"/>
    <cellStyle name="Normal 81 3 6" xfId="39665" xr:uid="{00000000-0005-0000-0000-00005C9B0000}"/>
    <cellStyle name="Normal 81 4" xfId="39666" xr:uid="{00000000-0005-0000-0000-00005D9B0000}"/>
    <cellStyle name="Normal 81 4 2" xfId="39667" xr:uid="{00000000-0005-0000-0000-00005E9B0000}"/>
    <cellStyle name="Normal 81 4 2 2" xfId="39668" xr:uid="{00000000-0005-0000-0000-00005F9B0000}"/>
    <cellStyle name="Normal 81 4 3" xfId="39669" xr:uid="{00000000-0005-0000-0000-0000609B0000}"/>
    <cellStyle name="Normal 81 5" xfId="39670" xr:uid="{00000000-0005-0000-0000-0000619B0000}"/>
    <cellStyle name="Normal 81 5 2" xfId="39671" xr:uid="{00000000-0005-0000-0000-0000629B0000}"/>
    <cellStyle name="Normal 81 5 2 2" xfId="39672" xr:uid="{00000000-0005-0000-0000-0000639B0000}"/>
    <cellStyle name="Normal 81 5 3" xfId="39673" xr:uid="{00000000-0005-0000-0000-0000649B0000}"/>
    <cellStyle name="Normal 81 6" xfId="39674" xr:uid="{00000000-0005-0000-0000-0000659B0000}"/>
    <cellStyle name="Normal 81 6 2" xfId="39675" xr:uid="{00000000-0005-0000-0000-0000669B0000}"/>
    <cellStyle name="Normal 81 6 2 2" xfId="39676" xr:uid="{00000000-0005-0000-0000-0000679B0000}"/>
    <cellStyle name="Normal 81 6 3" xfId="39677" xr:uid="{00000000-0005-0000-0000-0000689B0000}"/>
    <cellStyle name="Normal 81 7" xfId="39678" xr:uid="{00000000-0005-0000-0000-0000699B0000}"/>
    <cellStyle name="Normal 82" xfId="39679" xr:uid="{00000000-0005-0000-0000-00006A9B0000}"/>
    <cellStyle name="Normal 82 2" xfId="39680" xr:uid="{00000000-0005-0000-0000-00006B9B0000}"/>
    <cellStyle name="Normal 82 2 2" xfId="39681" xr:uid="{00000000-0005-0000-0000-00006C9B0000}"/>
    <cellStyle name="Normal 82 2 2 2" xfId="39682" xr:uid="{00000000-0005-0000-0000-00006D9B0000}"/>
    <cellStyle name="Normal 82 2 3" xfId="39683" xr:uid="{00000000-0005-0000-0000-00006E9B0000}"/>
    <cellStyle name="Normal 82 2 3 2" xfId="39684" xr:uid="{00000000-0005-0000-0000-00006F9B0000}"/>
    <cellStyle name="Normal 82 2 3 2 2" xfId="39685" xr:uid="{00000000-0005-0000-0000-0000709B0000}"/>
    <cellStyle name="Normal 82 2 3 3" xfId="39686" xr:uid="{00000000-0005-0000-0000-0000719B0000}"/>
    <cellStyle name="Normal 82 2 4" xfId="39687" xr:uid="{00000000-0005-0000-0000-0000729B0000}"/>
    <cellStyle name="Normal 82 2 4 2" xfId="39688" xr:uid="{00000000-0005-0000-0000-0000739B0000}"/>
    <cellStyle name="Normal 82 2 4 2 2" xfId="39689" xr:uid="{00000000-0005-0000-0000-0000749B0000}"/>
    <cellStyle name="Normal 82 2 4 3" xfId="39690" xr:uid="{00000000-0005-0000-0000-0000759B0000}"/>
    <cellStyle name="Normal 82 2 5" xfId="39691" xr:uid="{00000000-0005-0000-0000-0000769B0000}"/>
    <cellStyle name="Normal 82 3" xfId="39692" xr:uid="{00000000-0005-0000-0000-0000779B0000}"/>
    <cellStyle name="Normal 82 3 2" xfId="39693" xr:uid="{00000000-0005-0000-0000-0000789B0000}"/>
    <cellStyle name="Normal 82 3 2 2" xfId="39694" xr:uid="{00000000-0005-0000-0000-0000799B0000}"/>
    <cellStyle name="Normal 82 3 2 2 2" xfId="39695" xr:uid="{00000000-0005-0000-0000-00007A9B0000}"/>
    <cellStyle name="Normal 82 3 2 3" xfId="39696" xr:uid="{00000000-0005-0000-0000-00007B9B0000}"/>
    <cellStyle name="Normal 82 3 2 3 2" xfId="39697" xr:uid="{00000000-0005-0000-0000-00007C9B0000}"/>
    <cellStyle name="Normal 82 3 2 3 2 2" xfId="39698" xr:uid="{00000000-0005-0000-0000-00007D9B0000}"/>
    <cellStyle name="Normal 82 3 2 3 3" xfId="39699" xr:uid="{00000000-0005-0000-0000-00007E9B0000}"/>
    <cellStyle name="Normal 82 3 2 4" xfId="39700" xr:uid="{00000000-0005-0000-0000-00007F9B0000}"/>
    <cellStyle name="Normal 82 3 3" xfId="39701" xr:uid="{00000000-0005-0000-0000-0000809B0000}"/>
    <cellStyle name="Normal 82 3 3 2" xfId="39702" xr:uid="{00000000-0005-0000-0000-0000819B0000}"/>
    <cellStyle name="Normal 82 3 3 2 2" xfId="39703" xr:uid="{00000000-0005-0000-0000-0000829B0000}"/>
    <cellStyle name="Normal 82 3 3 3" xfId="39704" xr:uid="{00000000-0005-0000-0000-0000839B0000}"/>
    <cellStyle name="Normal 82 3 4" xfId="39705" xr:uid="{00000000-0005-0000-0000-0000849B0000}"/>
    <cellStyle name="Normal 82 3 4 2" xfId="39706" xr:uid="{00000000-0005-0000-0000-0000859B0000}"/>
    <cellStyle name="Normal 82 3 4 2 2" xfId="39707" xr:uid="{00000000-0005-0000-0000-0000869B0000}"/>
    <cellStyle name="Normal 82 3 4 3" xfId="39708" xr:uid="{00000000-0005-0000-0000-0000879B0000}"/>
    <cellStyle name="Normal 82 3 5" xfId="39709" xr:uid="{00000000-0005-0000-0000-0000889B0000}"/>
    <cellStyle name="Normal 82 3 5 2" xfId="39710" xr:uid="{00000000-0005-0000-0000-0000899B0000}"/>
    <cellStyle name="Normal 82 3 5 2 2" xfId="39711" xr:uid="{00000000-0005-0000-0000-00008A9B0000}"/>
    <cellStyle name="Normal 82 3 5 3" xfId="39712" xr:uid="{00000000-0005-0000-0000-00008B9B0000}"/>
    <cellStyle name="Normal 82 3 6" xfId="39713" xr:uid="{00000000-0005-0000-0000-00008C9B0000}"/>
    <cellStyle name="Normal 82 4" xfId="39714" xr:uid="{00000000-0005-0000-0000-00008D9B0000}"/>
    <cellStyle name="Normal 82 4 2" xfId="39715" xr:uid="{00000000-0005-0000-0000-00008E9B0000}"/>
    <cellStyle name="Normal 82 4 2 2" xfId="39716" xr:uid="{00000000-0005-0000-0000-00008F9B0000}"/>
    <cellStyle name="Normal 82 4 3" xfId="39717" xr:uid="{00000000-0005-0000-0000-0000909B0000}"/>
    <cellStyle name="Normal 82 5" xfId="39718" xr:uid="{00000000-0005-0000-0000-0000919B0000}"/>
    <cellStyle name="Normal 82 5 2" xfId="39719" xr:uid="{00000000-0005-0000-0000-0000929B0000}"/>
    <cellStyle name="Normal 82 5 2 2" xfId="39720" xr:uid="{00000000-0005-0000-0000-0000939B0000}"/>
    <cellStyle name="Normal 82 5 3" xfId="39721" xr:uid="{00000000-0005-0000-0000-0000949B0000}"/>
    <cellStyle name="Normal 82 6" xfId="39722" xr:uid="{00000000-0005-0000-0000-0000959B0000}"/>
    <cellStyle name="Normal 82 6 2" xfId="39723" xr:uid="{00000000-0005-0000-0000-0000969B0000}"/>
    <cellStyle name="Normal 82 6 2 2" xfId="39724" xr:uid="{00000000-0005-0000-0000-0000979B0000}"/>
    <cellStyle name="Normal 82 6 3" xfId="39725" xr:uid="{00000000-0005-0000-0000-0000989B0000}"/>
    <cellStyle name="Normal 82 7" xfId="39726" xr:uid="{00000000-0005-0000-0000-0000999B0000}"/>
    <cellStyle name="Normal 83" xfId="39727" xr:uid="{00000000-0005-0000-0000-00009A9B0000}"/>
    <cellStyle name="Normal 83 2" xfId="39728" xr:uid="{00000000-0005-0000-0000-00009B9B0000}"/>
    <cellStyle name="Normal 83 2 2" xfId="39729" xr:uid="{00000000-0005-0000-0000-00009C9B0000}"/>
    <cellStyle name="Normal 83 2 2 2" xfId="39730" xr:uid="{00000000-0005-0000-0000-00009D9B0000}"/>
    <cellStyle name="Normal 83 2 3" xfId="39731" xr:uid="{00000000-0005-0000-0000-00009E9B0000}"/>
    <cellStyle name="Normal 83 2 3 2" xfId="39732" xr:uid="{00000000-0005-0000-0000-00009F9B0000}"/>
    <cellStyle name="Normal 83 2 3 2 2" xfId="39733" xr:uid="{00000000-0005-0000-0000-0000A09B0000}"/>
    <cellStyle name="Normal 83 2 3 3" xfId="39734" xr:uid="{00000000-0005-0000-0000-0000A19B0000}"/>
    <cellStyle name="Normal 83 2 4" xfId="39735" xr:uid="{00000000-0005-0000-0000-0000A29B0000}"/>
    <cellStyle name="Normal 83 2 4 2" xfId="39736" xr:uid="{00000000-0005-0000-0000-0000A39B0000}"/>
    <cellStyle name="Normal 83 2 4 2 2" xfId="39737" xr:uid="{00000000-0005-0000-0000-0000A49B0000}"/>
    <cellStyle name="Normal 83 2 4 3" xfId="39738" xr:uid="{00000000-0005-0000-0000-0000A59B0000}"/>
    <cellStyle name="Normal 83 2 5" xfId="39739" xr:uid="{00000000-0005-0000-0000-0000A69B0000}"/>
    <cellStyle name="Normal 83 3" xfId="39740" xr:uid="{00000000-0005-0000-0000-0000A79B0000}"/>
    <cellStyle name="Normal 83 3 2" xfId="39741" xr:uid="{00000000-0005-0000-0000-0000A89B0000}"/>
    <cellStyle name="Normal 83 3 2 2" xfId="39742" xr:uid="{00000000-0005-0000-0000-0000A99B0000}"/>
    <cellStyle name="Normal 83 3 2 2 2" xfId="39743" xr:uid="{00000000-0005-0000-0000-0000AA9B0000}"/>
    <cellStyle name="Normal 83 3 2 3" xfId="39744" xr:uid="{00000000-0005-0000-0000-0000AB9B0000}"/>
    <cellStyle name="Normal 83 3 2 3 2" xfId="39745" xr:uid="{00000000-0005-0000-0000-0000AC9B0000}"/>
    <cellStyle name="Normal 83 3 2 3 2 2" xfId="39746" xr:uid="{00000000-0005-0000-0000-0000AD9B0000}"/>
    <cellStyle name="Normal 83 3 2 3 3" xfId="39747" xr:uid="{00000000-0005-0000-0000-0000AE9B0000}"/>
    <cellStyle name="Normal 83 3 2 4" xfId="39748" xr:uid="{00000000-0005-0000-0000-0000AF9B0000}"/>
    <cellStyle name="Normal 83 3 3" xfId="39749" xr:uid="{00000000-0005-0000-0000-0000B09B0000}"/>
    <cellStyle name="Normal 83 3 3 2" xfId="39750" xr:uid="{00000000-0005-0000-0000-0000B19B0000}"/>
    <cellStyle name="Normal 83 3 3 2 2" xfId="39751" xr:uid="{00000000-0005-0000-0000-0000B29B0000}"/>
    <cellStyle name="Normal 83 3 3 3" xfId="39752" xr:uid="{00000000-0005-0000-0000-0000B39B0000}"/>
    <cellStyle name="Normal 83 3 4" xfId="39753" xr:uid="{00000000-0005-0000-0000-0000B49B0000}"/>
    <cellStyle name="Normal 83 3 4 2" xfId="39754" xr:uid="{00000000-0005-0000-0000-0000B59B0000}"/>
    <cellStyle name="Normal 83 3 4 2 2" xfId="39755" xr:uid="{00000000-0005-0000-0000-0000B69B0000}"/>
    <cellStyle name="Normal 83 3 4 3" xfId="39756" xr:uid="{00000000-0005-0000-0000-0000B79B0000}"/>
    <cellStyle name="Normal 83 3 5" xfId="39757" xr:uid="{00000000-0005-0000-0000-0000B89B0000}"/>
    <cellStyle name="Normal 83 3 5 2" xfId="39758" xr:uid="{00000000-0005-0000-0000-0000B99B0000}"/>
    <cellStyle name="Normal 83 3 5 2 2" xfId="39759" xr:uid="{00000000-0005-0000-0000-0000BA9B0000}"/>
    <cellStyle name="Normal 83 3 5 3" xfId="39760" xr:uid="{00000000-0005-0000-0000-0000BB9B0000}"/>
    <cellStyle name="Normal 83 3 6" xfId="39761" xr:uid="{00000000-0005-0000-0000-0000BC9B0000}"/>
    <cellStyle name="Normal 83 4" xfId="39762" xr:uid="{00000000-0005-0000-0000-0000BD9B0000}"/>
    <cellStyle name="Normal 83 4 2" xfId="39763" xr:uid="{00000000-0005-0000-0000-0000BE9B0000}"/>
    <cellStyle name="Normal 83 4 2 2" xfId="39764" xr:uid="{00000000-0005-0000-0000-0000BF9B0000}"/>
    <cellStyle name="Normal 83 4 3" xfId="39765" xr:uid="{00000000-0005-0000-0000-0000C09B0000}"/>
    <cellStyle name="Normal 83 5" xfId="39766" xr:uid="{00000000-0005-0000-0000-0000C19B0000}"/>
    <cellStyle name="Normal 83 5 2" xfId="39767" xr:uid="{00000000-0005-0000-0000-0000C29B0000}"/>
    <cellStyle name="Normal 83 5 2 2" xfId="39768" xr:uid="{00000000-0005-0000-0000-0000C39B0000}"/>
    <cellStyle name="Normal 83 5 3" xfId="39769" xr:uid="{00000000-0005-0000-0000-0000C49B0000}"/>
    <cellStyle name="Normal 83 6" xfId="39770" xr:uid="{00000000-0005-0000-0000-0000C59B0000}"/>
    <cellStyle name="Normal 83 6 2" xfId="39771" xr:uid="{00000000-0005-0000-0000-0000C69B0000}"/>
    <cellStyle name="Normal 83 6 2 2" xfId="39772" xr:uid="{00000000-0005-0000-0000-0000C79B0000}"/>
    <cellStyle name="Normal 83 6 3" xfId="39773" xr:uid="{00000000-0005-0000-0000-0000C89B0000}"/>
    <cellStyle name="Normal 83 7" xfId="39774" xr:uid="{00000000-0005-0000-0000-0000C99B0000}"/>
    <cellStyle name="Normal 84" xfId="39775" xr:uid="{00000000-0005-0000-0000-0000CA9B0000}"/>
    <cellStyle name="Normal 84 2" xfId="39776" xr:uid="{00000000-0005-0000-0000-0000CB9B0000}"/>
    <cellStyle name="Normal 84 2 2" xfId="39777" xr:uid="{00000000-0005-0000-0000-0000CC9B0000}"/>
    <cellStyle name="Normal 84 2 2 2" xfId="39778" xr:uid="{00000000-0005-0000-0000-0000CD9B0000}"/>
    <cellStyle name="Normal 84 2 3" xfId="39779" xr:uid="{00000000-0005-0000-0000-0000CE9B0000}"/>
    <cellStyle name="Normal 84 2 3 2" xfId="39780" xr:uid="{00000000-0005-0000-0000-0000CF9B0000}"/>
    <cellStyle name="Normal 84 2 3 2 2" xfId="39781" xr:uid="{00000000-0005-0000-0000-0000D09B0000}"/>
    <cellStyle name="Normal 84 2 3 3" xfId="39782" xr:uid="{00000000-0005-0000-0000-0000D19B0000}"/>
    <cellStyle name="Normal 84 2 4" xfId="39783" xr:uid="{00000000-0005-0000-0000-0000D29B0000}"/>
    <cellStyle name="Normal 84 2 4 2" xfId="39784" xr:uid="{00000000-0005-0000-0000-0000D39B0000}"/>
    <cellStyle name="Normal 84 2 4 2 2" xfId="39785" xr:uid="{00000000-0005-0000-0000-0000D49B0000}"/>
    <cellStyle name="Normal 84 2 4 3" xfId="39786" xr:uid="{00000000-0005-0000-0000-0000D59B0000}"/>
    <cellStyle name="Normal 84 2 5" xfId="39787" xr:uid="{00000000-0005-0000-0000-0000D69B0000}"/>
    <cellStyle name="Normal 84 3" xfId="39788" xr:uid="{00000000-0005-0000-0000-0000D79B0000}"/>
    <cellStyle name="Normal 84 3 2" xfId="39789" xr:uid="{00000000-0005-0000-0000-0000D89B0000}"/>
    <cellStyle name="Normal 84 3 2 2" xfId="39790" xr:uid="{00000000-0005-0000-0000-0000D99B0000}"/>
    <cellStyle name="Normal 84 3 2 2 2" xfId="39791" xr:uid="{00000000-0005-0000-0000-0000DA9B0000}"/>
    <cellStyle name="Normal 84 3 2 3" xfId="39792" xr:uid="{00000000-0005-0000-0000-0000DB9B0000}"/>
    <cellStyle name="Normal 84 3 2 3 2" xfId="39793" xr:uid="{00000000-0005-0000-0000-0000DC9B0000}"/>
    <cellStyle name="Normal 84 3 2 3 2 2" xfId="39794" xr:uid="{00000000-0005-0000-0000-0000DD9B0000}"/>
    <cellStyle name="Normal 84 3 2 3 3" xfId="39795" xr:uid="{00000000-0005-0000-0000-0000DE9B0000}"/>
    <cellStyle name="Normal 84 3 2 4" xfId="39796" xr:uid="{00000000-0005-0000-0000-0000DF9B0000}"/>
    <cellStyle name="Normal 84 3 3" xfId="39797" xr:uid="{00000000-0005-0000-0000-0000E09B0000}"/>
    <cellStyle name="Normal 84 3 3 2" xfId="39798" xr:uid="{00000000-0005-0000-0000-0000E19B0000}"/>
    <cellStyle name="Normal 84 3 3 2 2" xfId="39799" xr:uid="{00000000-0005-0000-0000-0000E29B0000}"/>
    <cellStyle name="Normal 84 3 3 3" xfId="39800" xr:uid="{00000000-0005-0000-0000-0000E39B0000}"/>
    <cellStyle name="Normal 84 3 4" xfId="39801" xr:uid="{00000000-0005-0000-0000-0000E49B0000}"/>
    <cellStyle name="Normal 84 3 4 2" xfId="39802" xr:uid="{00000000-0005-0000-0000-0000E59B0000}"/>
    <cellStyle name="Normal 84 3 4 2 2" xfId="39803" xr:uid="{00000000-0005-0000-0000-0000E69B0000}"/>
    <cellStyle name="Normal 84 3 4 3" xfId="39804" xr:uid="{00000000-0005-0000-0000-0000E79B0000}"/>
    <cellStyle name="Normal 84 3 5" xfId="39805" xr:uid="{00000000-0005-0000-0000-0000E89B0000}"/>
    <cellStyle name="Normal 84 3 5 2" xfId="39806" xr:uid="{00000000-0005-0000-0000-0000E99B0000}"/>
    <cellStyle name="Normal 84 3 5 2 2" xfId="39807" xr:uid="{00000000-0005-0000-0000-0000EA9B0000}"/>
    <cellStyle name="Normal 84 3 5 3" xfId="39808" xr:uid="{00000000-0005-0000-0000-0000EB9B0000}"/>
    <cellStyle name="Normal 84 3 6" xfId="39809" xr:uid="{00000000-0005-0000-0000-0000EC9B0000}"/>
    <cellStyle name="Normal 84 4" xfId="39810" xr:uid="{00000000-0005-0000-0000-0000ED9B0000}"/>
    <cellStyle name="Normal 84 4 2" xfId="39811" xr:uid="{00000000-0005-0000-0000-0000EE9B0000}"/>
    <cellStyle name="Normal 84 4 2 2" xfId="39812" xr:uid="{00000000-0005-0000-0000-0000EF9B0000}"/>
    <cellStyle name="Normal 84 4 3" xfId="39813" xr:uid="{00000000-0005-0000-0000-0000F09B0000}"/>
    <cellStyle name="Normal 84 5" xfId="39814" xr:uid="{00000000-0005-0000-0000-0000F19B0000}"/>
    <cellStyle name="Normal 84 5 2" xfId="39815" xr:uid="{00000000-0005-0000-0000-0000F29B0000}"/>
    <cellStyle name="Normal 84 5 2 2" xfId="39816" xr:uid="{00000000-0005-0000-0000-0000F39B0000}"/>
    <cellStyle name="Normal 84 5 3" xfId="39817" xr:uid="{00000000-0005-0000-0000-0000F49B0000}"/>
    <cellStyle name="Normal 84 6" xfId="39818" xr:uid="{00000000-0005-0000-0000-0000F59B0000}"/>
    <cellStyle name="Normal 84 6 2" xfId="39819" xr:uid="{00000000-0005-0000-0000-0000F69B0000}"/>
    <cellStyle name="Normal 84 6 2 2" xfId="39820" xr:uid="{00000000-0005-0000-0000-0000F79B0000}"/>
    <cellStyle name="Normal 84 6 3" xfId="39821" xr:uid="{00000000-0005-0000-0000-0000F89B0000}"/>
    <cellStyle name="Normal 84 7" xfId="39822" xr:uid="{00000000-0005-0000-0000-0000F99B0000}"/>
    <cellStyle name="Normal 85" xfId="39823" xr:uid="{00000000-0005-0000-0000-0000FA9B0000}"/>
    <cellStyle name="Normal 85 2" xfId="39824" xr:uid="{00000000-0005-0000-0000-0000FB9B0000}"/>
    <cellStyle name="Normal 85 2 2" xfId="39825" xr:uid="{00000000-0005-0000-0000-0000FC9B0000}"/>
    <cellStyle name="Normal 85 2 2 2" xfId="39826" xr:uid="{00000000-0005-0000-0000-0000FD9B0000}"/>
    <cellStyle name="Normal 85 2 3" xfId="39827" xr:uid="{00000000-0005-0000-0000-0000FE9B0000}"/>
    <cellStyle name="Normal 85 2 3 2" xfId="39828" xr:uid="{00000000-0005-0000-0000-0000FF9B0000}"/>
    <cellStyle name="Normal 85 2 3 2 2" xfId="39829" xr:uid="{00000000-0005-0000-0000-0000009C0000}"/>
    <cellStyle name="Normal 85 2 3 3" xfId="39830" xr:uid="{00000000-0005-0000-0000-0000019C0000}"/>
    <cellStyle name="Normal 85 2 4" xfId="39831" xr:uid="{00000000-0005-0000-0000-0000029C0000}"/>
    <cellStyle name="Normal 85 2 4 2" xfId="39832" xr:uid="{00000000-0005-0000-0000-0000039C0000}"/>
    <cellStyle name="Normal 85 2 4 2 2" xfId="39833" xr:uid="{00000000-0005-0000-0000-0000049C0000}"/>
    <cellStyle name="Normal 85 2 4 3" xfId="39834" xr:uid="{00000000-0005-0000-0000-0000059C0000}"/>
    <cellStyle name="Normal 85 2 5" xfId="39835" xr:uid="{00000000-0005-0000-0000-0000069C0000}"/>
    <cellStyle name="Normal 85 3" xfId="39836" xr:uid="{00000000-0005-0000-0000-0000079C0000}"/>
    <cellStyle name="Normal 85 3 2" xfId="39837" xr:uid="{00000000-0005-0000-0000-0000089C0000}"/>
    <cellStyle name="Normal 85 3 2 2" xfId="39838" xr:uid="{00000000-0005-0000-0000-0000099C0000}"/>
    <cellStyle name="Normal 85 3 2 2 2" xfId="39839" xr:uid="{00000000-0005-0000-0000-00000A9C0000}"/>
    <cellStyle name="Normal 85 3 2 3" xfId="39840" xr:uid="{00000000-0005-0000-0000-00000B9C0000}"/>
    <cellStyle name="Normal 85 3 2 3 2" xfId="39841" xr:uid="{00000000-0005-0000-0000-00000C9C0000}"/>
    <cellStyle name="Normal 85 3 2 3 2 2" xfId="39842" xr:uid="{00000000-0005-0000-0000-00000D9C0000}"/>
    <cellStyle name="Normal 85 3 2 3 3" xfId="39843" xr:uid="{00000000-0005-0000-0000-00000E9C0000}"/>
    <cellStyle name="Normal 85 3 2 4" xfId="39844" xr:uid="{00000000-0005-0000-0000-00000F9C0000}"/>
    <cellStyle name="Normal 85 3 3" xfId="39845" xr:uid="{00000000-0005-0000-0000-0000109C0000}"/>
    <cellStyle name="Normal 85 3 3 2" xfId="39846" xr:uid="{00000000-0005-0000-0000-0000119C0000}"/>
    <cellStyle name="Normal 85 3 3 2 2" xfId="39847" xr:uid="{00000000-0005-0000-0000-0000129C0000}"/>
    <cellStyle name="Normal 85 3 3 3" xfId="39848" xr:uid="{00000000-0005-0000-0000-0000139C0000}"/>
    <cellStyle name="Normal 85 3 4" xfId="39849" xr:uid="{00000000-0005-0000-0000-0000149C0000}"/>
    <cellStyle name="Normal 85 3 4 2" xfId="39850" xr:uid="{00000000-0005-0000-0000-0000159C0000}"/>
    <cellStyle name="Normal 85 3 4 2 2" xfId="39851" xr:uid="{00000000-0005-0000-0000-0000169C0000}"/>
    <cellStyle name="Normal 85 3 4 3" xfId="39852" xr:uid="{00000000-0005-0000-0000-0000179C0000}"/>
    <cellStyle name="Normal 85 3 5" xfId="39853" xr:uid="{00000000-0005-0000-0000-0000189C0000}"/>
    <cellStyle name="Normal 85 3 5 2" xfId="39854" xr:uid="{00000000-0005-0000-0000-0000199C0000}"/>
    <cellStyle name="Normal 85 3 5 2 2" xfId="39855" xr:uid="{00000000-0005-0000-0000-00001A9C0000}"/>
    <cellStyle name="Normal 85 3 5 3" xfId="39856" xr:uid="{00000000-0005-0000-0000-00001B9C0000}"/>
    <cellStyle name="Normal 85 3 6" xfId="39857" xr:uid="{00000000-0005-0000-0000-00001C9C0000}"/>
    <cellStyle name="Normal 85 4" xfId="39858" xr:uid="{00000000-0005-0000-0000-00001D9C0000}"/>
    <cellStyle name="Normal 85 4 2" xfId="39859" xr:uid="{00000000-0005-0000-0000-00001E9C0000}"/>
    <cellStyle name="Normal 85 4 2 2" xfId="39860" xr:uid="{00000000-0005-0000-0000-00001F9C0000}"/>
    <cellStyle name="Normal 85 4 3" xfId="39861" xr:uid="{00000000-0005-0000-0000-0000209C0000}"/>
    <cellStyle name="Normal 85 5" xfId="39862" xr:uid="{00000000-0005-0000-0000-0000219C0000}"/>
    <cellStyle name="Normal 85 5 2" xfId="39863" xr:uid="{00000000-0005-0000-0000-0000229C0000}"/>
    <cellStyle name="Normal 85 5 2 2" xfId="39864" xr:uid="{00000000-0005-0000-0000-0000239C0000}"/>
    <cellStyle name="Normal 85 5 3" xfId="39865" xr:uid="{00000000-0005-0000-0000-0000249C0000}"/>
    <cellStyle name="Normal 85 6" xfId="39866" xr:uid="{00000000-0005-0000-0000-0000259C0000}"/>
    <cellStyle name="Normal 85 6 2" xfId="39867" xr:uid="{00000000-0005-0000-0000-0000269C0000}"/>
    <cellStyle name="Normal 85 6 2 2" xfId="39868" xr:uid="{00000000-0005-0000-0000-0000279C0000}"/>
    <cellStyle name="Normal 85 6 3" xfId="39869" xr:uid="{00000000-0005-0000-0000-0000289C0000}"/>
    <cellStyle name="Normal 85 7" xfId="39870" xr:uid="{00000000-0005-0000-0000-0000299C0000}"/>
    <cellStyle name="Normal 86" xfId="39871" xr:uid="{00000000-0005-0000-0000-00002A9C0000}"/>
    <cellStyle name="Normal 86 2" xfId="39872" xr:uid="{00000000-0005-0000-0000-00002B9C0000}"/>
    <cellStyle name="Normal 86 2 2" xfId="39873" xr:uid="{00000000-0005-0000-0000-00002C9C0000}"/>
    <cellStyle name="Normal 86 2 2 2" xfId="39874" xr:uid="{00000000-0005-0000-0000-00002D9C0000}"/>
    <cellStyle name="Normal 86 2 3" xfId="39875" xr:uid="{00000000-0005-0000-0000-00002E9C0000}"/>
    <cellStyle name="Normal 86 2 3 2" xfId="39876" xr:uid="{00000000-0005-0000-0000-00002F9C0000}"/>
    <cellStyle name="Normal 86 2 3 2 2" xfId="39877" xr:uid="{00000000-0005-0000-0000-0000309C0000}"/>
    <cellStyle name="Normal 86 2 3 3" xfId="39878" xr:uid="{00000000-0005-0000-0000-0000319C0000}"/>
    <cellStyle name="Normal 86 2 4" xfId="39879" xr:uid="{00000000-0005-0000-0000-0000329C0000}"/>
    <cellStyle name="Normal 86 2 4 2" xfId="39880" xr:uid="{00000000-0005-0000-0000-0000339C0000}"/>
    <cellStyle name="Normal 86 2 4 2 2" xfId="39881" xr:uid="{00000000-0005-0000-0000-0000349C0000}"/>
    <cellStyle name="Normal 86 2 4 3" xfId="39882" xr:uid="{00000000-0005-0000-0000-0000359C0000}"/>
    <cellStyle name="Normal 86 2 5" xfId="39883" xr:uid="{00000000-0005-0000-0000-0000369C0000}"/>
    <cellStyle name="Normal 86 3" xfId="39884" xr:uid="{00000000-0005-0000-0000-0000379C0000}"/>
    <cellStyle name="Normal 86 3 2" xfId="39885" xr:uid="{00000000-0005-0000-0000-0000389C0000}"/>
    <cellStyle name="Normal 86 3 2 2" xfId="39886" xr:uid="{00000000-0005-0000-0000-0000399C0000}"/>
    <cellStyle name="Normal 86 3 2 2 2" xfId="39887" xr:uid="{00000000-0005-0000-0000-00003A9C0000}"/>
    <cellStyle name="Normal 86 3 2 3" xfId="39888" xr:uid="{00000000-0005-0000-0000-00003B9C0000}"/>
    <cellStyle name="Normal 86 3 2 3 2" xfId="39889" xr:uid="{00000000-0005-0000-0000-00003C9C0000}"/>
    <cellStyle name="Normal 86 3 2 3 2 2" xfId="39890" xr:uid="{00000000-0005-0000-0000-00003D9C0000}"/>
    <cellStyle name="Normal 86 3 2 3 3" xfId="39891" xr:uid="{00000000-0005-0000-0000-00003E9C0000}"/>
    <cellStyle name="Normal 86 3 2 4" xfId="39892" xr:uid="{00000000-0005-0000-0000-00003F9C0000}"/>
    <cellStyle name="Normal 86 3 3" xfId="39893" xr:uid="{00000000-0005-0000-0000-0000409C0000}"/>
    <cellStyle name="Normal 86 3 3 2" xfId="39894" xr:uid="{00000000-0005-0000-0000-0000419C0000}"/>
    <cellStyle name="Normal 86 3 3 2 2" xfId="39895" xr:uid="{00000000-0005-0000-0000-0000429C0000}"/>
    <cellStyle name="Normal 86 3 3 3" xfId="39896" xr:uid="{00000000-0005-0000-0000-0000439C0000}"/>
    <cellStyle name="Normal 86 3 4" xfId="39897" xr:uid="{00000000-0005-0000-0000-0000449C0000}"/>
    <cellStyle name="Normal 86 3 4 2" xfId="39898" xr:uid="{00000000-0005-0000-0000-0000459C0000}"/>
    <cellStyle name="Normal 86 3 4 2 2" xfId="39899" xr:uid="{00000000-0005-0000-0000-0000469C0000}"/>
    <cellStyle name="Normal 86 3 4 3" xfId="39900" xr:uid="{00000000-0005-0000-0000-0000479C0000}"/>
    <cellStyle name="Normal 86 3 5" xfId="39901" xr:uid="{00000000-0005-0000-0000-0000489C0000}"/>
    <cellStyle name="Normal 86 3 5 2" xfId="39902" xr:uid="{00000000-0005-0000-0000-0000499C0000}"/>
    <cellStyle name="Normal 86 3 5 2 2" xfId="39903" xr:uid="{00000000-0005-0000-0000-00004A9C0000}"/>
    <cellStyle name="Normal 86 3 5 3" xfId="39904" xr:uid="{00000000-0005-0000-0000-00004B9C0000}"/>
    <cellStyle name="Normal 86 3 6" xfId="39905" xr:uid="{00000000-0005-0000-0000-00004C9C0000}"/>
    <cellStyle name="Normal 86 4" xfId="39906" xr:uid="{00000000-0005-0000-0000-00004D9C0000}"/>
    <cellStyle name="Normal 86 4 2" xfId="39907" xr:uid="{00000000-0005-0000-0000-00004E9C0000}"/>
    <cellStyle name="Normal 86 4 2 2" xfId="39908" xr:uid="{00000000-0005-0000-0000-00004F9C0000}"/>
    <cellStyle name="Normal 86 4 3" xfId="39909" xr:uid="{00000000-0005-0000-0000-0000509C0000}"/>
    <cellStyle name="Normal 86 5" xfId="39910" xr:uid="{00000000-0005-0000-0000-0000519C0000}"/>
    <cellStyle name="Normal 86 5 2" xfId="39911" xr:uid="{00000000-0005-0000-0000-0000529C0000}"/>
    <cellStyle name="Normal 86 5 2 2" xfId="39912" xr:uid="{00000000-0005-0000-0000-0000539C0000}"/>
    <cellStyle name="Normal 86 5 3" xfId="39913" xr:uid="{00000000-0005-0000-0000-0000549C0000}"/>
    <cellStyle name="Normal 86 6" xfId="39914" xr:uid="{00000000-0005-0000-0000-0000559C0000}"/>
    <cellStyle name="Normal 86 6 2" xfId="39915" xr:uid="{00000000-0005-0000-0000-0000569C0000}"/>
    <cellStyle name="Normal 86 6 2 2" xfId="39916" xr:uid="{00000000-0005-0000-0000-0000579C0000}"/>
    <cellStyle name="Normal 86 6 3" xfId="39917" xr:uid="{00000000-0005-0000-0000-0000589C0000}"/>
    <cellStyle name="Normal 86 7" xfId="39918" xr:uid="{00000000-0005-0000-0000-0000599C0000}"/>
    <cellStyle name="Normal 87" xfId="39919" xr:uid="{00000000-0005-0000-0000-00005A9C0000}"/>
    <cellStyle name="Normal 87 2" xfId="39920" xr:uid="{00000000-0005-0000-0000-00005B9C0000}"/>
    <cellStyle name="Normal 87 2 2" xfId="39921" xr:uid="{00000000-0005-0000-0000-00005C9C0000}"/>
    <cellStyle name="Normal 87 2 2 2" xfId="39922" xr:uid="{00000000-0005-0000-0000-00005D9C0000}"/>
    <cellStyle name="Normal 87 2 3" xfId="39923" xr:uid="{00000000-0005-0000-0000-00005E9C0000}"/>
    <cellStyle name="Normal 87 2 3 2" xfId="39924" xr:uid="{00000000-0005-0000-0000-00005F9C0000}"/>
    <cellStyle name="Normal 87 2 3 2 2" xfId="39925" xr:uid="{00000000-0005-0000-0000-0000609C0000}"/>
    <cellStyle name="Normal 87 2 3 3" xfId="39926" xr:uid="{00000000-0005-0000-0000-0000619C0000}"/>
    <cellStyle name="Normal 87 2 4" xfId="39927" xr:uid="{00000000-0005-0000-0000-0000629C0000}"/>
    <cellStyle name="Normal 87 2 4 2" xfId="39928" xr:uid="{00000000-0005-0000-0000-0000639C0000}"/>
    <cellStyle name="Normal 87 2 4 2 2" xfId="39929" xr:uid="{00000000-0005-0000-0000-0000649C0000}"/>
    <cellStyle name="Normal 87 2 4 3" xfId="39930" xr:uid="{00000000-0005-0000-0000-0000659C0000}"/>
    <cellStyle name="Normal 87 2 5" xfId="39931" xr:uid="{00000000-0005-0000-0000-0000669C0000}"/>
    <cellStyle name="Normal 87 3" xfId="39932" xr:uid="{00000000-0005-0000-0000-0000679C0000}"/>
    <cellStyle name="Normal 87 3 2" xfId="39933" xr:uid="{00000000-0005-0000-0000-0000689C0000}"/>
    <cellStyle name="Normal 87 3 2 2" xfId="39934" xr:uid="{00000000-0005-0000-0000-0000699C0000}"/>
    <cellStyle name="Normal 87 3 2 2 2" xfId="39935" xr:uid="{00000000-0005-0000-0000-00006A9C0000}"/>
    <cellStyle name="Normal 87 3 2 3" xfId="39936" xr:uid="{00000000-0005-0000-0000-00006B9C0000}"/>
    <cellStyle name="Normal 87 3 2 3 2" xfId="39937" xr:uid="{00000000-0005-0000-0000-00006C9C0000}"/>
    <cellStyle name="Normal 87 3 2 3 2 2" xfId="39938" xr:uid="{00000000-0005-0000-0000-00006D9C0000}"/>
    <cellStyle name="Normal 87 3 2 3 3" xfId="39939" xr:uid="{00000000-0005-0000-0000-00006E9C0000}"/>
    <cellStyle name="Normal 87 3 2 4" xfId="39940" xr:uid="{00000000-0005-0000-0000-00006F9C0000}"/>
    <cellStyle name="Normal 87 3 3" xfId="39941" xr:uid="{00000000-0005-0000-0000-0000709C0000}"/>
    <cellStyle name="Normal 87 3 3 2" xfId="39942" xr:uid="{00000000-0005-0000-0000-0000719C0000}"/>
    <cellStyle name="Normal 87 3 3 2 2" xfId="39943" xr:uid="{00000000-0005-0000-0000-0000729C0000}"/>
    <cellStyle name="Normal 87 3 3 3" xfId="39944" xr:uid="{00000000-0005-0000-0000-0000739C0000}"/>
    <cellStyle name="Normal 87 3 4" xfId="39945" xr:uid="{00000000-0005-0000-0000-0000749C0000}"/>
    <cellStyle name="Normal 87 3 4 2" xfId="39946" xr:uid="{00000000-0005-0000-0000-0000759C0000}"/>
    <cellStyle name="Normal 87 3 4 2 2" xfId="39947" xr:uid="{00000000-0005-0000-0000-0000769C0000}"/>
    <cellStyle name="Normal 87 3 4 3" xfId="39948" xr:uid="{00000000-0005-0000-0000-0000779C0000}"/>
    <cellStyle name="Normal 87 3 5" xfId="39949" xr:uid="{00000000-0005-0000-0000-0000789C0000}"/>
    <cellStyle name="Normal 87 3 5 2" xfId="39950" xr:uid="{00000000-0005-0000-0000-0000799C0000}"/>
    <cellStyle name="Normal 87 3 5 2 2" xfId="39951" xr:uid="{00000000-0005-0000-0000-00007A9C0000}"/>
    <cellStyle name="Normal 87 3 5 3" xfId="39952" xr:uid="{00000000-0005-0000-0000-00007B9C0000}"/>
    <cellStyle name="Normal 87 3 6" xfId="39953" xr:uid="{00000000-0005-0000-0000-00007C9C0000}"/>
    <cellStyle name="Normal 87 4" xfId="39954" xr:uid="{00000000-0005-0000-0000-00007D9C0000}"/>
    <cellStyle name="Normal 87 4 2" xfId="39955" xr:uid="{00000000-0005-0000-0000-00007E9C0000}"/>
    <cellStyle name="Normal 87 4 2 2" xfId="39956" xr:uid="{00000000-0005-0000-0000-00007F9C0000}"/>
    <cellStyle name="Normal 87 4 3" xfId="39957" xr:uid="{00000000-0005-0000-0000-0000809C0000}"/>
    <cellStyle name="Normal 87 5" xfId="39958" xr:uid="{00000000-0005-0000-0000-0000819C0000}"/>
    <cellStyle name="Normal 87 5 2" xfId="39959" xr:uid="{00000000-0005-0000-0000-0000829C0000}"/>
    <cellStyle name="Normal 87 5 2 2" xfId="39960" xr:uid="{00000000-0005-0000-0000-0000839C0000}"/>
    <cellStyle name="Normal 87 5 3" xfId="39961" xr:uid="{00000000-0005-0000-0000-0000849C0000}"/>
    <cellStyle name="Normal 87 6" xfId="39962" xr:uid="{00000000-0005-0000-0000-0000859C0000}"/>
    <cellStyle name="Normal 87 6 2" xfId="39963" xr:uid="{00000000-0005-0000-0000-0000869C0000}"/>
    <cellStyle name="Normal 87 6 2 2" xfId="39964" xr:uid="{00000000-0005-0000-0000-0000879C0000}"/>
    <cellStyle name="Normal 87 6 3" xfId="39965" xr:uid="{00000000-0005-0000-0000-0000889C0000}"/>
    <cellStyle name="Normal 87 7" xfId="39966" xr:uid="{00000000-0005-0000-0000-0000899C0000}"/>
    <cellStyle name="Normal 88" xfId="39967" xr:uid="{00000000-0005-0000-0000-00008A9C0000}"/>
    <cellStyle name="Normal 88 2" xfId="39968" xr:uid="{00000000-0005-0000-0000-00008B9C0000}"/>
    <cellStyle name="Normal 88 2 2" xfId="39969" xr:uid="{00000000-0005-0000-0000-00008C9C0000}"/>
    <cellStyle name="Normal 88 2 2 2" xfId="39970" xr:uid="{00000000-0005-0000-0000-00008D9C0000}"/>
    <cellStyle name="Normal 88 2 3" xfId="39971" xr:uid="{00000000-0005-0000-0000-00008E9C0000}"/>
    <cellStyle name="Normal 88 2 3 2" xfId="39972" xr:uid="{00000000-0005-0000-0000-00008F9C0000}"/>
    <cellStyle name="Normal 88 2 3 2 2" xfId="39973" xr:uid="{00000000-0005-0000-0000-0000909C0000}"/>
    <cellStyle name="Normal 88 2 3 3" xfId="39974" xr:uid="{00000000-0005-0000-0000-0000919C0000}"/>
    <cellStyle name="Normal 88 2 4" xfId="39975" xr:uid="{00000000-0005-0000-0000-0000929C0000}"/>
    <cellStyle name="Normal 88 2 4 2" xfId="39976" xr:uid="{00000000-0005-0000-0000-0000939C0000}"/>
    <cellStyle name="Normal 88 2 4 2 2" xfId="39977" xr:uid="{00000000-0005-0000-0000-0000949C0000}"/>
    <cellStyle name="Normal 88 2 4 3" xfId="39978" xr:uid="{00000000-0005-0000-0000-0000959C0000}"/>
    <cellStyle name="Normal 88 2 5" xfId="39979" xr:uid="{00000000-0005-0000-0000-0000969C0000}"/>
    <cellStyle name="Normal 88 3" xfId="39980" xr:uid="{00000000-0005-0000-0000-0000979C0000}"/>
    <cellStyle name="Normal 88 3 2" xfId="39981" xr:uid="{00000000-0005-0000-0000-0000989C0000}"/>
    <cellStyle name="Normal 88 3 2 2" xfId="39982" xr:uid="{00000000-0005-0000-0000-0000999C0000}"/>
    <cellStyle name="Normal 88 3 2 2 2" xfId="39983" xr:uid="{00000000-0005-0000-0000-00009A9C0000}"/>
    <cellStyle name="Normal 88 3 2 3" xfId="39984" xr:uid="{00000000-0005-0000-0000-00009B9C0000}"/>
    <cellStyle name="Normal 88 3 2 3 2" xfId="39985" xr:uid="{00000000-0005-0000-0000-00009C9C0000}"/>
    <cellStyle name="Normal 88 3 2 3 2 2" xfId="39986" xr:uid="{00000000-0005-0000-0000-00009D9C0000}"/>
    <cellStyle name="Normal 88 3 2 3 3" xfId="39987" xr:uid="{00000000-0005-0000-0000-00009E9C0000}"/>
    <cellStyle name="Normal 88 3 2 4" xfId="39988" xr:uid="{00000000-0005-0000-0000-00009F9C0000}"/>
    <cellStyle name="Normal 88 3 3" xfId="39989" xr:uid="{00000000-0005-0000-0000-0000A09C0000}"/>
    <cellStyle name="Normal 88 3 3 2" xfId="39990" xr:uid="{00000000-0005-0000-0000-0000A19C0000}"/>
    <cellStyle name="Normal 88 3 3 2 2" xfId="39991" xr:uid="{00000000-0005-0000-0000-0000A29C0000}"/>
    <cellStyle name="Normal 88 3 3 3" xfId="39992" xr:uid="{00000000-0005-0000-0000-0000A39C0000}"/>
    <cellStyle name="Normal 88 3 4" xfId="39993" xr:uid="{00000000-0005-0000-0000-0000A49C0000}"/>
    <cellStyle name="Normal 88 3 4 2" xfId="39994" xr:uid="{00000000-0005-0000-0000-0000A59C0000}"/>
    <cellStyle name="Normal 88 3 4 2 2" xfId="39995" xr:uid="{00000000-0005-0000-0000-0000A69C0000}"/>
    <cellStyle name="Normal 88 3 4 3" xfId="39996" xr:uid="{00000000-0005-0000-0000-0000A79C0000}"/>
    <cellStyle name="Normal 88 3 5" xfId="39997" xr:uid="{00000000-0005-0000-0000-0000A89C0000}"/>
    <cellStyle name="Normal 88 3 5 2" xfId="39998" xr:uid="{00000000-0005-0000-0000-0000A99C0000}"/>
    <cellStyle name="Normal 88 3 5 2 2" xfId="39999" xr:uid="{00000000-0005-0000-0000-0000AA9C0000}"/>
    <cellStyle name="Normal 88 3 5 3" xfId="40000" xr:uid="{00000000-0005-0000-0000-0000AB9C0000}"/>
    <cellStyle name="Normal 88 3 6" xfId="40001" xr:uid="{00000000-0005-0000-0000-0000AC9C0000}"/>
    <cellStyle name="Normal 88 4" xfId="40002" xr:uid="{00000000-0005-0000-0000-0000AD9C0000}"/>
    <cellStyle name="Normal 88 4 2" xfId="40003" xr:uid="{00000000-0005-0000-0000-0000AE9C0000}"/>
    <cellStyle name="Normal 88 4 2 2" xfId="40004" xr:uid="{00000000-0005-0000-0000-0000AF9C0000}"/>
    <cellStyle name="Normal 88 4 3" xfId="40005" xr:uid="{00000000-0005-0000-0000-0000B09C0000}"/>
    <cellStyle name="Normal 88 5" xfId="40006" xr:uid="{00000000-0005-0000-0000-0000B19C0000}"/>
    <cellStyle name="Normal 88 5 2" xfId="40007" xr:uid="{00000000-0005-0000-0000-0000B29C0000}"/>
    <cellStyle name="Normal 88 5 2 2" xfId="40008" xr:uid="{00000000-0005-0000-0000-0000B39C0000}"/>
    <cellStyle name="Normal 88 5 3" xfId="40009" xr:uid="{00000000-0005-0000-0000-0000B49C0000}"/>
    <cellStyle name="Normal 88 6" xfId="40010" xr:uid="{00000000-0005-0000-0000-0000B59C0000}"/>
    <cellStyle name="Normal 88 6 2" xfId="40011" xr:uid="{00000000-0005-0000-0000-0000B69C0000}"/>
    <cellStyle name="Normal 88 6 2 2" xfId="40012" xr:uid="{00000000-0005-0000-0000-0000B79C0000}"/>
    <cellStyle name="Normal 88 6 3" xfId="40013" xr:uid="{00000000-0005-0000-0000-0000B89C0000}"/>
    <cellStyle name="Normal 88 7" xfId="40014" xr:uid="{00000000-0005-0000-0000-0000B99C0000}"/>
    <cellStyle name="Normal 89" xfId="40015" xr:uid="{00000000-0005-0000-0000-0000BA9C0000}"/>
    <cellStyle name="Normal 89 2" xfId="40016" xr:uid="{00000000-0005-0000-0000-0000BB9C0000}"/>
    <cellStyle name="Normal 89 2 2" xfId="40017" xr:uid="{00000000-0005-0000-0000-0000BC9C0000}"/>
    <cellStyle name="Normal 89 2 2 2" xfId="40018" xr:uid="{00000000-0005-0000-0000-0000BD9C0000}"/>
    <cellStyle name="Normal 89 2 3" xfId="40019" xr:uid="{00000000-0005-0000-0000-0000BE9C0000}"/>
    <cellStyle name="Normal 89 2 3 2" xfId="40020" xr:uid="{00000000-0005-0000-0000-0000BF9C0000}"/>
    <cellStyle name="Normal 89 2 3 2 2" xfId="40021" xr:uid="{00000000-0005-0000-0000-0000C09C0000}"/>
    <cellStyle name="Normal 89 2 3 3" xfId="40022" xr:uid="{00000000-0005-0000-0000-0000C19C0000}"/>
    <cellStyle name="Normal 89 2 4" xfId="40023" xr:uid="{00000000-0005-0000-0000-0000C29C0000}"/>
    <cellStyle name="Normal 89 2 4 2" xfId="40024" xr:uid="{00000000-0005-0000-0000-0000C39C0000}"/>
    <cellStyle name="Normal 89 2 4 2 2" xfId="40025" xr:uid="{00000000-0005-0000-0000-0000C49C0000}"/>
    <cellStyle name="Normal 89 2 4 3" xfId="40026" xr:uid="{00000000-0005-0000-0000-0000C59C0000}"/>
    <cellStyle name="Normal 89 2 5" xfId="40027" xr:uid="{00000000-0005-0000-0000-0000C69C0000}"/>
    <cellStyle name="Normal 89 3" xfId="40028" xr:uid="{00000000-0005-0000-0000-0000C79C0000}"/>
    <cellStyle name="Normal 89 3 2" xfId="40029" xr:uid="{00000000-0005-0000-0000-0000C89C0000}"/>
    <cellStyle name="Normal 89 3 2 2" xfId="40030" xr:uid="{00000000-0005-0000-0000-0000C99C0000}"/>
    <cellStyle name="Normal 89 3 2 2 2" xfId="40031" xr:uid="{00000000-0005-0000-0000-0000CA9C0000}"/>
    <cellStyle name="Normal 89 3 2 3" xfId="40032" xr:uid="{00000000-0005-0000-0000-0000CB9C0000}"/>
    <cellStyle name="Normal 89 3 2 3 2" xfId="40033" xr:uid="{00000000-0005-0000-0000-0000CC9C0000}"/>
    <cellStyle name="Normal 89 3 2 3 2 2" xfId="40034" xr:uid="{00000000-0005-0000-0000-0000CD9C0000}"/>
    <cellStyle name="Normal 89 3 2 3 3" xfId="40035" xr:uid="{00000000-0005-0000-0000-0000CE9C0000}"/>
    <cellStyle name="Normal 89 3 2 4" xfId="40036" xr:uid="{00000000-0005-0000-0000-0000CF9C0000}"/>
    <cellStyle name="Normal 89 3 3" xfId="40037" xr:uid="{00000000-0005-0000-0000-0000D09C0000}"/>
    <cellStyle name="Normal 89 3 3 2" xfId="40038" xr:uid="{00000000-0005-0000-0000-0000D19C0000}"/>
    <cellStyle name="Normal 89 3 3 2 2" xfId="40039" xr:uid="{00000000-0005-0000-0000-0000D29C0000}"/>
    <cellStyle name="Normal 89 3 3 3" xfId="40040" xr:uid="{00000000-0005-0000-0000-0000D39C0000}"/>
    <cellStyle name="Normal 89 3 4" xfId="40041" xr:uid="{00000000-0005-0000-0000-0000D49C0000}"/>
    <cellStyle name="Normal 89 3 4 2" xfId="40042" xr:uid="{00000000-0005-0000-0000-0000D59C0000}"/>
    <cellStyle name="Normal 89 3 4 2 2" xfId="40043" xr:uid="{00000000-0005-0000-0000-0000D69C0000}"/>
    <cellStyle name="Normal 89 3 4 3" xfId="40044" xr:uid="{00000000-0005-0000-0000-0000D79C0000}"/>
    <cellStyle name="Normal 89 3 5" xfId="40045" xr:uid="{00000000-0005-0000-0000-0000D89C0000}"/>
    <cellStyle name="Normal 89 3 5 2" xfId="40046" xr:uid="{00000000-0005-0000-0000-0000D99C0000}"/>
    <cellStyle name="Normal 89 3 5 2 2" xfId="40047" xr:uid="{00000000-0005-0000-0000-0000DA9C0000}"/>
    <cellStyle name="Normal 89 3 5 3" xfId="40048" xr:uid="{00000000-0005-0000-0000-0000DB9C0000}"/>
    <cellStyle name="Normal 89 3 6" xfId="40049" xr:uid="{00000000-0005-0000-0000-0000DC9C0000}"/>
    <cellStyle name="Normal 89 4" xfId="40050" xr:uid="{00000000-0005-0000-0000-0000DD9C0000}"/>
    <cellStyle name="Normal 89 4 2" xfId="40051" xr:uid="{00000000-0005-0000-0000-0000DE9C0000}"/>
    <cellStyle name="Normal 89 4 2 2" xfId="40052" xr:uid="{00000000-0005-0000-0000-0000DF9C0000}"/>
    <cellStyle name="Normal 89 4 3" xfId="40053" xr:uid="{00000000-0005-0000-0000-0000E09C0000}"/>
    <cellStyle name="Normal 89 5" xfId="40054" xr:uid="{00000000-0005-0000-0000-0000E19C0000}"/>
    <cellStyle name="Normal 89 5 2" xfId="40055" xr:uid="{00000000-0005-0000-0000-0000E29C0000}"/>
    <cellStyle name="Normal 89 5 2 2" xfId="40056" xr:uid="{00000000-0005-0000-0000-0000E39C0000}"/>
    <cellStyle name="Normal 89 5 3" xfId="40057" xr:uid="{00000000-0005-0000-0000-0000E49C0000}"/>
    <cellStyle name="Normal 89 6" xfId="40058" xr:uid="{00000000-0005-0000-0000-0000E59C0000}"/>
    <cellStyle name="Normal 89 6 2" xfId="40059" xr:uid="{00000000-0005-0000-0000-0000E69C0000}"/>
    <cellStyle name="Normal 89 6 2 2" xfId="40060" xr:uid="{00000000-0005-0000-0000-0000E79C0000}"/>
    <cellStyle name="Normal 89 6 3" xfId="40061" xr:uid="{00000000-0005-0000-0000-0000E89C0000}"/>
    <cellStyle name="Normal 89 7" xfId="40062" xr:uid="{00000000-0005-0000-0000-0000E99C0000}"/>
    <cellStyle name="Normal 9" xfId="138" xr:uid="{00000000-0005-0000-0000-0000EA9C0000}"/>
    <cellStyle name="Normal 9 10" xfId="53724" xr:uid="{00000000-0005-0000-0000-0000EB9C0000}"/>
    <cellStyle name="Normal 9 11" xfId="53786" xr:uid="{00000000-0005-0000-0000-0000EC9C0000}"/>
    <cellStyle name="Normal 9 2" xfId="182" xr:uid="{00000000-0005-0000-0000-0000ED9C0000}"/>
    <cellStyle name="Normal 9 2 2" xfId="318" xr:uid="{00000000-0005-0000-0000-0000EE9C0000}"/>
    <cellStyle name="Normal 9 2 2 2" xfId="40066" xr:uid="{00000000-0005-0000-0000-0000EF9C0000}"/>
    <cellStyle name="Normal 9 2 2 2 2" xfId="40067" xr:uid="{00000000-0005-0000-0000-0000F09C0000}"/>
    <cellStyle name="Normal 9 2 2 3" xfId="40068" xr:uid="{00000000-0005-0000-0000-0000F19C0000}"/>
    <cellStyle name="Normal 9 2 2 3 2" xfId="40069" xr:uid="{00000000-0005-0000-0000-0000F29C0000}"/>
    <cellStyle name="Normal 9 2 2 3 2 2" xfId="40070" xr:uid="{00000000-0005-0000-0000-0000F39C0000}"/>
    <cellStyle name="Normal 9 2 2 3 3" xfId="40071" xr:uid="{00000000-0005-0000-0000-0000F49C0000}"/>
    <cellStyle name="Normal 9 2 2 4" xfId="40072" xr:uid="{00000000-0005-0000-0000-0000F59C0000}"/>
    <cellStyle name="Normal 9 2 2 4 2" xfId="40073" xr:uid="{00000000-0005-0000-0000-0000F69C0000}"/>
    <cellStyle name="Normal 9 2 2 4 2 2" xfId="40074" xr:uid="{00000000-0005-0000-0000-0000F79C0000}"/>
    <cellStyle name="Normal 9 2 2 4 3" xfId="40075" xr:uid="{00000000-0005-0000-0000-0000F89C0000}"/>
    <cellStyle name="Normal 9 2 2 5" xfId="40076" xr:uid="{00000000-0005-0000-0000-0000F99C0000}"/>
    <cellStyle name="Normal 9 2 2 6" xfId="40065" xr:uid="{00000000-0005-0000-0000-0000FA9C0000}"/>
    <cellStyle name="Normal 9 2 3" xfId="441" xr:uid="{00000000-0005-0000-0000-0000FB9C0000}"/>
    <cellStyle name="Normal 9 2 3 2" xfId="40078" xr:uid="{00000000-0005-0000-0000-0000FC9C0000}"/>
    <cellStyle name="Normal 9 2 3 2 2" xfId="40079" xr:uid="{00000000-0005-0000-0000-0000FD9C0000}"/>
    <cellStyle name="Normal 9 2 3 2 2 2" xfId="40080" xr:uid="{00000000-0005-0000-0000-0000FE9C0000}"/>
    <cellStyle name="Normal 9 2 3 2 3" xfId="40081" xr:uid="{00000000-0005-0000-0000-0000FF9C0000}"/>
    <cellStyle name="Normal 9 2 3 2 3 2" xfId="40082" xr:uid="{00000000-0005-0000-0000-0000009D0000}"/>
    <cellStyle name="Normal 9 2 3 2 3 2 2" xfId="40083" xr:uid="{00000000-0005-0000-0000-0000019D0000}"/>
    <cellStyle name="Normal 9 2 3 2 3 3" xfId="40084" xr:uid="{00000000-0005-0000-0000-0000029D0000}"/>
    <cellStyle name="Normal 9 2 3 2 4" xfId="40085" xr:uid="{00000000-0005-0000-0000-0000039D0000}"/>
    <cellStyle name="Normal 9 2 3 3" xfId="40086" xr:uid="{00000000-0005-0000-0000-0000049D0000}"/>
    <cellStyle name="Normal 9 2 3 3 2" xfId="40087" xr:uid="{00000000-0005-0000-0000-0000059D0000}"/>
    <cellStyle name="Normal 9 2 3 3 2 2" xfId="40088" xr:uid="{00000000-0005-0000-0000-0000069D0000}"/>
    <cellStyle name="Normal 9 2 3 3 3" xfId="40089" xr:uid="{00000000-0005-0000-0000-0000079D0000}"/>
    <cellStyle name="Normal 9 2 3 4" xfId="40090" xr:uid="{00000000-0005-0000-0000-0000089D0000}"/>
    <cellStyle name="Normal 9 2 3 4 2" xfId="40091" xr:uid="{00000000-0005-0000-0000-0000099D0000}"/>
    <cellStyle name="Normal 9 2 3 4 2 2" xfId="40092" xr:uid="{00000000-0005-0000-0000-00000A9D0000}"/>
    <cellStyle name="Normal 9 2 3 4 3" xfId="40093" xr:uid="{00000000-0005-0000-0000-00000B9D0000}"/>
    <cellStyle name="Normal 9 2 3 5" xfId="40094" xr:uid="{00000000-0005-0000-0000-00000C9D0000}"/>
    <cellStyle name="Normal 9 2 3 5 2" xfId="40095" xr:uid="{00000000-0005-0000-0000-00000D9D0000}"/>
    <cellStyle name="Normal 9 2 3 5 2 2" xfId="40096" xr:uid="{00000000-0005-0000-0000-00000E9D0000}"/>
    <cellStyle name="Normal 9 2 3 5 3" xfId="40097" xr:uid="{00000000-0005-0000-0000-00000F9D0000}"/>
    <cellStyle name="Normal 9 2 3 6" xfId="40098" xr:uid="{00000000-0005-0000-0000-0000109D0000}"/>
    <cellStyle name="Normal 9 2 3 7" xfId="40077" xr:uid="{00000000-0005-0000-0000-0000119D0000}"/>
    <cellStyle name="Normal 9 2 4" xfId="665" xr:uid="{00000000-0005-0000-0000-0000129D0000}"/>
    <cellStyle name="Normal 9 2 4 2" xfId="40099" xr:uid="{00000000-0005-0000-0000-0000139D0000}"/>
    <cellStyle name="Normal 9 2 5" xfId="40064" xr:uid="{00000000-0005-0000-0000-0000149D0000}"/>
    <cellStyle name="Normal 9 2 6" xfId="53808" xr:uid="{00000000-0005-0000-0000-0000159D0000}"/>
    <cellStyle name="Normal 9 3" xfId="223" xr:uid="{00000000-0005-0000-0000-0000169D0000}"/>
    <cellStyle name="Normal 9 3 2" xfId="359" xr:uid="{00000000-0005-0000-0000-0000179D0000}"/>
    <cellStyle name="Normal 9 3 2 2" xfId="40102" xr:uid="{00000000-0005-0000-0000-0000189D0000}"/>
    <cellStyle name="Normal 9 3 2 2 2" xfId="40103" xr:uid="{00000000-0005-0000-0000-0000199D0000}"/>
    <cellStyle name="Normal 9 3 2 3" xfId="40104" xr:uid="{00000000-0005-0000-0000-00001A9D0000}"/>
    <cellStyle name="Normal 9 3 2 3 2" xfId="40105" xr:uid="{00000000-0005-0000-0000-00001B9D0000}"/>
    <cellStyle name="Normal 9 3 2 3 2 2" xfId="40106" xr:uid="{00000000-0005-0000-0000-00001C9D0000}"/>
    <cellStyle name="Normal 9 3 2 3 3" xfId="40107" xr:uid="{00000000-0005-0000-0000-00001D9D0000}"/>
    <cellStyle name="Normal 9 3 2 4" xfId="40108" xr:uid="{00000000-0005-0000-0000-00001E9D0000}"/>
    <cellStyle name="Normal 9 3 2 4 2" xfId="40109" xr:uid="{00000000-0005-0000-0000-00001F9D0000}"/>
    <cellStyle name="Normal 9 3 2 4 2 2" xfId="40110" xr:uid="{00000000-0005-0000-0000-0000209D0000}"/>
    <cellStyle name="Normal 9 3 2 4 3" xfId="40111" xr:uid="{00000000-0005-0000-0000-0000219D0000}"/>
    <cellStyle name="Normal 9 3 2 5" xfId="40112" xr:uid="{00000000-0005-0000-0000-0000229D0000}"/>
    <cellStyle name="Normal 9 3 2 6" xfId="40101" xr:uid="{00000000-0005-0000-0000-0000239D0000}"/>
    <cellStyle name="Normal 9 3 3" xfId="482" xr:uid="{00000000-0005-0000-0000-0000249D0000}"/>
    <cellStyle name="Normal 9 3 3 2" xfId="40114" xr:uid="{00000000-0005-0000-0000-0000259D0000}"/>
    <cellStyle name="Normal 9 3 3 2 2" xfId="40115" xr:uid="{00000000-0005-0000-0000-0000269D0000}"/>
    <cellStyle name="Normal 9 3 3 3" xfId="40116" xr:uid="{00000000-0005-0000-0000-0000279D0000}"/>
    <cellStyle name="Normal 9 3 3 4" xfId="40113" xr:uid="{00000000-0005-0000-0000-0000289D0000}"/>
    <cellStyle name="Normal 9 3 4" xfId="666" xr:uid="{00000000-0005-0000-0000-0000299D0000}"/>
    <cellStyle name="Normal 9 3 4 2" xfId="40118" xr:uid="{00000000-0005-0000-0000-00002A9D0000}"/>
    <cellStyle name="Normal 9 3 4 2 2" xfId="40119" xr:uid="{00000000-0005-0000-0000-00002B9D0000}"/>
    <cellStyle name="Normal 9 3 4 3" xfId="40120" xr:uid="{00000000-0005-0000-0000-00002C9D0000}"/>
    <cellStyle name="Normal 9 3 4 4" xfId="40117" xr:uid="{00000000-0005-0000-0000-00002D9D0000}"/>
    <cellStyle name="Normal 9 3 5" xfId="40121" xr:uid="{00000000-0005-0000-0000-00002E9D0000}"/>
    <cellStyle name="Normal 9 3 5 2" xfId="40122" xr:uid="{00000000-0005-0000-0000-00002F9D0000}"/>
    <cellStyle name="Normal 9 3 5 2 2" xfId="40123" xr:uid="{00000000-0005-0000-0000-0000309D0000}"/>
    <cellStyle name="Normal 9 3 5 3" xfId="40124" xr:uid="{00000000-0005-0000-0000-0000319D0000}"/>
    <cellStyle name="Normal 9 3 6" xfId="40125" xr:uid="{00000000-0005-0000-0000-0000329D0000}"/>
    <cellStyle name="Normal 9 3 7" xfId="40100" xr:uid="{00000000-0005-0000-0000-0000339D0000}"/>
    <cellStyle name="Normal 9 3 8" xfId="53849" xr:uid="{00000000-0005-0000-0000-0000349D0000}"/>
    <cellStyle name="Normal 9 4" xfId="277" xr:uid="{00000000-0005-0000-0000-0000359D0000}"/>
    <cellStyle name="Normal 9 4 2" xfId="40127" xr:uid="{00000000-0005-0000-0000-0000369D0000}"/>
    <cellStyle name="Normal 9 4 2 2" xfId="40128" xr:uid="{00000000-0005-0000-0000-0000379D0000}"/>
    <cellStyle name="Normal 9 4 3" xfId="40129" xr:uid="{00000000-0005-0000-0000-0000389D0000}"/>
    <cellStyle name="Normal 9 4 3 2" xfId="40130" xr:uid="{00000000-0005-0000-0000-0000399D0000}"/>
    <cellStyle name="Normal 9 4 3 2 2" xfId="40131" xr:uid="{00000000-0005-0000-0000-00003A9D0000}"/>
    <cellStyle name="Normal 9 4 3 3" xfId="40132" xr:uid="{00000000-0005-0000-0000-00003B9D0000}"/>
    <cellStyle name="Normal 9 4 4" xfId="40133" xr:uid="{00000000-0005-0000-0000-00003C9D0000}"/>
    <cellStyle name="Normal 9 4 4 2" xfId="40134" xr:uid="{00000000-0005-0000-0000-00003D9D0000}"/>
    <cellStyle name="Normal 9 4 4 2 2" xfId="40135" xr:uid="{00000000-0005-0000-0000-00003E9D0000}"/>
    <cellStyle name="Normal 9 4 4 3" xfId="40136" xr:uid="{00000000-0005-0000-0000-00003F9D0000}"/>
    <cellStyle name="Normal 9 4 5" xfId="40137" xr:uid="{00000000-0005-0000-0000-0000409D0000}"/>
    <cellStyle name="Normal 9 4 6" xfId="40126" xr:uid="{00000000-0005-0000-0000-0000419D0000}"/>
    <cellStyle name="Normal 9 5" xfId="400" xr:uid="{00000000-0005-0000-0000-0000429D0000}"/>
    <cellStyle name="Normal 9 5 2" xfId="40139" xr:uid="{00000000-0005-0000-0000-0000439D0000}"/>
    <cellStyle name="Normal 9 5 2 2" xfId="40140" xr:uid="{00000000-0005-0000-0000-0000449D0000}"/>
    <cellStyle name="Normal 9 5 2 2 2" xfId="40141" xr:uid="{00000000-0005-0000-0000-0000459D0000}"/>
    <cellStyle name="Normal 9 5 2 3" xfId="40142" xr:uid="{00000000-0005-0000-0000-0000469D0000}"/>
    <cellStyle name="Normal 9 5 2 3 2" xfId="40143" xr:uid="{00000000-0005-0000-0000-0000479D0000}"/>
    <cellStyle name="Normal 9 5 2 3 2 2" xfId="40144" xr:uid="{00000000-0005-0000-0000-0000489D0000}"/>
    <cellStyle name="Normal 9 5 2 3 3" xfId="40145" xr:uid="{00000000-0005-0000-0000-0000499D0000}"/>
    <cellStyle name="Normal 9 5 2 4" xfId="40146" xr:uid="{00000000-0005-0000-0000-00004A9D0000}"/>
    <cellStyle name="Normal 9 5 3" xfId="40147" xr:uid="{00000000-0005-0000-0000-00004B9D0000}"/>
    <cellStyle name="Normal 9 5 3 2" xfId="40148" xr:uid="{00000000-0005-0000-0000-00004C9D0000}"/>
    <cellStyle name="Normal 9 5 3 2 2" xfId="40149" xr:uid="{00000000-0005-0000-0000-00004D9D0000}"/>
    <cellStyle name="Normal 9 5 3 3" xfId="40150" xr:uid="{00000000-0005-0000-0000-00004E9D0000}"/>
    <cellStyle name="Normal 9 5 4" xfId="40151" xr:uid="{00000000-0005-0000-0000-00004F9D0000}"/>
    <cellStyle name="Normal 9 5 4 2" xfId="40152" xr:uid="{00000000-0005-0000-0000-0000509D0000}"/>
    <cellStyle name="Normal 9 5 4 2 2" xfId="40153" xr:uid="{00000000-0005-0000-0000-0000519D0000}"/>
    <cellStyle name="Normal 9 5 4 3" xfId="40154" xr:uid="{00000000-0005-0000-0000-0000529D0000}"/>
    <cellStyle name="Normal 9 5 5" xfId="40155" xr:uid="{00000000-0005-0000-0000-0000539D0000}"/>
    <cellStyle name="Normal 9 5 5 2" xfId="40156" xr:uid="{00000000-0005-0000-0000-0000549D0000}"/>
    <cellStyle name="Normal 9 5 5 2 2" xfId="40157" xr:uid="{00000000-0005-0000-0000-0000559D0000}"/>
    <cellStyle name="Normal 9 5 5 3" xfId="40158" xr:uid="{00000000-0005-0000-0000-0000569D0000}"/>
    <cellStyle name="Normal 9 5 6" xfId="40159" xr:uid="{00000000-0005-0000-0000-0000579D0000}"/>
    <cellStyle name="Normal 9 5 7" xfId="40138" xr:uid="{00000000-0005-0000-0000-0000589D0000}"/>
    <cellStyle name="Normal 9 6" xfId="523" xr:uid="{00000000-0005-0000-0000-0000599D0000}"/>
    <cellStyle name="Normal 9 6 2" xfId="40161" xr:uid="{00000000-0005-0000-0000-00005A9D0000}"/>
    <cellStyle name="Normal 9 6 2 2" xfId="40162" xr:uid="{00000000-0005-0000-0000-00005B9D0000}"/>
    <cellStyle name="Normal 9 6 2 2 2" xfId="40163" xr:uid="{00000000-0005-0000-0000-00005C9D0000}"/>
    <cellStyle name="Normal 9 6 2 3" xfId="40164" xr:uid="{00000000-0005-0000-0000-00005D9D0000}"/>
    <cellStyle name="Normal 9 6 2 3 2" xfId="40165" xr:uid="{00000000-0005-0000-0000-00005E9D0000}"/>
    <cellStyle name="Normal 9 6 2 3 2 2" xfId="40166" xr:uid="{00000000-0005-0000-0000-00005F9D0000}"/>
    <cellStyle name="Normal 9 6 2 3 3" xfId="40167" xr:uid="{00000000-0005-0000-0000-0000609D0000}"/>
    <cellStyle name="Normal 9 6 2 4" xfId="40168" xr:uid="{00000000-0005-0000-0000-0000619D0000}"/>
    <cellStyle name="Normal 9 6 3" xfId="40169" xr:uid="{00000000-0005-0000-0000-0000629D0000}"/>
    <cellStyle name="Normal 9 6 3 2" xfId="40170" xr:uid="{00000000-0005-0000-0000-0000639D0000}"/>
    <cellStyle name="Normal 9 6 3 2 2" xfId="40171" xr:uid="{00000000-0005-0000-0000-0000649D0000}"/>
    <cellStyle name="Normal 9 6 3 3" xfId="40172" xr:uid="{00000000-0005-0000-0000-0000659D0000}"/>
    <cellStyle name="Normal 9 6 4" xfId="40173" xr:uid="{00000000-0005-0000-0000-0000669D0000}"/>
    <cellStyle name="Normal 9 6 4 2" xfId="40174" xr:uid="{00000000-0005-0000-0000-0000679D0000}"/>
    <cellStyle name="Normal 9 6 4 2 2" xfId="40175" xr:uid="{00000000-0005-0000-0000-0000689D0000}"/>
    <cellStyle name="Normal 9 6 4 3" xfId="40176" xr:uid="{00000000-0005-0000-0000-0000699D0000}"/>
    <cellStyle name="Normal 9 6 5" xfId="40177" xr:uid="{00000000-0005-0000-0000-00006A9D0000}"/>
    <cellStyle name="Normal 9 6 6" xfId="40160" xr:uid="{00000000-0005-0000-0000-00006B9D0000}"/>
    <cellStyle name="Normal 9 7" xfId="664" xr:uid="{00000000-0005-0000-0000-00006C9D0000}"/>
    <cellStyle name="Normal 9 7 2" xfId="40179" xr:uid="{00000000-0005-0000-0000-00006D9D0000}"/>
    <cellStyle name="Normal 9 7 3" xfId="40178" xr:uid="{00000000-0005-0000-0000-00006E9D0000}"/>
    <cellStyle name="Normal 9 8" xfId="40180" xr:uid="{00000000-0005-0000-0000-00006F9D0000}"/>
    <cellStyle name="Normal 9 9" xfId="40063" xr:uid="{00000000-0005-0000-0000-0000709D0000}"/>
    <cellStyle name="Normal 90" xfId="40181" xr:uid="{00000000-0005-0000-0000-0000719D0000}"/>
    <cellStyle name="Normal 90 2" xfId="40182" xr:uid="{00000000-0005-0000-0000-0000729D0000}"/>
    <cellStyle name="Normal 90 2 2" xfId="40183" xr:uid="{00000000-0005-0000-0000-0000739D0000}"/>
    <cellStyle name="Normal 90 2 2 2" xfId="40184" xr:uid="{00000000-0005-0000-0000-0000749D0000}"/>
    <cellStyle name="Normal 90 2 3" xfId="40185" xr:uid="{00000000-0005-0000-0000-0000759D0000}"/>
    <cellStyle name="Normal 90 2 3 2" xfId="40186" xr:uid="{00000000-0005-0000-0000-0000769D0000}"/>
    <cellStyle name="Normal 90 2 3 2 2" xfId="40187" xr:uid="{00000000-0005-0000-0000-0000779D0000}"/>
    <cellStyle name="Normal 90 2 3 3" xfId="40188" xr:uid="{00000000-0005-0000-0000-0000789D0000}"/>
    <cellStyle name="Normal 90 2 4" xfId="40189" xr:uid="{00000000-0005-0000-0000-0000799D0000}"/>
    <cellStyle name="Normal 90 2 4 2" xfId="40190" xr:uid="{00000000-0005-0000-0000-00007A9D0000}"/>
    <cellStyle name="Normal 90 2 4 2 2" xfId="40191" xr:uid="{00000000-0005-0000-0000-00007B9D0000}"/>
    <cellStyle name="Normal 90 2 4 3" xfId="40192" xr:uid="{00000000-0005-0000-0000-00007C9D0000}"/>
    <cellStyle name="Normal 90 2 5" xfId="40193" xr:uid="{00000000-0005-0000-0000-00007D9D0000}"/>
    <cellStyle name="Normal 90 3" xfId="40194" xr:uid="{00000000-0005-0000-0000-00007E9D0000}"/>
    <cellStyle name="Normal 90 3 2" xfId="40195" xr:uid="{00000000-0005-0000-0000-00007F9D0000}"/>
    <cellStyle name="Normal 90 3 2 2" xfId="40196" xr:uid="{00000000-0005-0000-0000-0000809D0000}"/>
    <cellStyle name="Normal 90 3 2 2 2" xfId="40197" xr:uid="{00000000-0005-0000-0000-0000819D0000}"/>
    <cellStyle name="Normal 90 3 2 3" xfId="40198" xr:uid="{00000000-0005-0000-0000-0000829D0000}"/>
    <cellStyle name="Normal 90 3 2 3 2" xfId="40199" xr:uid="{00000000-0005-0000-0000-0000839D0000}"/>
    <cellStyle name="Normal 90 3 2 3 2 2" xfId="40200" xr:uid="{00000000-0005-0000-0000-0000849D0000}"/>
    <cellStyle name="Normal 90 3 2 3 3" xfId="40201" xr:uid="{00000000-0005-0000-0000-0000859D0000}"/>
    <cellStyle name="Normal 90 3 2 4" xfId="40202" xr:uid="{00000000-0005-0000-0000-0000869D0000}"/>
    <cellStyle name="Normal 90 3 3" xfId="40203" xr:uid="{00000000-0005-0000-0000-0000879D0000}"/>
    <cellStyle name="Normal 90 3 3 2" xfId="40204" xr:uid="{00000000-0005-0000-0000-0000889D0000}"/>
    <cellStyle name="Normal 90 3 3 2 2" xfId="40205" xr:uid="{00000000-0005-0000-0000-0000899D0000}"/>
    <cellStyle name="Normal 90 3 3 3" xfId="40206" xr:uid="{00000000-0005-0000-0000-00008A9D0000}"/>
    <cellStyle name="Normal 90 3 4" xfId="40207" xr:uid="{00000000-0005-0000-0000-00008B9D0000}"/>
    <cellStyle name="Normal 90 3 4 2" xfId="40208" xr:uid="{00000000-0005-0000-0000-00008C9D0000}"/>
    <cellStyle name="Normal 90 3 4 2 2" xfId="40209" xr:uid="{00000000-0005-0000-0000-00008D9D0000}"/>
    <cellStyle name="Normal 90 3 4 3" xfId="40210" xr:uid="{00000000-0005-0000-0000-00008E9D0000}"/>
    <cellStyle name="Normal 90 3 5" xfId="40211" xr:uid="{00000000-0005-0000-0000-00008F9D0000}"/>
    <cellStyle name="Normal 90 3 5 2" xfId="40212" xr:uid="{00000000-0005-0000-0000-0000909D0000}"/>
    <cellStyle name="Normal 90 3 5 2 2" xfId="40213" xr:uid="{00000000-0005-0000-0000-0000919D0000}"/>
    <cellStyle name="Normal 90 3 5 3" xfId="40214" xr:uid="{00000000-0005-0000-0000-0000929D0000}"/>
    <cellStyle name="Normal 90 3 6" xfId="40215" xr:uid="{00000000-0005-0000-0000-0000939D0000}"/>
    <cellStyle name="Normal 90 4" xfId="40216" xr:uid="{00000000-0005-0000-0000-0000949D0000}"/>
    <cellStyle name="Normal 90 4 2" xfId="40217" xr:uid="{00000000-0005-0000-0000-0000959D0000}"/>
    <cellStyle name="Normal 90 4 2 2" xfId="40218" xr:uid="{00000000-0005-0000-0000-0000969D0000}"/>
    <cellStyle name="Normal 90 4 3" xfId="40219" xr:uid="{00000000-0005-0000-0000-0000979D0000}"/>
    <cellStyle name="Normal 90 5" xfId="40220" xr:uid="{00000000-0005-0000-0000-0000989D0000}"/>
    <cellStyle name="Normal 90 5 2" xfId="40221" xr:uid="{00000000-0005-0000-0000-0000999D0000}"/>
    <cellStyle name="Normal 90 5 2 2" xfId="40222" xr:uid="{00000000-0005-0000-0000-00009A9D0000}"/>
    <cellStyle name="Normal 90 5 3" xfId="40223" xr:uid="{00000000-0005-0000-0000-00009B9D0000}"/>
    <cellStyle name="Normal 90 6" xfId="40224" xr:uid="{00000000-0005-0000-0000-00009C9D0000}"/>
    <cellStyle name="Normal 90 6 2" xfId="40225" xr:uid="{00000000-0005-0000-0000-00009D9D0000}"/>
    <cellStyle name="Normal 90 6 2 2" xfId="40226" xr:uid="{00000000-0005-0000-0000-00009E9D0000}"/>
    <cellStyle name="Normal 90 6 3" xfId="40227" xr:uid="{00000000-0005-0000-0000-00009F9D0000}"/>
    <cellStyle name="Normal 90 7" xfId="40228" xr:uid="{00000000-0005-0000-0000-0000A09D0000}"/>
    <cellStyle name="Normal 91" xfId="40229" xr:uid="{00000000-0005-0000-0000-0000A19D0000}"/>
    <cellStyle name="Normal 91 2" xfId="40230" xr:uid="{00000000-0005-0000-0000-0000A29D0000}"/>
    <cellStyle name="Normal 91 2 2" xfId="40231" xr:uid="{00000000-0005-0000-0000-0000A39D0000}"/>
    <cellStyle name="Normal 91 2 2 2" xfId="40232" xr:uid="{00000000-0005-0000-0000-0000A49D0000}"/>
    <cellStyle name="Normal 91 2 3" xfId="40233" xr:uid="{00000000-0005-0000-0000-0000A59D0000}"/>
    <cellStyle name="Normal 91 2 3 2" xfId="40234" xr:uid="{00000000-0005-0000-0000-0000A69D0000}"/>
    <cellStyle name="Normal 91 2 3 2 2" xfId="40235" xr:uid="{00000000-0005-0000-0000-0000A79D0000}"/>
    <cellStyle name="Normal 91 2 3 3" xfId="40236" xr:uid="{00000000-0005-0000-0000-0000A89D0000}"/>
    <cellStyle name="Normal 91 2 4" xfId="40237" xr:uid="{00000000-0005-0000-0000-0000A99D0000}"/>
    <cellStyle name="Normal 91 2 4 2" xfId="40238" xr:uid="{00000000-0005-0000-0000-0000AA9D0000}"/>
    <cellStyle name="Normal 91 2 4 2 2" xfId="40239" xr:uid="{00000000-0005-0000-0000-0000AB9D0000}"/>
    <cellStyle name="Normal 91 2 4 3" xfId="40240" xr:uid="{00000000-0005-0000-0000-0000AC9D0000}"/>
    <cellStyle name="Normal 91 2 5" xfId="40241" xr:uid="{00000000-0005-0000-0000-0000AD9D0000}"/>
    <cellStyle name="Normal 91 3" xfId="40242" xr:uid="{00000000-0005-0000-0000-0000AE9D0000}"/>
    <cellStyle name="Normal 91 3 2" xfId="40243" xr:uid="{00000000-0005-0000-0000-0000AF9D0000}"/>
    <cellStyle name="Normal 91 3 2 2" xfId="40244" xr:uid="{00000000-0005-0000-0000-0000B09D0000}"/>
    <cellStyle name="Normal 91 3 2 2 2" xfId="40245" xr:uid="{00000000-0005-0000-0000-0000B19D0000}"/>
    <cellStyle name="Normal 91 3 2 3" xfId="40246" xr:uid="{00000000-0005-0000-0000-0000B29D0000}"/>
    <cellStyle name="Normal 91 3 2 3 2" xfId="40247" xr:uid="{00000000-0005-0000-0000-0000B39D0000}"/>
    <cellStyle name="Normal 91 3 2 3 2 2" xfId="40248" xr:uid="{00000000-0005-0000-0000-0000B49D0000}"/>
    <cellStyle name="Normal 91 3 2 3 3" xfId="40249" xr:uid="{00000000-0005-0000-0000-0000B59D0000}"/>
    <cellStyle name="Normal 91 3 2 4" xfId="40250" xr:uid="{00000000-0005-0000-0000-0000B69D0000}"/>
    <cellStyle name="Normal 91 3 3" xfId="40251" xr:uid="{00000000-0005-0000-0000-0000B79D0000}"/>
    <cellStyle name="Normal 91 3 3 2" xfId="40252" xr:uid="{00000000-0005-0000-0000-0000B89D0000}"/>
    <cellStyle name="Normal 91 3 3 2 2" xfId="40253" xr:uid="{00000000-0005-0000-0000-0000B99D0000}"/>
    <cellStyle name="Normal 91 3 3 3" xfId="40254" xr:uid="{00000000-0005-0000-0000-0000BA9D0000}"/>
    <cellStyle name="Normal 91 3 4" xfId="40255" xr:uid="{00000000-0005-0000-0000-0000BB9D0000}"/>
    <cellStyle name="Normal 91 3 4 2" xfId="40256" xr:uid="{00000000-0005-0000-0000-0000BC9D0000}"/>
    <cellStyle name="Normal 91 3 4 2 2" xfId="40257" xr:uid="{00000000-0005-0000-0000-0000BD9D0000}"/>
    <cellStyle name="Normal 91 3 4 3" xfId="40258" xr:uid="{00000000-0005-0000-0000-0000BE9D0000}"/>
    <cellStyle name="Normal 91 3 5" xfId="40259" xr:uid="{00000000-0005-0000-0000-0000BF9D0000}"/>
    <cellStyle name="Normal 91 3 5 2" xfId="40260" xr:uid="{00000000-0005-0000-0000-0000C09D0000}"/>
    <cellStyle name="Normal 91 3 5 2 2" xfId="40261" xr:uid="{00000000-0005-0000-0000-0000C19D0000}"/>
    <cellStyle name="Normal 91 3 5 3" xfId="40262" xr:uid="{00000000-0005-0000-0000-0000C29D0000}"/>
    <cellStyle name="Normal 91 3 6" xfId="40263" xr:uid="{00000000-0005-0000-0000-0000C39D0000}"/>
    <cellStyle name="Normal 91 4" xfId="40264" xr:uid="{00000000-0005-0000-0000-0000C49D0000}"/>
    <cellStyle name="Normal 91 4 2" xfId="40265" xr:uid="{00000000-0005-0000-0000-0000C59D0000}"/>
    <cellStyle name="Normal 91 4 2 2" xfId="40266" xr:uid="{00000000-0005-0000-0000-0000C69D0000}"/>
    <cellStyle name="Normal 91 4 3" xfId="40267" xr:uid="{00000000-0005-0000-0000-0000C79D0000}"/>
    <cellStyle name="Normal 91 5" xfId="40268" xr:uid="{00000000-0005-0000-0000-0000C89D0000}"/>
    <cellStyle name="Normal 91 5 2" xfId="40269" xr:uid="{00000000-0005-0000-0000-0000C99D0000}"/>
    <cellStyle name="Normal 91 5 2 2" xfId="40270" xr:uid="{00000000-0005-0000-0000-0000CA9D0000}"/>
    <cellStyle name="Normal 91 5 3" xfId="40271" xr:uid="{00000000-0005-0000-0000-0000CB9D0000}"/>
    <cellStyle name="Normal 91 6" xfId="40272" xr:uid="{00000000-0005-0000-0000-0000CC9D0000}"/>
    <cellStyle name="Normal 91 6 2" xfId="40273" xr:uid="{00000000-0005-0000-0000-0000CD9D0000}"/>
    <cellStyle name="Normal 91 6 2 2" xfId="40274" xr:uid="{00000000-0005-0000-0000-0000CE9D0000}"/>
    <cellStyle name="Normal 91 6 3" xfId="40275" xr:uid="{00000000-0005-0000-0000-0000CF9D0000}"/>
    <cellStyle name="Normal 91 7" xfId="40276" xr:uid="{00000000-0005-0000-0000-0000D09D0000}"/>
    <cellStyle name="Normal 92" xfId="40277" xr:uid="{00000000-0005-0000-0000-0000D19D0000}"/>
    <cellStyle name="Normal 92 2" xfId="40278" xr:uid="{00000000-0005-0000-0000-0000D29D0000}"/>
    <cellStyle name="Normal 92 2 2" xfId="40279" xr:uid="{00000000-0005-0000-0000-0000D39D0000}"/>
    <cellStyle name="Normal 92 2 2 2" xfId="40280" xr:uid="{00000000-0005-0000-0000-0000D49D0000}"/>
    <cellStyle name="Normal 92 2 3" xfId="40281" xr:uid="{00000000-0005-0000-0000-0000D59D0000}"/>
    <cellStyle name="Normal 92 2 3 2" xfId="40282" xr:uid="{00000000-0005-0000-0000-0000D69D0000}"/>
    <cellStyle name="Normal 92 2 3 2 2" xfId="40283" xr:uid="{00000000-0005-0000-0000-0000D79D0000}"/>
    <cellStyle name="Normal 92 2 3 3" xfId="40284" xr:uid="{00000000-0005-0000-0000-0000D89D0000}"/>
    <cellStyle name="Normal 92 2 4" xfId="40285" xr:uid="{00000000-0005-0000-0000-0000D99D0000}"/>
    <cellStyle name="Normal 92 2 4 2" xfId="40286" xr:uid="{00000000-0005-0000-0000-0000DA9D0000}"/>
    <cellStyle name="Normal 92 2 4 2 2" xfId="40287" xr:uid="{00000000-0005-0000-0000-0000DB9D0000}"/>
    <cellStyle name="Normal 92 2 4 3" xfId="40288" xr:uid="{00000000-0005-0000-0000-0000DC9D0000}"/>
    <cellStyle name="Normal 92 2 5" xfId="40289" xr:uid="{00000000-0005-0000-0000-0000DD9D0000}"/>
    <cellStyle name="Normal 92 3" xfId="40290" xr:uid="{00000000-0005-0000-0000-0000DE9D0000}"/>
    <cellStyle name="Normal 92 3 2" xfId="40291" xr:uid="{00000000-0005-0000-0000-0000DF9D0000}"/>
    <cellStyle name="Normal 92 3 2 2" xfId="40292" xr:uid="{00000000-0005-0000-0000-0000E09D0000}"/>
    <cellStyle name="Normal 92 3 2 2 2" xfId="40293" xr:uid="{00000000-0005-0000-0000-0000E19D0000}"/>
    <cellStyle name="Normal 92 3 2 3" xfId="40294" xr:uid="{00000000-0005-0000-0000-0000E29D0000}"/>
    <cellStyle name="Normal 92 3 2 3 2" xfId="40295" xr:uid="{00000000-0005-0000-0000-0000E39D0000}"/>
    <cellStyle name="Normal 92 3 2 3 2 2" xfId="40296" xr:uid="{00000000-0005-0000-0000-0000E49D0000}"/>
    <cellStyle name="Normal 92 3 2 3 3" xfId="40297" xr:uid="{00000000-0005-0000-0000-0000E59D0000}"/>
    <cellStyle name="Normal 92 3 2 4" xfId="40298" xr:uid="{00000000-0005-0000-0000-0000E69D0000}"/>
    <cellStyle name="Normal 92 3 3" xfId="40299" xr:uid="{00000000-0005-0000-0000-0000E79D0000}"/>
    <cellStyle name="Normal 92 3 3 2" xfId="40300" xr:uid="{00000000-0005-0000-0000-0000E89D0000}"/>
    <cellStyle name="Normal 92 3 3 2 2" xfId="40301" xr:uid="{00000000-0005-0000-0000-0000E99D0000}"/>
    <cellStyle name="Normal 92 3 3 3" xfId="40302" xr:uid="{00000000-0005-0000-0000-0000EA9D0000}"/>
    <cellStyle name="Normal 92 3 4" xfId="40303" xr:uid="{00000000-0005-0000-0000-0000EB9D0000}"/>
    <cellStyle name="Normal 92 3 4 2" xfId="40304" xr:uid="{00000000-0005-0000-0000-0000EC9D0000}"/>
    <cellStyle name="Normal 92 3 4 2 2" xfId="40305" xr:uid="{00000000-0005-0000-0000-0000ED9D0000}"/>
    <cellStyle name="Normal 92 3 4 3" xfId="40306" xr:uid="{00000000-0005-0000-0000-0000EE9D0000}"/>
    <cellStyle name="Normal 92 3 5" xfId="40307" xr:uid="{00000000-0005-0000-0000-0000EF9D0000}"/>
    <cellStyle name="Normal 92 3 5 2" xfId="40308" xr:uid="{00000000-0005-0000-0000-0000F09D0000}"/>
    <cellStyle name="Normal 92 3 5 2 2" xfId="40309" xr:uid="{00000000-0005-0000-0000-0000F19D0000}"/>
    <cellStyle name="Normal 92 3 5 3" xfId="40310" xr:uid="{00000000-0005-0000-0000-0000F29D0000}"/>
    <cellStyle name="Normal 92 3 6" xfId="40311" xr:uid="{00000000-0005-0000-0000-0000F39D0000}"/>
    <cellStyle name="Normal 92 4" xfId="40312" xr:uid="{00000000-0005-0000-0000-0000F49D0000}"/>
    <cellStyle name="Normal 92 4 2" xfId="40313" xr:uid="{00000000-0005-0000-0000-0000F59D0000}"/>
    <cellStyle name="Normal 92 4 2 2" xfId="40314" xr:uid="{00000000-0005-0000-0000-0000F69D0000}"/>
    <cellStyle name="Normal 92 4 3" xfId="40315" xr:uid="{00000000-0005-0000-0000-0000F79D0000}"/>
    <cellStyle name="Normal 92 5" xfId="40316" xr:uid="{00000000-0005-0000-0000-0000F89D0000}"/>
    <cellStyle name="Normal 92 5 2" xfId="40317" xr:uid="{00000000-0005-0000-0000-0000F99D0000}"/>
    <cellStyle name="Normal 92 5 2 2" xfId="40318" xr:uid="{00000000-0005-0000-0000-0000FA9D0000}"/>
    <cellStyle name="Normal 92 5 3" xfId="40319" xr:uid="{00000000-0005-0000-0000-0000FB9D0000}"/>
    <cellStyle name="Normal 92 6" xfId="40320" xr:uid="{00000000-0005-0000-0000-0000FC9D0000}"/>
    <cellStyle name="Normal 92 6 2" xfId="40321" xr:uid="{00000000-0005-0000-0000-0000FD9D0000}"/>
    <cellStyle name="Normal 92 6 2 2" xfId="40322" xr:uid="{00000000-0005-0000-0000-0000FE9D0000}"/>
    <cellStyle name="Normal 92 6 3" xfId="40323" xr:uid="{00000000-0005-0000-0000-0000FF9D0000}"/>
    <cellStyle name="Normal 92 7" xfId="40324" xr:uid="{00000000-0005-0000-0000-0000009E0000}"/>
    <cellStyle name="Normal 93" xfId="40325" xr:uid="{00000000-0005-0000-0000-0000019E0000}"/>
    <cellStyle name="Normal 93 2" xfId="40326" xr:uid="{00000000-0005-0000-0000-0000029E0000}"/>
    <cellStyle name="Normal 93 2 2" xfId="40327" xr:uid="{00000000-0005-0000-0000-0000039E0000}"/>
    <cellStyle name="Normal 93 2 2 2" xfId="40328" xr:uid="{00000000-0005-0000-0000-0000049E0000}"/>
    <cellStyle name="Normal 93 2 3" xfId="40329" xr:uid="{00000000-0005-0000-0000-0000059E0000}"/>
    <cellStyle name="Normal 93 2 3 2" xfId="40330" xr:uid="{00000000-0005-0000-0000-0000069E0000}"/>
    <cellStyle name="Normal 93 2 3 2 2" xfId="40331" xr:uid="{00000000-0005-0000-0000-0000079E0000}"/>
    <cellStyle name="Normal 93 2 3 3" xfId="40332" xr:uid="{00000000-0005-0000-0000-0000089E0000}"/>
    <cellStyle name="Normal 93 2 4" xfId="40333" xr:uid="{00000000-0005-0000-0000-0000099E0000}"/>
    <cellStyle name="Normal 93 2 4 2" xfId="40334" xr:uid="{00000000-0005-0000-0000-00000A9E0000}"/>
    <cellStyle name="Normal 93 2 4 2 2" xfId="40335" xr:uid="{00000000-0005-0000-0000-00000B9E0000}"/>
    <cellStyle name="Normal 93 2 4 3" xfId="40336" xr:uid="{00000000-0005-0000-0000-00000C9E0000}"/>
    <cellStyle name="Normal 93 2 5" xfId="40337" xr:uid="{00000000-0005-0000-0000-00000D9E0000}"/>
    <cellStyle name="Normal 93 3" xfId="40338" xr:uid="{00000000-0005-0000-0000-00000E9E0000}"/>
    <cellStyle name="Normal 93 3 2" xfId="40339" xr:uid="{00000000-0005-0000-0000-00000F9E0000}"/>
    <cellStyle name="Normal 93 3 2 2" xfId="40340" xr:uid="{00000000-0005-0000-0000-0000109E0000}"/>
    <cellStyle name="Normal 93 3 2 2 2" xfId="40341" xr:uid="{00000000-0005-0000-0000-0000119E0000}"/>
    <cellStyle name="Normal 93 3 2 3" xfId="40342" xr:uid="{00000000-0005-0000-0000-0000129E0000}"/>
    <cellStyle name="Normal 93 3 2 3 2" xfId="40343" xr:uid="{00000000-0005-0000-0000-0000139E0000}"/>
    <cellStyle name="Normal 93 3 2 3 2 2" xfId="40344" xr:uid="{00000000-0005-0000-0000-0000149E0000}"/>
    <cellStyle name="Normal 93 3 2 3 3" xfId="40345" xr:uid="{00000000-0005-0000-0000-0000159E0000}"/>
    <cellStyle name="Normal 93 3 2 4" xfId="40346" xr:uid="{00000000-0005-0000-0000-0000169E0000}"/>
    <cellStyle name="Normal 93 3 3" xfId="40347" xr:uid="{00000000-0005-0000-0000-0000179E0000}"/>
    <cellStyle name="Normal 93 3 3 2" xfId="40348" xr:uid="{00000000-0005-0000-0000-0000189E0000}"/>
    <cellStyle name="Normal 93 3 3 2 2" xfId="40349" xr:uid="{00000000-0005-0000-0000-0000199E0000}"/>
    <cellStyle name="Normal 93 3 3 3" xfId="40350" xr:uid="{00000000-0005-0000-0000-00001A9E0000}"/>
    <cellStyle name="Normal 93 3 4" xfId="40351" xr:uid="{00000000-0005-0000-0000-00001B9E0000}"/>
    <cellStyle name="Normal 93 3 4 2" xfId="40352" xr:uid="{00000000-0005-0000-0000-00001C9E0000}"/>
    <cellStyle name="Normal 93 3 4 2 2" xfId="40353" xr:uid="{00000000-0005-0000-0000-00001D9E0000}"/>
    <cellStyle name="Normal 93 3 4 3" xfId="40354" xr:uid="{00000000-0005-0000-0000-00001E9E0000}"/>
    <cellStyle name="Normal 93 3 5" xfId="40355" xr:uid="{00000000-0005-0000-0000-00001F9E0000}"/>
    <cellStyle name="Normal 93 3 5 2" xfId="40356" xr:uid="{00000000-0005-0000-0000-0000209E0000}"/>
    <cellStyle name="Normal 93 3 5 2 2" xfId="40357" xr:uid="{00000000-0005-0000-0000-0000219E0000}"/>
    <cellStyle name="Normal 93 3 5 3" xfId="40358" xr:uid="{00000000-0005-0000-0000-0000229E0000}"/>
    <cellStyle name="Normal 93 3 6" xfId="40359" xr:uid="{00000000-0005-0000-0000-0000239E0000}"/>
    <cellStyle name="Normal 93 4" xfId="40360" xr:uid="{00000000-0005-0000-0000-0000249E0000}"/>
    <cellStyle name="Normal 93 4 2" xfId="40361" xr:uid="{00000000-0005-0000-0000-0000259E0000}"/>
    <cellStyle name="Normal 93 4 2 2" xfId="40362" xr:uid="{00000000-0005-0000-0000-0000269E0000}"/>
    <cellStyle name="Normal 93 4 3" xfId="40363" xr:uid="{00000000-0005-0000-0000-0000279E0000}"/>
    <cellStyle name="Normal 93 5" xfId="40364" xr:uid="{00000000-0005-0000-0000-0000289E0000}"/>
    <cellStyle name="Normal 93 5 2" xfId="40365" xr:uid="{00000000-0005-0000-0000-0000299E0000}"/>
    <cellStyle name="Normal 93 5 2 2" xfId="40366" xr:uid="{00000000-0005-0000-0000-00002A9E0000}"/>
    <cellStyle name="Normal 93 5 3" xfId="40367" xr:uid="{00000000-0005-0000-0000-00002B9E0000}"/>
    <cellStyle name="Normal 93 6" xfId="40368" xr:uid="{00000000-0005-0000-0000-00002C9E0000}"/>
    <cellStyle name="Normal 93 6 2" xfId="40369" xr:uid="{00000000-0005-0000-0000-00002D9E0000}"/>
    <cellStyle name="Normal 93 6 2 2" xfId="40370" xr:uid="{00000000-0005-0000-0000-00002E9E0000}"/>
    <cellStyle name="Normal 93 6 3" xfId="40371" xr:uid="{00000000-0005-0000-0000-00002F9E0000}"/>
    <cellStyle name="Normal 93 7" xfId="40372" xr:uid="{00000000-0005-0000-0000-0000309E0000}"/>
    <cellStyle name="Normal 94" xfId="40373" xr:uid="{00000000-0005-0000-0000-0000319E0000}"/>
    <cellStyle name="Normal 94 2" xfId="40374" xr:uid="{00000000-0005-0000-0000-0000329E0000}"/>
    <cellStyle name="Normal 94 2 2" xfId="40375" xr:uid="{00000000-0005-0000-0000-0000339E0000}"/>
    <cellStyle name="Normal 94 2 2 2" xfId="40376" xr:uid="{00000000-0005-0000-0000-0000349E0000}"/>
    <cellStyle name="Normal 94 2 3" xfId="40377" xr:uid="{00000000-0005-0000-0000-0000359E0000}"/>
    <cellStyle name="Normal 94 2 3 2" xfId="40378" xr:uid="{00000000-0005-0000-0000-0000369E0000}"/>
    <cellStyle name="Normal 94 2 3 2 2" xfId="40379" xr:uid="{00000000-0005-0000-0000-0000379E0000}"/>
    <cellStyle name="Normal 94 2 3 3" xfId="40380" xr:uid="{00000000-0005-0000-0000-0000389E0000}"/>
    <cellStyle name="Normal 94 2 4" xfId="40381" xr:uid="{00000000-0005-0000-0000-0000399E0000}"/>
    <cellStyle name="Normal 94 2 4 2" xfId="40382" xr:uid="{00000000-0005-0000-0000-00003A9E0000}"/>
    <cellStyle name="Normal 94 2 4 2 2" xfId="40383" xr:uid="{00000000-0005-0000-0000-00003B9E0000}"/>
    <cellStyle name="Normal 94 2 4 3" xfId="40384" xr:uid="{00000000-0005-0000-0000-00003C9E0000}"/>
    <cellStyle name="Normal 94 2 5" xfId="40385" xr:uid="{00000000-0005-0000-0000-00003D9E0000}"/>
    <cellStyle name="Normal 94 3" xfId="40386" xr:uid="{00000000-0005-0000-0000-00003E9E0000}"/>
    <cellStyle name="Normal 94 3 2" xfId="40387" xr:uid="{00000000-0005-0000-0000-00003F9E0000}"/>
    <cellStyle name="Normal 94 3 2 2" xfId="40388" xr:uid="{00000000-0005-0000-0000-0000409E0000}"/>
    <cellStyle name="Normal 94 3 2 2 2" xfId="40389" xr:uid="{00000000-0005-0000-0000-0000419E0000}"/>
    <cellStyle name="Normal 94 3 2 3" xfId="40390" xr:uid="{00000000-0005-0000-0000-0000429E0000}"/>
    <cellStyle name="Normal 94 3 2 3 2" xfId="40391" xr:uid="{00000000-0005-0000-0000-0000439E0000}"/>
    <cellStyle name="Normal 94 3 2 3 2 2" xfId="40392" xr:uid="{00000000-0005-0000-0000-0000449E0000}"/>
    <cellStyle name="Normal 94 3 2 3 3" xfId="40393" xr:uid="{00000000-0005-0000-0000-0000459E0000}"/>
    <cellStyle name="Normal 94 3 2 4" xfId="40394" xr:uid="{00000000-0005-0000-0000-0000469E0000}"/>
    <cellStyle name="Normal 94 3 3" xfId="40395" xr:uid="{00000000-0005-0000-0000-0000479E0000}"/>
    <cellStyle name="Normal 94 3 3 2" xfId="40396" xr:uid="{00000000-0005-0000-0000-0000489E0000}"/>
    <cellStyle name="Normal 94 3 3 2 2" xfId="40397" xr:uid="{00000000-0005-0000-0000-0000499E0000}"/>
    <cellStyle name="Normal 94 3 3 3" xfId="40398" xr:uid="{00000000-0005-0000-0000-00004A9E0000}"/>
    <cellStyle name="Normal 94 3 4" xfId="40399" xr:uid="{00000000-0005-0000-0000-00004B9E0000}"/>
    <cellStyle name="Normal 94 3 4 2" xfId="40400" xr:uid="{00000000-0005-0000-0000-00004C9E0000}"/>
    <cellStyle name="Normal 94 3 4 2 2" xfId="40401" xr:uid="{00000000-0005-0000-0000-00004D9E0000}"/>
    <cellStyle name="Normal 94 3 4 3" xfId="40402" xr:uid="{00000000-0005-0000-0000-00004E9E0000}"/>
    <cellStyle name="Normal 94 3 5" xfId="40403" xr:uid="{00000000-0005-0000-0000-00004F9E0000}"/>
    <cellStyle name="Normal 94 3 5 2" xfId="40404" xr:uid="{00000000-0005-0000-0000-0000509E0000}"/>
    <cellStyle name="Normal 94 3 5 2 2" xfId="40405" xr:uid="{00000000-0005-0000-0000-0000519E0000}"/>
    <cellStyle name="Normal 94 3 5 3" xfId="40406" xr:uid="{00000000-0005-0000-0000-0000529E0000}"/>
    <cellStyle name="Normal 94 3 6" xfId="40407" xr:uid="{00000000-0005-0000-0000-0000539E0000}"/>
    <cellStyle name="Normal 94 4" xfId="40408" xr:uid="{00000000-0005-0000-0000-0000549E0000}"/>
    <cellStyle name="Normal 94 4 2" xfId="40409" xr:uid="{00000000-0005-0000-0000-0000559E0000}"/>
    <cellStyle name="Normal 94 4 2 2" xfId="40410" xr:uid="{00000000-0005-0000-0000-0000569E0000}"/>
    <cellStyle name="Normal 94 4 3" xfId="40411" xr:uid="{00000000-0005-0000-0000-0000579E0000}"/>
    <cellStyle name="Normal 94 5" xfId="40412" xr:uid="{00000000-0005-0000-0000-0000589E0000}"/>
    <cellStyle name="Normal 94 5 2" xfId="40413" xr:uid="{00000000-0005-0000-0000-0000599E0000}"/>
    <cellStyle name="Normal 94 5 2 2" xfId="40414" xr:uid="{00000000-0005-0000-0000-00005A9E0000}"/>
    <cellStyle name="Normal 94 5 3" xfId="40415" xr:uid="{00000000-0005-0000-0000-00005B9E0000}"/>
    <cellStyle name="Normal 94 6" xfId="40416" xr:uid="{00000000-0005-0000-0000-00005C9E0000}"/>
    <cellStyle name="Normal 94 6 2" xfId="40417" xr:uid="{00000000-0005-0000-0000-00005D9E0000}"/>
    <cellStyle name="Normal 94 6 2 2" xfId="40418" xr:uid="{00000000-0005-0000-0000-00005E9E0000}"/>
    <cellStyle name="Normal 94 6 3" xfId="40419" xr:uid="{00000000-0005-0000-0000-00005F9E0000}"/>
    <cellStyle name="Normal 94 7" xfId="40420" xr:uid="{00000000-0005-0000-0000-0000609E0000}"/>
    <cellStyle name="Normal 95" xfId="40421" xr:uid="{00000000-0005-0000-0000-0000619E0000}"/>
    <cellStyle name="Normal 95 2" xfId="40422" xr:uid="{00000000-0005-0000-0000-0000629E0000}"/>
    <cellStyle name="Normal 95 2 2" xfId="40423" xr:uid="{00000000-0005-0000-0000-0000639E0000}"/>
    <cellStyle name="Normal 95 2 2 2" xfId="40424" xr:uid="{00000000-0005-0000-0000-0000649E0000}"/>
    <cellStyle name="Normal 95 2 3" xfId="40425" xr:uid="{00000000-0005-0000-0000-0000659E0000}"/>
    <cellStyle name="Normal 95 2 3 2" xfId="40426" xr:uid="{00000000-0005-0000-0000-0000669E0000}"/>
    <cellStyle name="Normal 95 2 3 2 2" xfId="40427" xr:uid="{00000000-0005-0000-0000-0000679E0000}"/>
    <cellStyle name="Normal 95 2 3 3" xfId="40428" xr:uid="{00000000-0005-0000-0000-0000689E0000}"/>
    <cellStyle name="Normal 95 2 4" xfId="40429" xr:uid="{00000000-0005-0000-0000-0000699E0000}"/>
    <cellStyle name="Normal 95 2 4 2" xfId="40430" xr:uid="{00000000-0005-0000-0000-00006A9E0000}"/>
    <cellStyle name="Normal 95 2 4 2 2" xfId="40431" xr:uid="{00000000-0005-0000-0000-00006B9E0000}"/>
    <cellStyle name="Normal 95 2 4 3" xfId="40432" xr:uid="{00000000-0005-0000-0000-00006C9E0000}"/>
    <cellStyle name="Normal 95 2 5" xfId="40433" xr:uid="{00000000-0005-0000-0000-00006D9E0000}"/>
    <cellStyle name="Normal 95 3" xfId="40434" xr:uid="{00000000-0005-0000-0000-00006E9E0000}"/>
    <cellStyle name="Normal 95 3 2" xfId="40435" xr:uid="{00000000-0005-0000-0000-00006F9E0000}"/>
    <cellStyle name="Normal 95 3 2 2" xfId="40436" xr:uid="{00000000-0005-0000-0000-0000709E0000}"/>
    <cellStyle name="Normal 95 3 2 2 2" xfId="40437" xr:uid="{00000000-0005-0000-0000-0000719E0000}"/>
    <cellStyle name="Normal 95 3 2 3" xfId="40438" xr:uid="{00000000-0005-0000-0000-0000729E0000}"/>
    <cellStyle name="Normal 95 3 2 3 2" xfId="40439" xr:uid="{00000000-0005-0000-0000-0000739E0000}"/>
    <cellStyle name="Normal 95 3 2 3 2 2" xfId="40440" xr:uid="{00000000-0005-0000-0000-0000749E0000}"/>
    <cellStyle name="Normal 95 3 2 3 3" xfId="40441" xr:uid="{00000000-0005-0000-0000-0000759E0000}"/>
    <cellStyle name="Normal 95 3 2 4" xfId="40442" xr:uid="{00000000-0005-0000-0000-0000769E0000}"/>
    <cellStyle name="Normal 95 3 3" xfId="40443" xr:uid="{00000000-0005-0000-0000-0000779E0000}"/>
    <cellStyle name="Normal 95 3 3 2" xfId="40444" xr:uid="{00000000-0005-0000-0000-0000789E0000}"/>
    <cellStyle name="Normal 95 3 3 2 2" xfId="40445" xr:uid="{00000000-0005-0000-0000-0000799E0000}"/>
    <cellStyle name="Normal 95 3 3 3" xfId="40446" xr:uid="{00000000-0005-0000-0000-00007A9E0000}"/>
    <cellStyle name="Normal 95 3 4" xfId="40447" xr:uid="{00000000-0005-0000-0000-00007B9E0000}"/>
    <cellStyle name="Normal 95 3 4 2" xfId="40448" xr:uid="{00000000-0005-0000-0000-00007C9E0000}"/>
    <cellStyle name="Normal 95 3 4 2 2" xfId="40449" xr:uid="{00000000-0005-0000-0000-00007D9E0000}"/>
    <cellStyle name="Normal 95 3 4 3" xfId="40450" xr:uid="{00000000-0005-0000-0000-00007E9E0000}"/>
    <cellStyle name="Normal 95 3 5" xfId="40451" xr:uid="{00000000-0005-0000-0000-00007F9E0000}"/>
    <cellStyle name="Normal 95 3 5 2" xfId="40452" xr:uid="{00000000-0005-0000-0000-0000809E0000}"/>
    <cellStyle name="Normal 95 3 5 2 2" xfId="40453" xr:uid="{00000000-0005-0000-0000-0000819E0000}"/>
    <cellStyle name="Normal 95 3 5 3" xfId="40454" xr:uid="{00000000-0005-0000-0000-0000829E0000}"/>
    <cellStyle name="Normal 95 3 6" xfId="40455" xr:uid="{00000000-0005-0000-0000-0000839E0000}"/>
    <cellStyle name="Normal 95 4" xfId="40456" xr:uid="{00000000-0005-0000-0000-0000849E0000}"/>
    <cellStyle name="Normal 95 4 2" xfId="40457" xr:uid="{00000000-0005-0000-0000-0000859E0000}"/>
    <cellStyle name="Normal 95 4 2 2" xfId="40458" xr:uid="{00000000-0005-0000-0000-0000869E0000}"/>
    <cellStyle name="Normal 95 4 3" xfId="40459" xr:uid="{00000000-0005-0000-0000-0000879E0000}"/>
    <cellStyle name="Normal 95 5" xfId="40460" xr:uid="{00000000-0005-0000-0000-0000889E0000}"/>
    <cellStyle name="Normal 95 5 2" xfId="40461" xr:uid="{00000000-0005-0000-0000-0000899E0000}"/>
    <cellStyle name="Normal 95 5 2 2" xfId="40462" xr:uid="{00000000-0005-0000-0000-00008A9E0000}"/>
    <cellStyle name="Normal 95 5 3" xfId="40463" xr:uid="{00000000-0005-0000-0000-00008B9E0000}"/>
    <cellStyle name="Normal 95 6" xfId="40464" xr:uid="{00000000-0005-0000-0000-00008C9E0000}"/>
    <cellStyle name="Normal 95 6 2" xfId="40465" xr:uid="{00000000-0005-0000-0000-00008D9E0000}"/>
    <cellStyle name="Normal 95 6 2 2" xfId="40466" xr:uid="{00000000-0005-0000-0000-00008E9E0000}"/>
    <cellStyle name="Normal 95 6 3" xfId="40467" xr:uid="{00000000-0005-0000-0000-00008F9E0000}"/>
    <cellStyle name="Normal 95 7" xfId="40468" xr:uid="{00000000-0005-0000-0000-0000909E0000}"/>
    <cellStyle name="Normal 96" xfId="40469" xr:uid="{00000000-0005-0000-0000-0000919E0000}"/>
    <cellStyle name="Normal 96 2" xfId="40470" xr:uid="{00000000-0005-0000-0000-0000929E0000}"/>
    <cellStyle name="Normal 96 2 2" xfId="40471" xr:uid="{00000000-0005-0000-0000-0000939E0000}"/>
    <cellStyle name="Normal 96 2 2 2" xfId="40472" xr:uid="{00000000-0005-0000-0000-0000949E0000}"/>
    <cellStyle name="Normal 96 2 3" xfId="40473" xr:uid="{00000000-0005-0000-0000-0000959E0000}"/>
    <cellStyle name="Normal 96 2 3 2" xfId="40474" xr:uid="{00000000-0005-0000-0000-0000969E0000}"/>
    <cellStyle name="Normal 96 2 3 2 2" xfId="40475" xr:uid="{00000000-0005-0000-0000-0000979E0000}"/>
    <cellStyle name="Normal 96 2 3 3" xfId="40476" xr:uid="{00000000-0005-0000-0000-0000989E0000}"/>
    <cellStyle name="Normal 96 2 4" xfId="40477" xr:uid="{00000000-0005-0000-0000-0000999E0000}"/>
    <cellStyle name="Normal 96 2 4 2" xfId="40478" xr:uid="{00000000-0005-0000-0000-00009A9E0000}"/>
    <cellStyle name="Normal 96 2 4 2 2" xfId="40479" xr:uid="{00000000-0005-0000-0000-00009B9E0000}"/>
    <cellStyle name="Normal 96 2 4 3" xfId="40480" xr:uid="{00000000-0005-0000-0000-00009C9E0000}"/>
    <cellStyle name="Normal 96 2 5" xfId="40481" xr:uid="{00000000-0005-0000-0000-00009D9E0000}"/>
    <cellStyle name="Normal 96 3" xfId="40482" xr:uid="{00000000-0005-0000-0000-00009E9E0000}"/>
    <cellStyle name="Normal 96 3 2" xfId="40483" xr:uid="{00000000-0005-0000-0000-00009F9E0000}"/>
    <cellStyle name="Normal 96 3 2 2" xfId="40484" xr:uid="{00000000-0005-0000-0000-0000A09E0000}"/>
    <cellStyle name="Normal 96 3 2 2 2" xfId="40485" xr:uid="{00000000-0005-0000-0000-0000A19E0000}"/>
    <cellStyle name="Normal 96 3 2 3" xfId="40486" xr:uid="{00000000-0005-0000-0000-0000A29E0000}"/>
    <cellStyle name="Normal 96 3 2 3 2" xfId="40487" xr:uid="{00000000-0005-0000-0000-0000A39E0000}"/>
    <cellStyle name="Normal 96 3 2 3 2 2" xfId="40488" xr:uid="{00000000-0005-0000-0000-0000A49E0000}"/>
    <cellStyle name="Normal 96 3 2 3 3" xfId="40489" xr:uid="{00000000-0005-0000-0000-0000A59E0000}"/>
    <cellStyle name="Normal 96 3 2 4" xfId="40490" xr:uid="{00000000-0005-0000-0000-0000A69E0000}"/>
    <cellStyle name="Normal 96 3 3" xfId="40491" xr:uid="{00000000-0005-0000-0000-0000A79E0000}"/>
    <cellStyle name="Normal 96 3 3 2" xfId="40492" xr:uid="{00000000-0005-0000-0000-0000A89E0000}"/>
    <cellStyle name="Normal 96 3 3 2 2" xfId="40493" xr:uid="{00000000-0005-0000-0000-0000A99E0000}"/>
    <cellStyle name="Normal 96 3 3 3" xfId="40494" xr:uid="{00000000-0005-0000-0000-0000AA9E0000}"/>
    <cellStyle name="Normal 96 3 4" xfId="40495" xr:uid="{00000000-0005-0000-0000-0000AB9E0000}"/>
    <cellStyle name="Normal 96 3 4 2" xfId="40496" xr:uid="{00000000-0005-0000-0000-0000AC9E0000}"/>
    <cellStyle name="Normal 96 3 4 2 2" xfId="40497" xr:uid="{00000000-0005-0000-0000-0000AD9E0000}"/>
    <cellStyle name="Normal 96 3 4 3" xfId="40498" xr:uid="{00000000-0005-0000-0000-0000AE9E0000}"/>
    <cellStyle name="Normal 96 3 5" xfId="40499" xr:uid="{00000000-0005-0000-0000-0000AF9E0000}"/>
    <cellStyle name="Normal 96 3 5 2" xfId="40500" xr:uid="{00000000-0005-0000-0000-0000B09E0000}"/>
    <cellStyle name="Normal 96 3 5 2 2" xfId="40501" xr:uid="{00000000-0005-0000-0000-0000B19E0000}"/>
    <cellStyle name="Normal 96 3 5 3" xfId="40502" xr:uid="{00000000-0005-0000-0000-0000B29E0000}"/>
    <cellStyle name="Normal 96 3 6" xfId="40503" xr:uid="{00000000-0005-0000-0000-0000B39E0000}"/>
    <cellStyle name="Normal 96 4" xfId="40504" xr:uid="{00000000-0005-0000-0000-0000B49E0000}"/>
    <cellStyle name="Normal 96 4 2" xfId="40505" xr:uid="{00000000-0005-0000-0000-0000B59E0000}"/>
    <cellStyle name="Normal 96 4 2 2" xfId="40506" xr:uid="{00000000-0005-0000-0000-0000B69E0000}"/>
    <cellStyle name="Normal 96 4 3" xfId="40507" xr:uid="{00000000-0005-0000-0000-0000B79E0000}"/>
    <cellStyle name="Normal 96 5" xfId="40508" xr:uid="{00000000-0005-0000-0000-0000B89E0000}"/>
    <cellStyle name="Normal 96 5 2" xfId="40509" xr:uid="{00000000-0005-0000-0000-0000B99E0000}"/>
    <cellStyle name="Normal 96 5 2 2" xfId="40510" xr:uid="{00000000-0005-0000-0000-0000BA9E0000}"/>
    <cellStyle name="Normal 96 5 3" xfId="40511" xr:uid="{00000000-0005-0000-0000-0000BB9E0000}"/>
    <cellStyle name="Normal 96 6" xfId="40512" xr:uid="{00000000-0005-0000-0000-0000BC9E0000}"/>
    <cellStyle name="Normal 96 6 2" xfId="40513" xr:uid="{00000000-0005-0000-0000-0000BD9E0000}"/>
    <cellStyle name="Normal 96 6 2 2" xfId="40514" xr:uid="{00000000-0005-0000-0000-0000BE9E0000}"/>
    <cellStyle name="Normal 96 6 3" xfId="40515" xr:uid="{00000000-0005-0000-0000-0000BF9E0000}"/>
    <cellStyle name="Normal 96 7" xfId="40516" xr:uid="{00000000-0005-0000-0000-0000C09E0000}"/>
    <cellStyle name="Normal 97" xfId="40517" xr:uid="{00000000-0005-0000-0000-0000C19E0000}"/>
    <cellStyle name="Normal 97 2" xfId="40518" xr:uid="{00000000-0005-0000-0000-0000C29E0000}"/>
    <cellStyle name="Normal 97 2 2" xfId="40519" xr:uid="{00000000-0005-0000-0000-0000C39E0000}"/>
    <cellStyle name="Normal 97 2 2 2" xfId="40520" xr:uid="{00000000-0005-0000-0000-0000C49E0000}"/>
    <cellStyle name="Normal 97 2 3" xfId="40521" xr:uid="{00000000-0005-0000-0000-0000C59E0000}"/>
    <cellStyle name="Normal 97 2 3 2" xfId="40522" xr:uid="{00000000-0005-0000-0000-0000C69E0000}"/>
    <cellStyle name="Normal 97 2 3 2 2" xfId="40523" xr:uid="{00000000-0005-0000-0000-0000C79E0000}"/>
    <cellStyle name="Normal 97 2 3 3" xfId="40524" xr:uid="{00000000-0005-0000-0000-0000C89E0000}"/>
    <cellStyle name="Normal 97 2 4" xfId="40525" xr:uid="{00000000-0005-0000-0000-0000C99E0000}"/>
    <cellStyle name="Normal 97 2 4 2" xfId="40526" xr:uid="{00000000-0005-0000-0000-0000CA9E0000}"/>
    <cellStyle name="Normal 97 2 4 2 2" xfId="40527" xr:uid="{00000000-0005-0000-0000-0000CB9E0000}"/>
    <cellStyle name="Normal 97 2 4 3" xfId="40528" xr:uid="{00000000-0005-0000-0000-0000CC9E0000}"/>
    <cellStyle name="Normal 97 2 5" xfId="40529" xr:uid="{00000000-0005-0000-0000-0000CD9E0000}"/>
    <cellStyle name="Normal 97 3" xfId="40530" xr:uid="{00000000-0005-0000-0000-0000CE9E0000}"/>
    <cellStyle name="Normal 97 3 2" xfId="40531" xr:uid="{00000000-0005-0000-0000-0000CF9E0000}"/>
    <cellStyle name="Normal 97 3 2 2" xfId="40532" xr:uid="{00000000-0005-0000-0000-0000D09E0000}"/>
    <cellStyle name="Normal 97 3 2 2 2" xfId="40533" xr:uid="{00000000-0005-0000-0000-0000D19E0000}"/>
    <cellStyle name="Normal 97 3 2 3" xfId="40534" xr:uid="{00000000-0005-0000-0000-0000D29E0000}"/>
    <cellStyle name="Normal 97 3 2 3 2" xfId="40535" xr:uid="{00000000-0005-0000-0000-0000D39E0000}"/>
    <cellStyle name="Normal 97 3 2 3 2 2" xfId="40536" xr:uid="{00000000-0005-0000-0000-0000D49E0000}"/>
    <cellStyle name="Normal 97 3 2 3 3" xfId="40537" xr:uid="{00000000-0005-0000-0000-0000D59E0000}"/>
    <cellStyle name="Normal 97 3 2 4" xfId="40538" xr:uid="{00000000-0005-0000-0000-0000D69E0000}"/>
    <cellStyle name="Normal 97 3 3" xfId="40539" xr:uid="{00000000-0005-0000-0000-0000D79E0000}"/>
    <cellStyle name="Normal 97 3 3 2" xfId="40540" xr:uid="{00000000-0005-0000-0000-0000D89E0000}"/>
    <cellStyle name="Normal 97 3 3 2 2" xfId="40541" xr:uid="{00000000-0005-0000-0000-0000D99E0000}"/>
    <cellStyle name="Normal 97 3 3 3" xfId="40542" xr:uid="{00000000-0005-0000-0000-0000DA9E0000}"/>
    <cellStyle name="Normal 97 3 4" xfId="40543" xr:uid="{00000000-0005-0000-0000-0000DB9E0000}"/>
    <cellStyle name="Normal 97 3 4 2" xfId="40544" xr:uid="{00000000-0005-0000-0000-0000DC9E0000}"/>
    <cellStyle name="Normal 97 3 4 2 2" xfId="40545" xr:uid="{00000000-0005-0000-0000-0000DD9E0000}"/>
    <cellStyle name="Normal 97 3 4 3" xfId="40546" xr:uid="{00000000-0005-0000-0000-0000DE9E0000}"/>
    <cellStyle name="Normal 97 3 5" xfId="40547" xr:uid="{00000000-0005-0000-0000-0000DF9E0000}"/>
    <cellStyle name="Normal 97 3 5 2" xfId="40548" xr:uid="{00000000-0005-0000-0000-0000E09E0000}"/>
    <cellStyle name="Normal 97 3 5 2 2" xfId="40549" xr:uid="{00000000-0005-0000-0000-0000E19E0000}"/>
    <cellStyle name="Normal 97 3 5 3" xfId="40550" xr:uid="{00000000-0005-0000-0000-0000E29E0000}"/>
    <cellStyle name="Normal 97 3 6" xfId="40551" xr:uid="{00000000-0005-0000-0000-0000E39E0000}"/>
    <cellStyle name="Normal 97 4" xfId="40552" xr:uid="{00000000-0005-0000-0000-0000E49E0000}"/>
    <cellStyle name="Normal 97 4 2" xfId="40553" xr:uid="{00000000-0005-0000-0000-0000E59E0000}"/>
    <cellStyle name="Normal 97 4 2 2" xfId="40554" xr:uid="{00000000-0005-0000-0000-0000E69E0000}"/>
    <cellStyle name="Normal 97 4 3" xfId="40555" xr:uid="{00000000-0005-0000-0000-0000E79E0000}"/>
    <cellStyle name="Normal 97 5" xfId="40556" xr:uid="{00000000-0005-0000-0000-0000E89E0000}"/>
    <cellStyle name="Normal 97 5 2" xfId="40557" xr:uid="{00000000-0005-0000-0000-0000E99E0000}"/>
    <cellStyle name="Normal 97 5 2 2" xfId="40558" xr:uid="{00000000-0005-0000-0000-0000EA9E0000}"/>
    <cellStyle name="Normal 97 5 3" xfId="40559" xr:uid="{00000000-0005-0000-0000-0000EB9E0000}"/>
    <cellStyle name="Normal 97 6" xfId="40560" xr:uid="{00000000-0005-0000-0000-0000EC9E0000}"/>
    <cellStyle name="Normal 97 6 2" xfId="40561" xr:uid="{00000000-0005-0000-0000-0000ED9E0000}"/>
    <cellStyle name="Normal 97 6 2 2" xfId="40562" xr:uid="{00000000-0005-0000-0000-0000EE9E0000}"/>
    <cellStyle name="Normal 97 6 3" xfId="40563" xr:uid="{00000000-0005-0000-0000-0000EF9E0000}"/>
    <cellStyle name="Normal 97 7" xfId="40564" xr:uid="{00000000-0005-0000-0000-0000F09E0000}"/>
    <cellStyle name="Normal 98" xfId="40565" xr:uid="{00000000-0005-0000-0000-0000F19E0000}"/>
    <cellStyle name="Normal 98 2" xfId="40566" xr:uid="{00000000-0005-0000-0000-0000F29E0000}"/>
    <cellStyle name="Normal 98 2 2" xfId="40567" xr:uid="{00000000-0005-0000-0000-0000F39E0000}"/>
    <cellStyle name="Normal 98 2 2 2" xfId="40568" xr:uid="{00000000-0005-0000-0000-0000F49E0000}"/>
    <cellStyle name="Normal 98 2 3" xfId="40569" xr:uid="{00000000-0005-0000-0000-0000F59E0000}"/>
    <cellStyle name="Normal 98 2 3 2" xfId="40570" xr:uid="{00000000-0005-0000-0000-0000F69E0000}"/>
    <cellStyle name="Normal 98 2 3 2 2" xfId="40571" xr:uid="{00000000-0005-0000-0000-0000F79E0000}"/>
    <cellStyle name="Normal 98 2 3 3" xfId="40572" xr:uid="{00000000-0005-0000-0000-0000F89E0000}"/>
    <cellStyle name="Normal 98 2 4" xfId="40573" xr:uid="{00000000-0005-0000-0000-0000F99E0000}"/>
    <cellStyle name="Normal 98 2 4 2" xfId="40574" xr:uid="{00000000-0005-0000-0000-0000FA9E0000}"/>
    <cellStyle name="Normal 98 2 4 2 2" xfId="40575" xr:uid="{00000000-0005-0000-0000-0000FB9E0000}"/>
    <cellStyle name="Normal 98 2 4 3" xfId="40576" xr:uid="{00000000-0005-0000-0000-0000FC9E0000}"/>
    <cellStyle name="Normal 98 2 5" xfId="40577" xr:uid="{00000000-0005-0000-0000-0000FD9E0000}"/>
    <cellStyle name="Normal 98 3" xfId="40578" xr:uid="{00000000-0005-0000-0000-0000FE9E0000}"/>
    <cellStyle name="Normal 98 3 2" xfId="40579" xr:uid="{00000000-0005-0000-0000-0000FF9E0000}"/>
    <cellStyle name="Normal 98 3 2 2" xfId="40580" xr:uid="{00000000-0005-0000-0000-0000009F0000}"/>
    <cellStyle name="Normal 98 3 2 2 2" xfId="40581" xr:uid="{00000000-0005-0000-0000-0000019F0000}"/>
    <cellStyle name="Normal 98 3 2 3" xfId="40582" xr:uid="{00000000-0005-0000-0000-0000029F0000}"/>
    <cellStyle name="Normal 98 3 2 3 2" xfId="40583" xr:uid="{00000000-0005-0000-0000-0000039F0000}"/>
    <cellStyle name="Normal 98 3 2 3 2 2" xfId="40584" xr:uid="{00000000-0005-0000-0000-0000049F0000}"/>
    <cellStyle name="Normal 98 3 2 3 3" xfId="40585" xr:uid="{00000000-0005-0000-0000-0000059F0000}"/>
    <cellStyle name="Normal 98 3 2 4" xfId="40586" xr:uid="{00000000-0005-0000-0000-0000069F0000}"/>
    <cellStyle name="Normal 98 3 3" xfId="40587" xr:uid="{00000000-0005-0000-0000-0000079F0000}"/>
    <cellStyle name="Normal 98 3 3 2" xfId="40588" xr:uid="{00000000-0005-0000-0000-0000089F0000}"/>
    <cellStyle name="Normal 98 3 3 2 2" xfId="40589" xr:uid="{00000000-0005-0000-0000-0000099F0000}"/>
    <cellStyle name="Normal 98 3 3 3" xfId="40590" xr:uid="{00000000-0005-0000-0000-00000A9F0000}"/>
    <cellStyle name="Normal 98 3 4" xfId="40591" xr:uid="{00000000-0005-0000-0000-00000B9F0000}"/>
    <cellStyle name="Normal 98 3 4 2" xfId="40592" xr:uid="{00000000-0005-0000-0000-00000C9F0000}"/>
    <cellStyle name="Normal 98 3 4 2 2" xfId="40593" xr:uid="{00000000-0005-0000-0000-00000D9F0000}"/>
    <cellStyle name="Normal 98 3 4 3" xfId="40594" xr:uid="{00000000-0005-0000-0000-00000E9F0000}"/>
    <cellStyle name="Normal 98 3 5" xfId="40595" xr:uid="{00000000-0005-0000-0000-00000F9F0000}"/>
    <cellStyle name="Normal 98 3 5 2" xfId="40596" xr:uid="{00000000-0005-0000-0000-0000109F0000}"/>
    <cellStyle name="Normal 98 3 5 2 2" xfId="40597" xr:uid="{00000000-0005-0000-0000-0000119F0000}"/>
    <cellStyle name="Normal 98 3 5 3" xfId="40598" xr:uid="{00000000-0005-0000-0000-0000129F0000}"/>
    <cellStyle name="Normal 98 3 6" xfId="40599" xr:uid="{00000000-0005-0000-0000-0000139F0000}"/>
    <cellStyle name="Normal 98 4" xfId="40600" xr:uid="{00000000-0005-0000-0000-0000149F0000}"/>
    <cellStyle name="Normal 98 4 2" xfId="40601" xr:uid="{00000000-0005-0000-0000-0000159F0000}"/>
    <cellStyle name="Normal 98 4 2 2" xfId="40602" xr:uid="{00000000-0005-0000-0000-0000169F0000}"/>
    <cellStyle name="Normal 98 4 3" xfId="40603" xr:uid="{00000000-0005-0000-0000-0000179F0000}"/>
    <cellStyle name="Normal 98 5" xfId="40604" xr:uid="{00000000-0005-0000-0000-0000189F0000}"/>
    <cellStyle name="Normal 98 5 2" xfId="40605" xr:uid="{00000000-0005-0000-0000-0000199F0000}"/>
    <cellStyle name="Normal 98 5 2 2" xfId="40606" xr:uid="{00000000-0005-0000-0000-00001A9F0000}"/>
    <cellStyle name="Normal 98 5 3" xfId="40607" xr:uid="{00000000-0005-0000-0000-00001B9F0000}"/>
    <cellStyle name="Normal 98 6" xfId="40608" xr:uid="{00000000-0005-0000-0000-00001C9F0000}"/>
    <cellStyle name="Normal 98 6 2" xfId="40609" xr:uid="{00000000-0005-0000-0000-00001D9F0000}"/>
    <cellStyle name="Normal 98 6 2 2" xfId="40610" xr:uid="{00000000-0005-0000-0000-00001E9F0000}"/>
    <cellStyle name="Normal 98 6 3" xfId="40611" xr:uid="{00000000-0005-0000-0000-00001F9F0000}"/>
    <cellStyle name="Normal 98 7" xfId="40612" xr:uid="{00000000-0005-0000-0000-0000209F0000}"/>
    <cellStyle name="Normal 99" xfId="40613" xr:uid="{00000000-0005-0000-0000-0000219F0000}"/>
    <cellStyle name="Normal 99 2" xfId="40614" xr:uid="{00000000-0005-0000-0000-0000229F0000}"/>
    <cellStyle name="Normal 99 2 2" xfId="40615" xr:uid="{00000000-0005-0000-0000-0000239F0000}"/>
    <cellStyle name="Normal 99 2 2 2" xfId="40616" xr:uid="{00000000-0005-0000-0000-0000249F0000}"/>
    <cellStyle name="Normal 99 2 3" xfId="40617" xr:uid="{00000000-0005-0000-0000-0000259F0000}"/>
    <cellStyle name="Normal 99 2 3 2" xfId="40618" xr:uid="{00000000-0005-0000-0000-0000269F0000}"/>
    <cellStyle name="Normal 99 2 3 2 2" xfId="40619" xr:uid="{00000000-0005-0000-0000-0000279F0000}"/>
    <cellStyle name="Normal 99 2 3 3" xfId="40620" xr:uid="{00000000-0005-0000-0000-0000289F0000}"/>
    <cellStyle name="Normal 99 2 4" xfId="40621" xr:uid="{00000000-0005-0000-0000-0000299F0000}"/>
    <cellStyle name="Normal 99 2 4 2" xfId="40622" xr:uid="{00000000-0005-0000-0000-00002A9F0000}"/>
    <cellStyle name="Normal 99 2 4 2 2" xfId="40623" xr:uid="{00000000-0005-0000-0000-00002B9F0000}"/>
    <cellStyle name="Normal 99 2 4 3" xfId="40624" xr:uid="{00000000-0005-0000-0000-00002C9F0000}"/>
    <cellStyle name="Normal 99 2 5" xfId="40625" xr:uid="{00000000-0005-0000-0000-00002D9F0000}"/>
    <cellStyle name="Normal 99 3" xfId="40626" xr:uid="{00000000-0005-0000-0000-00002E9F0000}"/>
    <cellStyle name="Normal 99 3 2" xfId="40627" xr:uid="{00000000-0005-0000-0000-00002F9F0000}"/>
    <cellStyle name="Normal 99 3 2 2" xfId="40628" xr:uid="{00000000-0005-0000-0000-0000309F0000}"/>
    <cellStyle name="Normal 99 3 2 2 2" xfId="40629" xr:uid="{00000000-0005-0000-0000-0000319F0000}"/>
    <cellStyle name="Normal 99 3 2 3" xfId="40630" xr:uid="{00000000-0005-0000-0000-0000329F0000}"/>
    <cellStyle name="Normal 99 3 2 3 2" xfId="40631" xr:uid="{00000000-0005-0000-0000-0000339F0000}"/>
    <cellStyle name="Normal 99 3 2 3 2 2" xfId="40632" xr:uid="{00000000-0005-0000-0000-0000349F0000}"/>
    <cellStyle name="Normal 99 3 2 3 3" xfId="40633" xr:uid="{00000000-0005-0000-0000-0000359F0000}"/>
    <cellStyle name="Normal 99 3 2 4" xfId="40634" xr:uid="{00000000-0005-0000-0000-0000369F0000}"/>
    <cellStyle name="Normal 99 3 3" xfId="40635" xr:uid="{00000000-0005-0000-0000-0000379F0000}"/>
    <cellStyle name="Normal 99 3 3 2" xfId="40636" xr:uid="{00000000-0005-0000-0000-0000389F0000}"/>
    <cellStyle name="Normal 99 3 3 2 2" xfId="40637" xr:uid="{00000000-0005-0000-0000-0000399F0000}"/>
    <cellStyle name="Normal 99 3 3 3" xfId="40638" xr:uid="{00000000-0005-0000-0000-00003A9F0000}"/>
    <cellStyle name="Normal 99 3 4" xfId="40639" xr:uid="{00000000-0005-0000-0000-00003B9F0000}"/>
    <cellStyle name="Normal 99 3 4 2" xfId="40640" xr:uid="{00000000-0005-0000-0000-00003C9F0000}"/>
    <cellStyle name="Normal 99 3 4 2 2" xfId="40641" xr:uid="{00000000-0005-0000-0000-00003D9F0000}"/>
    <cellStyle name="Normal 99 3 4 3" xfId="40642" xr:uid="{00000000-0005-0000-0000-00003E9F0000}"/>
    <cellStyle name="Normal 99 3 5" xfId="40643" xr:uid="{00000000-0005-0000-0000-00003F9F0000}"/>
    <cellStyle name="Normal 99 3 5 2" xfId="40644" xr:uid="{00000000-0005-0000-0000-0000409F0000}"/>
    <cellStyle name="Normal 99 3 5 2 2" xfId="40645" xr:uid="{00000000-0005-0000-0000-0000419F0000}"/>
    <cellStyle name="Normal 99 3 5 3" xfId="40646" xr:uid="{00000000-0005-0000-0000-0000429F0000}"/>
    <cellStyle name="Normal 99 3 6" xfId="40647" xr:uid="{00000000-0005-0000-0000-0000439F0000}"/>
    <cellStyle name="Normal 99 4" xfId="40648" xr:uid="{00000000-0005-0000-0000-0000449F0000}"/>
    <cellStyle name="Normal 99 4 2" xfId="40649" xr:uid="{00000000-0005-0000-0000-0000459F0000}"/>
    <cellStyle name="Normal 99 4 2 2" xfId="40650" xr:uid="{00000000-0005-0000-0000-0000469F0000}"/>
    <cellStyle name="Normal 99 4 3" xfId="40651" xr:uid="{00000000-0005-0000-0000-0000479F0000}"/>
    <cellStyle name="Normal 99 5" xfId="40652" xr:uid="{00000000-0005-0000-0000-0000489F0000}"/>
    <cellStyle name="Normal 99 5 2" xfId="40653" xr:uid="{00000000-0005-0000-0000-0000499F0000}"/>
    <cellStyle name="Normal 99 5 2 2" xfId="40654" xr:uid="{00000000-0005-0000-0000-00004A9F0000}"/>
    <cellStyle name="Normal 99 5 3" xfId="40655" xr:uid="{00000000-0005-0000-0000-00004B9F0000}"/>
    <cellStyle name="Normal 99 6" xfId="40656" xr:uid="{00000000-0005-0000-0000-00004C9F0000}"/>
    <cellStyle name="Normal 99 6 2" xfId="40657" xr:uid="{00000000-0005-0000-0000-00004D9F0000}"/>
    <cellStyle name="Normal 99 6 2 2" xfId="40658" xr:uid="{00000000-0005-0000-0000-00004E9F0000}"/>
    <cellStyle name="Normal 99 6 3" xfId="40659" xr:uid="{00000000-0005-0000-0000-00004F9F0000}"/>
    <cellStyle name="Normal 99 7" xfId="40660" xr:uid="{00000000-0005-0000-0000-0000509F0000}"/>
    <cellStyle name="Normal_2008 ISO Transmission Study test v1" xfId="34" xr:uid="{00000000-0005-0000-0000-0000519F0000}"/>
    <cellStyle name="Normal_Rate-Design" xfId="35" xr:uid="{00000000-0005-0000-0000-0000539F0000}"/>
    <cellStyle name="Normal_Statement AD Period I 2004" xfId="36" xr:uid="{00000000-0005-0000-0000-0000559F0000}"/>
    <cellStyle name="Normal2" xfId="40661" xr:uid="{00000000-0005-0000-0000-0000569F0000}"/>
    <cellStyle name="Normal2 2" xfId="40662" xr:uid="{00000000-0005-0000-0000-0000579F0000}"/>
    <cellStyle name="Normal2 3" xfId="40663" xr:uid="{00000000-0005-0000-0000-0000589F0000}"/>
    <cellStyle name="Normal2 3 2" xfId="40664" xr:uid="{00000000-0005-0000-0000-0000599F0000}"/>
    <cellStyle name="Normal2 3 2 2" xfId="40665" xr:uid="{00000000-0005-0000-0000-00005A9F0000}"/>
    <cellStyle name="Normal2 3 3" xfId="40666" xr:uid="{00000000-0005-0000-0000-00005B9F0000}"/>
    <cellStyle name="Normal2 4" xfId="40667" xr:uid="{00000000-0005-0000-0000-00005C9F0000}"/>
    <cellStyle name="Normal2 4 2" xfId="40668" xr:uid="{00000000-0005-0000-0000-00005D9F0000}"/>
    <cellStyle name="Normal2 4 2 2" xfId="40669" xr:uid="{00000000-0005-0000-0000-00005E9F0000}"/>
    <cellStyle name="Normal2 4 3" xfId="40670" xr:uid="{00000000-0005-0000-0000-00005F9F0000}"/>
    <cellStyle name="Not In Use" xfId="40671" xr:uid="{00000000-0005-0000-0000-0000609F0000}"/>
    <cellStyle name="Not In Use 2" xfId="40672" xr:uid="{00000000-0005-0000-0000-0000619F0000}"/>
    <cellStyle name="Not In Use 2 2" xfId="40673" xr:uid="{00000000-0005-0000-0000-0000629F0000}"/>
    <cellStyle name="Not In Use 3" xfId="40674" xr:uid="{00000000-0005-0000-0000-0000639F0000}"/>
    <cellStyle name="Not In Use 3 2" xfId="40675" xr:uid="{00000000-0005-0000-0000-0000649F0000}"/>
    <cellStyle name="Not In Use 3 2 2" xfId="40676" xr:uid="{00000000-0005-0000-0000-0000659F0000}"/>
    <cellStyle name="Not In Use 3 3" xfId="40677" xr:uid="{00000000-0005-0000-0000-0000669F0000}"/>
    <cellStyle name="Not In Use 4" xfId="40678" xr:uid="{00000000-0005-0000-0000-0000679F0000}"/>
    <cellStyle name="Not In Use 4 2" xfId="40679" xr:uid="{00000000-0005-0000-0000-0000689F0000}"/>
    <cellStyle name="Not In Use 4 2 2" xfId="40680" xr:uid="{00000000-0005-0000-0000-0000699F0000}"/>
    <cellStyle name="Not In Use 4 3" xfId="40681" xr:uid="{00000000-0005-0000-0000-00006A9F0000}"/>
    <cellStyle name="Not In Use 5" xfId="40682" xr:uid="{00000000-0005-0000-0000-00006B9F0000}"/>
    <cellStyle name="Note 10" xfId="40683" xr:uid="{00000000-0005-0000-0000-00006C9F0000}"/>
    <cellStyle name="Note 10 2" xfId="40684" xr:uid="{00000000-0005-0000-0000-00006D9F0000}"/>
    <cellStyle name="Note 10 3" xfId="40685" xr:uid="{00000000-0005-0000-0000-00006E9F0000}"/>
    <cellStyle name="Note 11" xfId="40686" xr:uid="{00000000-0005-0000-0000-00006F9F0000}"/>
    <cellStyle name="Note 11 2" xfId="40687" xr:uid="{00000000-0005-0000-0000-0000709F0000}"/>
    <cellStyle name="Note 12" xfId="40688" xr:uid="{00000000-0005-0000-0000-0000719F0000}"/>
    <cellStyle name="Note 12 2" xfId="40689" xr:uid="{00000000-0005-0000-0000-0000729F0000}"/>
    <cellStyle name="Note 13" xfId="40690" xr:uid="{00000000-0005-0000-0000-0000739F0000}"/>
    <cellStyle name="Note 14" xfId="40691" xr:uid="{00000000-0005-0000-0000-0000749F0000}"/>
    <cellStyle name="Note 15" xfId="40692" xr:uid="{00000000-0005-0000-0000-0000759F0000}"/>
    <cellStyle name="Note 16" xfId="53889" xr:uid="{00000000-0005-0000-0000-0000769F0000}"/>
    <cellStyle name="Note 2" xfId="40693" xr:uid="{00000000-0005-0000-0000-0000779F0000}"/>
    <cellStyle name="Note 2 10" xfId="40694" xr:uid="{00000000-0005-0000-0000-0000789F0000}"/>
    <cellStyle name="Note 2 10 2" xfId="40695" xr:uid="{00000000-0005-0000-0000-0000799F0000}"/>
    <cellStyle name="Note 2 10 2 2" xfId="40696" xr:uid="{00000000-0005-0000-0000-00007A9F0000}"/>
    <cellStyle name="Note 2 10 2 2 2" xfId="40697" xr:uid="{00000000-0005-0000-0000-00007B9F0000}"/>
    <cellStyle name="Note 2 10 2 2 2 2" xfId="40698" xr:uid="{00000000-0005-0000-0000-00007C9F0000}"/>
    <cellStyle name="Note 2 10 2 2 2 2 2" xfId="40699" xr:uid="{00000000-0005-0000-0000-00007D9F0000}"/>
    <cellStyle name="Note 2 10 2 2 2 2 2 2" xfId="40700" xr:uid="{00000000-0005-0000-0000-00007E9F0000}"/>
    <cellStyle name="Note 2 10 2 2 2 2 3" xfId="40701" xr:uid="{00000000-0005-0000-0000-00007F9F0000}"/>
    <cellStyle name="Note 2 10 2 2 2 3" xfId="40702" xr:uid="{00000000-0005-0000-0000-0000809F0000}"/>
    <cellStyle name="Note 2 10 2 2 2 3 2" xfId="40703" xr:uid="{00000000-0005-0000-0000-0000819F0000}"/>
    <cellStyle name="Note 2 10 2 2 2 4" xfId="40704" xr:uid="{00000000-0005-0000-0000-0000829F0000}"/>
    <cellStyle name="Note 2 10 2 2 3" xfId="40705" xr:uid="{00000000-0005-0000-0000-0000839F0000}"/>
    <cellStyle name="Note 2 10 2 2 3 2" xfId="40706" xr:uid="{00000000-0005-0000-0000-0000849F0000}"/>
    <cellStyle name="Note 2 10 2 2 3 2 2" xfId="40707" xr:uid="{00000000-0005-0000-0000-0000859F0000}"/>
    <cellStyle name="Note 2 10 2 2 3 3" xfId="40708" xr:uid="{00000000-0005-0000-0000-0000869F0000}"/>
    <cellStyle name="Note 2 10 2 2 4" xfId="40709" xr:uid="{00000000-0005-0000-0000-0000879F0000}"/>
    <cellStyle name="Note 2 10 2 2 4 2" xfId="40710" xr:uid="{00000000-0005-0000-0000-0000889F0000}"/>
    <cellStyle name="Note 2 10 2 2 5" xfId="40711" xr:uid="{00000000-0005-0000-0000-0000899F0000}"/>
    <cellStyle name="Note 2 10 2 3" xfId="40712" xr:uid="{00000000-0005-0000-0000-00008A9F0000}"/>
    <cellStyle name="Note 2 10 2 3 2" xfId="40713" xr:uid="{00000000-0005-0000-0000-00008B9F0000}"/>
    <cellStyle name="Note 2 10 2 3 2 2" xfId="40714" xr:uid="{00000000-0005-0000-0000-00008C9F0000}"/>
    <cellStyle name="Note 2 10 2 3 3" xfId="40715" xr:uid="{00000000-0005-0000-0000-00008D9F0000}"/>
    <cellStyle name="Note 2 10 2 4" xfId="40716" xr:uid="{00000000-0005-0000-0000-00008E9F0000}"/>
    <cellStyle name="Note 2 10 2 4 2" xfId="40717" xr:uid="{00000000-0005-0000-0000-00008F9F0000}"/>
    <cellStyle name="Note 2 10 2 4 2 2" xfId="40718" xr:uid="{00000000-0005-0000-0000-0000909F0000}"/>
    <cellStyle name="Note 2 10 2 4 2 2 2" xfId="40719" xr:uid="{00000000-0005-0000-0000-0000919F0000}"/>
    <cellStyle name="Note 2 10 2 4 2 3" xfId="40720" xr:uid="{00000000-0005-0000-0000-0000929F0000}"/>
    <cellStyle name="Note 2 10 2 4 3" xfId="40721" xr:uid="{00000000-0005-0000-0000-0000939F0000}"/>
    <cellStyle name="Note 2 10 2 4 3 2" xfId="40722" xr:uid="{00000000-0005-0000-0000-0000949F0000}"/>
    <cellStyle name="Note 2 10 2 4 4" xfId="40723" xr:uid="{00000000-0005-0000-0000-0000959F0000}"/>
    <cellStyle name="Note 2 10 2 5" xfId="40724" xr:uid="{00000000-0005-0000-0000-0000969F0000}"/>
    <cellStyle name="Note 2 10 2 5 2" xfId="40725" xr:uid="{00000000-0005-0000-0000-0000979F0000}"/>
    <cellStyle name="Note 2 10 2 5 2 2" xfId="40726" xr:uid="{00000000-0005-0000-0000-0000989F0000}"/>
    <cellStyle name="Note 2 10 2 5 3" xfId="40727" xr:uid="{00000000-0005-0000-0000-0000999F0000}"/>
    <cellStyle name="Note 2 10 2 6" xfId="40728" xr:uid="{00000000-0005-0000-0000-00009A9F0000}"/>
    <cellStyle name="Note 2 10 2 6 2" xfId="40729" xr:uid="{00000000-0005-0000-0000-00009B9F0000}"/>
    <cellStyle name="Note 2 10 2 7" xfId="40730" xr:uid="{00000000-0005-0000-0000-00009C9F0000}"/>
    <cellStyle name="Note 2 10 3" xfId="40731" xr:uid="{00000000-0005-0000-0000-00009D9F0000}"/>
    <cellStyle name="Note 2 10 3 2" xfId="40732" xr:uid="{00000000-0005-0000-0000-00009E9F0000}"/>
    <cellStyle name="Note 2 10 3 2 2" xfId="40733" xr:uid="{00000000-0005-0000-0000-00009F9F0000}"/>
    <cellStyle name="Note 2 10 3 2 2 2" xfId="40734" xr:uid="{00000000-0005-0000-0000-0000A09F0000}"/>
    <cellStyle name="Note 2 10 3 2 2 2 2" xfId="40735" xr:uid="{00000000-0005-0000-0000-0000A19F0000}"/>
    <cellStyle name="Note 2 10 3 2 2 2 2 2" xfId="40736" xr:uid="{00000000-0005-0000-0000-0000A29F0000}"/>
    <cellStyle name="Note 2 10 3 2 2 2 3" xfId="40737" xr:uid="{00000000-0005-0000-0000-0000A39F0000}"/>
    <cellStyle name="Note 2 10 3 2 2 3" xfId="40738" xr:uid="{00000000-0005-0000-0000-0000A49F0000}"/>
    <cellStyle name="Note 2 10 3 2 2 3 2" xfId="40739" xr:uid="{00000000-0005-0000-0000-0000A59F0000}"/>
    <cellStyle name="Note 2 10 3 2 2 4" xfId="40740" xr:uid="{00000000-0005-0000-0000-0000A69F0000}"/>
    <cellStyle name="Note 2 10 3 2 3" xfId="40741" xr:uid="{00000000-0005-0000-0000-0000A79F0000}"/>
    <cellStyle name="Note 2 10 3 2 3 2" xfId="40742" xr:uid="{00000000-0005-0000-0000-0000A89F0000}"/>
    <cellStyle name="Note 2 10 3 2 3 2 2" xfId="40743" xr:uid="{00000000-0005-0000-0000-0000A99F0000}"/>
    <cellStyle name="Note 2 10 3 2 3 3" xfId="40744" xr:uid="{00000000-0005-0000-0000-0000AA9F0000}"/>
    <cellStyle name="Note 2 10 3 2 4" xfId="40745" xr:uid="{00000000-0005-0000-0000-0000AB9F0000}"/>
    <cellStyle name="Note 2 10 3 2 4 2" xfId="40746" xr:uid="{00000000-0005-0000-0000-0000AC9F0000}"/>
    <cellStyle name="Note 2 10 3 2 5" xfId="40747" xr:uid="{00000000-0005-0000-0000-0000AD9F0000}"/>
    <cellStyle name="Note 2 10 3 3" xfId="40748" xr:uid="{00000000-0005-0000-0000-0000AE9F0000}"/>
    <cellStyle name="Note 2 10 3 3 2" xfId="40749" xr:uid="{00000000-0005-0000-0000-0000AF9F0000}"/>
    <cellStyle name="Note 2 10 3 3 2 2" xfId="40750" xr:uid="{00000000-0005-0000-0000-0000B09F0000}"/>
    <cellStyle name="Note 2 10 3 3 2 2 2" xfId="40751" xr:uid="{00000000-0005-0000-0000-0000B19F0000}"/>
    <cellStyle name="Note 2 10 3 3 2 3" xfId="40752" xr:uid="{00000000-0005-0000-0000-0000B29F0000}"/>
    <cellStyle name="Note 2 10 3 3 3" xfId="40753" xr:uid="{00000000-0005-0000-0000-0000B39F0000}"/>
    <cellStyle name="Note 2 10 3 3 3 2" xfId="40754" xr:uid="{00000000-0005-0000-0000-0000B49F0000}"/>
    <cellStyle name="Note 2 10 3 3 4" xfId="40755" xr:uid="{00000000-0005-0000-0000-0000B59F0000}"/>
    <cellStyle name="Note 2 10 3 4" xfId="40756" xr:uid="{00000000-0005-0000-0000-0000B69F0000}"/>
    <cellStyle name="Note 2 10 3 4 2" xfId="40757" xr:uid="{00000000-0005-0000-0000-0000B79F0000}"/>
    <cellStyle name="Note 2 10 3 4 2 2" xfId="40758" xr:uid="{00000000-0005-0000-0000-0000B89F0000}"/>
    <cellStyle name="Note 2 10 3 4 3" xfId="40759" xr:uid="{00000000-0005-0000-0000-0000B99F0000}"/>
    <cellStyle name="Note 2 10 3 5" xfId="40760" xr:uid="{00000000-0005-0000-0000-0000BA9F0000}"/>
    <cellStyle name="Note 2 10 3 5 2" xfId="40761" xr:uid="{00000000-0005-0000-0000-0000BB9F0000}"/>
    <cellStyle name="Note 2 10 3 6" xfId="40762" xr:uid="{00000000-0005-0000-0000-0000BC9F0000}"/>
    <cellStyle name="Note 2 10 4" xfId="40763" xr:uid="{00000000-0005-0000-0000-0000BD9F0000}"/>
    <cellStyle name="Note 2 10 4 2" xfId="40764" xr:uid="{00000000-0005-0000-0000-0000BE9F0000}"/>
    <cellStyle name="Note 2 10 4 2 2" xfId="40765" xr:uid="{00000000-0005-0000-0000-0000BF9F0000}"/>
    <cellStyle name="Note 2 10 4 3" xfId="40766" xr:uid="{00000000-0005-0000-0000-0000C09F0000}"/>
    <cellStyle name="Note 2 10 5" xfId="40767" xr:uid="{00000000-0005-0000-0000-0000C19F0000}"/>
    <cellStyle name="Note 2 10 5 2" xfId="40768" xr:uid="{00000000-0005-0000-0000-0000C29F0000}"/>
    <cellStyle name="Note 2 10 5 2 2" xfId="40769" xr:uid="{00000000-0005-0000-0000-0000C39F0000}"/>
    <cellStyle name="Note 2 10 5 3" xfId="40770" xr:uid="{00000000-0005-0000-0000-0000C49F0000}"/>
    <cellStyle name="Note 2 10 6" xfId="40771" xr:uid="{00000000-0005-0000-0000-0000C59F0000}"/>
    <cellStyle name="Note 2 10 6 2" xfId="40772" xr:uid="{00000000-0005-0000-0000-0000C69F0000}"/>
    <cellStyle name="Note 2 10 6 2 2" xfId="40773" xr:uid="{00000000-0005-0000-0000-0000C79F0000}"/>
    <cellStyle name="Note 2 10 6 2 2 2" xfId="40774" xr:uid="{00000000-0005-0000-0000-0000C89F0000}"/>
    <cellStyle name="Note 2 10 6 2 3" xfId="40775" xr:uid="{00000000-0005-0000-0000-0000C99F0000}"/>
    <cellStyle name="Note 2 10 6 3" xfId="40776" xr:uid="{00000000-0005-0000-0000-0000CA9F0000}"/>
    <cellStyle name="Note 2 10 6 3 2" xfId="40777" xr:uid="{00000000-0005-0000-0000-0000CB9F0000}"/>
    <cellStyle name="Note 2 10 6 4" xfId="40778" xr:uid="{00000000-0005-0000-0000-0000CC9F0000}"/>
    <cellStyle name="Note 2 10 7" xfId="40779" xr:uid="{00000000-0005-0000-0000-0000CD9F0000}"/>
    <cellStyle name="Note 2 10 7 2" xfId="40780" xr:uid="{00000000-0005-0000-0000-0000CE9F0000}"/>
    <cellStyle name="Note 2 10 7 2 2" xfId="40781" xr:uid="{00000000-0005-0000-0000-0000CF9F0000}"/>
    <cellStyle name="Note 2 10 7 3" xfId="40782" xr:uid="{00000000-0005-0000-0000-0000D09F0000}"/>
    <cellStyle name="Note 2 10 8" xfId="40783" xr:uid="{00000000-0005-0000-0000-0000D19F0000}"/>
    <cellStyle name="Note 2 10 8 2" xfId="40784" xr:uid="{00000000-0005-0000-0000-0000D29F0000}"/>
    <cellStyle name="Note 2 10 9" xfId="40785" xr:uid="{00000000-0005-0000-0000-0000D39F0000}"/>
    <cellStyle name="Note 2 11" xfId="40786" xr:uid="{00000000-0005-0000-0000-0000D49F0000}"/>
    <cellStyle name="Note 2 11 2" xfId="40787" xr:uid="{00000000-0005-0000-0000-0000D59F0000}"/>
    <cellStyle name="Note 2 11 2 2" xfId="40788" xr:uid="{00000000-0005-0000-0000-0000D69F0000}"/>
    <cellStyle name="Note 2 11 2 2 2" xfId="40789" xr:uid="{00000000-0005-0000-0000-0000D79F0000}"/>
    <cellStyle name="Note 2 11 2 2 2 2" xfId="40790" xr:uid="{00000000-0005-0000-0000-0000D89F0000}"/>
    <cellStyle name="Note 2 11 2 2 2 2 2" xfId="40791" xr:uid="{00000000-0005-0000-0000-0000D99F0000}"/>
    <cellStyle name="Note 2 11 2 2 2 3" xfId="40792" xr:uid="{00000000-0005-0000-0000-0000DA9F0000}"/>
    <cellStyle name="Note 2 11 2 2 3" xfId="40793" xr:uid="{00000000-0005-0000-0000-0000DB9F0000}"/>
    <cellStyle name="Note 2 11 2 2 3 2" xfId="40794" xr:uid="{00000000-0005-0000-0000-0000DC9F0000}"/>
    <cellStyle name="Note 2 11 2 2 4" xfId="40795" xr:uid="{00000000-0005-0000-0000-0000DD9F0000}"/>
    <cellStyle name="Note 2 11 2 3" xfId="40796" xr:uid="{00000000-0005-0000-0000-0000DE9F0000}"/>
    <cellStyle name="Note 2 11 2 3 2" xfId="40797" xr:uid="{00000000-0005-0000-0000-0000DF9F0000}"/>
    <cellStyle name="Note 2 11 2 3 2 2" xfId="40798" xr:uid="{00000000-0005-0000-0000-0000E09F0000}"/>
    <cellStyle name="Note 2 11 2 3 3" xfId="40799" xr:uid="{00000000-0005-0000-0000-0000E19F0000}"/>
    <cellStyle name="Note 2 11 2 4" xfId="40800" xr:uid="{00000000-0005-0000-0000-0000E29F0000}"/>
    <cellStyle name="Note 2 11 2 4 2" xfId="40801" xr:uid="{00000000-0005-0000-0000-0000E39F0000}"/>
    <cellStyle name="Note 2 11 2 5" xfId="40802" xr:uid="{00000000-0005-0000-0000-0000E49F0000}"/>
    <cellStyle name="Note 2 11 3" xfId="40803" xr:uid="{00000000-0005-0000-0000-0000E59F0000}"/>
    <cellStyle name="Note 2 11 3 2" xfId="40804" xr:uid="{00000000-0005-0000-0000-0000E69F0000}"/>
    <cellStyle name="Note 2 11 3 2 2" xfId="40805" xr:uid="{00000000-0005-0000-0000-0000E79F0000}"/>
    <cellStyle name="Note 2 11 3 2 2 2" xfId="40806" xr:uid="{00000000-0005-0000-0000-0000E89F0000}"/>
    <cellStyle name="Note 2 11 3 2 3" xfId="40807" xr:uid="{00000000-0005-0000-0000-0000E99F0000}"/>
    <cellStyle name="Note 2 11 3 3" xfId="40808" xr:uid="{00000000-0005-0000-0000-0000EA9F0000}"/>
    <cellStyle name="Note 2 11 3 3 2" xfId="40809" xr:uid="{00000000-0005-0000-0000-0000EB9F0000}"/>
    <cellStyle name="Note 2 11 3 4" xfId="40810" xr:uid="{00000000-0005-0000-0000-0000EC9F0000}"/>
    <cellStyle name="Note 2 11 4" xfId="40811" xr:uid="{00000000-0005-0000-0000-0000ED9F0000}"/>
    <cellStyle name="Note 2 11 4 2" xfId="40812" xr:uid="{00000000-0005-0000-0000-0000EE9F0000}"/>
    <cellStyle name="Note 2 11 4 2 2" xfId="40813" xr:uid="{00000000-0005-0000-0000-0000EF9F0000}"/>
    <cellStyle name="Note 2 11 4 3" xfId="40814" xr:uid="{00000000-0005-0000-0000-0000F09F0000}"/>
    <cellStyle name="Note 2 11 5" xfId="40815" xr:uid="{00000000-0005-0000-0000-0000F19F0000}"/>
    <cellStyle name="Note 2 11 5 2" xfId="40816" xr:uid="{00000000-0005-0000-0000-0000F29F0000}"/>
    <cellStyle name="Note 2 11 6" xfId="40817" xr:uid="{00000000-0005-0000-0000-0000F39F0000}"/>
    <cellStyle name="Note 2 12" xfId="40818" xr:uid="{00000000-0005-0000-0000-0000F49F0000}"/>
    <cellStyle name="Note 2 12 2" xfId="40819" xr:uid="{00000000-0005-0000-0000-0000F59F0000}"/>
    <cellStyle name="Note 2 12 2 2" xfId="40820" xr:uid="{00000000-0005-0000-0000-0000F69F0000}"/>
    <cellStyle name="Note 2 12 3" xfId="40821" xr:uid="{00000000-0005-0000-0000-0000F79F0000}"/>
    <cellStyle name="Note 2 13" xfId="40822" xr:uid="{00000000-0005-0000-0000-0000F89F0000}"/>
    <cellStyle name="Note 2 13 2" xfId="40823" xr:uid="{00000000-0005-0000-0000-0000F99F0000}"/>
    <cellStyle name="Note 2 13 2 2" xfId="40824" xr:uid="{00000000-0005-0000-0000-0000FA9F0000}"/>
    <cellStyle name="Note 2 13 3" xfId="40825" xr:uid="{00000000-0005-0000-0000-0000FB9F0000}"/>
    <cellStyle name="Note 2 14" xfId="40826" xr:uid="{00000000-0005-0000-0000-0000FC9F0000}"/>
    <cellStyle name="Note 2 14 2" xfId="40827" xr:uid="{00000000-0005-0000-0000-0000FD9F0000}"/>
    <cellStyle name="Note 2 14 2 2" xfId="40828" xr:uid="{00000000-0005-0000-0000-0000FE9F0000}"/>
    <cellStyle name="Note 2 14 2 2 2" xfId="40829" xr:uid="{00000000-0005-0000-0000-0000FF9F0000}"/>
    <cellStyle name="Note 2 14 2 2 2 2" xfId="40830" xr:uid="{00000000-0005-0000-0000-000000A00000}"/>
    <cellStyle name="Note 2 14 2 2 3" xfId="40831" xr:uid="{00000000-0005-0000-0000-000001A00000}"/>
    <cellStyle name="Note 2 14 2 3" xfId="40832" xr:uid="{00000000-0005-0000-0000-000002A00000}"/>
    <cellStyle name="Note 2 14 2 3 2" xfId="40833" xr:uid="{00000000-0005-0000-0000-000003A00000}"/>
    <cellStyle name="Note 2 14 2 4" xfId="40834" xr:uid="{00000000-0005-0000-0000-000004A00000}"/>
    <cellStyle name="Note 2 14 3" xfId="40835" xr:uid="{00000000-0005-0000-0000-000005A00000}"/>
    <cellStyle name="Note 2 14 3 2" xfId="40836" xr:uid="{00000000-0005-0000-0000-000006A00000}"/>
    <cellStyle name="Note 2 14 3 2 2" xfId="40837" xr:uid="{00000000-0005-0000-0000-000007A00000}"/>
    <cellStyle name="Note 2 14 3 2 2 2" xfId="40838" xr:uid="{00000000-0005-0000-0000-000008A00000}"/>
    <cellStyle name="Note 2 14 3 2 3" xfId="40839" xr:uid="{00000000-0005-0000-0000-000009A00000}"/>
    <cellStyle name="Note 2 14 3 3" xfId="40840" xr:uid="{00000000-0005-0000-0000-00000AA00000}"/>
    <cellStyle name="Note 2 14 3 3 2" xfId="40841" xr:uid="{00000000-0005-0000-0000-00000BA00000}"/>
    <cellStyle name="Note 2 14 3 4" xfId="40842" xr:uid="{00000000-0005-0000-0000-00000CA00000}"/>
    <cellStyle name="Note 2 14 4" xfId="40843" xr:uid="{00000000-0005-0000-0000-00000DA00000}"/>
    <cellStyle name="Note 2 14 4 2" xfId="40844" xr:uid="{00000000-0005-0000-0000-00000EA00000}"/>
    <cellStyle name="Note 2 14 4 2 2" xfId="40845" xr:uid="{00000000-0005-0000-0000-00000FA00000}"/>
    <cellStyle name="Note 2 14 4 3" xfId="40846" xr:uid="{00000000-0005-0000-0000-000010A00000}"/>
    <cellStyle name="Note 2 14 5" xfId="40847" xr:uid="{00000000-0005-0000-0000-000011A00000}"/>
    <cellStyle name="Note 2 14 5 2" xfId="40848" xr:uid="{00000000-0005-0000-0000-000012A00000}"/>
    <cellStyle name="Note 2 14 6" xfId="40849" xr:uid="{00000000-0005-0000-0000-000013A00000}"/>
    <cellStyle name="Note 2 14 6 2" xfId="40850" xr:uid="{00000000-0005-0000-0000-000014A00000}"/>
    <cellStyle name="Note 2 14 7" xfId="40851" xr:uid="{00000000-0005-0000-0000-000015A00000}"/>
    <cellStyle name="Note 2 15" xfId="40852" xr:uid="{00000000-0005-0000-0000-000016A00000}"/>
    <cellStyle name="Note 2 15 2" xfId="40853" xr:uid="{00000000-0005-0000-0000-000017A00000}"/>
    <cellStyle name="Note 2 15 2 2" xfId="40854" xr:uid="{00000000-0005-0000-0000-000018A00000}"/>
    <cellStyle name="Note 2 15 2 2 2" xfId="40855" xr:uid="{00000000-0005-0000-0000-000019A00000}"/>
    <cellStyle name="Note 2 15 2 3" xfId="40856" xr:uid="{00000000-0005-0000-0000-00001AA00000}"/>
    <cellStyle name="Note 2 15 3" xfId="40857" xr:uid="{00000000-0005-0000-0000-00001BA00000}"/>
    <cellStyle name="Note 2 15 3 2" xfId="40858" xr:uid="{00000000-0005-0000-0000-00001CA00000}"/>
    <cellStyle name="Note 2 15 4" xfId="40859" xr:uid="{00000000-0005-0000-0000-00001DA00000}"/>
    <cellStyle name="Note 2 16" xfId="40860" xr:uid="{00000000-0005-0000-0000-00001EA00000}"/>
    <cellStyle name="Note 2 16 2" xfId="40861" xr:uid="{00000000-0005-0000-0000-00001FA00000}"/>
    <cellStyle name="Note 2 16 2 2" xfId="40862" xr:uid="{00000000-0005-0000-0000-000020A00000}"/>
    <cellStyle name="Note 2 16 3" xfId="40863" xr:uid="{00000000-0005-0000-0000-000021A00000}"/>
    <cellStyle name="Note 2 17" xfId="40864" xr:uid="{00000000-0005-0000-0000-000022A00000}"/>
    <cellStyle name="Note 2 17 2" xfId="40865" xr:uid="{00000000-0005-0000-0000-000023A00000}"/>
    <cellStyle name="Note 2 17 3" xfId="40866" xr:uid="{00000000-0005-0000-0000-000024A00000}"/>
    <cellStyle name="Note 2 18" xfId="40867" xr:uid="{00000000-0005-0000-0000-000025A00000}"/>
    <cellStyle name="Note 2 18 2" xfId="40868" xr:uid="{00000000-0005-0000-0000-000026A00000}"/>
    <cellStyle name="Note 2 19" xfId="40869" xr:uid="{00000000-0005-0000-0000-000027A00000}"/>
    <cellStyle name="Note 2 2" xfId="40870" xr:uid="{00000000-0005-0000-0000-000028A00000}"/>
    <cellStyle name="Note 2 2 2" xfId="40871" xr:uid="{00000000-0005-0000-0000-000029A00000}"/>
    <cellStyle name="Note 2 2 2 2" xfId="40872" xr:uid="{00000000-0005-0000-0000-00002AA00000}"/>
    <cellStyle name="Note 2 2 2 2 2" xfId="40873" xr:uid="{00000000-0005-0000-0000-00002BA00000}"/>
    <cellStyle name="Note 2 2 2 2 2 2" xfId="40874" xr:uid="{00000000-0005-0000-0000-00002CA00000}"/>
    <cellStyle name="Note 2 2 2 2 3" xfId="40875" xr:uid="{00000000-0005-0000-0000-00002DA00000}"/>
    <cellStyle name="Note 2 2 2 3" xfId="40876" xr:uid="{00000000-0005-0000-0000-00002EA00000}"/>
    <cellStyle name="Note 2 2 2 3 2" xfId="40877" xr:uid="{00000000-0005-0000-0000-00002FA00000}"/>
    <cellStyle name="Note 2 2 2 3 2 2" xfId="40878" xr:uid="{00000000-0005-0000-0000-000030A00000}"/>
    <cellStyle name="Note 2 2 2 3 3" xfId="40879" xr:uid="{00000000-0005-0000-0000-000031A00000}"/>
    <cellStyle name="Note 2 2 2 4" xfId="40880" xr:uid="{00000000-0005-0000-0000-000032A00000}"/>
    <cellStyle name="Note 2 2 2 4 2" xfId="40881" xr:uid="{00000000-0005-0000-0000-000033A00000}"/>
    <cellStyle name="Note 2 2 2 4 2 2" xfId="40882" xr:uid="{00000000-0005-0000-0000-000034A00000}"/>
    <cellStyle name="Note 2 2 2 4 3" xfId="40883" xr:uid="{00000000-0005-0000-0000-000035A00000}"/>
    <cellStyle name="Note 2 2 2 5" xfId="40884" xr:uid="{00000000-0005-0000-0000-000036A00000}"/>
    <cellStyle name="Note 2 2 2 5 2" xfId="40885" xr:uid="{00000000-0005-0000-0000-000037A00000}"/>
    <cellStyle name="Note 2 2 2 6" xfId="40886" xr:uid="{00000000-0005-0000-0000-000038A00000}"/>
    <cellStyle name="Note 2 2 3" xfId="40887" xr:uid="{00000000-0005-0000-0000-000039A00000}"/>
    <cellStyle name="Note 2 2 3 2" xfId="40888" xr:uid="{00000000-0005-0000-0000-00003AA00000}"/>
    <cellStyle name="Note 2 2 3 2 2" xfId="40889" xr:uid="{00000000-0005-0000-0000-00003BA00000}"/>
    <cellStyle name="Note 2 2 3 2 2 2" xfId="40890" xr:uid="{00000000-0005-0000-0000-00003CA00000}"/>
    <cellStyle name="Note 2 2 3 2 2 2 2" xfId="40891" xr:uid="{00000000-0005-0000-0000-00003DA00000}"/>
    <cellStyle name="Note 2 2 3 2 2 3" xfId="40892" xr:uid="{00000000-0005-0000-0000-00003EA00000}"/>
    <cellStyle name="Note 2 2 3 2 3" xfId="40893" xr:uid="{00000000-0005-0000-0000-00003FA00000}"/>
    <cellStyle name="Note 2 2 3 2 3 2" xfId="40894" xr:uid="{00000000-0005-0000-0000-000040A00000}"/>
    <cellStyle name="Note 2 2 3 2 3 2 2" xfId="40895" xr:uid="{00000000-0005-0000-0000-000041A00000}"/>
    <cellStyle name="Note 2 2 3 2 3 3" xfId="40896" xr:uid="{00000000-0005-0000-0000-000042A00000}"/>
    <cellStyle name="Note 2 2 3 2 4" xfId="40897" xr:uid="{00000000-0005-0000-0000-000043A00000}"/>
    <cellStyle name="Note 2 2 3 2 4 2" xfId="40898" xr:uid="{00000000-0005-0000-0000-000044A00000}"/>
    <cellStyle name="Note 2 2 3 2 5" xfId="40899" xr:uid="{00000000-0005-0000-0000-000045A00000}"/>
    <cellStyle name="Note 2 2 3 3" xfId="40900" xr:uid="{00000000-0005-0000-0000-000046A00000}"/>
    <cellStyle name="Note 2 2 3 3 2" xfId="40901" xr:uid="{00000000-0005-0000-0000-000047A00000}"/>
    <cellStyle name="Note 2 2 3 3 2 2" xfId="40902" xr:uid="{00000000-0005-0000-0000-000048A00000}"/>
    <cellStyle name="Note 2 2 3 3 2 2 2" xfId="40903" xr:uid="{00000000-0005-0000-0000-000049A00000}"/>
    <cellStyle name="Note 2 2 3 3 2 3" xfId="40904" xr:uid="{00000000-0005-0000-0000-00004AA00000}"/>
    <cellStyle name="Note 2 2 3 3 3" xfId="40905" xr:uid="{00000000-0005-0000-0000-00004BA00000}"/>
    <cellStyle name="Note 2 2 3 3 3 2" xfId="40906" xr:uid="{00000000-0005-0000-0000-00004CA00000}"/>
    <cellStyle name="Note 2 2 3 3 4" xfId="40907" xr:uid="{00000000-0005-0000-0000-00004DA00000}"/>
    <cellStyle name="Note 2 2 3 4" xfId="40908" xr:uid="{00000000-0005-0000-0000-00004EA00000}"/>
    <cellStyle name="Note 2 2 3 4 2" xfId="40909" xr:uid="{00000000-0005-0000-0000-00004FA00000}"/>
    <cellStyle name="Note 2 2 3 4 2 2" xfId="40910" xr:uid="{00000000-0005-0000-0000-000050A00000}"/>
    <cellStyle name="Note 2 2 3 4 3" xfId="40911" xr:uid="{00000000-0005-0000-0000-000051A00000}"/>
    <cellStyle name="Note 2 2 3 5" xfId="40912" xr:uid="{00000000-0005-0000-0000-000052A00000}"/>
    <cellStyle name="Note 2 2 3 5 2" xfId="40913" xr:uid="{00000000-0005-0000-0000-000053A00000}"/>
    <cellStyle name="Note 2 2 3 5 2 2" xfId="40914" xr:uid="{00000000-0005-0000-0000-000054A00000}"/>
    <cellStyle name="Note 2 2 3 5 3" xfId="40915" xr:uid="{00000000-0005-0000-0000-000055A00000}"/>
    <cellStyle name="Note 2 2 3 6" xfId="40916" xr:uid="{00000000-0005-0000-0000-000056A00000}"/>
    <cellStyle name="Note 2 2 3 6 2" xfId="40917" xr:uid="{00000000-0005-0000-0000-000057A00000}"/>
    <cellStyle name="Note 2 2 3 7" xfId="40918" xr:uid="{00000000-0005-0000-0000-000058A00000}"/>
    <cellStyle name="Note 2 2 4" xfId="40919" xr:uid="{00000000-0005-0000-0000-000059A00000}"/>
    <cellStyle name="Note 2 2 4 2" xfId="40920" xr:uid="{00000000-0005-0000-0000-00005AA00000}"/>
    <cellStyle name="Note 2 2 4 2 2" xfId="40921" xr:uid="{00000000-0005-0000-0000-00005BA00000}"/>
    <cellStyle name="Note 2 2 4 2 2 2" xfId="40922" xr:uid="{00000000-0005-0000-0000-00005CA00000}"/>
    <cellStyle name="Note 2 2 4 2 3" xfId="40923" xr:uid="{00000000-0005-0000-0000-00005DA00000}"/>
    <cellStyle name="Note 2 2 4 3" xfId="40924" xr:uid="{00000000-0005-0000-0000-00005EA00000}"/>
    <cellStyle name="Note 2 2 4 3 2" xfId="40925" xr:uid="{00000000-0005-0000-0000-00005FA00000}"/>
    <cellStyle name="Note 2 2 4 4" xfId="40926" xr:uid="{00000000-0005-0000-0000-000060A00000}"/>
    <cellStyle name="Note 2 2 5" xfId="40927" xr:uid="{00000000-0005-0000-0000-000061A00000}"/>
    <cellStyle name="Note 2 2 5 2" xfId="40928" xr:uid="{00000000-0005-0000-0000-000062A00000}"/>
    <cellStyle name="Note 2 2 5 2 2" xfId="40929" xr:uid="{00000000-0005-0000-0000-000063A00000}"/>
    <cellStyle name="Note 2 2 5 3" xfId="40930" xr:uid="{00000000-0005-0000-0000-000064A00000}"/>
    <cellStyle name="Note 2 2 6" xfId="40931" xr:uid="{00000000-0005-0000-0000-000065A00000}"/>
    <cellStyle name="Note 2 2 6 2" xfId="40932" xr:uid="{00000000-0005-0000-0000-000066A00000}"/>
    <cellStyle name="Note 2 2 6 2 2" xfId="40933" xr:uid="{00000000-0005-0000-0000-000067A00000}"/>
    <cellStyle name="Note 2 2 6 3" xfId="40934" xr:uid="{00000000-0005-0000-0000-000068A00000}"/>
    <cellStyle name="Note 2 2 7" xfId="40935" xr:uid="{00000000-0005-0000-0000-000069A00000}"/>
    <cellStyle name="Note 2 2 7 2" xfId="40936" xr:uid="{00000000-0005-0000-0000-00006AA00000}"/>
    <cellStyle name="Note 2 2 8" xfId="40937" xr:uid="{00000000-0005-0000-0000-00006BA00000}"/>
    <cellStyle name="Note 2 20" xfId="40938" xr:uid="{00000000-0005-0000-0000-00006CA00000}"/>
    <cellStyle name="Note 2 3" xfId="40939" xr:uid="{00000000-0005-0000-0000-00006DA00000}"/>
    <cellStyle name="Note 2 3 10" xfId="40940" xr:uid="{00000000-0005-0000-0000-00006EA00000}"/>
    <cellStyle name="Note 2 3 2" xfId="40941" xr:uid="{00000000-0005-0000-0000-00006FA00000}"/>
    <cellStyle name="Note 2 3 2 2" xfId="40942" xr:uid="{00000000-0005-0000-0000-000070A00000}"/>
    <cellStyle name="Note 2 3 2 2 2" xfId="40943" xr:uid="{00000000-0005-0000-0000-000071A00000}"/>
    <cellStyle name="Note 2 3 2 2 2 2" xfId="40944" xr:uid="{00000000-0005-0000-0000-000072A00000}"/>
    <cellStyle name="Note 2 3 2 2 2 2 2" xfId="40945" xr:uid="{00000000-0005-0000-0000-000073A00000}"/>
    <cellStyle name="Note 2 3 2 2 2 2 2 2" xfId="40946" xr:uid="{00000000-0005-0000-0000-000074A00000}"/>
    <cellStyle name="Note 2 3 2 2 2 2 3" xfId="40947" xr:uid="{00000000-0005-0000-0000-000075A00000}"/>
    <cellStyle name="Note 2 3 2 2 2 3" xfId="40948" xr:uid="{00000000-0005-0000-0000-000076A00000}"/>
    <cellStyle name="Note 2 3 2 2 2 3 2" xfId="40949" xr:uid="{00000000-0005-0000-0000-000077A00000}"/>
    <cellStyle name="Note 2 3 2 2 2 4" xfId="40950" xr:uid="{00000000-0005-0000-0000-000078A00000}"/>
    <cellStyle name="Note 2 3 2 2 3" xfId="40951" xr:uid="{00000000-0005-0000-0000-000079A00000}"/>
    <cellStyle name="Note 2 3 2 2 3 2" xfId="40952" xr:uid="{00000000-0005-0000-0000-00007AA00000}"/>
    <cellStyle name="Note 2 3 2 2 3 2 2" xfId="40953" xr:uid="{00000000-0005-0000-0000-00007BA00000}"/>
    <cellStyle name="Note 2 3 2 2 3 3" xfId="40954" xr:uid="{00000000-0005-0000-0000-00007CA00000}"/>
    <cellStyle name="Note 2 3 2 2 4" xfId="40955" xr:uid="{00000000-0005-0000-0000-00007DA00000}"/>
    <cellStyle name="Note 2 3 2 2 4 2" xfId="40956" xr:uid="{00000000-0005-0000-0000-00007EA00000}"/>
    <cellStyle name="Note 2 3 2 2 5" xfId="40957" xr:uid="{00000000-0005-0000-0000-00007FA00000}"/>
    <cellStyle name="Note 2 3 2 3" xfId="40958" xr:uid="{00000000-0005-0000-0000-000080A00000}"/>
    <cellStyle name="Note 2 3 2 3 2" xfId="40959" xr:uid="{00000000-0005-0000-0000-000081A00000}"/>
    <cellStyle name="Note 2 3 2 3 2 2" xfId="40960" xr:uid="{00000000-0005-0000-0000-000082A00000}"/>
    <cellStyle name="Note 2 3 2 3 3" xfId="40961" xr:uid="{00000000-0005-0000-0000-000083A00000}"/>
    <cellStyle name="Note 2 3 2 4" xfId="40962" xr:uid="{00000000-0005-0000-0000-000084A00000}"/>
    <cellStyle name="Note 2 3 2 4 2" xfId="40963" xr:uid="{00000000-0005-0000-0000-000085A00000}"/>
    <cellStyle name="Note 2 3 2 4 2 2" xfId="40964" xr:uid="{00000000-0005-0000-0000-000086A00000}"/>
    <cellStyle name="Note 2 3 2 4 3" xfId="40965" xr:uid="{00000000-0005-0000-0000-000087A00000}"/>
    <cellStyle name="Note 2 3 2 5" xfId="40966" xr:uid="{00000000-0005-0000-0000-000088A00000}"/>
    <cellStyle name="Note 2 3 2 5 2" xfId="40967" xr:uid="{00000000-0005-0000-0000-000089A00000}"/>
    <cellStyle name="Note 2 3 2 5 2 2" xfId="40968" xr:uid="{00000000-0005-0000-0000-00008AA00000}"/>
    <cellStyle name="Note 2 3 2 5 2 2 2" xfId="40969" xr:uid="{00000000-0005-0000-0000-00008BA00000}"/>
    <cellStyle name="Note 2 3 2 5 2 3" xfId="40970" xr:uid="{00000000-0005-0000-0000-00008CA00000}"/>
    <cellStyle name="Note 2 3 2 5 3" xfId="40971" xr:uid="{00000000-0005-0000-0000-00008DA00000}"/>
    <cellStyle name="Note 2 3 2 5 3 2" xfId="40972" xr:uid="{00000000-0005-0000-0000-00008EA00000}"/>
    <cellStyle name="Note 2 3 2 5 4" xfId="40973" xr:uid="{00000000-0005-0000-0000-00008FA00000}"/>
    <cellStyle name="Note 2 3 2 6" xfId="40974" xr:uid="{00000000-0005-0000-0000-000090A00000}"/>
    <cellStyle name="Note 2 3 2 6 2" xfId="40975" xr:uid="{00000000-0005-0000-0000-000091A00000}"/>
    <cellStyle name="Note 2 3 2 6 2 2" xfId="40976" xr:uid="{00000000-0005-0000-0000-000092A00000}"/>
    <cellStyle name="Note 2 3 2 6 3" xfId="40977" xr:uid="{00000000-0005-0000-0000-000093A00000}"/>
    <cellStyle name="Note 2 3 2 7" xfId="40978" xr:uid="{00000000-0005-0000-0000-000094A00000}"/>
    <cellStyle name="Note 2 3 2 7 2" xfId="40979" xr:uid="{00000000-0005-0000-0000-000095A00000}"/>
    <cellStyle name="Note 2 3 2 8" xfId="40980" xr:uid="{00000000-0005-0000-0000-000096A00000}"/>
    <cellStyle name="Note 2 3 3" xfId="40981" xr:uid="{00000000-0005-0000-0000-000097A00000}"/>
    <cellStyle name="Note 2 3 3 2" xfId="40982" xr:uid="{00000000-0005-0000-0000-000098A00000}"/>
    <cellStyle name="Note 2 3 3 2 2" xfId="40983" xr:uid="{00000000-0005-0000-0000-000099A00000}"/>
    <cellStyle name="Note 2 3 3 2 2 2" xfId="40984" xr:uid="{00000000-0005-0000-0000-00009AA00000}"/>
    <cellStyle name="Note 2 3 3 2 2 2 2" xfId="40985" xr:uid="{00000000-0005-0000-0000-00009BA00000}"/>
    <cellStyle name="Note 2 3 3 2 2 2 2 2" xfId="40986" xr:uid="{00000000-0005-0000-0000-00009CA00000}"/>
    <cellStyle name="Note 2 3 3 2 2 2 2 2 2" xfId="40987" xr:uid="{00000000-0005-0000-0000-00009DA00000}"/>
    <cellStyle name="Note 2 3 3 2 2 2 2 3" xfId="40988" xr:uid="{00000000-0005-0000-0000-00009EA00000}"/>
    <cellStyle name="Note 2 3 3 2 2 2 3" xfId="40989" xr:uid="{00000000-0005-0000-0000-00009FA00000}"/>
    <cellStyle name="Note 2 3 3 2 2 2 3 2" xfId="40990" xr:uid="{00000000-0005-0000-0000-0000A0A00000}"/>
    <cellStyle name="Note 2 3 3 2 2 2 4" xfId="40991" xr:uid="{00000000-0005-0000-0000-0000A1A00000}"/>
    <cellStyle name="Note 2 3 3 2 2 3" xfId="40992" xr:uid="{00000000-0005-0000-0000-0000A2A00000}"/>
    <cellStyle name="Note 2 3 3 2 2 3 2" xfId="40993" xr:uid="{00000000-0005-0000-0000-0000A3A00000}"/>
    <cellStyle name="Note 2 3 3 2 2 3 2 2" xfId="40994" xr:uid="{00000000-0005-0000-0000-0000A4A00000}"/>
    <cellStyle name="Note 2 3 3 2 2 3 3" xfId="40995" xr:uid="{00000000-0005-0000-0000-0000A5A00000}"/>
    <cellStyle name="Note 2 3 3 2 2 4" xfId="40996" xr:uid="{00000000-0005-0000-0000-0000A6A00000}"/>
    <cellStyle name="Note 2 3 3 2 2 4 2" xfId="40997" xr:uid="{00000000-0005-0000-0000-0000A7A00000}"/>
    <cellStyle name="Note 2 3 3 2 2 5" xfId="40998" xr:uid="{00000000-0005-0000-0000-0000A8A00000}"/>
    <cellStyle name="Note 2 3 3 2 3" xfId="40999" xr:uid="{00000000-0005-0000-0000-0000A9A00000}"/>
    <cellStyle name="Note 2 3 3 2 3 2" xfId="41000" xr:uid="{00000000-0005-0000-0000-0000AAA00000}"/>
    <cellStyle name="Note 2 3 3 2 3 2 2" xfId="41001" xr:uid="{00000000-0005-0000-0000-0000ABA00000}"/>
    <cellStyle name="Note 2 3 3 2 3 3" xfId="41002" xr:uid="{00000000-0005-0000-0000-0000ACA00000}"/>
    <cellStyle name="Note 2 3 3 2 4" xfId="41003" xr:uid="{00000000-0005-0000-0000-0000ADA00000}"/>
    <cellStyle name="Note 2 3 3 2 4 2" xfId="41004" xr:uid="{00000000-0005-0000-0000-0000AEA00000}"/>
    <cellStyle name="Note 2 3 3 2 4 2 2" xfId="41005" xr:uid="{00000000-0005-0000-0000-0000AFA00000}"/>
    <cellStyle name="Note 2 3 3 2 4 2 2 2" xfId="41006" xr:uid="{00000000-0005-0000-0000-0000B0A00000}"/>
    <cellStyle name="Note 2 3 3 2 4 2 3" xfId="41007" xr:uid="{00000000-0005-0000-0000-0000B1A00000}"/>
    <cellStyle name="Note 2 3 3 2 4 3" xfId="41008" xr:uid="{00000000-0005-0000-0000-0000B2A00000}"/>
    <cellStyle name="Note 2 3 3 2 4 3 2" xfId="41009" xr:uid="{00000000-0005-0000-0000-0000B3A00000}"/>
    <cellStyle name="Note 2 3 3 2 4 4" xfId="41010" xr:uid="{00000000-0005-0000-0000-0000B4A00000}"/>
    <cellStyle name="Note 2 3 3 2 5" xfId="41011" xr:uid="{00000000-0005-0000-0000-0000B5A00000}"/>
    <cellStyle name="Note 2 3 3 2 5 2" xfId="41012" xr:uid="{00000000-0005-0000-0000-0000B6A00000}"/>
    <cellStyle name="Note 2 3 3 2 5 2 2" xfId="41013" xr:uid="{00000000-0005-0000-0000-0000B7A00000}"/>
    <cellStyle name="Note 2 3 3 2 5 3" xfId="41014" xr:uid="{00000000-0005-0000-0000-0000B8A00000}"/>
    <cellStyle name="Note 2 3 3 2 6" xfId="41015" xr:uid="{00000000-0005-0000-0000-0000B9A00000}"/>
    <cellStyle name="Note 2 3 3 2 6 2" xfId="41016" xr:uid="{00000000-0005-0000-0000-0000BAA00000}"/>
    <cellStyle name="Note 2 3 3 2 7" xfId="41017" xr:uid="{00000000-0005-0000-0000-0000BBA00000}"/>
    <cellStyle name="Note 2 3 3 3" xfId="41018" xr:uid="{00000000-0005-0000-0000-0000BCA00000}"/>
    <cellStyle name="Note 2 3 3 3 2" xfId="41019" xr:uid="{00000000-0005-0000-0000-0000BDA00000}"/>
    <cellStyle name="Note 2 3 3 3 2 2" xfId="41020" xr:uid="{00000000-0005-0000-0000-0000BEA00000}"/>
    <cellStyle name="Note 2 3 3 3 2 2 2" xfId="41021" xr:uid="{00000000-0005-0000-0000-0000BFA00000}"/>
    <cellStyle name="Note 2 3 3 3 2 2 2 2" xfId="41022" xr:uid="{00000000-0005-0000-0000-0000C0A00000}"/>
    <cellStyle name="Note 2 3 3 3 2 2 2 2 2" xfId="41023" xr:uid="{00000000-0005-0000-0000-0000C1A00000}"/>
    <cellStyle name="Note 2 3 3 3 2 2 2 3" xfId="41024" xr:uid="{00000000-0005-0000-0000-0000C2A00000}"/>
    <cellStyle name="Note 2 3 3 3 2 2 3" xfId="41025" xr:uid="{00000000-0005-0000-0000-0000C3A00000}"/>
    <cellStyle name="Note 2 3 3 3 2 2 3 2" xfId="41026" xr:uid="{00000000-0005-0000-0000-0000C4A00000}"/>
    <cellStyle name="Note 2 3 3 3 2 2 4" xfId="41027" xr:uid="{00000000-0005-0000-0000-0000C5A00000}"/>
    <cellStyle name="Note 2 3 3 3 2 3" xfId="41028" xr:uid="{00000000-0005-0000-0000-0000C6A00000}"/>
    <cellStyle name="Note 2 3 3 3 2 3 2" xfId="41029" xr:uid="{00000000-0005-0000-0000-0000C7A00000}"/>
    <cellStyle name="Note 2 3 3 3 2 3 2 2" xfId="41030" xr:uid="{00000000-0005-0000-0000-0000C8A00000}"/>
    <cellStyle name="Note 2 3 3 3 2 3 3" xfId="41031" xr:uid="{00000000-0005-0000-0000-0000C9A00000}"/>
    <cellStyle name="Note 2 3 3 3 2 4" xfId="41032" xr:uid="{00000000-0005-0000-0000-0000CAA00000}"/>
    <cellStyle name="Note 2 3 3 3 2 4 2" xfId="41033" xr:uid="{00000000-0005-0000-0000-0000CBA00000}"/>
    <cellStyle name="Note 2 3 3 3 2 5" xfId="41034" xr:uid="{00000000-0005-0000-0000-0000CCA00000}"/>
    <cellStyle name="Note 2 3 3 3 3" xfId="41035" xr:uid="{00000000-0005-0000-0000-0000CDA00000}"/>
    <cellStyle name="Note 2 3 3 3 3 2" xfId="41036" xr:uid="{00000000-0005-0000-0000-0000CEA00000}"/>
    <cellStyle name="Note 2 3 3 3 3 2 2" xfId="41037" xr:uid="{00000000-0005-0000-0000-0000CFA00000}"/>
    <cellStyle name="Note 2 3 3 3 3 2 2 2" xfId="41038" xr:uid="{00000000-0005-0000-0000-0000D0A00000}"/>
    <cellStyle name="Note 2 3 3 3 3 2 3" xfId="41039" xr:uid="{00000000-0005-0000-0000-0000D1A00000}"/>
    <cellStyle name="Note 2 3 3 3 3 3" xfId="41040" xr:uid="{00000000-0005-0000-0000-0000D2A00000}"/>
    <cellStyle name="Note 2 3 3 3 3 3 2" xfId="41041" xr:uid="{00000000-0005-0000-0000-0000D3A00000}"/>
    <cellStyle name="Note 2 3 3 3 3 4" xfId="41042" xr:uid="{00000000-0005-0000-0000-0000D4A00000}"/>
    <cellStyle name="Note 2 3 3 3 4" xfId="41043" xr:uid="{00000000-0005-0000-0000-0000D5A00000}"/>
    <cellStyle name="Note 2 3 3 3 4 2" xfId="41044" xr:uid="{00000000-0005-0000-0000-0000D6A00000}"/>
    <cellStyle name="Note 2 3 3 3 4 2 2" xfId="41045" xr:uid="{00000000-0005-0000-0000-0000D7A00000}"/>
    <cellStyle name="Note 2 3 3 3 4 3" xfId="41046" xr:uid="{00000000-0005-0000-0000-0000D8A00000}"/>
    <cellStyle name="Note 2 3 3 3 5" xfId="41047" xr:uid="{00000000-0005-0000-0000-0000D9A00000}"/>
    <cellStyle name="Note 2 3 3 3 5 2" xfId="41048" xr:uid="{00000000-0005-0000-0000-0000DAA00000}"/>
    <cellStyle name="Note 2 3 3 3 6" xfId="41049" xr:uid="{00000000-0005-0000-0000-0000DBA00000}"/>
    <cellStyle name="Note 2 3 3 4" xfId="41050" xr:uid="{00000000-0005-0000-0000-0000DCA00000}"/>
    <cellStyle name="Note 2 3 3 4 2" xfId="41051" xr:uid="{00000000-0005-0000-0000-0000DDA00000}"/>
    <cellStyle name="Note 2 3 3 4 2 2" xfId="41052" xr:uid="{00000000-0005-0000-0000-0000DEA00000}"/>
    <cellStyle name="Note 2 3 3 4 3" xfId="41053" xr:uid="{00000000-0005-0000-0000-0000DFA00000}"/>
    <cellStyle name="Note 2 3 3 5" xfId="41054" xr:uid="{00000000-0005-0000-0000-0000E0A00000}"/>
    <cellStyle name="Note 2 3 3 5 2" xfId="41055" xr:uid="{00000000-0005-0000-0000-0000E1A00000}"/>
    <cellStyle name="Note 2 3 3 5 2 2" xfId="41056" xr:uid="{00000000-0005-0000-0000-0000E2A00000}"/>
    <cellStyle name="Note 2 3 3 5 3" xfId="41057" xr:uid="{00000000-0005-0000-0000-0000E3A00000}"/>
    <cellStyle name="Note 2 3 3 6" xfId="41058" xr:uid="{00000000-0005-0000-0000-0000E4A00000}"/>
    <cellStyle name="Note 2 3 3 6 2" xfId="41059" xr:uid="{00000000-0005-0000-0000-0000E5A00000}"/>
    <cellStyle name="Note 2 3 3 6 2 2" xfId="41060" xr:uid="{00000000-0005-0000-0000-0000E6A00000}"/>
    <cellStyle name="Note 2 3 3 6 2 2 2" xfId="41061" xr:uid="{00000000-0005-0000-0000-0000E7A00000}"/>
    <cellStyle name="Note 2 3 3 6 2 3" xfId="41062" xr:uid="{00000000-0005-0000-0000-0000E8A00000}"/>
    <cellStyle name="Note 2 3 3 6 3" xfId="41063" xr:uid="{00000000-0005-0000-0000-0000E9A00000}"/>
    <cellStyle name="Note 2 3 3 6 3 2" xfId="41064" xr:uid="{00000000-0005-0000-0000-0000EAA00000}"/>
    <cellStyle name="Note 2 3 3 6 4" xfId="41065" xr:uid="{00000000-0005-0000-0000-0000EBA00000}"/>
    <cellStyle name="Note 2 3 3 7" xfId="41066" xr:uid="{00000000-0005-0000-0000-0000ECA00000}"/>
    <cellStyle name="Note 2 3 3 7 2" xfId="41067" xr:uid="{00000000-0005-0000-0000-0000EDA00000}"/>
    <cellStyle name="Note 2 3 3 7 2 2" xfId="41068" xr:uid="{00000000-0005-0000-0000-0000EEA00000}"/>
    <cellStyle name="Note 2 3 3 7 3" xfId="41069" xr:uid="{00000000-0005-0000-0000-0000EFA00000}"/>
    <cellStyle name="Note 2 3 3 8" xfId="41070" xr:uid="{00000000-0005-0000-0000-0000F0A00000}"/>
    <cellStyle name="Note 2 3 3 8 2" xfId="41071" xr:uid="{00000000-0005-0000-0000-0000F1A00000}"/>
    <cellStyle name="Note 2 3 3 9" xfId="41072" xr:uid="{00000000-0005-0000-0000-0000F2A00000}"/>
    <cellStyle name="Note 2 3 4" xfId="41073" xr:uid="{00000000-0005-0000-0000-0000F3A00000}"/>
    <cellStyle name="Note 2 3 4 2" xfId="41074" xr:uid="{00000000-0005-0000-0000-0000F4A00000}"/>
    <cellStyle name="Note 2 3 4 2 2" xfId="41075" xr:uid="{00000000-0005-0000-0000-0000F5A00000}"/>
    <cellStyle name="Note 2 3 4 2 2 2" xfId="41076" xr:uid="{00000000-0005-0000-0000-0000F6A00000}"/>
    <cellStyle name="Note 2 3 4 2 2 2 2" xfId="41077" xr:uid="{00000000-0005-0000-0000-0000F7A00000}"/>
    <cellStyle name="Note 2 3 4 2 2 2 2 2" xfId="41078" xr:uid="{00000000-0005-0000-0000-0000F8A00000}"/>
    <cellStyle name="Note 2 3 4 2 2 2 3" xfId="41079" xr:uid="{00000000-0005-0000-0000-0000F9A00000}"/>
    <cellStyle name="Note 2 3 4 2 2 3" xfId="41080" xr:uid="{00000000-0005-0000-0000-0000FAA00000}"/>
    <cellStyle name="Note 2 3 4 2 2 3 2" xfId="41081" xr:uid="{00000000-0005-0000-0000-0000FBA00000}"/>
    <cellStyle name="Note 2 3 4 2 2 4" xfId="41082" xr:uid="{00000000-0005-0000-0000-0000FCA00000}"/>
    <cellStyle name="Note 2 3 4 2 3" xfId="41083" xr:uid="{00000000-0005-0000-0000-0000FDA00000}"/>
    <cellStyle name="Note 2 3 4 2 3 2" xfId="41084" xr:uid="{00000000-0005-0000-0000-0000FEA00000}"/>
    <cellStyle name="Note 2 3 4 2 3 2 2" xfId="41085" xr:uid="{00000000-0005-0000-0000-0000FFA00000}"/>
    <cellStyle name="Note 2 3 4 2 3 3" xfId="41086" xr:uid="{00000000-0005-0000-0000-000000A10000}"/>
    <cellStyle name="Note 2 3 4 2 4" xfId="41087" xr:uid="{00000000-0005-0000-0000-000001A10000}"/>
    <cellStyle name="Note 2 3 4 2 4 2" xfId="41088" xr:uid="{00000000-0005-0000-0000-000002A10000}"/>
    <cellStyle name="Note 2 3 4 2 5" xfId="41089" xr:uid="{00000000-0005-0000-0000-000003A10000}"/>
    <cellStyle name="Note 2 3 4 3" xfId="41090" xr:uid="{00000000-0005-0000-0000-000004A10000}"/>
    <cellStyle name="Note 2 3 4 3 2" xfId="41091" xr:uid="{00000000-0005-0000-0000-000005A10000}"/>
    <cellStyle name="Note 2 3 4 3 2 2" xfId="41092" xr:uid="{00000000-0005-0000-0000-000006A10000}"/>
    <cellStyle name="Note 2 3 4 3 2 2 2" xfId="41093" xr:uid="{00000000-0005-0000-0000-000007A10000}"/>
    <cellStyle name="Note 2 3 4 3 2 3" xfId="41094" xr:uid="{00000000-0005-0000-0000-000008A10000}"/>
    <cellStyle name="Note 2 3 4 3 3" xfId="41095" xr:uid="{00000000-0005-0000-0000-000009A10000}"/>
    <cellStyle name="Note 2 3 4 3 3 2" xfId="41096" xr:uid="{00000000-0005-0000-0000-00000AA10000}"/>
    <cellStyle name="Note 2 3 4 3 4" xfId="41097" xr:uid="{00000000-0005-0000-0000-00000BA10000}"/>
    <cellStyle name="Note 2 3 4 4" xfId="41098" xr:uid="{00000000-0005-0000-0000-00000CA10000}"/>
    <cellStyle name="Note 2 3 4 4 2" xfId="41099" xr:uid="{00000000-0005-0000-0000-00000DA10000}"/>
    <cellStyle name="Note 2 3 4 4 2 2" xfId="41100" xr:uid="{00000000-0005-0000-0000-00000EA10000}"/>
    <cellStyle name="Note 2 3 4 4 3" xfId="41101" xr:uid="{00000000-0005-0000-0000-00000FA10000}"/>
    <cellStyle name="Note 2 3 4 5" xfId="41102" xr:uid="{00000000-0005-0000-0000-000010A10000}"/>
    <cellStyle name="Note 2 3 4 5 2" xfId="41103" xr:uid="{00000000-0005-0000-0000-000011A10000}"/>
    <cellStyle name="Note 2 3 4 6" xfId="41104" xr:uid="{00000000-0005-0000-0000-000012A10000}"/>
    <cellStyle name="Note 2 3 5" xfId="41105" xr:uid="{00000000-0005-0000-0000-000013A10000}"/>
    <cellStyle name="Note 2 3 5 2" xfId="41106" xr:uid="{00000000-0005-0000-0000-000014A10000}"/>
    <cellStyle name="Note 2 3 5 2 2" xfId="41107" xr:uid="{00000000-0005-0000-0000-000015A10000}"/>
    <cellStyle name="Note 2 3 5 3" xfId="41108" xr:uid="{00000000-0005-0000-0000-000016A10000}"/>
    <cellStyle name="Note 2 3 6" xfId="41109" xr:uid="{00000000-0005-0000-0000-000017A10000}"/>
    <cellStyle name="Note 2 3 6 2" xfId="41110" xr:uid="{00000000-0005-0000-0000-000018A10000}"/>
    <cellStyle name="Note 2 3 6 2 2" xfId="41111" xr:uid="{00000000-0005-0000-0000-000019A10000}"/>
    <cellStyle name="Note 2 3 6 3" xfId="41112" xr:uid="{00000000-0005-0000-0000-00001AA10000}"/>
    <cellStyle name="Note 2 3 7" xfId="41113" xr:uid="{00000000-0005-0000-0000-00001BA10000}"/>
    <cellStyle name="Note 2 3 7 2" xfId="41114" xr:uid="{00000000-0005-0000-0000-00001CA10000}"/>
    <cellStyle name="Note 2 3 7 2 2" xfId="41115" xr:uid="{00000000-0005-0000-0000-00001DA10000}"/>
    <cellStyle name="Note 2 3 7 2 2 2" xfId="41116" xr:uid="{00000000-0005-0000-0000-00001EA10000}"/>
    <cellStyle name="Note 2 3 7 2 3" xfId="41117" xr:uid="{00000000-0005-0000-0000-00001FA10000}"/>
    <cellStyle name="Note 2 3 7 3" xfId="41118" xr:uid="{00000000-0005-0000-0000-000020A10000}"/>
    <cellStyle name="Note 2 3 7 3 2" xfId="41119" xr:uid="{00000000-0005-0000-0000-000021A10000}"/>
    <cellStyle name="Note 2 3 7 4" xfId="41120" xr:uid="{00000000-0005-0000-0000-000022A10000}"/>
    <cellStyle name="Note 2 3 8" xfId="41121" xr:uid="{00000000-0005-0000-0000-000023A10000}"/>
    <cellStyle name="Note 2 3 8 2" xfId="41122" xr:uid="{00000000-0005-0000-0000-000024A10000}"/>
    <cellStyle name="Note 2 3 8 2 2" xfId="41123" xr:uid="{00000000-0005-0000-0000-000025A10000}"/>
    <cellStyle name="Note 2 3 8 3" xfId="41124" xr:uid="{00000000-0005-0000-0000-000026A10000}"/>
    <cellStyle name="Note 2 3 9" xfId="41125" xr:uid="{00000000-0005-0000-0000-000027A10000}"/>
    <cellStyle name="Note 2 3 9 2" xfId="41126" xr:uid="{00000000-0005-0000-0000-000028A10000}"/>
    <cellStyle name="Note 2 4" xfId="41127" xr:uid="{00000000-0005-0000-0000-000029A10000}"/>
    <cellStyle name="Note 2 4 2" xfId="41128" xr:uid="{00000000-0005-0000-0000-00002AA10000}"/>
    <cellStyle name="Note 2 4 2 2" xfId="41129" xr:uid="{00000000-0005-0000-0000-00002BA10000}"/>
    <cellStyle name="Note 2 4 2 2 2" xfId="41130" xr:uid="{00000000-0005-0000-0000-00002CA10000}"/>
    <cellStyle name="Note 2 4 2 2 2 2" xfId="41131" xr:uid="{00000000-0005-0000-0000-00002DA10000}"/>
    <cellStyle name="Note 2 4 2 2 3" xfId="41132" xr:uid="{00000000-0005-0000-0000-00002EA10000}"/>
    <cellStyle name="Note 2 4 2 3" xfId="41133" xr:uid="{00000000-0005-0000-0000-00002FA10000}"/>
    <cellStyle name="Note 2 4 2 3 2" xfId="41134" xr:uid="{00000000-0005-0000-0000-000030A10000}"/>
    <cellStyle name="Note 2 4 2 3 2 2" xfId="41135" xr:uid="{00000000-0005-0000-0000-000031A10000}"/>
    <cellStyle name="Note 2 4 2 3 3" xfId="41136" xr:uid="{00000000-0005-0000-0000-000032A10000}"/>
    <cellStyle name="Note 2 4 2 4" xfId="41137" xr:uid="{00000000-0005-0000-0000-000033A10000}"/>
    <cellStyle name="Note 2 4 2 4 2" xfId="41138" xr:uid="{00000000-0005-0000-0000-000034A10000}"/>
    <cellStyle name="Note 2 4 2 4 2 2" xfId="41139" xr:uid="{00000000-0005-0000-0000-000035A10000}"/>
    <cellStyle name="Note 2 4 2 4 3" xfId="41140" xr:uid="{00000000-0005-0000-0000-000036A10000}"/>
    <cellStyle name="Note 2 4 2 5" xfId="41141" xr:uid="{00000000-0005-0000-0000-000037A10000}"/>
    <cellStyle name="Note 2 4 2 5 2" xfId="41142" xr:uid="{00000000-0005-0000-0000-000038A10000}"/>
    <cellStyle name="Note 2 4 2 6" xfId="41143" xr:uid="{00000000-0005-0000-0000-000039A10000}"/>
    <cellStyle name="Note 2 4 3" xfId="41144" xr:uid="{00000000-0005-0000-0000-00003AA10000}"/>
    <cellStyle name="Note 2 4 3 2" xfId="41145" xr:uid="{00000000-0005-0000-0000-00003BA10000}"/>
    <cellStyle name="Note 2 4 3 2 2" xfId="41146" xr:uid="{00000000-0005-0000-0000-00003CA10000}"/>
    <cellStyle name="Note 2 4 3 2 2 2" xfId="41147" xr:uid="{00000000-0005-0000-0000-00003DA10000}"/>
    <cellStyle name="Note 2 4 3 2 2 2 2" xfId="41148" xr:uid="{00000000-0005-0000-0000-00003EA10000}"/>
    <cellStyle name="Note 2 4 3 2 2 3" xfId="41149" xr:uid="{00000000-0005-0000-0000-00003FA10000}"/>
    <cellStyle name="Note 2 4 3 2 3" xfId="41150" xr:uid="{00000000-0005-0000-0000-000040A10000}"/>
    <cellStyle name="Note 2 4 3 2 3 2" xfId="41151" xr:uid="{00000000-0005-0000-0000-000041A10000}"/>
    <cellStyle name="Note 2 4 3 2 3 2 2" xfId="41152" xr:uid="{00000000-0005-0000-0000-000042A10000}"/>
    <cellStyle name="Note 2 4 3 2 3 3" xfId="41153" xr:uid="{00000000-0005-0000-0000-000043A10000}"/>
    <cellStyle name="Note 2 4 3 2 4" xfId="41154" xr:uid="{00000000-0005-0000-0000-000044A10000}"/>
    <cellStyle name="Note 2 4 3 2 4 2" xfId="41155" xr:uid="{00000000-0005-0000-0000-000045A10000}"/>
    <cellStyle name="Note 2 4 3 2 5" xfId="41156" xr:uid="{00000000-0005-0000-0000-000046A10000}"/>
    <cellStyle name="Note 2 4 3 3" xfId="41157" xr:uid="{00000000-0005-0000-0000-000047A10000}"/>
    <cellStyle name="Note 2 4 3 3 2" xfId="41158" xr:uid="{00000000-0005-0000-0000-000048A10000}"/>
    <cellStyle name="Note 2 4 3 3 2 2" xfId="41159" xr:uid="{00000000-0005-0000-0000-000049A10000}"/>
    <cellStyle name="Note 2 4 3 3 2 2 2" xfId="41160" xr:uid="{00000000-0005-0000-0000-00004AA10000}"/>
    <cellStyle name="Note 2 4 3 3 2 3" xfId="41161" xr:uid="{00000000-0005-0000-0000-00004BA10000}"/>
    <cellStyle name="Note 2 4 3 3 3" xfId="41162" xr:uid="{00000000-0005-0000-0000-00004CA10000}"/>
    <cellStyle name="Note 2 4 3 3 3 2" xfId="41163" xr:uid="{00000000-0005-0000-0000-00004DA10000}"/>
    <cellStyle name="Note 2 4 3 3 4" xfId="41164" xr:uid="{00000000-0005-0000-0000-00004EA10000}"/>
    <cellStyle name="Note 2 4 3 4" xfId="41165" xr:uid="{00000000-0005-0000-0000-00004FA10000}"/>
    <cellStyle name="Note 2 4 3 4 2" xfId="41166" xr:uid="{00000000-0005-0000-0000-000050A10000}"/>
    <cellStyle name="Note 2 4 3 4 2 2" xfId="41167" xr:uid="{00000000-0005-0000-0000-000051A10000}"/>
    <cellStyle name="Note 2 4 3 4 3" xfId="41168" xr:uid="{00000000-0005-0000-0000-000052A10000}"/>
    <cellStyle name="Note 2 4 3 5" xfId="41169" xr:uid="{00000000-0005-0000-0000-000053A10000}"/>
    <cellStyle name="Note 2 4 3 5 2" xfId="41170" xr:uid="{00000000-0005-0000-0000-000054A10000}"/>
    <cellStyle name="Note 2 4 3 5 2 2" xfId="41171" xr:uid="{00000000-0005-0000-0000-000055A10000}"/>
    <cellStyle name="Note 2 4 3 5 3" xfId="41172" xr:uid="{00000000-0005-0000-0000-000056A10000}"/>
    <cellStyle name="Note 2 4 3 6" xfId="41173" xr:uid="{00000000-0005-0000-0000-000057A10000}"/>
    <cellStyle name="Note 2 4 3 6 2" xfId="41174" xr:uid="{00000000-0005-0000-0000-000058A10000}"/>
    <cellStyle name="Note 2 4 3 7" xfId="41175" xr:uid="{00000000-0005-0000-0000-000059A10000}"/>
    <cellStyle name="Note 2 4 4" xfId="41176" xr:uid="{00000000-0005-0000-0000-00005AA10000}"/>
    <cellStyle name="Note 2 4 4 2" xfId="41177" xr:uid="{00000000-0005-0000-0000-00005BA10000}"/>
    <cellStyle name="Note 2 4 4 2 2" xfId="41178" xr:uid="{00000000-0005-0000-0000-00005CA10000}"/>
    <cellStyle name="Note 2 4 4 2 2 2" xfId="41179" xr:uid="{00000000-0005-0000-0000-00005DA10000}"/>
    <cellStyle name="Note 2 4 4 2 3" xfId="41180" xr:uid="{00000000-0005-0000-0000-00005EA10000}"/>
    <cellStyle name="Note 2 4 4 3" xfId="41181" xr:uid="{00000000-0005-0000-0000-00005FA10000}"/>
    <cellStyle name="Note 2 4 4 3 2" xfId="41182" xr:uid="{00000000-0005-0000-0000-000060A10000}"/>
    <cellStyle name="Note 2 4 4 4" xfId="41183" xr:uid="{00000000-0005-0000-0000-000061A10000}"/>
    <cellStyle name="Note 2 4 5" xfId="41184" xr:uid="{00000000-0005-0000-0000-000062A10000}"/>
    <cellStyle name="Note 2 4 5 2" xfId="41185" xr:uid="{00000000-0005-0000-0000-000063A10000}"/>
    <cellStyle name="Note 2 4 5 2 2" xfId="41186" xr:uid="{00000000-0005-0000-0000-000064A10000}"/>
    <cellStyle name="Note 2 4 5 3" xfId="41187" xr:uid="{00000000-0005-0000-0000-000065A10000}"/>
    <cellStyle name="Note 2 4 6" xfId="41188" xr:uid="{00000000-0005-0000-0000-000066A10000}"/>
    <cellStyle name="Note 2 4 6 2" xfId="41189" xr:uid="{00000000-0005-0000-0000-000067A10000}"/>
    <cellStyle name="Note 2 4 6 2 2" xfId="41190" xr:uid="{00000000-0005-0000-0000-000068A10000}"/>
    <cellStyle name="Note 2 4 6 3" xfId="41191" xr:uid="{00000000-0005-0000-0000-000069A10000}"/>
    <cellStyle name="Note 2 4 7" xfId="41192" xr:uid="{00000000-0005-0000-0000-00006AA10000}"/>
    <cellStyle name="Note 2 4 7 2" xfId="41193" xr:uid="{00000000-0005-0000-0000-00006BA10000}"/>
    <cellStyle name="Note 2 4 8" xfId="41194" xr:uid="{00000000-0005-0000-0000-00006CA10000}"/>
    <cellStyle name="Note 2 5" xfId="41195" xr:uid="{00000000-0005-0000-0000-00006DA10000}"/>
    <cellStyle name="Note 2 5 2" xfId="41196" xr:uid="{00000000-0005-0000-0000-00006EA10000}"/>
    <cellStyle name="Note 2 5 2 2" xfId="41197" xr:uid="{00000000-0005-0000-0000-00006FA10000}"/>
    <cellStyle name="Note 2 5 2 2 2" xfId="41198" xr:uid="{00000000-0005-0000-0000-000070A10000}"/>
    <cellStyle name="Note 2 5 2 2 2 2" xfId="41199" xr:uid="{00000000-0005-0000-0000-000071A10000}"/>
    <cellStyle name="Note 2 5 2 2 2 2 2" xfId="41200" xr:uid="{00000000-0005-0000-0000-000072A10000}"/>
    <cellStyle name="Note 2 5 2 2 2 2 2 2" xfId="41201" xr:uid="{00000000-0005-0000-0000-000073A10000}"/>
    <cellStyle name="Note 2 5 2 2 2 2 3" xfId="41202" xr:uid="{00000000-0005-0000-0000-000074A10000}"/>
    <cellStyle name="Note 2 5 2 2 2 3" xfId="41203" xr:uid="{00000000-0005-0000-0000-000075A10000}"/>
    <cellStyle name="Note 2 5 2 2 2 3 2" xfId="41204" xr:uid="{00000000-0005-0000-0000-000076A10000}"/>
    <cellStyle name="Note 2 5 2 2 2 4" xfId="41205" xr:uid="{00000000-0005-0000-0000-000077A10000}"/>
    <cellStyle name="Note 2 5 2 2 3" xfId="41206" xr:uid="{00000000-0005-0000-0000-000078A10000}"/>
    <cellStyle name="Note 2 5 2 2 3 2" xfId="41207" xr:uid="{00000000-0005-0000-0000-000079A10000}"/>
    <cellStyle name="Note 2 5 2 2 3 2 2" xfId="41208" xr:uid="{00000000-0005-0000-0000-00007AA10000}"/>
    <cellStyle name="Note 2 5 2 2 3 3" xfId="41209" xr:uid="{00000000-0005-0000-0000-00007BA10000}"/>
    <cellStyle name="Note 2 5 2 2 4" xfId="41210" xr:uid="{00000000-0005-0000-0000-00007CA10000}"/>
    <cellStyle name="Note 2 5 2 2 4 2" xfId="41211" xr:uid="{00000000-0005-0000-0000-00007DA10000}"/>
    <cellStyle name="Note 2 5 2 2 5" xfId="41212" xr:uid="{00000000-0005-0000-0000-00007EA10000}"/>
    <cellStyle name="Note 2 5 2 3" xfId="41213" xr:uid="{00000000-0005-0000-0000-00007FA10000}"/>
    <cellStyle name="Note 2 5 2 3 2" xfId="41214" xr:uid="{00000000-0005-0000-0000-000080A10000}"/>
    <cellStyle name="Note 2 5 2 3 2 2" xfId="41215" xr:uid="{00000000-0005-0000-0000-000081A10000}"/>
    <cellStyle name="Note 2 5 2 3 3" xfId="41216" xr:uid="{00000000-0005-0000-0000-000082A10000}"/>
    <cellStyle name="Note 2 5 2 4" xfId="41217" xr:uid="{00000000-0005-0000-0000-000083A10000}"/>
    <cellStyle name="Note 2 5 2 4 2" xfId="41218" xr:uid="{00000000-0005-0000-0000-000084A10000}"/>
    <cellStyle name="Note 2 5 2 4 2 2" xfId="41219" xr:uid="{00000000-0005-0000-0000-000085A10000}"/>
    <cellStyle name="Note 2 5 2 4 3" xfId="41220" xr:uid="{00000000-0005-0000-0000-000086A10000}"/>
    <cellStyle name="Note 2 5 2 5" xfId="41221" xr:uid="{00000000-0005-0000-0000-000087A10000}"/>
    <cellStyle name="Note 2 5 2 5 2" xfId="41222" xr:uid="{00000000-0005-0000-0000-000088A10000}"/>
    <cellStyle name="Note 2 5 2 5 2 2" xfId="41223" xr:uid="{00000000-0005-0000-0000-000089A10000}"/>
    <cellStyle name="Note 2 5 2 5 2 2 2" xfId="41224" xr:uid="{00000000-0005-0000-0000-00008AA10000}"/>
    <cellStyle name="Note 2 5 2 5 2 3" xfId="41225" xr:uid="{00000000-0005-0000-0000-00008BA10000}"/>
    <cellStyle name="Note 2 5 2 5 3" xfId="41226" xr:uid="{00000000-0005-0000-0000-00008CA10000}"/>
    <cellStyle name="Note 2 5 2 5 3 2" xfId="41227" xr:uid="{00000000-0005-0000-0000-00008DA10000}"/>
    <cellStyle name="Note 2 5 2 5 4" xfId="41228" xr:uid="{00000000-0005-0000-0000-00008EA10000}"/>
    <cellStyle name="Note 2 5 2 6" xfId="41229" xr:uid="{00000000-0005-0000-0000-00008FA10000}"/>
    <cellStyle name="Note 2 5 2 6 2" xfId="41230" xr:uid="{00000000-0005-0000-0000-000090A10000}"/>
    <cellStyle name="Note 2 5 2 6 2 2" xfId="41231" xr:uid="{00000000-0005-0000-0000-000091A10000}"/>
    <cellStyle name="Note 2 5 2 6 3" xfId="41232" xr:uid="{00000000-0005-0000-0000-000092A10000}"/>
    <cellStyle name="Note 2 5 2 7" xfId="41233" xr:uid="{00000000-0005-0000-0000-000093A10000}"/>
    <cellStyle name="Note 2 5 2 7 2" xfId="41234" xr:uid="{00000000-0005-0000-0000-000094A10000}"/>
    <cellStyle name="Note 2 5 2 8" xfId="41235" xr:uid="{00000000-0005-0000-0000-000095A10000}"/>
    <cellStyle name="Note 2 5 3" xfId="41236" xr:uid="{00000000-0005-0000-0000-000096A10000}"/>
    <cellStyle name="Note 2 5 3 2" xfId="41237" xr:uid="{00000000-0005-0000-0000-000097A10000}"/>
    <cellStyle name="Note 2 5 3 2 2" xfId="41238" xr:uid="{00000000-0005-0000-0000-000098A10000}"/>
    <cellStyle name="Note 2 5 3 2 2 2" xfId="41239" xr:uid="{00000000-0005-0000-0000-000099A10000}"/>
    <cellStyle name="Note 2 5 3 2 2 2 2" xfId="41240" xr:uid="{00000000-0005-0000-0000-00009AA10000}"/>
    <cellStyle name="Note 2 5 3 2 2 2 2 2" xfId="41241" xr:uid="{00000000-0005-0000-0000-00009BA10000}"/>
    <cellStyle name="Note 2 5 3 2 2 2 3" xfId="41242" xr:uid="{00000000-0005-0000-0000-00009CA10000}"/>
    <cellStyle name="Note 2 5 3 2 2 3" xfId="41243" xr:uid="{00000000-0005-0000-0000-00009DA10000}"/>
    <cellStyle name="Note 2 5 3 2 2 3 2" xfId="41244" xr:uid="{00000000-0005-0000-0000-00009EA10000}"/>
    <cellStyle name="Note 2 5 3 2 2 4" xfId="41245" xr:uid="{00000000-0005-0000-0000-00009FA10000}"/>
    <cellStyle name="Note 2 5 3 2 3" xfId="41246" xr:uid="{00000000-0005-0000-0000-0000A0A10000}"/>
    <cellStyle name="Note 2 5 3 2 3 2" xfId="41247" xr:uid="{00000000-0005-0000-0000-0000A1A10000}"/>
    <cellStyle name="Note 2 5 3 2 3 2 2" xfId="41248" xr:uid="{00000000-0005-0000-0000-0000A2A10000}"/>
    <cellStyle name="Note 2 5 3 2 3 3" xfId="41249" xr:uid="{00000000-0005-0000-0000-0000A3A10000}"/>
    <cellStyle name="Note 2 5 3 2 4" xfId="41250" xr:uid="{00000000-0005-0000-0000-0000A4A10000}"/>
    <cellStyle name="Note 2 5 3 2 4 2" xfId="41251" xr:uid="{00000000-0005-0000-0000-0000A5A10000}"/>
    <cellStyle name="Note 2 5 3 2 5" xfId="41252" xr:uid="{00000000-0005-0000-0000-0000A6A10000}"/>
    <cellStyle name="Note 2 5 3 3" xfId="41253" xr:uid="{00000000-0005-0000-0000-0000A7A10000}"/>
    <cellStyle name="Note 2 5 3 3 2" xfId="41254" xr:uid="{00000000-0005-0000-0000-0000A8A10000}"/>
    <cellStyle name="Note 2 5 3 3 2 2" xfId="41255" xr:uid="{00000000-0005-0000-0000-0000A9A10000}"/>
    <cellStyle name="Note 2 5 3 3 2 2 2" xfId="41256" xr:uid="{00000000-0005-0000-0000-0000AAA10000}"/>
    <cellStyle name="Note 2 5 3 3 2 3" xfId="41257" xr:uid="{00000000-0005-0000-0000-0000ABA10000}"/>
    <cellStyle name="Note 2 5 3 3 3" xfId="41258" xr:uid="{00000000-0005-0000-0000-0000ACA10000}"/>
    <cellStyle name="Note 2 5 3 3 3 2" xfId="41259" xr:uid="{00000000-0005-0000-0000-0000ADA10000}"/>
    <cellStyle name="Note 2 5 3 3 4" xfId="41260" xr:uid="{00000000-0005-0000-0000-0000AEA10000}"/>
    <cellStyle name="Note 2 5 3 4" xfId="41261" xr:uid="{00000000-0005-0000-0000-0000AFA10000}"/>
    <cellStyle name="Note 2 5 3 4 2" xfId="41262" xr:uid="{00000000-0005-0000-0000-0000B0A10000}"/>
    <cellStyle name="Note 2 5 3 4 2 2" xfId="41263" xr:uid="{00000000-0005-0000-0000-0000B1A10000}"/>
    <cellStyle name="Note 2 5 3 4 3" xfId="41264" xr:uid="{00000000-0005-0000-0000-0000B2A10000}"/>
    <cellStyle name="Note 2 5 3 5" xfId="41265" xr:uid="{00000000-0005-0000-0000-0000B3A10000}"/>
    <cellStyle name="Note 2 5 3 5 2" xfId="41266" xr:uid="{00000000-0005-0000-0000-0000B4A10000}"/>
    <cellStyle name="Note 2 5 3 6" xfId="41267" xr:uid="{00000000-0005-0000-0000-0000B5A10000}"/>
    <cellStyle name="Note 2 5 4" xfId="41268" xr:uid="{00000000-0005-0000-0000-0000B6A10000}"/>
    <cellStyle name="Note 2 5 4 2" xfId="41269" xr:uid="{00000000-0005-0000-0000-0000B7A10000}"/>
    <cellStyle name="Note 2 5 4 2 2" xfId="41270" xr:uid="{00000000-0005-0000-0000-0000B8A10000}"/>
    <cellStyle name="Note 2 5 4 3" xfId="41271" xr:uid="{00000000-0005-0000-0000-0000B9A10000}"/>
    <cellStyle name="Note 2 5 5" xfId="41272" xr:uid="{00000000-0005-0000-0000-0000BAA10000}"/>
    <cellStyle name="Note 2 5 5 2" xfId="41273" xr:uid="{00000000-0005-0000-0000-0000BBA10000}"/>
    <cellStyle name="Note 2 5 5 2 2" xfId="41274" xr:uid="{00000000-0005-0000-0000-0000BCA10000}"/>
    <cellStyle name="Note 2 5 5 3" xfId="41275" xr:uid="{00000000-0005-0000-0000-0000BDA10000}"/>
    <cellStyle name="Note 2 5 6" xfId="41276" xr:uid="{00000000-0005-0000-0000-0000BEA10000}"/>
    <cellStyle name="Note 2 5 6 2" xfId="41277" xr:uid="{00000000-0005-0000-0000-0000BFA10000}"/>
    <cellStyle name="Note 2 5 6 2 2" xfId="41278" xr:uid="{00000000-0005-0000-0000-0000C0A10000}"/>
    <cellStyle name="Note 2 5 6 2 2 2" xfId="41279" xr:uid="{00000000-0005-0000-0000-0000C1A10000}"/>
    <cellStyle name="Note 2 5 6 2 3" xfId="41280" xr:uid="{00000000-0005-0000-0000-0000C2A10000}"/>
    <cellStyle name="Note 2 5 6 3" xfId="41281" xr:uid="{00000000-0005-0000-0000-0000C3A10000}"/>
    <cellStyle name="Note 2 5 6 3 2" xfId="41282" xr:uid="{00000000-0005-0000-0000-0000C4A10000}"/>
    <cellStyle name="Note 2 5 6 4" xfId="41283" xr:uid="{00000000-0005-0000-0000-0000C5A10000}"/>
    <cellStyle name="Note 2 5 7" xfId="41284" xr:uid="{00000000-0005-0000-0000-0000C6A10000}"/>
    <cellStyle name="Note 2 5 7 2" xfId="41285" xr:uid="{00000000-0005-0000-0000-0000C7A10000}"/>
    <cellStyle name="Note 2 5 7 2 2" xfId="41286" xr:uid="{00000000-0005-0000-0000-0000C8A10000}"/>
    <cellStyle name="Note 2 5 7 3" xfId="41287" xr:uid="{00000000-0005-0000-0000-0000C9A10000}"/>
    <cellStyle name="Note 2 5 8" xfId="41288" xr:uid="{00000000-0005-0000-0000-0000CAA10000}"/>
    <cellStyle name="Note 2 5 8 2" xfId="41289" xr:uid="{00000000-0005-0000-0000-0000CBA10000}"/>
    <cellStyle name="Note 2 5 9" xfId="41290" xr:uid="{00000000-0005-0000-0000-0000CCA10000}"/>
    <cellStyle name="Note 2 6" xfId="41291" xr:uid="{00000000-0005-0000-0000-0000CDA10000}"/>
    <cellStyle name="Note 2 6 2" xfId="41292" xr:uid="{00000000-0005-0000-0000-0000CEA10000}"/>
    <cellStyle name="Note 2 6 2 2" xfId="41293" xr:uid="{00000000-0005-0000-0000-0000CFA10000}"/>
    <cellStyle name="Note 2 6 2 2 2" xfId="41294" xr:uid="{00000000-0005-0000-0000-0000D0A10000}"/>
    <cellStyle name="Note 2 6 2 3" xfId="41295" xr:uid="{00000000-0005-0000-0000-0000D1A10000}"/>
    <cellStyle name="Note 2 6 2 3 2" xfId="41296" xr:uid="{00000000-0005-0000-0000-0000D2A10000}"/>
    <cellStyle name="Note 2 6 2 3 2 2" xfId="41297" xr:uid="{00000000-0005-0000-0000-0000D3A10000}"/>
    <cellStyle name="Note 2 6 2 3 3" xfId="41298" xr:uid="{00000000-0005-0000-0000-0000D4A10000}"/>
    <cellStyle name="Note 2 6 2 4" xfId="41299" xr:uid="{00000000-0005-0000-0000-0000D5A10000}"/>
    <cellStyle name="Note 2 6 2 4 2" xfId="41300" xr:uid="{00000000-0005-0000-0000-0000D6A10000}"/>
    <cellStyle name="Note 2 6 2 4 2 2" xfId="41301" xr:uid="{00000000-0005-0000-0000-0000D7A10000}"/>
    <cellStyle name="Note 2 6 2 4 3" xfId="41302" xr:uid="{00000000-0005-0000-0000-0000D8A10000}"/>
    <cellStyle name="Note 2 6 2 5" xfId="41303" xr:uid="{00000000-0005-0000-0000-0000D9A10000}"/>
    <cellStyle name="Note 2 6 3" xfId="41304" xr:uid="{00000000-0005-0000-0000-0000DAA10000}"/>
    <cellStyle name="Note 2 6 3 2" xfId="41305" xr:uid="{00000000-0005-0000-0000-0000DBA10000}"/>
    <cellStyle name="Note 2 6 3 2 2" xfId="41306" xr:uid="{00000000-0005-0000-0000-0000DCA10000}"/>
    <cellStyle name="Note 2 6 3 2 2 2" xfId="41307" xr:uid="{00000000-0005-0000-0000-0000DDA10000}"/>
    <cellStyle name="Note 2 6 3 2 3" xfId="41308" xr:uid="{00000000-0005-0000-0000-0000DEA10000}"/>
    <cellStyle name="Note 2 6 3 2 3 2" xfId="41309" xr:uid="{00000000-0005-0000-0000-0000DFA10000}"/>
    <cellStyle name="Note 2 6 3 2 3 2 2" xfId="41310" xr:uid="{00000000-0005-0000-0000-0000E0A10000}"/>
    <cellStyle name="Note 2 6 3 2 3 3" xfId="41311" xr:uid="{00000000-0005-0000-0000-0000E1A10000}"/>
    <cellStyle name="Note 2 6 3 2 4" xfId="41312" xr:uid="{00000000-0005-0000-0000-0000E2A10000}"/>
    <cellStyle name="Note 2 6 3 3" xfId="41313" xr:uid="{00000000-0005-0000-0000-0000E3A10000}"/>
    <cellStyle name="Note 2 6 3 3 2" xfId="41314" xr:uid="{00000000-0005-0000-0000-0000E4A10000}"/>
    <cellStyle name="Note 2 6 3 3 2 2" xfId="41315" xr:uid="{00000000-0005-0000-0000-0000E5A10000}"/>
    <cellStyle name="Note 2 6 3 3 3" xfId="41316" xr:uid="{00000000-0005-0000-0000-0000E6A10000}"/>
    <cellStyle name="Note 2 6 3 4" xfId="41317" xr:uid="{00000000-0005-0000-0000-0000E7A10000}"/>
    <cellStyle name="Note 2 6 3 4 2" xfId="41318" xr:uid="{00000000-0005-0000-0000-0000E8A10000}"/>
    <cellStyle name="Note 2 6 3 4 2 2" xfId="41319" xr:uid="{00000000-0005-0000-0000-0000E9A10000}"/>
    <cellStyle name="Note 2 6 3 4 3" xfId="41320" xr:uid="{00000000-0005-0000-0000-0000EAA10000}"/>
    <cellStyle name="Note 2 6 3 5" xfId="41321" xr:uid="{00000000-0005-0000-0000-0000EBA10000}"/>
    <cellStyle name="Note 2 6 3 5 2" xfId="41322" xr:uid="{00000000-0005-0000-0000-0000ECA10000}"/>
    <cellStyle name="Note 2 6 3 5 2 2" xfId="41323" xr:uid="{00000000-0005-0000-0000-0000EDA10000}"/>
    <cellStyle name="Note 2 6 3 5 3" xfId="41324" xr:uid="{00000000-0005-0000-0000-0000EEA10000}"/>
    <cellStyle name="Note 2 6 3 6" xfId="41325" xr:uid="{00000000-0005-0000-0000-0000EFA10000}"/>
    <cellStyle name="Note 2 6 4" xfId="41326" xr:uid="{00000000-0005-0000-0000-0000F0A10000}"/>
    <cellStyle name="Note 2 6 4 2" xfId="41327" xr:uid="{00000000-0005-0000-0000-0000F1A10000}"/>
    <cellStyle name="Note 2 6 4 2 2" xfId="41328" xr:uid="{00000000-0005-0000-0000-0000F2A10000}"/>
    <cellStyle name="Note 2 6 4 3" xfId="41329" xr:uid="{00000000-0005-0000-0000-0000F3A10000}"/>
    <cellStyle name="Note 2 6 5" xfId="41330" xr:uid="{00000000-0005-0000-0000-0000F4A10000}"/>
    <cellStyle name="Note 2 6 5 2" xfId="41331" xr:uid="{00000000-0005-0000-0000-0000F5A10000}"/>
    <cellStyle name="Note 2 6 5 2 2" xfId="41332" xr:uid="{00000000-0005-0000-0000-0000F6A10000}"/>
    <cellStyle name="Note 2 6 5 3" xfId="41333" xr:uid="{00000000-0005-0000-0000-0000F7A10000}"/>
    <cellStyle name="Note 2 6 6" xfId="41334" xr:uid="{00000000-0005-0000-0000-0000F8A10000}"/>
    <cellStyle name="Note 2 6 6 2" xfId="41335" xr:uid="{00000000-0005-0000-0000-0000F9A10000}"/>
    <cellStyle name="Note 2 6 6 2 2" xfId="41336" xr:uid="{00000000-0005-0000-0000-0000FAA10000}"/>
    <cellStyle name="Note 2 6 6 3" xfId="41337" xr:uid="{00000000-0005-0000-0000-0000FBA10000}"/>
    <cellStyle name="Note 2 6 7" xfId="41338" xr:uid="{00000000-0005-0000-0000-0000FCA10000}"/>
    <cellStyle name="Note 2 7" xfId="41339" xr:uid="{00000000-0005-0000-0000-0000FDA10000}"/>
    <cellStyle name="Note 2 7 10" xfId="41340" xr:uid="{00000000-0005-0000-0000-0000FEA10000}"/>
    <cellStyle name="Note 2 7 2" xfId="41341" xr:uid="{00000000-0005-0000-0000-0000FFA10000}"/>
    <cellStyle name="Note 2 7 2 2" xfId="41342" xr:uid="{00000000-0005-0000-0000-000000A20000}"/>
    <cellStyle name="Note 2 7 2 2 2" xfId="41343" xr:uid="{00000000-0005-0000-0000-000001A20000}"/>
    <cellStyle name="Note 2 7 2 2 2 2" xfId="41344" xr:uid="{00000000-0005-0000-0000-000002A20000}"/>
    <cellStyle name="Note 2 7 2 2 2 2 2" xfId="41345" xr:uid="{00000000-0005-0000-0000-000003A20000}"/>
    <cellStyle name="Note 2 7 2 2 2 2 2 2" xfId="41346" xr:uid="{00000000-0005-0000-0000-000004A20000}"/>
    <cellStyle name="Note 2 7 2 2 2 2 3" xfId="41347" xr:uid="{00000000-0005-0000-0000-000005A20000}"/>
    <cellStyle name="Note 2 7 2 2 2 3" xfId="41348" xr:uid="{00000000-0005-0000-0000-000006A20000}"/>
    <cellStyle name="Note 2 7 2 2 2 3 2" xfId="41349" xr:uid="{00000000-0005-0000-0000-000007A20000}"/>
    <cellStyle name="Note 2 7 2 2 2 4" xfId="41350" xr:uid="{00000000-0005-0000-0000-000008A20000}"/>
    <cellStyle name="Note 2 7 2 2 3" xfId="41351" xr:uid="{00000000-0005-0000-0000-000009A20000}"/>
    <cellStyle name="Note 2 7 2 2 3 2" xfId="41352" xr:uid="{00000000-0005-0000-0000-00000AA20000}"/>
    <cellStyle name="Note 2 7 2 2 3 2 2" xfId="41353" xr:uid="{00000000-0005-0000-0000-00000BA20000}"/>
    <cellStyle name="Note 2 7 2 2 3 3" xfId="41354" xr:uid="{00000000-0005-0000-0000-00000CA20000}"/>
    <cellStyle name="Note 2 7 2 2 4" xfId="41355" xr:uid="{00000000-0005-0000-0000-00000DA20000}"/>
    <cellStyle name="Note 2 7 2 2 4 2" xfId="41356" xr:uid="{00000000-0005-0000-0000-00000EA20000}"/>
    <cellStyle name="Note 2 7 2 2 5" xfId="41357" xr:uid="{00000000-0005-0000-0000-00000FA20000}"/>
    <cellStyle name="Note 2 7 2 3" xfId="41358" xr:uid="{00000000-0005-0000-0000-000010A20000}"/>
    <cellStyle name="Note 2 7 2 3 2" xfId="41359" xr:uid="{00000000-0005-0000-0000-000011A20000}"/>
    <cellStyle name="Note 2 7 2 3 2 2" xfId="41360" xr:uid="{00000000-0005-0000-0000-000012A20000}"/>
    <cellStyle name="Note 2 7 2 3 3" xfId="41361" xr:uid="{00000000-0005-0000-0000-000013A20000}"/>
    <cellStyle name="Note 2 7 2 4" xfId="41362" xr:uid="{00000000-0005-0000-0000-000014A20000}"/>
    <cellStyle name="Note 2 7 2 4 2" xfId="41363" xr:uid="{00000000-0005-0000-0000-000015A20000}"/>
    <cellStyle name="Note 2 7 2 4 2 2" xfId="41364" xr:uid="{00000000-0005-0000-0000-000016A20000}"/>
    <cellStyle name="Note 2 7 2 4 3" xfId="41365" xr:uid="{00000000-0005-0000-0000-000017A20000}"/>
    <cellStyle name="Note 2 7 2 5" xfId="41366" xr:uid="{00000000-0005-0000-0000-000018A20000}"/>
    <cellStyle name="Note 2 7 2 5 2" xfId="41367" xr:uid="{00000000-0005-0000-0000-000019A20000}"/>
    <cellStyle name="Note 2 7 2 5 2 2" xfId="41368" xr:uid="{00000000-0005-0000-0000-00001AA20000}"/>
    <cellStyle name="Note 2 7 2 5 2 2 2" xfId="41369" xr:uid="{00000000-0005-0000-0000-00001BA20000}"/>
    <cellStyle name="Note 2 7 2 5 2 3" xfId="41370" xr:uid="{00000000-0005-0000-0000-00001CA20000}"/>
    <cellStyle name="Note 2 7 2 5 3" xfId="41371" xr:uid="{00000000-0005-0000-0000-00001DA20000}"/>
    <cellStyle name="Note 2 7 2 5 3 2" xfId="41372" xr:uid="{00000000-0005-0000-0000-00001EA20000}"/>
    <cellStyle name="Note 2 7 2 5 4" xfId="41373" xr:uid="{00000000-0005-0000-0000-00001FA20000}"/>
    <cellStyle name="Note 2 7 2 6" xfId="41374" xr:uid="{00000000-0005-0000-0000-000020A20000}"/>
    <cellStyle name="Note 2 7 2 6 2" xfId="41375" xr:uid="{00000000-0005-0000-0000-000021A20000}"/>
    <cellStyle name="Note 2 7 2 6 2 2" xfId="41376" xr:uid="{00000000-0005-0000-0000-000022A20000}"/>
    <cellStyle name="Note 2 7 2 6 3" xfId="41377" xr:uid="{00000000-0005-0000-0000-000023A20000}"/>
    <cellStyle name="Note 2 7 2 7" xfId="41378" xr:uid="{00000000-0005-0000-0000-000024A20000}"/>
    <cellStyle name="Note 2 7 2 7 2" xfId="41379" xr:uid="{00000000-0005-0000-0000-000025A20000}"/>
    <cellStyle name="Note 2 7 2 8" xfId="41380" xr:uid="{00000000-0005-0000-0000-000026A20000}"/>
    <cellStyle name="Note 2 7 3" xfId="41381" xr:uid="{00000000-0005-0000-0000-000027A20000}"/>
    <cellStyle name="Note 2 7 3 2" xfId="41382" xr:uid="{00000000-0005-0000-0000-000028A20000}"/>
    <cellStyle name="Note 2 7 3 2 2" xfId="41383" xr:uid="{00000000-0005-0000-0000-000029A20000}"/>
    <cellStyle name="Note 2 7 3 2 2 2" xfId="41384" xr:uid="{00000000-0005-0000-0000-00002AA20000}"/>
    <cellStyle name="Note 2 7 3 2 2 2 2" xfId="41385" xr:uid="{00000000-0005-0000-0000-00002BA20000}"/>
    <cellStyle name="Note 2 7 3 2 2 2 2 2" xfId="41386" xr:uid="{00000000-0005-0000-0000-00002CA20000}"/>
    <cellStyle name="Note 2 7 3 2 2 2 2 2 2" xfId="41387" xr:uid="{00000000-0005-0000-0000-00002DA20000}"/>
    <cellStyle name="Note 2 7 3 2 2 2 2 3" xfId="41388" xr:uid="{00000000-0005-0000-0000-00002EA20000}"/>
    <cellStyle name="Note 2 7 3 2 2 2 3" xfId="41389" xr:uid="{00000000-0005-0000-0000-00002FA20000}"/>
    <cellStyle name="Note 2 7 3 2 2 2 3 2" xfId="41390" xr:uid="{00000000-0005-0000-0000-000030A20000}"/>
    <cellStyle name="Note 2 7 3 2 2 2 4" xfId="41391" xr:uid="{00000000-0005-0000-0000-000031A20000}"/>
    <cellStyle name="Note 2 7 3 2 2 3" xfId="41392" xr:uid="{00000000-0005-0000-0000-000032A20000}"/>
    <cellStyle name="Note 2 7 3 2 2 3 2" xfId="41393" xr:uid="{00000000-0005-0000-0000-000033A20000}"/>
    <cellStyle name="Note 2 7 3 2 2 3 2 2" xfId="41394" xr:uid="{00000000-0005-0000-0000-000034A20000}"/>
    <cellStyle name="Note 2 7 3 2 2 3 3" xfId="41395" xr:uid="{00000000-0005-0000-0000-000035A20000}"/>
    <cellStyle name="Note 2 7 3 2 2 4" xfId="41396" xr:uid="{00000000-0005-0000-0000-000036A20000}"/>
    <cellStyle name="Note 2 7 3 2 2 4 2" xfId="41397" xr:uid="{00000000-0005-0000-0000-000037A20000}"/>
    <cellStyle name="Note 2 7 3 2 2 5" xfId="41398" xr:uid="{00000000-0005-0000-0000-000038A20000}"/>
    <cellStyle name="Note 2 7 3 2 3" xfId="41399" xr:uid="{00000000-0005-0000-0000-000039A20000}"/>
    <cellStyle name="Note 2 7 3 2 3 2" xfId="41400" xr:uid="{00000000-0005-0000-0000-00003AA20000}"/>
    <cellStyle name="Note 2 7 3 2 3 2 2" xfId="41401" xr:uid="{00000000-0005-0000-0000-00003BA20000}"/>
    <cellStyle name="Note 2 7 3 2 3 3" xfId="41402" xr:uid="{00000000-0005-0000-0000-00003CA20000}"/>
    <cellStyle name="Note 2 7 3 2 4" xfId="41403" xr:uid="{00000000-0005-0000-0000-00003DA20000}"/>
    <cellStyle name="Note 2 7 3 2 4 2" xfId="41404" xr:uid="{00000000-0005-0000-0000-00003EA20000}"/>
    <cellStyle name="Note 2 7 3 2 4 2 2" xfId="41405" xr:uid="{00000000-0005-0000-0000-00003FA20000}"/>
    <cellStyle name="Note 2 7 3 2 4 2 2 2" xfId="41406" xr:uid="{00000000-0005-0000-0000-000040A20000}"/>
    <cellStyle name="Note 2 7 3 2 4 2 3" xfId="41407" xr:uid="{00000000-0005-0000-0000-000041A20000}"/>
    <cellStyle name="Note 2 7 3 2 4 3" xfId="41408" xr:uid="{00000000-0005-0000-0000-000042A20000}"/>
    <cellStyle name="Note 2 7 3 2 4 3 2" xfId="41409" xr:uid="{00000000-0005-0000-0000-000043A20000}"/>
    <cellStyle name="Note 2 7 3 2 4 4" xfId="41410" xr:uid="{00000000-0005-0000-0000-000044A20000}"/>
    <cellStyle name="Note 2 7 3 2 5" xfId="41411" xr:uid="{00000000-0005-0000-0000-000045A20000}"/>
    <cellStyle name="Note 2 7 3 2 5 2" xfId="41412" xr:uid="{00000000-0005-0000-0000-000046A20000}"/>
    <cellStyle name="Note 2 7 3 2 5 2 2" xfId="41413" xr:uid="{00000000-0005-0000-0000-000047A20000}"/>
    <cellStyle name="Note 2 7 3 2 5 3" xfId="41414" xr:uid="{00000000-0005-0000-0000-000048A20000}"/>
    <cellStyle name="Note 2 7 3 2 6" xfId="41415" xr:uid="{00000000-0005-0000-0000-000049A20000}"/>
    <cellStyle name="Note 2 7 3 2 6 2" xfId="41416" xr:uid="{00000000-0005-0000-0000-00004AA20000}"/>
    <cellStyle name="Note 2 7 3 2 7" xfId="41417" xr:uid="{00000000-0005-0000-0000-00004BA20000}"/>
    <cellStyle name="Note 2 7 3 3" xfId="41418" xr:uid="{00000000-0005-0000-0000-00004CA20000}"/>
    <cellStyle name="Note 2 7 3 3 2" xfId="41419" xr:uid="{00000000-0005-0000-0000-00004DA20000}"/>
    <cellStyle name="Note 2 7 3 3 2 2" xfId="41420" xr:uid="{00000000-0005-0000-0000-00004EA20000}"/>
    <cellStyle name="Note 2 7 3 3 2 2 2" xfId="41421" xr:uid="{00000000-0005-0000-0000-00004FA20000}"/>
    <cellStyle name="Note 2 7 3 3 2 2 2 2" xfId="41422" xr:uid="{00000000-0005-0000-0000-000050A20000}"/>
    <cellStyle name="Note 2 7 3 3 2 2 2 2 2" xfId="41423" xr:uid="{00000000-0005-0000-0000-000051A20000}"/>
    <cellStyle name="Note 2 7 3 3 2 2 2 3" xfId="41424" xr:uid="{00000000-0005-0000-0000-000052A20000}"/>
    <cellStyle name="Note 2 7 3 3 2 2 3" xfId="41425" xr:uid="{00000000-0005-0000-0000-000053A20000}"/>
    <cellStyle name="Note 2 7 3 3 2 2 3 2" xfId="41426" xr:uid="{00000000-0005-0000-0000-000054A20000}"/>
    <cellStyle name="Note 2 7 3 3 2 2 4" xfId="41427" xr:uid="{00000000-0005-0000-0000-000055A20000}"/>
    <cellStyle name="Note 2 7 3 3 2 3" xfId="41428" xr:uid="{00000000-0005-0000-0000-000056A20000}"/>
    <cellStyle name="Note 2 7 3 3 2 3 2" xfId="41429" xr:uid="{00000000-0005-0000-0000-000057A20000}"/>
    <cellStyle name="Note 2 7 3 3 2 3 2 2" xfId="41430" xr:uid="{00000000-0005-0000-0000-000058A20000}"/>
    <cellStyle name="Note 2 7 3 3 2 3 3" xfId="41431" xr:uid="{00000000-0005-0000-0000-000059A20000}"/>
    <cellStyle name="Note 2 7 3 3 2 4" xfId="41432" xr:uid="{00000000-0005-0000-0000-00005AA20000}"/>
    <cellStyle name="Note 2 7 3 3 2 4 2" xfId="41433" xr:uid="{00000000-0005-0000-0000-00005BA20000}"/>
    <cellStyle name="Note 2 7 3 3 2 5" xfId="41434" xr:uid="{00000000-0005-0000-0000-00005CA20000}"/>
    <cellStyle name="Note 2 7 3 3 3" xfId="41435" xr:uid="{00000000-0005-0000-0000-00005DA20000}"/>
    <cellStyle name="Note 2 7 3 3 3 2" xfId="41436" xr:uid="{00000000-0005-0000-0000-00005EA20000}"/>
    <cellStyle name="Note 2 7 3 3 3 2 2" xfId="41437" xr:uid="{00000000-0005-0000-0000-00005FA20000}"/>
    <cellStyle name="Note 2 7 3 3 3 2 2 2" xfId="41438" xr:uid="{00000000-0005-0000-0000-000060A20000}"/>
    <cellStyle name="Note 2 7 3 3 3 2 3" xfId="41439" xr:uid="{00000000-0005-0000-0000-000061A20000}"/>
    <cellStyle name="Note 2 7 3 3 3 3" xfId="41440" xr:uid="{00000000-0005-0000-0000-000062A20000}"/>
    <cellStyle name="Note 2 7 3 3 3 3 2" xfId="41441" xr:uid="{00000000-0005-0000-0000-000063A20000}"/>
    <cellStyle name="Note 2 7 3 3 3 4" xfId="41442" xr:uid="{00000000-0005-0000-0000-000064A20000}"/>
    <cellStyle name="Note 2 7 3 3 4" xfId="41443" xr:uid="{00000000-0005-0000-0000-000065A20000}"/>
    <cellStyle name="Note 2 7 3 3 4 2" xfId="41444" xr:uid="{00000000-0005-0000-0000-000066A20000}"/>
    <cellStyle name="Note 2 7 3 3 4 2 2" xfId="41445" xr:uid="{00000000-0005-0000-0000-000067A20000}"/>
    <cellStyle name="Note 2 7 3 3 4 3" xfId="41446" xr:uid="{00000000-0005-0000-0000-000068A20000}"/>
    <cellStyle name="Note 2 7 3 3 5" xfId="41447" xr:uid="{00000000-0005-0000-0000-000069A20000}"/>
    <cellStyle name="Note 2 7 3 3 5 2" xfId="41448" xr:uid="{00000000-0005-0000-0000-00006AA20000}"/>
    <cellStyle name="Note 2 7 3 3 6" xfId="41449" xr:uid="{00000000-0005-0000-0000-00006BA20000}"/>
    <cellStyle name="Note 2 7 3 4" xfId="41450" xr:uid="{00000000-0005-0000-0000-00006CA20000}"/>
    <cellStyle name="Note 2 7 3 4 2" xfId="41451" xr:uid="{00000000-0005-0000-0000-00006DA20000}"/>
    <cellStyle name="Note 2 7 3 4 2 2" xfId="41452" xr:uid="{00000000-0005-0000-0000-00006EA20000}"/>
    <cellStyle name="Note 2 7 3 4 3" xfId="41453" xr:uid="{00000000-0005-0000-0000-00006FA20000}"/>
    <cellStyle name="Note 2 7 3 5" xfId="41454" xr:uid="{00000000-0005-0000-0000-000070A20000}"/>
    <cellStyle name="Note 2 7 3 5 2" xfId="41455" xr:uid="{00000000-0005-0000-0000-000071A20000}"/>
    <cellStyle name="Note 2 7 3 5 2 2" xfId="41456" xr:uid="{00000000-0005-0000-0000-000072A20000}"/>
    <cellStyle name="Note 2 7 3 5 3" xfId="41457" xr:uid="{00000000-0005-0000-0000-000073A20000}"/>
    <cellStyle name="Note 2 7 3 6" xfId="41458" xr:uid="{00000000-0005-0000-0000-000074A20000}"/>
    <cellStyle name="Note 2 7 3 6 2" xfId="41459" xr:uid="{00000000-0005-0000-0000-000075A20000}"/>
    <cellStyle name="Note 2 7 3 6 2 2" xfId="41460" xr:uid="{00000000-0005-0000-0000-000076A20000}"/>
    <cellStyle name="Note 2 7 3 6 2 2 2" xfId="41461" xr:uid="{00000000-0005-0000-0000-000077A20000}"/>
    <cellStyle name="Note 2 7 3 6 2 3" xfId="41462" xr:uid="{00000000-0005-0000-0000-000078A20000}"/>
    <cellStyle name="Note 2 7 3 6 3" xfId="41463" xr:uid="{00000000-0005-0000-0000-000079A20000}"/>
    <cellStyle name="Note 2 7 3 6 3 2" xfId="41464" xr:uid="{00000000-0005-0000-0000-00007AA20000}"/>
    <cellStyle name="Note 2 7 3 6 4" xfId="41465" xr:uid="{00000000-0005-0000-0000-00007BA20000}"/>
    <cellStyle name="Note 2 7 3 7" xfId="41466" xr:uid="{00000000-0005-0000-0000-00007CA20000}"/>
    <cellStyle name="Note 2 7 3 7 2" xfId="41467" xr:uid="{00000000-0005-0000-0000-00007DA20000}"/>
    <cellStyle name="Note 2 7 3 7 2 2" xfId="41468" xr:uid="{00000000-0005-0000-0000-00007EA20000}"/>
    <cellStyle name="Note 2 7 3 7 3" xfId="41469" xr:uid="{00000000-0005-0000-0000-00007FA20000}"/>
    <cellStyle name="Note 2 7 3 8" xfId="41470" xr:uid="{00000000-0005-0000-0000-000080A20000}"/>
    <cellStyle name="Note 2 7 3 8 2" xfId="41471" xr:uid="{00000000-0005-0000-0000-000081A20000}"/>
    <cellStyle name="Note 2 7 3 9" xfId="41472" xr:uid="{00000000-0005-0000-0000-000082A20000}"/>
    <cellStyle name="Note 2 7 4" xfId="41473" xr:uid="{00000000-0005-0000-0000-000083A20000}"/>
    <cellStyle name="Note 2 7 4 2" xfId="41474" xr:uid="{00000000-0005-0000-0000-000084A20000}"/>
    <cellStyle name="Note 2 7 4 2 2" xfId="41475" xr:uid="{00000000-0005-0000-0000-000085A20000}"/>
    <cellStyle name="Note 2 7 4 2 2 2" xfId="41476" xr:uid="{00000000-0005-0000-0000-000086A20000}"/>
    <cellStyle name="Note 2 7 4 2 2 2 2" xfId="41477" xr:uid="{00000000-0005-0000-0000-000087A20000}"/>
    <cellStyle name="Note 2 7 4 2 2 2 2 2" xfId="41478" xr:uid="{00000000-0005-0000-0000-000088A20000}"/>
    <cellStyle name="Note 2 7 4 2 2 2 3" xfId="41479" xr:uid="{00000000-0005-0000-0000-000089A20000}"/>
    <cellStyle name="Note 2 7 4 2 2 3" xfId="41480" xr:uid="{00000000-0005-0000-0000-00008AA20000}"/>
    <cellStyle name="Note 2 7 4 2 2 3 2" xfId="41481" xr:uid="{00000000-0005-0000-0000-00008BA20000}"/>
    <cellStyle name="Note 2 7 4 2 2 4" xfId="41482" xr:uid="{00000000-0005-0000-0000-00008CA20000}"/>
    <cellStyle name="Note 2 7 4 2 3" xfId="41483" xr:uid="{00000000-0005-0000-0000-00008DA20000}"/>
    <cellStyle name="Note 2 7 4 2 3 2" xfId="41484" xr:uid="{00000000-0005-0000-0000-00008EA20000}"/>
    <cellStyle name="Note 2 7 4 2 3 2 2" xfId="41485" xr:uid="{00000000-0005-0000-0000-00008FA20000}"/>
    <cellStyle name="Note 2 7 4 2 3 3" xfId="41486" xr:uid="{00000000-0005-0000-0000-000090A20000}"/>
    <cellStyle name="Note 2 7 4 2 4" xfId="41487" xr:uid="{00000000-0005-0000-0000-000091A20000}"/>
    <cellStyle name="Note 2 7 4 2 4 2" xfId="41488" xr:uid="{00000000-0005-0000-0000-000092A20000}"/>
    <cellStyle name="Note 2 7 4 2 5" xfId="41489" xr:uid="{00000000-0005-0000-0000-000093A20000}"/>
    <cellStyle name="Note 2 7 4 3" xfId="41490" xr:uid="{00000000-0005-0000-0000-000094A20000}"/>
    <cellStyle name="Note 2 7 4 3 2" xfId="41491" xr:uid="{00000000-0005-0000-0000-000095A20000}"/>
    <cellStyle name="Note 2 7 4 3 2 2" xfId="41492" xr:uid="{00000000-0005-0000-0000-000096A20000}"/>
    <cellStyle name="Note 2 7 4 3 2 2 2" xfId="41493" xr:uid="{00000000-0005-0000-0000-000097A20000}"/>
    <cellStyle name="Note 2 7 4 3 2 3" xfId="41494" xr:uid="{00000000-0005-0000-0000-000098A20000}"/>
    <cellStyle name="Note 2 7 4 3 3" xfId="41495" xr:uid="{00000000-0005-0000-0000-000099A20000}"/>
    <cellStyle name="Note 2 7 4 3 3 2" xfId="41496" xr:uid="{00000000-0005-0000-0000-00009AA20000}"/>
    <cellStyle name="Note 2 7 4 3 4" xfId="41497" xr:uid="{00000000-0005-0000-0000-00009BA20000}"/>
    <cellStyle name="Note 2 7 4 4" xfId="41498" xr:uid="{00000000-0005-0000-0000-00009CA20000}"/>
    <cellStyle name="Note 2 7 4 4 2" xfId="41499" xr:uid="{00000000-0005-0000-0000-00009DA20000}"/>
    <cellStyle name="Note 2 7 4 4 2 2" xfId="41500" xr:uid="{00000000-0005-0000-0000-00009EA20000}"/>
    <cellStyle name="Note 2 7 4 4 3" xfId="41501" xr:uid="{00000000-0005-0000-0000-00009FA20000}"/>
    <cellStyle name="Note 2 7 4 5" xfId="41502" xr:uid="{00000000-0005-0000-0000-0000A0A20000}"/>
    <cellStyle name="Note 2 7 4 5 2" xfId="41503" xr:uid="{00000000-0005-0000-0000-0000A1A20000}"/>
    <cellStyle name="Note 2 7 4 6" xfId="41504" xr:uid="{00000000-0005-0000-0000-0000A2A20000}"/>
    <cellStyle name="Note 2 7 5" xfId="41505" xr:uid="{00000000-0005-0000-0000-0000A3A20000}"/>
    <cellStyle name="Note 2 7 5 2" xfId="41506" xr:uid="{00000000-0005-0000-0000-0000A4A20000}"/>
    <cellStyle name="Note 2 7 5 2 2" xfId="41507" xr:uid="{00000000-0005-0000-0000-0000A5A20000}"/>
    <cellStyle name="Note 2 7 5 3" xfId="41508" xr:uid="{00000000-0005-0000-0000-0000A6A20000}"/>
    <cellStyle name="Note 2 7 6" xfId="41509" xr:uid="{00000000-0005-0000-0000-0000A7A20000}"/>
    <cellStyle name="Note 2 7 6 2" xfId="41510" xr:uid="{00000000-0005-0000-0000-0000A8A20000}"/>
    <cellStyle name="Note 2 7 6 2 2" xfId="41511" xr:uid="{00000000-0005-0000-0000-0000A9A20000}"/>
    <cellStyle name="Note 2 7 6 3" xfId="41512" xr:uid="{00000000-0005-0000-0000-0000AAA20000}"/>
    <cellStyle name="Note 2 7 7" xfId="41513" xr:uid="{00000000-0005-0000-0000-0000ABA20000}"/>
    <cellStyle name="Note 2 7 7 2" xfId="41514" xr:uid="{00000000-0005-0000-0000-0000ACA20000}"/>
    <cellStyle name="Note 2 7 7 2 2" xfId="41515" xr:uid="{00000000-0005-0000-0000-0000ADA20000}"/>
    <cellStyle name="Note 2 7 7 2 2 2" xfId="41516" xr:uid="{00000000-0005-0000-0000-0000AEA20000}"/>
    <cellStyle name="Note 2 7 7 2 3" xfId="41517" xr:uid="{00000000-0005-0000-0000-0000AFA20000}"/>
    <cellStyle name="Note 2 7 7 3" xfId="41518" xr:uid="{00000000-0005-0000-0000-0000B0A20000}"/>
    <cellStyle name="Note 2 7 7 3 2" xfId="41519" xr:uid="{00000000-0005-0000-0000-0000B1A20000}"/>
    <cellStyle name="Note 2 7 7 4" xfId="41520" xr:uid="{00000000-0005-0000-0000-0000B2A20000}"/>
    <cellStyle name="Note 2 7 8" xfId="41521" xr:uid="{00000000-0005-0000-0000-0000B3A20000}"/>
    <cellStyle name="Note 2 7 8 2" xfId="41522" xr:uid="{00000000-0005-0000-0000-0000B4A20000}"/>
    <cellStyle name="Note 2 7 8 2 2" xfId="41523" xr:uid="{00000000-0005-0000-0000-0000B5A20000}"/>
    <cellStyle name="Note 2 7 8 3" xfId="41524" xr:uid="{00000000-0005-0000-0000-0000B6A20000}"/>
    <cellStyle name="Note 2 7 9" xfId="41525" xr:uid="{00000000-0005-0000-0000-0000B7A20000}"/>
    <cellStyle name="Note 2 7 9 2" xfId="41526" xr:uid="{00000000-0005-0000-0000-0000B8A20000}"/>
    <cellStyle name="Note 2 8" xfId="41527" xr:uid="{00000000-0005-0000-0000-0000B9A20000}"/>
    <cellStyle name="Note 2 8 10" xfId="41528" xr:uid="{00000000-0005-0000-0000-0000BAA20000}"/>
    <cellStyle name="Note 2 8 2" xfId="41529" xr:uid="{00000000-0005-0000-0000-0000BBA20000}"/>
    <cellStyle name="Note 2 8 2 2" xfId="41530" xr:uid="{00000000-0005-0000-0000-0000BCA20000}"/>
    <cellStyle name="Note 2 8 2 2 2" xfId="41531" xr:uid="{00000000-0005-0000-0000-0000BDA20000}"/>
    <cellStyle name="Note 2 8 2 2 2 2" xfId="41532" xr:uid="{00000000-0005-0000-0000-0000BEA20000}"/>
    <cellStyle name="Note 2 8 2 2 2 2 2" xfId="41533" xr:uid="{00000000-0005-0000-0000-0000BFA20000}"/>
    <cellStyle name="Note 2 8 2 2 2 2 2 2" xfId="41534" xr:uid="{00000000-0005-0000-0000-0000C0A20000}"/>
    <cellStyle name="Note 2 8 2 2 2 2 3" xfId="41535" xr:uid="{00000000-0005-0000-0000-0000C1A20000}"/>
    <cellStyle name="Note 2 8 2 2 2 3" xfId="41536" xr:uid="{00000000-0005-0000-0000-0000C2A20000}"/>
    <cellStyle name="Note 2 8 2 2 2 3 2" xfId="41537" xr:uid="{00000000-0005-0000-0000-0000C3A20000}"/>
    <cellStyle name="Note 2 8 2 2 2 4" xfId="41538" xr:uid="{00000000-0005-0000-0000-0000C4A20000}"/>
    <cellStyle name="Note 2 8 2 2 3" xfId="41539" xr:uid="{00000000-0005-0000-0000-0000C5A20000}"/>
    <cellStyle name="Note 2 8 2 2 3 2" xfId="41540" xr:uid="{00000000-0005-0000-0000-0000C6A20000}"/>
    <cellStyle name="Note 2 8 2 2 3 2 2" xfId="41541" xr:uid="{00000000-0005-0000-0000-0000C7A20000}"/>
    <cellStyle name="Note 2 8 2 2 3 3" xfId="41542" xr:uid="{00000000-0005-0000-0000-0000C8A20000}"/>
    <cellStyle name="Note 2 8 2 2 4" xfId="41543" xr:uid="{00000000-0005-0000-0000-0000C9A20000}"/>
    <cellStyle name="Note 2 8 2 2 4 2" xfId="41544" xr:uid="{00000000-0005-0000-0000-0000CAA20000}"/>
    <cellStyle name="Note 2 8 2 2 5" xfId="41545" xr:uid="{00000000-0005-0000-0000-0000CBA20000}"/>
    <cellStyle name="Note 2 8 2 3" xfId="41546" xr:uid="{00000000-0005-0000-0000-0000CCA20000}"/>
    <cellStyle name="Note 2 8 2 3 2" xfId="41547" xr:uid="{00000000-0005-0000-0000-0000CDA20000}"/>
    <cellStyle name="Note 2 8 2 3 2 2" xfId="41548" xr:uid="{00000000-0005-0000-0000-0000CEA20000}"/>
    <cellStyle name="Note 2 8 2 3 3" xfId="41549" xr:uid="{00000000-0005-0000-0000-0000CFA20000}"/>
    <cellStyle name="Note 2 8 2 4" xfId="41550" xr:uid="{00000000-0005-0000-0000-0000D0A20000}"/>
    <cellStyle name="Note 2 8 2 4 2" xfId="41551" xr:uid="{00000000-0005-0000-0000-0000D1A20000}"/>
    <cellStyle name="Note 2 8 2 4 2 2" xfId="41552" xr:uid="{00000000-0005-0000-0000-0000D2A20000}"/>
    <cellStyle name="Note 2 8 2 4 3" xfId="41553" xr:uid="{00000000-0005-0000-0000-0000D3A20000}"/>
    <cellStyle name="Note 2 8 2 5" xfId="41554" xr:uid="{00000000-0005-0000-0000-0000D4A20000}"/>
    <cellStyle name="Note 2 8 2 5 2" xfId="41555" xr:uid="{00000000-0005-0000-0000-0000D5A20000}"/>
    <cellStyle name="Note 2 8 2 5 2 2" xfId="41556" xr:uid="{00000000-0005-0000-0000-0000D6A20000}"/>
    <cellStyle name="Note 2 8 2 5 2 2 2" xfId="41557" xr:uid="{00000000-0005-0000-0000-0000D7A20000}"/>
    <cellStyle name="Note 2 8 2 5 2 3" xfId="41558" xr:uid="{00000000-0005-0000-0000-0000D8A20000}"/>
    <cellStyle name="Note 2 8 2 5 3" xfId="41559" xr:uid="{00000000-0005-0000-0000-0000D9A20000}"/>
    <cellStyle name="Note 2 8 2 5 3 2" xfId="41560" xr:uid="{00000000-0005-0000-0000-0000DAA20000}"/>
    <cellStyle name="Note 2 8 2 5 4" xfId="41561" xr:uid="{00000000-0005-0000-0000-0000DBA20000}"/>
    <cellStyle name="Note 2 8 2 6" xfId="41562" xr:uid="{00000000-0005-0000-0000-0000DCA20000}"/>
    <cellStyle name="Note 2 8 2 6 2" xfId="41563" xr:uid="{00000000-0005-0000-0000-0000DDA20000}"/>
    <cellStyle name="Note 2 8 2 6 2 2" xfId="41564" xr:uid="{00000000-0005-0000-0000-0000DEA20000}"/>
    <cellStyle name="Note 2 8 2 6 3" xfId="41565" xr:uid="{00000000-0005-0000-0000-0000DFA20000}"/>
    <cellStyle name="Note 2 8 2 7" xfId="41566" xr:uid="{00000000-0005-0000-0000-0000E0A20000}"/>
    <cellStyle name="Note 2 8 2 7 2" xfId="41567" xr:uid="{00000000-0005-0000-0000-0000E1A20000}"/>
    <cellStyle name="Note 2 8 2 8" xfId="41568" xr:uid="{00000000-0005-0000-0000-0000E2A20000}"/>
    <cellStyle name="Note 2 8 3" xfId="41569" xr:uid="{00000000-0005-0000-0000-0000E3A20000}"/>
    <cellStyle name="Note 2 8 3 2" xfId="41570" xr:uid="{00000000-0005-0000-0000-0000E4A20000}"/>
    <cellStyle name="Note 2 8 3 2 2" xfId="41571" xr:uid="{00000000-0005-0000-0000-0000E5A20000}"/>
    <cellStyle name="Note 2 8 3 2 2 2" xfId="41572" xr:uid="{00000000-0005-0000-0000-0000E6A20000}"/>
    <cellStyle name="Note 2 8 3 2 2 2 2" xfId="41573" xr:uid="{00000000-0005-0000-0000-0000E7A20000}"/>
    <cellStyle name="Note 2 8 3 2 2 2 2 2" xfId="41574" xr:uid="{00000000-0005-0000-0000-0000E8A20000}"/>
    <cellStyle name="Note 2 8 3 2 2 2 3" xfId="41575" xr:uid="{00000000-0005-0000-0000-0000E9A20000}"/>
    <cellStyle name="Note 2 8 3 2 2 3" xfId="41576" xr:uid="{00000000-0005-0000-0000-0000EAA20000}"/>
    <cellStyle name="Note 2 8 3 2 2 3 2" xfId="41577" xr:uid="{00000000-0005-0000-0000-0000EBA20000}"/>
    <cellStyle name="Note 2 8 3 2 2 4" xfId="41578" xr:uid="{00000000-0005-0000-0000-0000ECA20000}"/>
    <cellStyle name="Note 2 8 3 2 3" xfId="41579" xr:uid="{00000000-0005-0000-0000-0000EDA20000}"/>
    <cellStyle name="Note 2 8 3 2 3 2" xfId="41580" xr:uid="{00000000-0005-0000-0000-0000EEA20000}"/>
    <cellStyle name="Note 2 8 3 2 3 2 2" xfId="41581" xr:uid="{00000000-0005-0000-0000-0000EFA20000}"/>
    <cellStyle name="Note 2 8 3 2 3 3" xfId="41582" xr:uid="{00000000-0005-0000-0000-0000F0A20000}"/>
    <cellStyle name="Note 2 8 3 2 4" xfId="41583" xr:uid="{00000000-0005-0000-0000-0000F1A20000}"/>
    <cellStyle name="Note 2 8 3 2 4 2" xfId="41584" xr:uid="{00000000-0005-0000-0000-0000F2A20000}"/>
    <cellStyle name="Note 2 8 3 2 5" xfId="41585" xr:uid="{00000000-0005-0000-0000-0000F3A20000}"/>
    <cellStyle name="Note 2 8 3 3" xfId="41586" xr:uid="{00000000-0005-0000-0000-0000F4A20000}"/>
    <cellStyle name="Note 2 8 3 3 2" xfId="41587" xr:uid="{00000000-0005-0000-0000-0000F5A20000}"/>
    <cellStyle name="Note 2 8 3 3 2 2" xfId="41588" xr:uid="{00000000-0005-0000-0000-0000F6A20000}"/>
    <cellStyle name="Note 2 8 3 3 3" xfId="41589" xr:uid="{00000000-0005-0000-0000-0000F7A20000}"/>
    <cellStyle name="Note 2 8 3 4" xfId="41590" xr:uid="{00000000-0005-0000-0000-0000F8A20000}"/>
    <cellStyle name="Note 2 8 3 4 2" xfId="41591" xr:uid="{00000000-0005-0000-0000-0000F9A20000}"/>
    <cellStyle name="Note 2 8 3 4 2 2" xfId="41592" xr:uid="{00000000-0005-0000-0000-0000FAA20000}"/>
    <cellStyle name="Note 2 8 3 4 2 2 2" xfId="41593" xr:uid="{00000000-0005-0000-0000-0000FBA20000}"/>
    <cellStyle name="Note 2 8 3 4 2 3" xfId="41594" xr:uid="{00000000-0005-0000-0000-0000FCA20000}"/>
    <cellStyle name="Note 2 8 3 4 3" xfId="41595" xr:uid="{00000000-0005-0000-0000-0000FDA20000}"/>
    <cellStyle name="Note 2 8 3 4 3 2" xfId="41596" xr:uid="{00000000-0005-0000-0000-0000FEA20000}"/>
    <cellStyle name="Note 2 8 3 4 4" xfId="41597" xr:uid="{00000000-0005-0000-0000-0000FFA20000}"/>
    <cellStyle name="Note 2 8 3 5" xfId="41598" xr:uid="{00000000-0005-0000-0000-000000A30000}"/>
    <cellStyle name="Note 2 8 3 5 2" xfId="41599" xr:uid="{00000000-0005-0000-0000-000001A30000}"/>
    <cellStyle name="Note 2 8 3 5 2 2" xfId="41600" xr:uid="{00000000-0005-0000-0000-000002A30000}"/>
    <cellStyle name="Note 2 8 3 5 3" xfId="41601" xr:uid="{00000000-0005-0000-0000-000003A30000}"/>
    <cellStyle name="Note 2 8 3 6" xfId="41602" xr:uid="{00000000-0005-0000-0000-000004A30000}"/>
    <cellStyle name="Note 2 8 3 6 2" xfId="41603" xr:uid="{00000000-0005-0000-0000-000005A30000}"/>
    <cellStyle name="Note 2 8 3 7" xfId="41604" xr:uid="{00000000-0005-0000-0000-000006A30000}"/>
    <cellStyle name="Note 2 8 4" xfId="41605" xr:uid="{00000000-0005-0000-0000-000007A30000}"/>
    <cellStyle name="Note 2 8 4 2" xfId="41606" xr:uid="{00000000-0005-0000-0000-000008A30000}"/>
    <cellStyle name="Note 2 8 4 2 2" xfId="41607" xr:uid="{00000000-0005-0000-0000-000009A30000}"/>
    <cellStyle name="Note 2 8 4 2 2 2" xfId="41608" xr:uid="{00000000-0005-0000-0000-00000AA30000}"/>
    <cellStyle name="Note 2 8 4 2 2 2 2" xfId="41609" xr:uid="{00000000-0005-0000-0000-00000BA30000}"/>
    <cellStyle name="Note 2 8 4 2 2 2 2 2" xfId="41610" xr:uid="{00000000-0005-0000-0000-00000CA30000}"/>
    <cellStyle name="Note 2 8 4 2 2 2 3" xfId="41611" xr:uid="{00000000-0005-0000-0000-00000DA30000}"/>
    <cellStyle name="Note 2 8 4 2 2 3" xfId="41612" xr:uid="{00000000-0005-0000-0000-00000EA30000}"/>
    <cellStyle name="Note 2 8 4 2 2 3 2" xfId="41613" xr:uid="{00000000-0005-0000-0000-00000FA30000}"/>
    <cellStyle name="Note 2 8 4 2 2 4" xfId="41614" xr:uid="{00000000-0005-0000-0000-000010A30000}"/>
    <cellStyle name="Note 2 8 4 2 3" xfId="41615" xr:uid="{00000000-0005-0000-0000-000011A30000}"/>
    <cellStyle name="Note 2 8 4 2 3 2" xfId="41616" xr:uid="{00000000-0005-0000-0000-000012A30000}"/>
    <cellStyle name="Note 2 8 4 2 3 2 2" xfId="41617" xr:uid="{00000000-0005-0000-0000-000013A30000}"/>
    <cellStyle name="Note 2 8 4 2 3 3" xfId="41618" xr:uid="{00000000-0005-0000-0000-000014A30000}"/>
    <cellStyle name="Note 2 8 4 2 4" xfId="41619" xr:uid="{00000000-0005-0000-0000-000015A30000}"/>
    <cellStyle name="Note 2 8 4 2 4 2" xfId="41620" xr:uid="{00000000-0005-0000-0000-000016A30000}"/>
    <cellStyle name="Note 2 8 4 2 5" xfId="41621" xr:uid="{00000000-0005-0000-0000-000017A30000}"/>
    <cellStyle name="Note 2 8 4 3" xfId="41622" xr:uid="{00000000-0005-0000-0000-000018A30000}"/>
    <cellStyle name="Note 2 8 4 3 2" xfId="41623" xr:uid="{00000000-0005-0000-0000-000019A30000}"/>
    <cellStyle name="Note 2 8 4 3 2 2" xfId="41624" xr:uid="{00000000-0005-0000-0000-00001AA30000}"/>
    <cellStyle name="Note 2 8 4 3 2 2 2" xfId="41625" xr:uid="{00000000-0005-0000-0000-00001BA30000}"/>
    <cellStyle name="Note 2 8 4 3 2 3" xfId="41626" xr:uid="{00000000-0005-0000-0000-00001CA30000}"/>
    <cellStyle name="Note 2 8 4 3 3" xfId="41627" xr:uid="{00000000-0005-0000-0000-00001DA30000}"/>
    <cellStyle name="Note 2 8 4 3 3 2" xfId="41628" xr:uid="{00000000-0005-0000-0000-00001EA30000}"/>
    <cellStyle name="Note 2 8 4 3 4" xfId="41629" xr:uid="{00000000-0005-0000-0000-00001FA30000}"/>
    <cellStyle name="Note 2 8 4 4" xfId="41630" xr:uid="{00000000-0005-0000-0000-000020A30000}"/>
    <cellStyle name="Note 2 8 4 4 2" xfId="41631" xr:uid="{00000000-0005-0000-0000-000021A30000}"/>
    <cellStyle name="Note 2 8 4 4 2 2" xfId="41632" xr:uid="{00000000-0005-0000-0000-000022A30000}"/>
    <cellStyle name="Note 2 8 4 4 3" xfId="41633" xr:uid="{00000000-0005-0000-0000-000023A30000}"/>
    <cellStyle name="Note 2 8 4 5" xfId="41634" xr:uid="{00000000-0005-0000-0000-000024A30000}"/>
    <cellStyle name="Note 2 8 4 5 2" xfId="41635" xr:uid="{00000000-0005-0000-0000-000025A30000}"/>
    <cellStyle name="Note 2 8 4 6" xfId="41636" xr:uid="{00000000-0005-0000-0000-000026A30000}"/>
    <cellStyle name="Note 2 8 5" xfId="41637" xr:uid="{00000000-0005-0000-0000-000027A30000}"/>
    <cellStyle name="Note 2 8 5 2" xfId="41638" xr:uid="{00000000-0005-0000-0000-000028A30000}"/>
    <cellStyle name="Note 2 8 5 2 2" xfId="41639" xr:uid="{00000000-0005-0000-0000-000029A30000}"/>
    <cellStyle name="Note 2 8 5 3" xfId="41640" xr:uid="{00000000-0005-0000-0000-00002AA30000}"/>
    <cellStyle name="Note 2 8 6" xfId="41641" xr:uid="{00000000-0005-0000-0000-00002BA30000}"/>
    <cellStyle name="Note 2 8 6 2" xfId="41642" xr:uid="{00000000-0005-0000-0000-00002CA30000}"/>
    <cellStyle name="Note 2 8 6 2 2" xfId="41643" xr:uid="{00000000-0005-0000-0000-00002DA30000}"/>
    <cellStyle name="Note 2 8 6 3" xfId="41644" xr:uid="{00000000-0005-0000-0000-00002EA30000}"/>
    <cellStyle name="Note 2 8 7" xfId="41645" xr:uid="{00000000-0005-0000-0000-00002FA30000}"/>
    <cellStyle name="Note 2 8 7 2" xfId="41646" xr:uid="{00000000-0005-0000-0000-000030A30000}"/>
    <cellStyle name="Note 2 8 7 2 2" xfId="41647" xr:uid="{00000000-0005-0000-0000-000031A30000}"/>
    <cellStyle name="Note 2 8 7 2 2 2" xfId="41648" xr:uid="{00000000-0005-0000-0000-000032A30000}"/>
    <cellStyle name="Note 2 8 7 2 3" xfId="41649" xr:uid="{00000000-0005-0000-0000-000033A30000}"/>
    <cellStyle name="Note 2 8 7 3" xfId="41650" xr:uid="{00000000-0005-0000-0000-000034A30000}"/>
    <cellStyle name="Note 2 8 7 3 2" xfId="41651" xr:uid="{00000000-0005-0000-0000-000035A30000}"/>
    <cellStyle name="Note 2 8 7 4" xfId="41652" xr:uid="{00000000-0005-0000-0000-000036A30000}"/>
    <cellStyle name="Note 2 8 8" xfId="41653" xr:uid="{00000000-0005-0000-0000-000037A30000}"/>
    <cellStyle name="Note 2 8 8 2" xfId="41654" xr:uid="{00000000-0005-0000-0000-000038A30000}"/>
    <cellStyle name="Note 2 8 8 2 2" xfId="41655" xr:uid="{00000000-0005-0000-0000-000039A30000}"/>
    <cellStyle name="Note 2 8 8 3" xfId="41656" xr:uid="{00000000-0005-0000-0000-00003AA30000}"/>
    <cellStyle name="Note 2 8 9" xfId="41657" xr:uid="{00000000-0005-0000-0000-00003BA30000}"/>
    <cellStyle name="Note 2 8 9 2" xfId="41658" xr:uid="{00000000-0005-0000-0000-00003CA30000}"/>
    <cellStyle name="Note 2 9" xfId="41659" xr:uid="{00000000-0005-0000-0000-00003DA30000}"/>
    <cellStyle name="Note 2 9 2" xfId="41660" xr:uid="{00000000-0005-0000-0000-00003EA30000}"/>
    <cellStyle name="Note 2 9 2 2" xfId="41661" xr:uid="{00000000-0005-0000-0000-00003FA30000}"/>
    <cellStyle name="Note 2 9 2 2 2" xfId="41662" xr:uid="{00000000-0005-0000-0000-000040A30000}"/>
    <cellStyle name="Note 2 9 2 2 2 2" xfId="41663" xr:uid="{00000000-0005-0000-0000-000041A30000}"/>
    <cellStyle name="Note 2 9 2 2 2 2 2" xfId="41664" xr:uid="{00000000-0005-0000-0000-000042A30000}"/>
    <cellStyle name="Note 2 9 2 2 2 3" xfId="41665" xr:uid="{00000000-0005-0000-0000-000043A30000}"/>
    <cellStyle name="Note 2 9 2 2 3" xfId="41666" xr:uid="{00000000-0005-0000-0000-000044A30000}"/>
    <cellStyle name="Note 2 9 2 2 3 2" xfId="41667" xr:uid="{00000000-0005-0000-0000-000045A30000}"/>
    <cellStyle name="Note 2 9 2 2 4" xfId="41668" xr:uid="{00000000-0005-0000-0000-000046A30000}"/>
    <cellStyle name="Note 2 9 2 3" xfId="41669" xr:uid="{00000000-0005-0000-0000-000047A30000}"/>
    <cellStyle name="Note 2 9 2 3 2" xfId="41670" xr:uid="{00000000-0005-0000-0000-000048A30000}"/>
    <cellStyle name="Note 2 9 2 3 2 2" xfId="41671" xr:uid="{00000000-0005-0000-0000-000049A30000}"/>
    <cellStyle name="Note 2 9 2 3 3" xfId="41672" xr:uid="{00000000-0005-0000-0000-00004AA30000}"/>
    <cellStyle name="Note 2 9 2 4" xfId="41673" xr:uid="{00000000-0005-0000-0000-00004BA30000}"/>
    <cellStyle name="Note 2 9 2 4 2" xfId="41674" xr:uid="{00000000-0005-0000-0000-00004CA30000}"/>
    <cellStyle name="Note 2 9 2 5" xfId="41675" xr:uid="{00000000-0005-0000-0000-00004DA30000}"/>
    <cellStyle name="Note 2 9 3" xfId="41676" xr:uid="{00000000-0005-0000-0000-00004EA30000}"/>
    <cellStyle name="Note 2 9 3 2" xfId="41677" xr:uid="{00000000-0005-0000-0000-00004FA30000}"/>
    <cellStyle name="Note 2 9 3 2 2" xfId="41678" xr:uid="{00000000-0005-0000-0000-000050A30000}"/>
    <cellStyle name="Note 2 9 3 3" xfId="41679" xr:uid="{00000000-0005-0000-0000-000051A30000}"/>
    <cellStyle name="Note 2 9 4" xfId="41680" xr:uid="{00000000-0005-0000-0000-000052A30000}"/>
    <cellStyle name="Note 2 9 4 2" xfId="41681" xr:uid="{00000000-0005-0000-0000-000053A30000}"/>
    <cellStyle name="Note 2 9 4 2 2" xfId="41682" xr:uid="{00000000-0005-0000-0000-000054A30000}"/>
    <cellStyle name="Note 2 9 4 3" xfId="41683" xr:uid="{00000000-0005-0000-0000-000055A30000}"/>
    <cellStyle name="Note 2 9 5" xfId="41684" xr:uid="{00000000-0005-0000-0000-000056A30000}"/>
    <cellStyle name="Note 2 9 5 2" xfId="41685" xr:uid="{00000000-0005-0000-0000-000057A30000}"/>
    <cellStyle name="Note 2 9 5 2 2" xfId="41686" xr:uid="{00000000-0005-0000-0000-000058A30000}"/>
    <cellStyle name="Note 2 9 5 2 2 2" xfId="41687" xr:uid="{00000000-0005-0000-0000-000059A30000}"/>
    <cellStyle name="Note 2 9 5 2 3" xfId="41688" xr:uid="{00000000-0005-0000-0000-00005AA30000}"/>
    <cellStyle name="Note 2 9 5 3" xfId="41689" xr:uid="{00000000-0005-0000-0000-00005BA30000}"/>
    <cellStyle name="Note 2 9 5 3 2" xfId="41690" xr:uid="{00000000-0005-0000-0000-00005CA30000}"/>
    <cellStyle name="Note 2 9 5 4" xfId="41691" xr:uid="{00000000-0005-0000-0000-00005DA30000}"/>
    <cellStyle name="Note 2 9 6" xfId="41692" xr:uid="{00000000-0005-0000-0000-00005EA30000}"/>
    <cellStyle name="Note 2 9 6 2" xfId="41693" xr:uid="{00000000-0005-0000-0000-00005FA30000}"/>
    <cellStyle name="Note 2 9 6 2 2" xfId="41694" xr:uid="{00000000-0005-0000-0000-000060A30000}"/>
    <cellStyle name="Note 2 9 6 3" xfId="41695" xr:uid="{00000000-0005-0000-0000-000061A30000}"/>
    <cellStyle name="Note 2 9 7" xfId="41696" xr:uid="{00000000-0005-0000-0000-000062A30000}"/>
    <cellStyle name="Note 2 9 7 2" xfId="41697" xr:uid="{00000000-0005-0000-0000-000063A30000}"/>
    <cellStyle name="Note 2 9 8" xfId="41698" xr:uid="{00000000-0005-0000-0000-000064A30000}"/>
    <cellStyle name="Note 3" xfId="41699" xr:uid="{00000000-0005-0000-0000-000065A30000}"/>
    <cellStyle name="Note 3 10" xfId="41700" xr:uid="{00000000-0005-0000-0000-000066A30000}"/>
    <cellStyle name="Note 3 10 2" xfId="41701" xr:uid="{00000000-0005-0000-0000-000067A30000}"/>
    <cellStyle name="Note 3 10 2 2" xfId="41702" xr:uid="{00000000-0005-0000-0000-000068A30000}"/>
    <cellStyle name="Note 3 10 3" xfId="41703" xr:uid="{00000000-0005-0000-0000-000069A30000}"/>
    <cellStyle name="Note 3 11" xfId="41704" xr:uid="{00000000-0005-0000-0000-00006AA30000}"/>
    <cellStyle name="Note 3 11 2" xfId="41705" xr:uid="{00000000-0005-0000-0000-00006BA30000}"/>
    <cellStyle name="Note 3 12" xfId="41706" xr:uid="{00000000-0005-0000-0000-00006CA30000}"/>
    <cellStyle name="Note 3 13" xfId="41707" xr:uid="{00000000-0005-0000-0000-00006DA30000}"/>
    <cellStyle name="Note 3 2" xfId="41708" xr:uid="{00000000-0005-0000-0000-00006EA30000}"/>
    <cellStyle name="Note 3 2 2" xfId="41709" xr:uid="{00000000-0005-0000-0000-00006FA30000}"/>
    <cellStyle name="Note 3 2 2 2" xfId="41710" xr:uid="{00000000-0005-0000-0000-000070A30000}"/>
    <cellStyle name="Note 3 2 2 2 2" xfId="41711" xr:uid="{00000000-0005-0000-0000-000071A30000}"/>
    <cellStyle name="Note 3 2 2 2 2 2" xfId="41712" xr:uid="{00000000-0005-0000-0000-000072A30000}"/>
    <cellStyle name="Note 3 2 2 2 3" xfId="41713" xr:uid="{00000000-0005-0000-0000-000073A30000}"/>
    <cellStyle name="Note 3 2 2 3" xfId="41714" xr:uid="{00000000-0005-0000-0000-000074A30000}"/>
    <cellStyle name="Note 3 2 2 3 2" xfId="41715" xr:uid="{00000000-0005-0000-0000-000075A30000}"/>
    <cellStyle name="Note 3 2 2 3 2 2" xfId="41716" xr:uid="{00000000-0005-0000-0000-000076A30000}"/>
    <cellStyle name="Note 3 2 2 3 3" xfId="41717" xr:uid="{00000000-0005-0000-0000-000077A30000}"/>
    <cellStyle name="Note 3 2 2 4" xfId="41718" xr:uid="{00000000-0005-0000-0000-000078A30000}"/>
    <cellStyle name="Note 3 2 2 4 2" xfId="41719" xr:uid="{00000000-0005-0000-0000-000079A30000}"/>
    <cellStyle name="Note 3 2 2 4 2 2" xfId="41720" xr:uid="{00000000-0005-0000-0000-00007AA30000}"/>
    <cellStyle name="Note 3 2 2 4 3" xfId="41721" xr:uid="{00000000-0005-0000-0000-00007BA30000}"/>
    <cellStyle name="Note 3 2 2 5" xfId="41722" xr:uid="{00000000-0005-0000-0000-00007CA30000}"/>
    <cellStyle name="Note 3 2 2 5 2" xfId="41723" xr:uid="{00000000-0005-0000-0000-00007DA30000}"/>
    <cellStyle name="Note 3 2 2 6" xfId="41724" xr:uid="{00000000-0005-0000-0000-00007EA30000}"/>
    <cellStyle name="Note 3 2 3" xfId="41725" xr:uid="{00000000-0005-0000-0000-00007FA30000}"/>
    <cellStyle name="Note 3 2 3 2" xfId="41726" xr:uid="{00000000-0005-0000-0000-000080A30000}"/>
    <cellStyle name="Note 3 2 3 2 2" xfId="41727" xr:uid="{00000000-0005-0000-0000-000081A30000}"/>
    <cellStyle name="Note 3 2 3 2 2 2" xfId="41728" xr:uid="{00000000-0005-0000-0000-000082A30000}"/>
    <cellStyle name="Note 3 2 3 2 2 2 2" xfId="41729" xr:uid="{00000000-0005-0000-0000-000083A30000}"/>
    <cellStyle name="Note 3 2 3 2 2 3" xfId="41730" xr:uid="{00000000-0005-0000-0000-000084A30000}"/>
    <cellStyle name="Note 3 2 3 2 3" xfId="41731" xr:uid="{00000000-0005-0000-0000-000085A30000}"/>
    <cellStyle name="Note 3 2 3 2 3 2" xfId="41732" xr:uid="{00000000-0005-0000-0000-000086A30000}"/>
    <cellStyle name="Note 3 2 3 2 3 2 2" xfId="41733" xr:uid="{00000000-0005-0000-0000-000087A30000}"/>
    <cellStyle name="Note 3 2 3 2 3 3" xfId="41734" xr:uid="{00000000-0005-0000-0000-000088A30000}"/>
    <cellStyle name="Note 3 2 3 2 4" xfId="41735" xr:uid="{00000000-0005-0000-0000-000089A30000}"/>
    <cellStyle name="Note 3 2 3 2 4 2" xfId="41736" xr:uid="{00000000-0005-0000-0000-00008AA30000}"/>
    <cellStyle name="Note 3 2 3 2 5" xfId="41737" xr:uid="{00000000-0005-0000-0000-00008BA30000}"/>
    <cellStyle name="Note 3 2 3 3" xfId="41738" xr:uid="{00000000-0005-0000-0000-00008CA30000}"/>
    <cellStyle name="Note 3 2 3 3 2" xfId="41739" xr:uid="{00000000-0005-0000-0000-00008DA30000}"/>
    <cellStyle name="Note 3 2 3 3 2 2" xfId="41740" xr:uid="{00000000-0005-0000-0000-00008EA30000}"/>
    <cellStyle name="Note 3 2 3 3 2 2 2" xfId="41741" xr:uid="{00000000-0005-0000-0000-00008FA30000}"/>
    <cellStyle name="Note 3 2 3 3 2 3" xfId="41742" xr:uid="{00000000-0005-0000-0000-000090A30000}"/>
    <cellStyle name="Note 3 2 3 3 3" xfId="41743" xr:uid="{00000000-0005-0000-0000-000091A30000}"/>
    <cellStyle name="Note 3 2 3 3 3 2" xfId="41744" xr:uid="{00000000-0005-0000-0000-000092A30000}"/>
    <cellStyle name="Note 3 2 3 3 4" xfId="41745" xr:uid="{00000000-0005-0000-0000-000093A30000}"/>
    <cellStyle name="Note 3 2 3 4" xfId="41746" xr:uid="{00000000-0005-0000-0000-000094A30000}"/>
    <cellStyle name="Note 3 2 3 4 2" xfId="41747" xr:uid="{00000000-0005-0000-0000-000095A30000}"/>
    <cellStyle name="Note 3 2 3 4 2 2" xfId="41748" xr:uid="{00000000-0005-0000-0000-000096A30000}"/>
    <cellStyle name="Note 3 2 3 4 3" xfId="41749" xr:uid="{00000000-0005-0000-0000-000097A30000}"/>
    <cellStyle name="Note 3 2 3 5" xfId="41750" xr:uid="{00000000-0005-0000-0000-000098A30000}"/>
    <cellStyle name="Note 3 2 3 5 2" xfId="41751" xr:uid="{00000000-0005-0000-0000-000099A30000}"/>
    <cellStyle name="Note 3 2 3 5 2 2" xfId="41752" xr:uid="{00000000-0005-0000-0000-00009AA30000}"/>
    <cellStyle name="Note 3 2 3 5 3" xfId="41753" xr:uid="{00000000-0005-0000-0000-00009BA30000}"/>
    <cellStyle name="Note 3 2 3 6" xfId="41754" xr:uid="{00000000-0005-0000-0000-00009CA30000}"/>
    <cellStyle name="Note 3 2 3 6 2" xfId="41755" xr:uid="{00000000-0005-0000-0000-00009DA30000}"/>
    <cellStyle name="Note 3 2 3 7" xfId="41756" xr:uid="{00000000-0005-0000-0000-00009EA30000}"/>
    <cellStyle name="Note 3 2 4" xfId="41757" xr:uid="{00000000-0005-0000-0000-00009FA30000}"/>
    <cellStyle name="Note 3 2 4 2" xfId="41758" xr:uid="{00000000-0005-0000-0000-0000A0A30000}"/>
    <cellStyle name="Note 3 2 4 2 2" xfId="41759" xr:uid="{00000000-0005-0000-0000-0000A1A30000}"/>
    <cellStyle name="Note 3 2 4 2 2 2" xfId="41760" xr:uid="{00000000-0005-0000-0000-0000A2A30000}"/>
    <cellStyle name="Note 3 2 4 2 3" xfId="41761" xr:uid="{00000000-0005-0000-0000-0000A3A30000}"/>
    <cellStyle name="Note 3 2 4 3" xfId="41762" xr:uid="{00000000-0005-0000-0000-0000A4A30000}"/>
    <cellStyle name="Note 3 2 4 3 2" xfId="41763" xr:uid="{00000000-0005-0000-0000-0000A5A30000}"/>
    <cellStyle name="Note 3 2 4 4" xfId="41764" xr:uid="{00000000-0005-0000-0000-0000A6A30000}"/>
    <cellStyle name="Note 3 2 5" xfId="41765" xr:uid="{00000000-0005-0000-0000-0000A7A30000}"/>
    <cellStyle name="Note 3 2 5 2" xfId="41766" xr:uid="{00000000-0005-0000-0000-0000A8A30000}"/>
    <cellStyle name="Note 3 2 5 2 2" xfId="41767" xr:uid="{00000000-0005-0000-0000-0000A9A30000}"/>
    <cellStyle name="Note 3 2 5 3" xfId="41768" xr:uid="{00000000-0005-0000-0000-0000AAA30000}"/>
    <cellStyle name="Note 3 2 6" xfId="41769" xr:uid="{00000000-0005-0000-0000-0000ABA30000}"/>
    <cellStyle name="Note 3 2 6 2" xfId="41770" xr:uid="{00000000-0005-0000-0000-0000ACA30000}"/>
    <cellStyle name="Note 3 2 6 2 2" xfId="41771" xr:uid="{00000000-0005-0000-0000-0000ADA30000}"/>
    <cellStyle name="Note 3 2 6 3" xfId="41772" xr:uid="{00000000-0005-0000-0000-0000AEA30000}"/>
    <cellStyle name="Note 3 2 7" xfId="41773" xr:uid="{00000000-0005-0000-0000-0000AFA30000}"/>
    <cellStyle name="Note 3 2 7 2" xfId="41774" xr:uid="{00000000-0005-0000-0000-0000B0A30000}"/>
    <cellStyle name="Note 3 2 8" xfId="41775" xr:uid="{00000000-0005-0000-0000-0000B1A30000}"/>
    <cellStyle name="Note 3 3" xfId="41776" xr:uid="{00000000-0005-0000-0000-0000B2A30000}"/>
    <cellStyle name="Note 3 3 2" xfId="41777" xr:uid="{00000000-0005-0000-0000-0000B3A30000}"/>
    <cellStyle name="Note 3 3 2 2" xfId="41778" xr:uid="{00000000-0005-0000-0000-0000B4A30000}"/>
    <cellStyle name="Note 3 3 2 2 2" xfId="41779" xr:uid="{00000000-0005-0000-0000-0000B5A30000}"/>
    <cellStyle name="Note 3 3 2 3" xfId="41780" xr:uid="{00000000-0005-0000-0000-0000B6A30000}"/>
    <cellStyle name="Note 3 3 2 3 2" xfId="41781" xr:uid="{00000000-0005-0000-0000-0000B7A30000}"/>
    <cellStyle name="Note 3 3 2 3 2 2" xfId="41782" xr:uid="{00000000-0005-0000-0000-0000B8A30000}"/>
    <cellStyle name="Note 3 3 2 3 3" xfId="41783" xr:uid="{00000000-0005-0000-0000-0000B9A30000}"/>
    <cellStyle name="Note 3 3 2 4" xfId="41784" xr:uid="{00000000-0005-0000-0000-0000BAA30000}"/>
    <cellStyle name="Note 3 3 2 4 2" xfId="41785" xr:uid="{00000000-0005-0000-0000-0000BBA30000}"/>
    <cellStyle name="Note 3 3 2 4 2 2" xfId="41786" xr:uid="{00000000-0005-0000-0000-0000BCA30000}"/>
    <cellStyle name="Note 3 3 2 4 3" xfId="41787" xr:uid="{00000000-0005-0000-0000-0000BDA30000}"/>
    <cellStyle name="Note 3 3 2 5" xfId="41788" xr:uid="{00000000-0005-0000-0000-0000BEA30000}"/>
    <cellStyle name="Note 3 3 3" xfId="41789" xr:uid="{00000000-0005-0000-0000-0000BFA30000}"/>
    <cellStyle name="Note 3 3 3 2" xfId="41790" xr:uid="{00000000-0005-0000-0000-0000C0A30000}"/>
    <cellStyle name="Note 3 3 3 2 2" xfId="41791" xr:uid="{00000000-0005-0000-0000-0000C1A30000}"/>
    <cellStyle name="Note 3 3 3 2 2 2" xfId="41792" xr:uid="{00000000-0005-0000-0000-0000C2A30000}"/>
    <cellStyle name="Note 3 3 3 2 3" xfId="41793" xr:uid="{00000000-0005-0000-0000-0000C3A30000}"/>
    <cellStyle name="Note 3 3 3 2 3 2" xfId="41794" xr:uid="{00000000-0005-0000-0000-0000C4A30000}"/>
    <cellStyle name="Note 3 3 3 2 3 2 2" xfId="41795" xr:uid="{00000000-0005-0000-0000-0000C5A30000}"/>
    <cellStyle name="Note 3 3 3 2 3 3" xfId="41796" xr:uid="{00000000-0005-0000-0000-0000C6A30000}"/>
    <cellStyle name="Note 3 3 3 2 4" xfId="41797" xr:uid="{00000000-0005-0000-0000-0000C7A30000}"/>
    <cellStyle name="Note 3 3 3 3" xfId="41798" xr:uid="{00000000-0005-0000-0000-0000C8A30000}"/>
    <cellStyle name="Note 3 3 3 3 2" xfId="41799" xr:uid="{00000000-0005-0000-0000-0000C9A30000}"/>
    <cellStyle name="Note 3 3 3 3 2 2" xfId="41800" xr:uid="{00000000-0005-0000-0000-0000CAA30000}"/>
    <cellStyle name="Note 3 3 3 3 3" xfId="41801" xr:uid="{00000000-0005-0000-0000-0000CBA30000}"/>
    <cellStyle name="Note 3 3 3 4" xfId="41802" xr:uid="{00000000-0005-0000-0000-0000CCA30000}"/>
    <cellStyle name="Note 3 3 3 4 2" xfId="41803" xr:uid="{00000000-0005-0000-0000-0000CDA30000}"/>
    <cellStyle name="Note 3 3 3 4 2 2" xfId="41804" xr:uid="{00000000-0005-0000-0000-0000CEA30000}"/>
    <cellStyle name="Note 3 3 3 4 3" xfId="41805" xr:uid="{00000000-0005-0000-0000-0000CFA30000}"/>
    <cellStyle name="Note 3 3 3 5" xfId="41806" xr:uid="{00000000-0005-0000-0000-0000D0A30000}"/>
    <cellStyle name="Note 3 3 3 5 2" xfId="41807" xr:uid="{00000000-0005-0000-0000-0000D1A30000}"/>
    <cellStyle name="Note 3 3 3 5 2 2" xfId="41808" xr:uid="{00000000-0005-0000-0000-0000D2A30000}"/>
    <cellStyle name="Note 3 3 3 5 3" xfId="41809" xr:uid="{00000000-0005-0000-0000-0000D3A30000}"/>
    <cellStyle name="Note 3 3 3 6" xfId="41810" xr:uid="{00000000-0005-0000-0000-0000D4A30000}"/>
    <cellStyle name="Note 3 3 4" xfId="41811" xr:uid="{00000000-0005-0000-0000-0000D5A30000}"/>
    <cellStyle name="Note 3 3 4 2" xfId="41812" xr:uid="{00000000-0005-0000-0000-0000D6A30000}"/>
    <cellStyle name="Note 3 3 4 2 2" xfId="41813" xr:uid="{00000000-0005-0000-0000-0000D7A30000}"/>
    <cellStyle name="Note 3 3 4 3" xfId="41814" xr:uid="{00000000-0005-0000-0000-0000D8A30000}"/>
    <cellStyle name="Note 3 3 5" xfId="41815" xr:uid="{00000000-0005-0000-0000-0000D9A30000}"/>
    <cellStyle name="Note 3 3 5 2" xfId="41816" xr:uid="{00000000-0005-0000-0000-0000DAA30000}"/>
    <cellStyle name="Note 3 3 5 2 2" xfId="41817" xr:uid="{00000000-0005-0000-0000-0000DBA30000}"/>
    <cellStyle name="Note 3 3 5 3" xfId="41818" xr:uid="{00000000-0005-0000-0000-0000DCA30000}"/>
    <cellStyle name="Note 3 3 6" xfId="41819" xr:uid="{00000000-0005-0000-0000-0000DDA30000}"/>
    <cellStyle name="Note 3 3 6 2" xfId="41820" xr:uid="{00000000-0005-0000-0000-0000DEA30000}"/>
    <cellStyle name="Note 3 3 6 2 2" xfId="41821" xr:uid="{00000000-0005-0000-0000-0000DFA30000}"/>
    <cellStyle name="Note 3 3 6 3" xfId="41822" xr:uid="{00000000-0005-0000-0000-0000E0A30000}"/>
    <cellStyle name="Note 3 3 7" xfId="41823" xr:uid="{00000000-0005-0000-0000-0000E1A30000}"/>
    <cellStyle name="Note 3 4" xfId="41824" xr:uid="{00000000-0005-0000-0000-0000E2A30000}"/>
    <cellStyle name="Note 3 4 2" xfId="41825" xr:uid="{00000000-0005-0000-0000-0000E3A30000}"/>
    <cellStyle name="Note 3 4 2 2" xfId="41826" xr:uid="{00000000-0005-0000-0000-0000E4A30000}"/>
    <cellStyle name="Note 3 4 2 2 2" xfId="41827" xr:uid="{00000000-0005-0000-0000-0000E5A30000}"/>
    <cellStyle name="Note 3 4 2 2 2 2" xfId="41828" xr:uid="{00000000-0005-0000-0000-0000E6A30000}"/>
    <cellStyle name="Note 3 4 2 2 2 2 2" xfId="41829" xr:uid="{00000000-0005-0000-0000-0000E7A30000}"/>
    <cellStyle name="Note 3 4 2 2 2 3" xfId="41830" xr:uid="{00000000-0005-0000-0000-0000E8A30000}"/>
    <cellStyle name="Note 3 4 2 2 3" xfId="41831" xr:uid="{00000000-0005-0000-0000-0000E9A30000}"/>
    <cellStyle name="Note 3 4 2 2 3 2" xfId="41832" xr:uid="{00000000-0005-0000-0000-0000EAA30000}"/>
    <cellStyle name="Note 3 4 2 2 4" xfId="41833" xr:uid="{00000000-0005-0000-0000-0000EBA30000}"/>
    <cellStyle name="Note 3 4 2 3" xfId="41834" xr:uid="{00000000-0005-0000-0000-0000ECA30000}"/>
    <cellStyle name="Note 3 4 2 3 2" xfId="41835" xr:uid="{00000000-0005-0000-0000-0000EDA30000}"/>
    <cellStyle name="Note 3 4 2 3 2 2" xfId="41836" xr:uid="{00000000-0005-0000-0000-0000EEA30000}"/>
    <cellStyle name="Note 3 4 2 3 3" xfId="41837" xr:uid="{00000000-0005-0000-0000-0000EFA30000}"/>
    <cellStyle name="Note 3 4 2 4" xfId="41838" xr:uid="{00000000-0005-0000-0000-0000F0A30000}"/>
    <cellStyle name="Note 3 4 2 4 2" xfId="41839" xr:uid="{00000000-0005-0000-0000-0000F1A30000}"/>
    <cellStyle name="Note 3 4 2 5" xfId="41840" xr:uid="{00000000-0005-0000-0000-0000F2A30000}"/>
    <cellStyle name="Note 3 4 3" xfId="41841" xr:uid="{00000000-0005-0000-0000-0000F3A30000}"/>
    <cellStyle name="Note 3 4 3 2" xfId="41842" xr:uid="{00000000-0005-0000-0000-0000F4A30000}"/>
    <cellStyle name="Note 3 4 3 2 2" xfId="41843" xr:uid="{00000000-0005-0000-0000-0000F5A30000}"/>
    <cellStyle name="Note 3 4 3 3" xfId="41844" xr:uid="{00000000-0005-0000-0000-0000F6A30000}"/>
    <cellStyle name="Note 3 4 4" xfId="41845" xr:uid="{00000000-0005-0000-0000-0000F7A30000}"/>
    <cellStyle name="Note 3 4 4 2" xfId="41846" xr:uid="{00000000-0005-0000-0000-0000F8A30000}"/>
    <cellStyle name="Note 3 4 4 2 2" xfId="41847" xr:uid="{00000000-0005-0000-0000-0000F9A30000}"/>
    <cellStyle name="Note 3 4 4 3" xfId="41848" xr:uid="{00000000-0005-0000-0000-0000FAA30000}"/>
    <cellStyle name="Note 3 4 5" xfId="41849" xr:uid="{00000000-0005-0000-0000-0000FBA30000}"/>
    <cellStyle name="Note 3 4 5 2" xfId="41850" xr:uid="{00000000-0005-0000-0000-0000FCA30000}"/>
    <cellStyle name="Note 3 4 5 2 2" xfId="41851" xr:uid="{00000000-0005-0000-0000-0000FDA30000}"/>
    <cellStyle name="Note 3 4 5 2 2 2" xfId="41852" xr:uid="{00000000-0005-0000-0000-0000FEA30000}"/>
    <cellStyle name="Note 3 4 5 2 3" xfId="41853" xr:uid="{00000000-0005-0000-0000-0000FFA30000}"/>
    <cellStyle name="Note 3 4 5 3" xfId="41854" xr:uid="{00000000-0005-0000-0000-000000A40000}"/>
    <cellStyle name="Note 3 4 5 3 2" xfId="41855" xr:uid="{00000000-0005-0000-0000-000001A40000}"/>
    <cellStyle name="Note 3 4 5 4" xfId="41856" xr:uid="{00000000-0005-0000-0000-000002A40000}"/>
    <cellStyle name="Note 3 4 6" xfId="41857" xr:uid="{00000000-0005-0000-0000-000003A40000}"/>
    <cellStyle name="Note 3 4 6 2" xfId="41858" xr:uid="{00000000-0005-0000-0000-000004A40000}"/>
    <cellStyle name="Note 3 4 6 2 2" xfId="41859" xr:uid="{00000000-0005-0000-0000-000005A40000}"/>
    <cellStyle name="Note 3 4 6 3" xfId="41860" xr:uid="{00000000-0005-0000-0000-000006A40000}"/>
    <cellStyle name="Note 3 4 7" xfId="41861" xr:uid="{00000000-0005-0000-0000-000007A40000}"/>
    <cellStyle name="Note 3 4 7 2" xfId="41862" xr:uid="{00000000-0005-0000-0000-000008A40000}"/>
    <cellStyle name="Note 3 4 8" xfId="41863" xr:uid="{00000000-0005-0000-0000-000009A40000}"/>
    <cellStyle name="Note 3 5" xfId="41864" xr:uid="{00000000-0005-0000-0000-00000AA40000}"/>
    <cellStyle name="Note 3 5 2" xfId="41865" xr:uid="{00000000-0005-0000-0000-00000BA40000}"/>
    <cellStyle name="Note 3 5 2 2" xfId="41866" xr:uid="{00000000-0005-0000-0000-00000CA40000}"/>
    <cellStyle name="Note 3 5 2 2 2" xfId="41867" xr:uid="{00000000-0005-0000-0000-00000DA40000}"/>
    <cellStyle name="Note 3 5 2 3" xfId="41868" xr:uid="{00000000-0005-0000-0000-00000EA40000}"/>
    <cellStyle name="Note 3 5 3" xfId="41869" xr:uid="{00000000-0005-0000-0000-00000FA40000}"/>
    <cellStyle name="Note 3 5 3 2" xfId="41870" xr:uid="{00000000-0005-0000-0000-000010A40000}"/>
    <cellStyle name="Note 3 5 3 2 2" xfId="41871" xr:uid="{00000000-0005-0000-0000-000011A40000}"/>
    <cellStyle name="Note 3 5 3 3" xfId="41872" xr:uid="{00000000-0005-0000-0000-000012A40000}"/>
    <cellStyle name="Note 3 5 4" xfId="41873" xr:uid="{00000000-0005-0000-0000-000013A40000}"/>
    <cellStyle name="Note 3 5 4 2" xfId="41874" xr:uid="{00000000-0005-0000-0000-000014A40000}"/>
    <cellStyle name="Note 3 5 4 2 2" xfId="41875" xr:uid="{00000000-0005-0000-0000-000015A40000}"/>
    <cellStyle name="Note 3 5 4 3" xfId="41876" xr:uid="{00000000-0005-0000-0000-000016A40000}"/>
    <cellStyle name="Note 3 5 5" xfId="41877" xr:uid="{00000000-0005-0000-0000-000017A40000}"/>
    <cellStyle name="Note 3 5 5 2" xfId="41878" xr:uid="{00000000-0005-0000-0000-000018A40000}"/>
    <cellStyle name="Note 3 5 6" xfId="41879" xr:uid="{00000000-0005-0000-0000-000019A40000}"/>
    <cellStyle name="Note 3 6" xfId="41880" xr:uid="{00000000-0005-0000-0000-00001AA40000}"/>
    <cellStyle name="Note 3 6 2" xfId="41881" xr:uid="{00000000-0005-0000-0000-00001BA40000}"/>
    <cellStyle name="Note 3 6 2 2" xfId="41882" xr:uid="{00000000-0005-0000-0000-00001CA40000}"/>
    <cellStyle name="Note 3 6 2 2 2" xfId="41883" xr:uid="{00000000-0005-0000-0000-00001DA40000}"/>
    <cellStyle name="Note 3 6 2 2 2 2" xfId="41884" xr:uid="{00000000-0005-0000-0000-00001EA40000}"/>
    <cellStyle name="Note 3 6 2 2 3" xfId="41885" xr:uid="{00000000-0005-0000-0000-00001FA40000}"/>
    <cellStyle name="Note 3 6 2 3" xfId="41886" xr:uid="{00000000-0005-0000-0000-000020A40000}"/>
    <cellStyle name="Note 3 6 2 3 2" xfId="41887" xr:uid="{00000000-0005-0000-0000-000021A40000}"/>
    <cellStyle name="Note 3 6 2 3 2 2" xfId="41888" xr:uid="{00000000-0005-0000-0000-000022A40000}"/>
    <cellStyle name="Note 3 6 2 3 3" xfId="41889" xr:uid="{00000000-0005-0000-0000-000023A40000}"/>
    <cellStyle name="Note 3 6 2 4" xfId="41890" xr:uid="{00000000-0005-0000-0000-000024A40000}"/>
    <cellStyle name="Note 3 6 2 4 2" xfId="41891" xr:uid="{00000000-0005-0000-0000-000025A40000}"/>
    <cellStyle name="Note 3 6 2 5" xfId="41892" xr:uid="{00000000-0005-0000-0000-000026A40000}"/>
    <cellStyle name="Note 3 6 3" xfId="41893" xr:uid="{00000000-0005-0000-0000-000027A40000}"/>
    <cellStyle name="Note 3 6 3 2" xfId="41894" xr:uid="{00000000-0005-0000-0000-000028A40000}"/>
    <cellStyle name="Note 3 6 3 2 2" xfId="41895" xr:uid="{00000000-0005-0000-0000-000029A40000}"/>
    <cellStyle name="Note 3 6 3 2 2 2" xfId="41896" xr:uid="{00000000-0005-0000-0000-00002AA40000}"/>
    <cellStyle name="Note 3 6 3 2 3" xfId="41897" xr:uid="{00000000-0005-0000-0000-00002BA40000}"/>
    <cellStyle name="Note 3 6 3 3" xfId="41898" xr:uid="{00000000-0005-0000-0000-00002CA40000}"/>
    <cellStyle name="Note 3 6 3 3 2" xfId="41899" xr:uid="{00000000-0005-0000-0000-00002DA40000}"/>
    <cellStyle name="Note 3 6 3 4" xfId="41900" xr:uid="{00000000-0005-0000-0000-00002EA40000}"/>
    <cellStyle name="Note 3 6 4" xfId="41901" xr:uid="{00000000-0005-0000-0000-00002FA40000}"/>
    <cellStyle name="Note 3 6 4 2" xfId="41902" xr:uid="{00000000-0005-0000-0000-000030A40000}"/>
    <cellStyle name="Note 3 6 4 2 2" xfId="41903" xr:uid="{00000000-0005-0000-0000-000031A40000}"/>
    <cellStyle name="Note 3 6 4 3" xfId="41904" xr:uid="{00000000-0005-0000-0000-000032A40000}"/>
    <cellStyle name="Note 3 6 5" xfId="41905" xr:uid="{00000000-0005-0000-0000-000033A40000}"/>
    <cellStyle name="Note 3 6 5 2" xfId="41906" xr:uid="{00000000-0005-0000-0000-000034A40000}"/>
    <cellStyle name="Note 3 6 5 2 2" xfId="41907" xr:uid="{00000000-0005-0000-0000-000035A40000}"/>
    <cellStyle name="Note 3 6 5 3" xfId="41908" xr:uid="{00000000-0005-0000-0000-000036A40000}"/>
    <cellStyle name="Note 3 6 6" xfId="41909" xr:uid="{00000000-0005-0000-0000-000037A40000}"/>
    <cellStyle name="Note 3 6 6 2" xfId="41910" xr:uid="{00000000-0005-0000-0000-000038A40000}"/>
    <cellStyle name="Note 3 6 7" xfId="41911" xr:uid="{00000000-0005-0000-0000-000039A40000}"/>
    <cellStyle name="Note 3 7" xfId="41912" xr:uid="{00000000-0005-0000-0000-00003AA40000}"/>
    <cellStyle name="Note 3 7 2" xfId="41913" xr:uid="{00000000-0005-0000-0000-00003BA40000}"/>
    <cellStyle name="Note 3 7 2 2" xfId="41914" xr:uid="{00000000-0005-0000-0000-00003CA40000}"/>
    <cellStyle name="Note 3 7 2 2 2" xfId="41915" xr:uid="{00000000-0005-0000-0000-00003DA40000}"/>
    <cellStyle name="Note 3 7 2 2 2 2" xfId="41916" xr:uid="{00000000-0005-0000-0000-00003EA40000}"/>
    <cellStyle name="Note 3 7 2 2 2 2 2" xfId="41917" xr:uid="{00000000-0005-0000-0000-00003FA40000}"/>
    <cellStyle name="Note 3 7 2 2 2 2 2 2" xfId="41918" xr:uid="{00000000-0005-0000-0000-000040A40000}"/>
    <cellStyle name="Note 3 7 2 2 2 2 3" xfId="41919" xr:uid="{00000000-0005-0000-0000-000041A40000}"/>
    <cellStyle name="Note 3 7 2 2 2 3" xfId="41920" xr:uid="{00000000-0005-0000-0000-000042A40000}"/>
    <cellStyle name="Note 3 7 2 2 2 3 2" xfId="41921" xr:uid="{00000000-0005-0000-0000-000043A40000}"/>
    <cellStyle name="Note 3 7 2 2 2 4" xfId="41922" xr:uid="{00000000-0005-0000-0000-000044A40000}"/>
    <cellStyle name="Note 3 7 2 2 3" xfId="41923" xr:uid="{00000000-0005-0000-0000-000045A40000}"/>
    <cellStyle name="Note 3 7 2 2 3 2" xfId="41924" xr:uid="{00000000-0005-0000-0000-000046A40000}"/>
    <cellStyle name="Note 3 7 2 2 3 2 2" xfId="41925" xr:uid="{00000000-0005-0000-0000-000047A40000}"/>
    <cellStyle name="Note 3 7 2 2 3 3" xfId="41926" xr:uid="{00000000-0005-0000-0000-000048A40000}"/>
    <cellStyle name="Note 3 7 2 2 4" xfId="41927" xr:uid="{00000000-0005-0000-0000-000049A40000}"/>
    <cellStyle name="Note 3 7 2 2 4 2" xfId="41928" xr:uid="{00000000-0005-0000-0000-00004AA40000}"/>
    <cellStyle name="Note 3 7 2 2 5" xfId="41929" xr:uid="{00000000-0005-0000-0000-00004BA40000}"/>
    <cellStyle name="Note 3 7 2 3" xfId="41930" xr:uid="{00000000-0005-0000-0000-00004CA40000}"/>
    <cellStyle name="Note 3 7 2 3 2" xfId="41931" xr:uid="{00000000-0005-0000-0000-00004DA40000}"/>
    <cellStyle name="Note 3 7 2 3 2 2" xfId="41932" xr:uid="{00000000-0005-0000-0000-00004EA40000}"/>
    <cellStyle name="Note 3 7 2 3 3" xfId="41933" xr:uid="{00000000-0005-0000-0000-00004FA40000}"/>
    <cellStyle name="Note 3 7 2 4" xfId="41934" xr:uid="{00000000-0005-0000-0000-000050A40000}"/>
    <cellStyle name="Note 3 7 2 4 2" xfId="41935" xr:uid="{00000000-0005-0000-0000-000051A40000}"/>
    <cellStyle name="Note 3 7 2 4 2 2" xfId="41936" xr:uid="{00000000-0005-0000-0000-000052A40000}"/>
    <cellStyle name="Note 3 7 2 4 2 2 2" xfId="41937" xr:uid="{00000000-0005-0000-0000-000053A40000}"/>
    <cellStyle name="Note 3 7 2 4 2 3" xfId="41938" xr:uid="{00000000-0005-0000-0000-000054A40000}"/>
    <cellStyle name="Note 3 7 2 4 3" xfId="41939" xr:uid="{00000000-0005-0000-0000-000055A40000}"/>
    <cellStyle name="Note 3 7 2 4 3 2" xfId="41940" xr:uid="{00000000-0005-0000-0000-000056A40000}"/>
    <cellStyle name="Note 3 7 2 4 4" xfId="41941" xr:uid="{00000000-0005-0000-0000-000057A40000}"/>
    <cellStyle name="Note 3 7 2 5" xfId="41942" xr:uid="{00000000-0005-0000-0000-000058A40000}"/>
    <cellStyle name="Note 3 7 2 5 2" xfId="41943" xr:uid="{00000000-0005-0000-0000-000059A40000}"/>
    <cellStyle name="Note 3 7 2 5 2 2" xfId="41944" xr:uid="{00000000-0005-0000-0000-00005AA40000}"/>
    <cellStyle name="Note 3 7 2 5 3" xfId="41945" xr:uid="{00000000-0005-0000-0000-00005BA40000}"/>
    <cellStyle name="Note 3 7 2 6" xfId="41946" xr:uid="{00000000-0005-0000-0000-00005CA40000}"/>
    <cellStyle name="Note 3 7 2 6 2" xfId="41947" xr:uid="{00000000-0005-0000-0000-00005DA40000}"/>
    <cellStyle name="Note 3 7 2 7" xfId="41948" xr:uid="{00000000-0005-0000-0000-00005EA40000}"/>
    <cellStyle name="Note 3 7 3" xfId="41949" xr:uid="{00000000-0005-0000-0000-00005FA40000}"/>
    <cellStyle name="Note 3 7 3 2" xfId="41950" xr:uid="{00000000-0005-0000-0000-000060A40000}"/>
    <cellStyle name="Note 3 7 3 2 2" xfId="41951" xr:uid="{00000000-0005-0000-0000-000061A40000}"/>
    <cellStyle name="Note 3 7 3 2 2 2" xfId="41952" xr:uid="{00000000-0005-0000-0000-000062A40000}"/>
    <cellStyle name="Note 3 7 3 2 2 2 2" xfId="41953" xr:uid="{00000000-0005-0000-0000-000063A40000}"/>
    <cellStyle name="Note 3 7 3 2 2 2 2 2" xfId="41954" xr:uid="{00000000-0005-0000-0000-000064A40000}"/>
    <cellStyle name="Note 3 7 3 2 2 2 3" xfId="41955" xr:uid="{00000000-0005-0000-0000-000065A40000}"/>
    <cellStyle name="Note 3 7 3 2 2 3" xfId="41956" xr:uid="{00000000-0005-0000-0000-000066A40000}"/>
    <cellStyle name="Note 3 7 3 2 2 3 2" xfId="41957" xr:uid="{00000000-0005-0000-0000-000067A40000}"/>
    <cellStyle name="Note 3 7 3 2 2 4" xfId="41958" xr:uid="{00000000-0005-0000-0000-000068A40000}"/>
    <cellStyle name="Note 3 7 3 2 3" xfId="41959" xr:uid="{00000000-0005-0000-0000-000069A40000}"/>
    <cellStyle name="Note 3 7 3 2 3 2" xfId="41960" xr:uid="{00000000-0005-0000-0000-00006AA40000}"/>
    <cellStyle name="Note 3 7 3 2 3 2 2" xfId="41961" xr:uid="{00000000-0005-0000-0000-00006BA40000}"/>
    <cellStyle name="Note 3 7 3 2 3 3" xfId="41962" xr:uid="{00000000-0005-0000-0000-00006CA40000}"/>
    <cellStyle name="Note 3 7 3 2 4" xfId="41963" xr:uid="{00000000-0005-0000-0000-00006DA40000}"/>
    <cellStyle name="Note 3 7 3 2 4 2" xfId="41964" xr:uid="{00000000-0005-0000-0000-00006EA40000}"/>
    <cellStyle name="Note 3 7 3 2 5" xfId="41965" xr:uid="{00000000-0005-0000-0000-00006FA40000}"/>
    <cellStyle name="Note 3 7 3 3" xfId="41966" xr:uid="{00000000-0005-0000-0000-000070A40000}"/>
    <cellStyle name="Note 3 7 3 3 2" xfId="41967" xr:uid="{00000000-0005-0000-0000-000071A40000}"/>
    <cellStyle name="Note 3 7 3 3 2 2" xfId="41968" xr:uid="{00000000-0005-0000-0000-000072A40000}"/>
    <cellStyle name="Note 3 7 3 3 2 2 2" xfId="41969" xr:uid="{00000000-0005-0000-0000-000073A40000}"/>
    <cellStyle name="Note 3 7 3 3 2 3" xfId="41970" xr:uid="{00000000-0005-0000-0000-000074A40000}"/>
    <cellStyle name="Note 3 7 3 3 3" xfId="41971" xr:uid="{00000000-0005-0000-0000-000075A40000}"/>
    <cellStyle name="Note 3 7 3 3 3 2" xfId="41972" xr:uid="{00000000-0005-0000-0000-000076A40000}"/>
    <cellStyle name="Note 3 7 3 3 4" xfId="41973" xr:uid="{00000000-0005-0000-0000-000077A40000}"/>
    <cellStyle name="Note 3 7 3 4" xfId="41974" xr:uid="{00000000-0005-0000-0000-000078A40000}"/>
    <cellStyle name="Note 3 7 3 4 2" xfId="41975" xr:uid="{00000000-0005-0000-0000-000079A40000}"/>
    <cellStyle name="Note 3 7 3 4 2 2" xfId="41976" xr:uid="{00000000-0005-0000-0000-00007AA40000}"/>
    <cellStyle name="Note 3 7 3 4 3" xfId="41977" xr:uid="{00000000-0005-0000-0000-00007BA40000}"/>
    <cellStyle name="Note 3 7 3 5" xfId="41978" xr:uid="{00000000-0005-0000-0000-00007CA40000}"/>
    <cellStyle name="Note 3 7 3 5 2" xfId="41979" xr:uid="{00000000-0005-0000-0000-00007DA40000}"/>
    <cellStyle name="Note 3 7 3 6" xfId="41980" xr:uid="{00000000-0005-0000-0000-00007EA40000}"/>
    <cellStyle name="Note 3 7 4" xfId="41981" xr:uid="{00000000-0005-0000-0000-00007FA40000}"/>
    <cellStyle name="Note 3 7 4 2" xfId="41982" xr:uid="{00000000-0005-0000-0000-000080A40000}"/>
    <cellStyle name="Note 3 7 4 2 2" xfId="41983" xr:uid="{00000000-0005-0000-0000-000081A40000}"/>
    <cellStyle name="Note 3 7 4 3" xfId="41984" xr:uid="{00000000-0005-0000-0000-000082A40000}"/>
    <cellStyle name="Note 3 7 5" xfId="41985" xr:uid="{00000000-0005-0000-0000-000083A40000}"/>
    <cellStyle name="Note 3 7 5 2" xfId="41986" xr:uid="{00000000-0005-0000-0000-000084A40000}"/>
    <cellStyle name="Note 3 7 5 2 2" xfId="41987" xr:uid="{00000000-0005-0000-0000-000085A40000}"/>
    <cellStyle name="Note 3 7 5 2 2 2" xfId="41988" xr:uid="{00000000-0005-0000-0000-000086A40000}"/>
    <cellStyle name="Note 3 7 5 2 3" xfId="41989" xr:uid="{00000000-0005-0000-0000-000087A40000}"/>
    <cellStyle name="Note 3 7 5 3" xfId="41990" xr:uid="{00000000-0005-0000-0000-000088A40000}"/>
    <cellStyle name="Note 3 7 5 3 2" xfId="41991" xr:uid="{00000000-0005-0000-0000-000089A40000}"/>
    <cellStyle name="Note 3 7 5 4" xfId="41992" xr:uid="{00000000-0005-0000-0000-00008AA40000}"/>
    <cellStyle name="Note 3 7 6" xfId="41993" xr:uid="{00000000-0005-0000-0000-00008BA40000}"/>
    <cellStyle name="Note 3 7 6 2" xfId="41994" xr:uid="{00000000-0005-0000-0000-00008CA40000}"/>
    <cellStyle name="Note 3 7 6 2 2" xfId="41995" xr:uid="{00000000-0005-0000-0000-00008DA40000}"/>
    <cellStyle name="Note 3 7 6 3" xfId="41996" xr:uid="{00000000-0005-0000-0000-00008EA40000}"/>
    <cellStyle name="Note 3 7 7" xfId="41997" xr:uid="{00000000-0005-0000-0000-00008FA40000}"/>
    <cellStyle name="Note 3 7 7 2" xfId="41998" xr:uid="{00000000-0005-0000-0000-000090A40000}"/>
    <cellStyle name="Note 3 7 8" xfId="41999" xr:uid="{00000000-0005-0000-0000-000091A40000}"/>
    <cellStyle name="Note 3 8" xfId="42000" xr:uid="{00000000-0005-0000-0000-000092A40000}"/>
    <cellStyle name="Note 3 8 2" xfId="42001" xr:uid="{00000000-0005-0000-0000-000093A40000}"/>
    <cellStyle name="Note 3 8 2 2" xfId="42002" xr:uid="{00000000-0005-0000-0000-000094A40000}"/>
    <cellStyle name="Note 3 8 2 2 2" xfId="42003" xr:uid="{00000000-0005-0000-0000-000095A40000}"/>
    <cellStyle name="Note 3 8 2 3" xfId="42004" xr:uid="{00000000-0005-0000-0000-000096A40000}"/>
    <cellStyle name="Note 3 8 3" xfId="42005" xr:uid="{00000000-0005-0000-0000-000097A40000}"/>
    <cellStyle name="Note 3 8 3 2" xfId="42006" xr:uid="{00000000-0005-0000-0000-000098A40000}"/>
    <cellStyle name="Note 3 8 4" xfId="42007" xr:uid="{00000000-0005-0000-0000-000099A40000}"/>
    <cellStyle name="Note 3 9" xfId="42008" xr:uid="{00000000-0005-0000-0000-00009AA40000}"/>
    <cellStyle name="Note 3 9 2" xfId="42009" xr:uid="{00000000-0005-0000-0000-00009BA40000}"/>
    <cellStyle name="Note 3 9 2 2" xfId="42010" xr:uid="{00000000-0005-0000-0000-00009CA40000}"/>
    <cellStyle name="Note 3 9 3" xfId="42011" xr:uid="{00000000-0005-0000-0000-00009DA40000}"/>
    <cellStyle name="Note 4" xfId="42012" xr:uid="{00000000-0005-0000-0000-00009EA40000}"/>
    <cellStyle name="Note 4 10" xfId="42013" xr:uid="{00000000-0005-0000-0000-00009FA40000}"/>
    <cellStyle name="Note 4 2" xfId="42014" xr:uid="{00000000-0005-0000-0000-0000A0A40000}"/>
    <cellStyle name="Note 4 2 2" xfId="42015" xr:uid="{00000000-0005-0000-0000-0000A1A40000}"/>
    <cellStyle name="Note 4 2 2 2" xfId="42016" xr:uid="{00000000-0005-0000-0000-0000A2A40000}"/>
    <cellStyle name="Note 4 2 2 2 2" xfId="42017" xr:uid="{00000000-0005-0000-0000-0000A3A40000}"/>
    <cellStyle name="Note 4 2 2 2 2 2" xfId="42018" xr:uid="{00000000-0005-0000-0000-0000A4A40000}"/>
    <cellStyle name="Note 4 2 2 2 3" xfId="42019" xr:uid="{00000000-0005-0000-0000-0000A5A40000}"/>
    <cellStyle name="Note 4 2 2 3" xfId="42020" xr:uid="{00000000-0005-0000-0000-0000A6A40000}"/>
    <cellStyle name="Note 4 2 2 3 2" xfId="42021" xr:uid="{00000000-0005-0000-0000-0000A7A40000}"/>
    <cellStyle name="Note 4 2 2 3 2 2" xfId="42022" xr:uid="{00000000-0005-0000-0000-0000A8A40000}"/>
    <cellStyle name="Note 4 2 2 3 3" xfId="42023" xr:uid="{00000000-0005-0000-0000-0000A9A40000}"/>
    <cellStyle name="Note 4 2 2 4" xfId="42024" xr:uid="{00000000-0005-0000-0000-0000AAA40000}"/>
    <cellStyle name="Note 4 2 2 4 2" xfId="42025" xr:uid="{00000000-0005-0000-0000-0000ABA40000}"/>
    <cellStyle name="Note 4 2 2 4 2 2" xfId="42026" xr:uid="{00000000-0005-0000-0000-0000ACA40000}"/>
    <cellStyle name="Note 4 2 2 4 3" xfId="42027" xr:uid="{00000000-0005-0000-0000-0000ADA40000}"/>
    <cellStyle name="Note 4 2 2 5" xfId="42028" xr:uid="{00000000-0005-0000-0000-0000AEA40000}"/>
    <cellStyle name="Note 4 2 2 5 2" xfId="42029" xr:uid="{00000000-0005-0000-0000-0000AFA40000}"/>
    <cellStyle name="Note 4 2 2 6" xfId="42030" xr:uid="{00000000-0005-0000-0000-0000B0A40000}"/>
    <cellStyle name="Note 4 2 3" xfId="42031" xr:uid="{00000000-0005-0000-0000-0000B1A40000}"/>
    <cellStyle name="Note 4 2 3 2" xfId="42032" xr:uid="{00000000-0005-0000-0000-0000B2A40000}"/>
    <cellStyle name="Note 4 2 3 2 2" xfId="42033" xr:uid="{00000000-0005-0000-0000-0000B3A40000}"/>
    <cellStyle name="Note 4 2 3 2 2 2" xfId="42034" xr:uid="{00000000-0005-0000-0000-0000B4A40000}"/>
    <cellStyle name="Note 4 2 3 2 2 2 2" xfId="42035" xr:uid="{00000000-0005-0000-0000-0000B5A40000}"/>
    <cellStyle name="Note 4 2 3 2 2 3" xfId="42036" xr:uid="{00000000-0005-0000-0000-0000B6A40000}"/>
    <cellStyle name="Note 4 2 3 2 3" xfId="42037" xr:uid="{00000000-0005-0000-0000-0000B7A40000}"/>
    <cellStyle name="Note 4 2 3 2 3 2" xfId="42038" xr:uid="{00000000-0005-0000-0000-0000B8A40000}"/>
    <cellStyle name="Note 4 2 3 2 3 2 2" xfId="42039" xr:uid="{00000000-0005-0000-0000-0000B9A40000}"/>
    <cellStyle name="Note 4 2 3 2 3 3" xfId="42040" xr:uid="{00000000-0005-0000-0000-0000BAA40000}"/>
    <cellStyle name="Note 4 2 3 2 4" xfId="42041" xr:uid="{00000000-0005-0000-0000-0000BBA40000}"/>
    <cellStyle name="Note 4 2 3 2 4 2" xfId="42042" xr:uid="{00000000-0005-0000-0000-0000BCA40000}"/>
    <cellStyle name="Note 4 2 3 2 5" xfId="42043" xr:uid="{00000000-0005-0000-0000-0000BDA40000}"/>
    <cellStyle name="Note 4 2 3 3" xfId="42044" xr:uid="{00000000-0005-0000-0000-0000BEA40000}"/>
    <cellStyle name="Note 4 2 3 3 2" xfId="42045" xr:uid="{00000000-0005-0000-0000-0000BFA40000}"/>
    <cellStyle name="Note 4 2 3 3 2 2" xfId="42046" xr:uid="{00000000-0005-0000-0000-0000C0A40000}"/>
    <cellStyle name="Note 4 2 3 3 2 2 2" xfId="42047" xr:uid="{00000000-0005-0000-0000-0000C1A40000}"/>
    <cellStyle name="Note 4 2 3 3 2 3" xfId="42048" xr:uid="{00000000-0005-0000-0000-0000C2A40000}"/>
    <cellStyle name="Note 4 2 3 3 3" xfId="42049" xr:uid="{00000000-0005-0000-0000-0000C3A40000}"/>
    <cellStyle name="Note 4 2 3 3 3 2" xfId="42050" xr:uid="{00000000-0005-0000-0000-0000C4A40000}"/>
    <cellStyle name="Note 4 2 3 3 4" xfId="42051" xr:uid="{00000000-0005-0000-0000-0000C5A40000}"/>
    <cellStyle name="Note 4 2 3 4" xfId="42052" xr:uid="{00000000-0005-0000-0000-0000C6A40000}"/>
    <cellStyle name="Note 4 2 3 4 2" xfId="42053" xr:uid="{00000000-0005-0000-0000-0000C7A40000}"/>
    <cellStyle name="Note 4 2 3 4 2 2" xfId="42054" xr:uid="{00000000-0005-0000-0000-0000C8A40000}"/>
    <cellStyle name="Note 4 2 3 4 3" xfId="42055" xr:uid="{00000000-0005-0000-0000-0000C9A40000}"/>
    <cellStyle name="Note 4 2 3 5" xfId="42056" xr:uid="{00000000-0005-0000-0000-0000CAA40000}"/>
    <cellStyle name="Note 4 2 3 5 2" xfId="42057" xr:uid="{00000000-0005-0000-0000-0000CBA40000}"/>
    <cellStyle name="Note 4 2 3 5 2 2" xfId="42058" xr:uid="{00000000-0005-0000-0000-0000CCA40000}"/>
    <cellStyle name="Note 4 2 3 5 3" xfId="42059" xr:uid="{00000000-0005-0000-0000-0000CDA40000}"/>
    <cellStyle name="Note 4 2 3 6" xfId="42060" xr:uid="{00000000-0005-0000-0000-0000CEA40000}"/>
    <cellStyle name="Note 4 2 3 6 2" xfId="42061" xr:uid="{00000000-0005-0000-0000-0000CFA40000}"/>
    <cellStyle name="Note 4 2 3 7" xfId="42062" xr:uid="{00000000-0005-0000-0000-0000D0A40000}"/>
    <cellStyle name="Note 4 2 4" xfId="42063" xr:uid="{00000000-0005-0000-0000-0000D1A40000}"/>
    <cellStyle name="Note 4 2 4 2" xfId="42064" xr:uid="{00000000-0005-0000-0000-0000D2A40000}"/>
    <cellStyle name="Note 4 2 4 2 2" xfId="42065" xr:uid="{00000000-0005-0000-0000-0000D3A40000}"/>
    <cellStyle name="Note 4 2 4 2 2 2" xfId="42066" xr:uid="{00000000-0005-0000-0000-0000D4A40000}"/>
    <cellStyle name="Note 4 2 4 2 3" xfId="42067" xr:uid="{00000000-0005-0000-0000-0000D5A40000}"/>
    <cellStyle name="Note 4 2 4 3" xfId="42068" xr:uid="{00000000-0005-0000-0000-0000D6A40000}"/>
    <cellStyle name="Note 4 2 4 3 2" xfId="42069" xr:uid="{00000000-0005-0000-0000-0000D7A40000}"/>
    <cellStyle name="Note 4 2 4 4" xfId="42070" xr:uid="{00000000-0005-0000-0000-0000D8A40000}"/>
    <cellStyle name="Note 4 2 5" xfId="42071" xr:uid="{00000000-0005-0000-0000-0000D9A40000}"/>
    <cellStyle name="Note 4 2 5 2" xfId="42072" xr:uid="{00000000-0005-0000-0000-0000DAA40000}"/>
    <cellStyle name="Note 4 2 5 2 2" xfId="42073" xr:uid="{00000000-0005-0000-0000-0000DBA40000}"/>
    <cellStyle name="Note 4 2 5 3" xfId="42074" xr:uid="{00000000-0005-0000-0000-0000DCA40000}"/>
    <cellStyle name="Note 4 2 6" xfId="42075" xr:uid="{00000000-0005-0000-0000-0000DDA40000}"/>
    <cellStyle name="Note 4 2 6 2" xfId="42076" xr:uid="{00000000-0005-0000-0000-0000DEA40000}"/>
    <cellStyle name="Note 4 2 6 2 2" xfId="42077" xr:uid="{00000000-0005-0000-0000-0000DFA40000}"/>
    <cellStyle name="Note 4 2 6 3" xfId="42078" xr:uid="{00000000-0005-0000-0000-0000E0A40000}"/>
    <cellStyle name="Note 4 2 7" xfId="42079" xr:uid="{00000000-0005-0000-0000-0000E1A40000}"/>
    <cellStyle name="Note 4 2 7 2" xfId="42080" xr:uid="{00000000-0005-0000-0000-0000E2A40000}"/>
    <cellStyle name="Note 4 2 8" xfId="42081" xr:uid="{00000000-0005-0000-0000-0000E3A40000}"/>
    <cellStyle name="Note 4 3" xfId="42082" xr:uid="{00000000-0005-0000-0000-0000E4A40000}"/>
    <cellStyle name="Note 4 3 2" xfId="42083" xr:uid="{00000000-0005-0000-0000-0000E5A40000}"/>
    <cellStyle name="Note 4 3 2 2" xfId="42084" xr:uid="{00000000-0005-0000-0000-0000E6A40000}"/>
    <cellStyle name="Note 4 3 2 2 2" xfId="42085" xr:uid="{00000000-0005-0000-0000-0000E7A40000}"/>
    <cellStyle name="Note 4 3 2 3" xfId="42086" xr:uid="{00000000-0005-0000-0000-0000E8A40000}"/>
    <cellStyle name="Note 4 3 2 3 2" xfId="42087" xr:uid="{00000000-0005-0000-0000-0000E9A40000}"/>
    <cellStyle name="Note 4 3 2 3 2 2" xfId="42088" xr:uid="{00000000-0005-0000-0000-0000EAA40000}"/>
    <cellStyle name="Note 4 3 2 3 3" xfId="42089" xr:uid="{00000000-0005-0000-0000-0000EBA40000}"/>
    <cellStyle name="Note 4 3 2 4" xfId="42090" xr:uid="{00000000-0005-0000-0000-0000ECA40000}"/>
    <cellStyle name="Note 4 3 2 4 2" xfId="42091" xr:uid="{00000000-0005-0000-0000-0000EDA40000}"/>
    <cellStyle name="Note 4 3 2 4 2 2" xfId="42092" xr:uid="{00000000-0005-0000-0000-0000EEA40000}"/>
    <cellStyle name="Note 4 3 2 4 3" xfId="42093" xr:uid="{00000000-0005-0000-0000-0000EFA40000}"/>
    <cellStyle name="Note 4 3 2 5" xfId="42094" xr:uid="{00000000-0005-0000-0000-0000F0A40000}"/>
    <cellStyle name="Note 4 3 3" xfId="42095" xr:uid="{00000000-0005-0000-0000-0000F1A40000}"/>
    <cellStyle name="Note 4 3 3 2" xfId="42096" xr:uid="{00000000-0005-0000-0000-0000F2A40000}"/>
    <cellStyle name="Note 4 3 3 2 2" xfId="42097" xr:uid="{00000000-0005-0000-0000-0000F3A40000}"/>
    <cellStyle name="Note 4 3 3 2 2 2" xfId="42098" xr:uid="{00000000-0005-0000-0000-0000F4A40000}"/>
    <cellStyle name="Note 4 3 3 2 3" xfId="42099" xr:uid="{00000000-0005-0000-0000-0000F5A40000}"/>
    <cellStyle name="Note 4 3 3 2 3 2" xfId="42100" xr:uid="{00000000-0005-0000-0000-0000F6A40000}"/>
    <cellStyle name="Note 4 3 3 2 3 2 2" xfId="42101" xr:uid="{00000000-0005-0000-0000-0000F7A40000}"/>
    <cellStyle name="Note 4 3 3 2 3 3" xfId="42102" xr:uid="{00000000-0005-0000-0000-0000F8A40000}"/>
    <cellStyle name="Note 4 3 3 2 4" xfId="42103" xr:uid="{00000000-0005-0000-0000-0000F9A40000}"/>
    <cellStyle name="Note 4 3 3 3" xfId="42104" xr:uid="{00000000-0005-0000-0000-0000FAA40000}"/>
    <cellStyle name="Note 4 3 3 3 2" xfId="42105" xr:uid="{00000000-0005-0000-0000-0000FBA40000}"/>
    <cellStyle name="Note 4 3 3 3 2 2" xfId="42106" xr:uid="{00000000-0005-0000-0000-0000FCA40000}"/>
    <cellStyle name="Note 4 3 3 3 3" xfId="42107" xr:uid="{00000000-0005-0000-0000-0000FDA40000}"/>
    <cellStyle name="Note 4 3 3 4" xfId="42108" xr:uid="{00000000-0005-0000-0000-0000FEA40000}"/>
    <cellStyle name="Note 4 3 3 4 2" xfId="42109" xr:uid="{00000000-0005-0000-0000-0000FFA40000}"/>
    <cellStyle name="Note 4 3 3 4 2 2" xfId="42110" xr:uid="{00000000-0005-0000-0000-000000A50000}"/>
    <cellStyle name="Note 4 3 3 4 3" xfId="42111" xr:uid="{00000000-0005-0000-0000-000001A50000}"/>
    <cellStyle name="Note 4 3 3 5" xfId="42112" xr:uid="{00000000-0005-0000-0000-000002A50000}"/>
    <cellStyle name="Note 4 3 3 5 2" xfId="42113" xr:uid="{00000000-0005-0000-0000-000003A50000}"/>
    <cellStyle name="Note 4 3 3 5 2 2" xfId="42114" xr:uid="{00000000-0005-0000-0000-000004A50000}"/>
    <cellStyle name="Note 4 3 3 5 3" xfId="42115" xr:uid="{00000000-0005-0000-0000-000005A50000}"/>
    <cellStyle name="Note 4 3 3 6" xfId="42116" xr:uid="{00000000-0005-0000-0000-000006A50000}"/>
    <cellStyle name="Note 4 3 4" xfId="42117" xr:uid="{00000000-0005-0000-0000-000007A50000}"/>
    <cellStyle name="Note 4 3 4 2" xfId="42118" xr:uid="{00000000-0005-0000-0000-000008A50000}"/>
    <cellStyle name="Note 4 3 4 2 2" xfId="42119" xr:uid="{00000000-0005-0000-0000-000009A50000}"/>
    <cellStyle name="Note 4 3 4 3" xfId="42120" xr:uid="{00000000-0005-0000-0000-00000AA50000}"/>
    <cellStyle name="Note 4 3 5" xfId="42121" xr:uid="{00000000-0005-0000-0000-00000BA50000}"/>
    <cellStyle name="Note 4 3 5 2" xfId="42122" xr:uid="{00000000-0005-0000-0000-00000CA50000}"/>
    <cellStyle name="Note 4 3 5 2 2" xfId="42123" xr:uid="{00000000-0005-0000-0000-00000DA50000}"/>
    <cellStyle name="Note 4 3 5 3" xfId="42124" xr:uid="{00000000-0005-0000-0000-00000EA50000}"/>
    <cellStyle name="Note 4 3 6" xfId="42125" xr:uid="{00000000-0005-0000-0000-00000FA50000}"/>
    <cellStyle name="Note 4 3 6 2" xfId="42126" xr:uid="{00000000-0005-0000-0000-000010A50000}"/>
    <cellStyle name="Note 4 3 6 2 2" xfId="42127" xr:uid="{00000000-0005-0000-0000-000011A50000}"/>
    <cellStyle name="Note 4 3 6 3" xfId="42128" xr:uid="{00000000-0005-0000-0000-000012A50000}"/>
    <cellStyle name="Note 4 3 7" xfId="42129" xr:uid="{00000000-0005-0000-0000-000013A50000}"/>
    <cellStyle name="Note 4 4" xfId="42130" xr:uid="{00000000-0005-0000-0000-000014A50000}"/>
    <cellStyle name="Note 4 4 2" xfId="42131" xr:uid="{00000000-0005-0000-0000-000015A50000}"/>
    <cellStyle name="Note 4 4 2 2" xfId="42132" xr:uid="{00000000-0005-0000-0000-000016A50000}"/>
    <cellStyle name="Note 4 4 2 2 2" xfId="42133" xr:uid="{00000000-0005-0000-0000-000017A50000}"/>
    <cellStyle name="Note 4 4 2 3" xfId="42134" xr:uid="{00000000-0005-0000-0000-000018A50000}"/>
    <cellStyle name="Note 4 4 3" xfId="42135" xr:uid="{00000000-0005-0000-0000-000019A50000}"/>
    <cellStyle name="Note 4 4 3 2" xfId="42136" xr:uid="{00000000-0005-0000-0000-00001AA50000}"/>
    <cellStyle name="Note 4 4 3 2 2" xfId="42137" xr:uid="{00000000-0005-0000-0000-00001BA50000}"/>
    <cellStyle name="Note 4 4 3 3" xfId="42138" xr:uid="{00000000-0005-0000-0000-00001CA50000}"/>
    <cellStyle name="Note 4 4 4" xfId="42139" xr:uid="{00000000-0005-0000-0000-00001DA50000}"/>
    <cellStyle name="Note 4 4 4 2" xfId="42140" xr:uid="{00000000-0005-0000-0000-00001EA50000}"/>
    <cellStyle name="Note 4 4 4 2 2" xfId="42141" xr:uid="{00000000-0005-0000-0000-00001FA50000}"/>
    <cellStyle name="Note 4 4 4 3" xfId="42142" xr:uid="{00000000-0005-0000-0000-000020A50000}"/>
    <cellStyle name="Note 4 4 5" xfId="42143" xr:uid="{00000000-0005-0000-0000-000021A50000}"/>
    <cellStyle name="Note 4 4 5 2" xfId="42144" xr:uid="{00000000-0005-0000-0000-000022A50000}"/>
    <cellStyle name="Note 4 4 6" xfId="42145" xr:uid="{00000000-0005-0000-0000-000023A50000}"/>
    <cellStyle name="Note 4 5" xfId="42146" xr:uid="{00000000-0005-0000-0000-000024A50000}"/>
    <cellStyle name="Note 4 5 2" xfId="42147" xr:uid="{00000000-0005-0000-0000-000025A50000}"/>
    <cellStyle name="Note 4 5 2 2" xfId="42148" xr:uid="{00000000-0005-0000-0000-000026A50000}"/>
    <cellStyle name="Note 4 5 2 2 2" xfId="42149" xr:uid="{00000000-0005-0000-0000-000027A50000}"/>
    <cellStyle name="Note 4 5 2 2 2 2" xfId="42150" xr:uid="{00000000-0005-0000-0000-000028A50000}"/>
    <cellStyle name="Note 4 5 2 2 3" xfId="42151" xr:uid="{00000000-0005-0000-0000-000029A50000}"/>
    <cellStyle name="Note 4 5 2 3" xfId="42152" xr:uid="{00000000-0005-0000-0000-00002AA50000}"/>
    <cellStyle name="Note 4 5 2 3 2" xfId="42153" xr:uid="{00000000-0005-0000-0000-00002BA50000}"/>
    <cellStyle name="Note 4 5 2 3 2 2" xfId="42154" xr:uid="{00000000-0005-0000-0000-00002CA50000}"/>
    <cellStyle name="Note 4 5 2 3 3" xfId="42155" xr:uid="{00000000-0005-0000-0000-00002DA50000}"/>
    <cellStyle name="Note 4 5 2 4" xfId="42156" xr:uid="{00000000-0005-0000-0000-00002EA50000}"/>
    <cellStyle name="Note 4 5 2 4 2" xfId="42157" xr:uid="{00000000-0005-0000-0000-00002FA50000}"/>
    <cellStyle name="Note 4 5 2 5" xfId="42158" xr:uid="{00000000-0005-0000-0000-000030A50000}"/>
    <cellStyle name="Note 4 5 3" xfId="42159" xr:uid="{00000000-0005-0000-0000-000031A50000}"/>
    <cellStyle name="Note 4 5 3 2" xfId="42160" xr:uid="{00000000-0005-0000-0000-000032A50000}"/>
    <cellStyle name="Note 4 5 3 2 2" xfId="42161" xr:uid="{00000000-0005-0000-0000-000033A50000}"/>
    <cellStyle name="Note 4 5 3 2 2 2" xfId="42162" xr:uid="{00000000-0005-0000-0000-000034A50000}"/>
    <cellStyle name="Note 4 5 3 2 3" xfId="42163" xr:uid="{00000000-0005-0000-0000-000035A50000}"/>
    <cellStyle name="Note 4 5 3 3" xfId="42164" xr:uid="{00000000-0005-0000-0000-000036A50000}"/>
    <cellStyle name="Note 4 5 3 3 2" xfId="42165" xr:uid="{00000000-0005-0000-0000-000037A50000}"/>
    <cellStyle name="Note 4 5 3 4" xfId="42166" xr:uid="{00000000-0005-0000-0000-000038A50000}"/>
    <cellStyle name="Note 4 5 4" xfId="42167" xr:uid="{00000000-0005-0000-0000-000039A50000}"/>
    <cellStyle name="Note 4 5 4 2" xfId="42168" xr:uid="{00000000-0005-0000-0000-00003AA50000}"/>
    <cellStyle name="Note 4 5 4 2 2" xfId="42169" xr:uid="{00000000-0005-0000-0000-00003BA50000}"/>
    <cellStyle name="Note 4 5 4 3" xfId="42170" xr:uid="{00000000-0005-0000-0000-00003CA50000}"/>
    <cellStyle name="Note 4 5 5" xfId="42171" xr:uid="{00000000-0005-0000-0000-00003DA50000}"/>
    <cellStyle name="Note 4 5 5 2" xfId="42172" xr:uid="{00000000-0005-0000-0000-00003EA50000}"/>
    <cellStyle name="Note 4 5 5 2 2" xfId="42173" xr:uid="{00000000-0005-0000-0000-00003FA50000}"/>
    <cellStyle name="Note 4 5 5 3" xfId="42174" xr:uid="{00000000-0005-0000-0000-000040A50000}"/>
    <cellStyle name="Note 4 5 6" xfId="42175" xr:uid="{00000000-0005-0000-0000-000041A50000}"/>
    <cellStyle name="Note 4 5 6 2" xfId="42176" xr:uid="{00000000-0005-0000-0000-000042A50000}"/>
    <cellStyle name="Note 4 5 7" xfId="42177" xr:uid="{00000000-0005-0000-0000-000043A50000}"/>
    <cellStyle name="Note 4 6" xfId="42178" xr:uid="{00000000-0005-0000-0000-000044A50000}"/>
    <cellStyle name="Note 4 6 2" xfId="42179" xr:uid="{00000000-0005-0000-0000-000045A50000}"/>
    <cellStyle name="Note 4 6 2 2" xfId="42180" xr:uid="{00000000-0005-0000-0000-000046A50000}"/>
    <cellStyle name="Note 4 6 2 2 2" xfId="42181" xr:uid="{00000000-0005-0000-0000-000047A50000}"/>
    <cellStyle name="Note 4 6 2 3" xfId="42182" xr:uid="{00000000-0005-0000-0000-000048A50000}"/>
    <cellStyle name="Note 4 6 3" xfId="42183" xr:uid="{00000000-0005-0000-0000-000049A50000}"/>
    <cellStyle name="Note 4 6 3 2" xfId="42184" xr:uid="{00000000-0005-0000-0000-00004AA50000}"/>
    <cellStyle name="Note 4 6 4" xfId="42185" xr:uid="{00000000-0005-0000-0000-00004BA50000}"/>
    <cellStyle name="Note 4 7" xfId="42186" xr:uid="{00000000-0005-0000-0000-00004CA50000}"/>
    <cellStyle name="Note 4 7 2" xfId="42187" xr:uid="{00000000-0005-0000-0000-00004DA50000}"/>
    <cellStyle name="Note 4 7 2 2" xfId="42188" xr:uid="{00000000-0005-0000-0000-00004EA50000}"/>
    <cellStyle name="Note 4 7 3" xfId="42189" xr:uid="{00000000-0005-0000-0000-00004FA50000}"/>
    <cellStyle name="Note 4 8" xfId="42190" xr:uid="{00000000-0005-0000-0000-000050A50000}"/>
    <cellStyle name="Note 4 8 2" xfId="42191" xr:uid="{00000000-0005-0000-0000-000051A50000}"/>
    <cellStyle name="Note 4 8 2 2" xfId="42192" xr:uid="{00000000-0005-0000-0000-000052A50000}"/>
    <cellStyle name="Note 4 8 3" xfId="42193" xr:uid="{00000000-0005-0000-0000-000053A50000}"/>
    <cellStyle name="Note 4 9" xfId="42194" xr:uid="{00000000-0005-0000-0000-000054A50000}"/>
    <cellStyle name="Note 4 9 2" xfId="42195" xr:uid="{00000000-0005-0000-0000-000055A50000}"/>
    <cellStyle name="Note 5" xfId="42196" xr:uid="{00000000-0005-0000-0000-000056A50000}"/>
    <cellStyle name="Note 5 10" xfId="42197" xr:uid="{00000000-0005-0000-0000-000057A50000}"/>
    <cellStyle name="Note 5 2" xfId="42198" xr:uid="{00000000-0005-0000-0000-000058A50000}"/>
    <cellStyle name="Note 5 2 2" xfId="42199" xr:uid="{00000000-0005-0000-0000-000059A50000}"/>
    <cellStyle name="Note 5 2 2 2" xfId="42200" xr:uid="{00000000-0005-0000-0000-00005AA50000}"/>
    <cellStyle name="Note 5 2 2 2 2" xfId="42201" xr:uid="{00000000-0005-0000-0000-00005BA50000}"/>
    <cellStyle name="Note 5 2 2 2 2 2" xfId="42202" xr:uid="{00000000-0005-0000-0000-00005CA50000}"/>
    <cellStyle name="Note 5 2 2 2 2 2 2" xfId="42203" xr:uid="{00000000-0005-0000-0000-00005DA50000}"/>
    <cellStyle name="Note 5 2 2 2 2 3" xfId="42204" xr:uid="{00000000-0005-0000-0000-00005EA50000}"/>
    <cellStyle name="Note 5 2 2 2 3" xfId="42205" xr:uid="{00000000-0005-0000-0000-00005FA50000}"/>
    <cellStyle name="Note 5 2 2 2 3 2" xfId="42206" xr:uid="{00000000-0005-0000-0000-000060A50000}"/>
    <cellStyle name="Note 5 2 2 2 4" xfId="42207" xr:uid="{00000000-0005-0000-0000-000061A50000}"/>
    <cellStyle name="Note 5 2 2 3" xfId="42208" xr:uid="{00000000-0005-0000-0000-000062A50000}"/>
    <cellStyle name="Note 5 2 2 3 2" xfId="42209" xr:uid="{00000000-0005-0000-0000-000063A50000}"/>
    <cellStyle name="Note 5 2 2 3 2 2" xfId="42210" xr:uid="{00000000-0005-0000-0000-000064A50000}"/>
    <cellStyle name="Note 5 2 2 3 3" xfId="42211" xr:uid="{00000000-0005-0000-0000-000065A50000}"/>
    <cellStyle name="Note 5 2 2 4" xfId="42212" xr:uid="{00000000-0005-0000-0000-000066A50000}"/>
    <cellStyle name="Note 5 2 2 4 2" xfId="42213" xr:uid="{00000000-0005-0000-0000-000067A50000}"/>
    <cellStyle name="Note 5 2 2 5" xfId="42214" xr:uid="{00000000-0005-0000-0000-000068A50000}"/>
    <cellStyle name="Note 5 2 3" xfId="42215" xr:uid="{00000000-0005-0000-0000-000069A50000}"/>
    <cellStyle name="Note 5 2 3 2" xfId="42216" xr:uid="{00000000-0005-0000-0000-00006AA50000}"/>
    <cellStyle name="Note 5 2 3 2 2" xfId="42217" xr:uid="{00000000-0005-0000-0000-00006BA50000}"/>
    <cellStyle name="Note 5 2 3 3" xfId="42218" xr:uid="{00000000-0005-0000-0000-00006CA50000}"/>
    <cellStyle name="Note 5 2 4" xfId="42219" xr:uid="{00000000-0005-0000-0000-00006DA50000}"/>
    <cellStyle name="Note 5 2 4 2" xfId="42220" xr:uid="{00000000-0005-0000-0000-00006EA50000}"/>
    <cellStyle name="Note 5 2 4 2 2" xfId="42221" xr:uid="{00000000-0005-0000-0000-00006FA50000}"/>
    <cellStyle name="Note 5 2 4 3" xfId="42222" xr:uid="{00000000-0005-0000-0000-000070A50000}"/>
    <cellStyle name="Note 5 2 5" xfId="42223" xr:uid="{00000000-0005-0000-0000-000071A50000}"/>
    <cellStyle name="Note 5 2 5 2" xfId="42224" xr:uid="{00000000-0005-0000-0000-000072A50000}"/>
    <cellStyle name="Note 5 2 5 2 2" xfId="42225" xr:uid="{00000000-0005-0000-0000-000073A50000}"/>
    <cellStyle name="Note 5 2 5 2 2 2" xfId="42226" xr:uid="{00000000-0005-0000-0000-000074A50000}"/>
    <cellStyle name="Note 5 2 5 2 3" xfId="42227" xr:uid="{00000000-0005-0000-0000-000075A50000}"/>
    <cellStyle name="Note 5 2 5 3" xfId="42228" xr:uid="{00000000-0005-0000-0000-000076A50000}"/>
    <cellStyle name="Note 5 2 5 3 2" xfId="42229" xr:uid="{00000000-0005-0000-0000-000077A50000}"/>
    <cellStyle name="Note 5 2 5 4" xfId="42230" xr:uid="{00000000-0005-0000-0000-000078A50000}"/>
    <cellStyle name="Note 5 2 6" xfId="42231" xr:uid="{00000000-0005-0000-0000-000079A50000}"/>
    <cellStyle name="Note 5 2 6 2" xfId="42232" xr:uid="{00000000-0005-0000-0000-00007AA50000}"/>
    <cellStyle name="Note 5 2 6 2 2" xfId="42233" xr:uid="{00000000-0005-0000-0000-00007BA50000}"/>
    <cellStyle name="Note 5 2 6 3" xfId="42234" xr:uid="{00000000-0005-0000-0000-00007CA50000}"/>
    <cellStyle name="Note 5 2 7" xfId="42235" xr:uid="{00000000-0005-0000-0000-00007DA50000}"/>
    <cellStyle name="Note 5 2 7 2" xfId="42236" xr:uid="{00000000-0005-0000-0000-00007EA50000}"/>
    <cellStyle name="Note 5 2 8" xfId="42237" xr:uid="{00000000-0005-0000-0000-00007FA50000}"/>
    <cellStyle name="Note 5 3" xfId="42238" xr:uid="{00000000-0005-0000-0000-000080A50000}"/>
    <cellStyle name="Note 5 3 2" xfId="42239" xr:uid="{00000000-0005-0000-0000-000081A50000}"/>
    <cellStyle name="Note 5 3 2 2" xfId="42240" xr:uid="{00000000-0005-0000-0000-000082A50000}"/>
    <cellStyle name="Note 5 3 2 2 2" xfId="42241" xr:uid="{00000000-0005-0000-0000-000083A50000}"/>
    <cellStyle name="Note 5 3 2 2 2 2" xfId="42242" xr:uid="{00000000-0005-0000-0000-000084A50000}"/>
    <cellStyle name="Note 5 3 2 2 2 2 2" xfId="42243" xr:uid="{00000000-0005-0000-0000-000085A50000}"/>
    <cellStyle name="Note 5 3 2 2 2 2 2 2" xfId="42244" xr:uid="{00000000-0005-0000-0000-000086A50000}"/>
    <cellStyle name="Note 5 3 2 2 2 2 3" xfId="42245" xr:uid="{00000000-0005-0000-0000-000087A50000}"/>
    <cellStyle name="Note 5 3 2 2 2 3" xfId="42246" xr:uid="{00000000-0005-0000-0000-000088A50000}"/>
    <cellStyle name="Note 5 3 2 2 2 3 2" xfId="42247" xr:uid="{00000000-0005-0000-0000-000089A50000}"/>
    <cellStyle name="Note 5 3 2 2 2 4" xfId="42248" xr:uid="{00000000-0005-0000-0000-00008AA50000}"/>
    <cellStyle name="Note 5 3 2 2 3" xfId="42249" xr:uid="{00000000-0005-0000-0000-00008BA50000}"/>
    <cellStyle name="Note 5 3 2 2 3 2" xfId="42250" xr:uid="{00000000-0005-0000-0000-00008CA50000}"/>
    <cellStyle name="Note 5 3 2 2 3 2 2" xfId="42251" xr:uid="{00000000-0005-0000-0000-00008DA50000}"/>
    <cellStyle name="Note 5 3 2 2 3 3" xfId="42252" xr:uid="{00000000-0005-0000-0000-00008EA50000}"/>
    <cellStyle name="Note 5 3 2 2 4" xfId="42253" xr:uid="{00000000-0005-0000-0000-00008FA50000}"/>
    <cellStyle name="Note 5 3 2 2 4 2" xfId="42254" xr:uid="{00000000-0005-0000-0000-000090A50000}"/>
    <cellStyle name="Note 5 3 2 2 5" xfId="42255" xr:uid="{00000000-0005-0000-0000-000091A50000}"/>
    <cellStyle name="Note 5 3 2 3" xfId="42256" xr:uid="{00000000-0005-0000-0000-000092A50000}"/>
    <cellStyle name="Note 5 3 2 3 2" xfId="42257" xr:uid="{00000000-0005-0000-0000-000093A50000}"/>
    <cellStyle name="Note 5 3 2 3 2 2" xfId="42258" xr:uid="{00000000-0005-0000-0000-000094A50000}"/>
    <cellStyle name="Note 5 3 2 3 3" xfId="42259" xr:uid="{00000000-0005-0000-0000-000095A50000}"/>
    <cellStyle name="Note 5 3 2 4" xfId="42260" xr:uid="{00000000-0005-0000-0000-000096A50000}"/>
    <cellStyle name="Note 5 3 2 4 2" xfId="42261" xr:uid="{00000000-0005-0000-0000-000097A50000}"/>
    <cellStyle name="Note 5 3 2 4 2 2" xfId="42262" xr:uid="{00000000-0005-0000-0000-000098A50000}"/>
    <cellStyle name="Note 5 3 2 4 2 2 2" xfId="42263" xr:uid="{00000000-0005-0000-0000-000099A50000}"/>
    <cellStyle name="Note 5 3 2 4 2 3" xfId="42264" xr:uid="{00000000-0005-0000-0000-00009AA50000}"/>
    <cellStyle name="Note 5 3 2 4 3" xfId="42265" xr:uid="{00000000-0005-0000-0000-00009BA50000}"/>
    <cellStyle name="Note 5 3 2 4 3 2" xfId="42266" xr:uid="{00000000-0005-0000-0000-00009CA50000}"/>
    <cellStyle name="Note 5 3 2 4 4" xfId="42267" xr:uid="{00000000-0005-0000-0000-00009DA50000}"/>
    <cellStyle name="Note 5 3 2 5" xfId="42268" xr:uid="{00000000-0005-0000-0000-00009EA50000}"/>
    <cellStyle name="Note 5 3 2 5 2" xfId="42269" xr:uid="{00000000-0005-0000-0000-00009FA50000}"/>
    <cellStyle name="Note 5 3 2 5 2 2" xfId="42270" xr:uid="{00000000-0005-0000-0000-0000A0A50000}"/>
    <cellStyle name="Note 5 3 2 5 3" xfId="42271" xr:uid="{00000000-0005-0000-0000-0000A1A50000}"/>
    <cellStyle name="Note 5 3 2 6" xfId="42272" xr:uid="{00000000-0005-0000-0000-0000A2A50000}"/>
    <cellStyle name="Note 5 3 2 6 2" xfId="42273" xr:uid="{00000000-0005-0000-0000-0000A3A50000}"/>
    <cellStyle name="Note 5 3 2 7" xfId="42274" xr:uid="{00000000-0005-0000-0000-0000A4A50000}"/>
    <cellStyle name="Note 5 3 3" xfId="42275" xr:uid="{00000000-0005-0000-0000-0000A5A50000}"/>
    <cellStyle name="Note 5 3 3 2" xfId="42276" xr:uid="{00000000-0005-0000-0000-0000A6A50000}"/>
    <cellStyle name="Note 5 3 3 2 2" xfId="42277" xr:uid="{00000000-0005-0000-0000-0000A7A50000}"/>
    <cellStyle name="Note 5 3 3 2 2 2" xfId="42278" xr:uid="{00000000-0005-0000-0000-0000A8A50000}"/>
    <cellStyle name="Note 5 3 3 2 2 2 2" xfId="42279" xr:uid="{00000000-0005-0000-0000-0000A9A50000}"/>
    <cellStyle name="Note 5 3 3 2 2 2 2 2" xfId="42280" xr:uid="{00000000-0005-0000-0000-0000AAA50000}"/>
    <cellStyle name="Note 5 3 3 2 2 2 3" xfId="42281" xr:uid="{00000000-0005-0000-0000-0000ABA50000}"/>
    <cellStyle name="Note 5 3 3 2 2 3" xfId="42282" xr:uid="{00000000-0005-0000-0000-0000ACA50000}"/>
    <cellStyle name="Note 5 3 3 2 2 3 2" xfId="42283" xr:uid="{00000000-0005-0000-0000-0000ADA50000}"/>
    <cellStyle name="Note 5 3 3 2 2 4" xfId="42284" xr:uid="{00000000-0005-0000-0000-0000AEA50000}"/>
    <cellStyle name="Note 5 3 3 2 3" xfId="42285" xr:uid="{00000000-0005-0000-0000-0000AFA50000}"/>
    <cellStyle name="Note 5 3 3 2 3 2" xfId="42286" xr:uid="{00000000-0005-0000-0000-0000B0A50000}"/>
    <cellStyle name="Note 5 3 3 2 3 2 2" xfId="42287" xr:uid="{00000000-0005-0000-0000-0000B1A50000}"/>
    <cellStyle name="Note 5 3 3 2 3 3" xfId="42288" xr:uid="{00000000-0005-0000-0000-0000B2A50000}"/>
    <cellStyle name="Note 5 3 3 2 4" xfId="42289" xr:uid="{00000000-0005-0000-0000-0000B3A50000}"/>
    <cellStyle name="Note 5 3 3 2 4 2" xfId="42290" xr:uid="{00000000-0005-0000-0000-0000B4A50000}"/>
    <cellStyle name="Note 5 3 3 2 5" xfId="42291" xr:uid="{00000000-0005-0000-0000-0000B5A50000}"/>
    <cellStyle name="Note 5 3 3 3" xfId="42292" xr:uid="{00000000-0005-0000-0000-0000B6A50000}"/>
    <cellStyle name="Note 5 3 3 3 2" xfId="42293" xr:uid="{00000000-0005-0000-0000-0000B7A50000}"/>
    <cellStyle name="Note 5 3 3 3 2 2" xfId="42294" xr:uid="{00000000-0005-0000-0000-0000B8A50000}"/>
    <cellStyle name="Note 5 3 3 3 2 2 2" xfId="42295" xr:uid="{00000000-0005-0000-0000-0000B9A50000}"/>
    <cellStyle name="Note 5 3 3 3 2 3" xfId="42296" xr:uid="{00000000-0005-0000-0000-0000BAA50000}"/>
    <cellStyle name="Note 5 3 3 3 3" xfId="42297" xr:uid="{00000000-0005-0000-0000-0000BBA50000}"/>
    <cellStyle name="Note 5 3 3 3 3 2" xfId="42298" xr:uid="{00000000-0005-0000-0000-0000BCA50000}"/>
    <cellStyle name="Note 5 3 3 3 4" xfId="42299" xr:uid="{00000000-0005-0000-0000-0000BDA50000}"/>
    <cellStyle name="Note 5 3 3 4" xfId="42300" xr:uid="{00000000-0005-0000-0000-0000BEA50000}"/>
    <cellStyle name="Note 5 3 3 4 2" xfId="42301" xr:uid="{00000000-0005-0000-0000-0000BFA50000}"/>
    <cellStyle name="Note 5 3 3 4 2 2" xfId="42302" xr:uid="{00000000-0005-0000-0000-0000C0A50000}"/>
    <cellStyle name="Note 5 3 3 4 3" xfId="42303" xr:uid="{00000000-0005-0000-0000-0000C1A50000}"/>
    <cellStyle name="Note 5 3 3 5" xfId="42304" xr:uid="{00000000-0005-0000-0000-0000C2A50000}"/>
    <cellStyle name="Note 5 3 3 5 2" xfId="42305" xr:uid="{00000000-0005-0000-0000-0000C3A50000}"/>
    <cellStyle name="Note 5 3 3 6" xfId="42306" xr:uid="{00000000-0005-0000-0000-0000C4A50000}"/>
    <cellStyle name="Note 5 3 4" xfId="42307" xr:uid="{00000000-0005-0000-0000-0000C5A50000}"/>
    <cellStyle name="Note 5 3 4 2" xfId="42308" xr:uid="{00000000-0005-0000-0000-0000C6A50000}"/>
    <cellStyle name="Note 5 3 4 2 2" xfId="42309" xr:uid="{00000000-0005-0000-0000-0000C7A50000}"/>
    <cellStyle name="Note 5 3 4 3" xfId="42310" xr:uid="{00000000-0005-0000-0000-0000C8A50000}"/>
    <cellStyle name="Note 5 3 5" xfId="42311" xr:uid="{00000000-0005-0000-0000-0000C9A50000}"/>
    <cellStyle name="Note 5 3 5 2" xfId="42312" xr:uid="{00000000-0005-0000-0000-0000CAA50000}"/>
    <cellStyle name="Note 5 3 5 2 2" xfId="42313" xr:uid="{00000000-0005-0000-0000-0000CBA50000}"/>
    <cellStyle name="Note 5 3 5 3" xfId="42314" xr:uid="{00000000-0005-0000-0000-0000CCA50000}"/>
    <cellStyle name="Note 5 3 6" xfId="42315" xr:uid="{00000000-0005-0000-0000-0000CDA50000}"/>
    <cellStyle name="Note 5 3 6 2" xfId="42316" xr:uid="{00000000-0005-0000-0000-0000CEA50000}"/>
    <cellStyle name="Note 5 3 6 2 2" xfId="42317" xr:uid="{00000000-0005-0000-0000-0000CFA50000}"/>
    <cellStyle name="Note 5 3 6 2 2 2" xfId="42318" xr:uid="{00000000-0005-0000-0000-0000D0A50000}"/>
    <cellStyle name="Note 5 3 6 2 3" xfId="42319" xr:uid="{00000000-0005-0000-0000-0000D1A50000}"/>
    <cellStyle name="Note 5 3 6 3" xfId="42320" xr:uid="{00000000-0005-0000-0000-0000D2A50000}"/>
    <cellStyle name="Note 5 3 6 3 2" xfId="42321" xr:uid="{00000000-0005-0000-0000-0000D3A50000}"/>
    <cellStyle name="Note 5 3 6 4" xfId="42322" xr:uid="{00000000-0005-0000-0000-0000D4A50000}"/>
    <cellStyle name="Note 5 3 7" xfId="42323" xr:uid="{00000000-0005-0000-0000-0000D5A50000}"/>
    <cellStyle name="Note 5 3 7 2" xfId="42324" xr:uid="{00000000-0005-0000-0000-0000D6A50000}"/>
    <cellStyle name="Note 5 3 7 2 2" xfId="42325" xr:uid="{00000000-0005-0000-0000-0000D7A50000}"/>
    <cellStyle name="Note 5 3 7 3" xfId="42326" xr:uid="{00000000-0005-0000-0000-0000D8A50000}"/>
    <cellStyle name="Note 5 3 8" xfId="42327" xr:uid="{00000000-0005-0000-0000-0000D9A50000}"/>
    <cellStyle name="Note 5 3 8 2" xfId="42328" xr:uid="{00000000-0005-0000-0000-0000DAA50000}"/>
    <cellStyle name="Note 5 3 9" xfId="42329" xr:uid="{00000000-0005-0000-0000-0000DBA50000}"/>
    <cellStyle name="Note 5 4" xfId="42330" xr:uid="{00000000-0005-0000-0000-0000DCA50000}"/>
    <cellStyle name="Note 5 4 2" xfId="42331" xr:uid="{00000000-0005-0000-0000-0000DDA50000}"/>
    <cellStyle name="Note 5 4 2 2" xfId="42332" xr:uid="{00000000-0005-0000-0000-0000DEA50000}"/>
    <cellStyle name="Note 5 4 2 2 2" xfId="42333" xr:uid="{00000000-0005-0000-0000-0000DFA50000}"/>
    <cellStyle name="Note 5 4 2 2 2 2" xfId="42334" xr:uid="{00000000-0005-0000-0000-0000E0A50000}"/>
    <cellStyle name="Note 5 4 2 2 2 2 2" xfId="42335" xr:uid="{00000000-0005-0000-0000-0000E1A50000}"/>
    <cellStyle name="Note 5 4 2 2 2 3" xfId="42336" xr:uid="{00000000-0005-0000-0000-0000E2A50000}"/>
    <cellStyle name="Note 5 4 2 2 3" xfId="42337" xr:uid="{00000000-0005-0000-0000-0000E3A50000}"/>
    <cellStyle name="Note 5 4 2 2 3 2" xfId="42338" xr:uid="{00000000-0005-0000-0000-0000E4A50000}"/>
    <cellStyle name="Note 5 4 2 2 4" xfId="42339" xr:uid="{00000000-0005-0000-0000-0000E5A50000}"/>
    <cellStyle name="Note 5 4 2 3" xfId="42340" xr:uid="{00000000-0005-0000-0000-0000E6A50000}"/>
    <cellStyle name="Note 5 4 2 3 2" xfId="42341" xr:uid="{00000000-0005-0000-0000-0000E7A50000}"/>
    <cellStyle name="Note 5 4 2 3 2 2" xfId="42342" xr:uid="{00000000-0005-0000-0000-0000E8A50000}"/>
    <cellStyle name="Note 5 4 2 3 3" xfId="42343" xr:uid="{00000000-0005-0000-0000-0000E9A50000}"/>
    <cellStyle name="Note 5 4 2 4" xfId="42344" xr:uid="{00000000-0005-0000-0000-0000EAA50000}"/>
    <cellStyle name="Note 5 4 2 4 2" xfId="42345" xr:uid="{00000000-0005-0000-0000-0000EBA50000}"/>
    <cellStyle name="Note 5 4 2 5" xfId="42346" xr:uid="{00000000-0005-0000-0000-0000ECA50000}"/>
    <cellStyle name="Note 5 4 3" xfId="42347" xr:uid="{00000000-0005-0000-0000-0000EDA50000}"/>
    <cellStyle name="Note 5 4 3 2" xfId="42348" xr:uid="{00000000-0005-0000-0000-0000EEA50000}"/>
    <cellStyle name="Note 5 4 3 2 2" xfId="42349" xr:uid="{00000000-0005-0000-0000-0000EFA50000}"/>
    <cellStyle name="Note 5 4 3 2 2 2" xfId="42350" xr:uid="{00000000-0005-0000-0000-0000F0A50000}"/>
    <cellStyle name="Note 5 4 3 2 3" xfId="42351" xr:uid="{00000000-0005-0000-0000-0000F1A50000}"/>
    <cellStyle name="Note 5 4 3 3" xfId="42352" xr:uid="{00000000-0005-0000-0000-0000F2A50000}"/>
    <cellStyle name="Note 5 4 3 3 2" xfId="42353" xr:uid="{00000000-0005-0000-0000-0000F3A50000}"/>
    <cellStyle name="Note 5 4 3 4" xfId="42354" xr:uid="{00000000-0005-0000-0000-0000F4A50000}"/>
    <cellStyle name="Note 5 4 4" xfId="42355" xr:uid="{00000000-0005-0000-0000-0000F5A50000}"/>
    <cellStyle name="Note 5 4 4 2" xfId="42356" xr:uid="{00000000-0005-0000-0000-0000F6A50000}"/>
    <cellStyle name="Note 5 4 4 2 2" xfId="42357" xr:uid="{00000000-0005-0000-0000-0000F7A50000}"/>
    <cellStyle name="Note 5 4 4 3" xfId="42358" xr:uid="{00000000-0005-0000-0000-0000F8A50000}"/>
    <cellStyle name="Note 5 4 5" xfId="42359" xr:uid="{00000000-0005-0000-0000-0000F9A50000}"/>
    <cellStyle name="Note 5 4 5 2" xfId="42360" xr:uid="{00000000-0005-0000-0000-0000FAA50000}"/>
    <cellStyle name="Note 5 4 6" xfId="42361" xr:uid="{00000000-0005-0000-0000-0000FBA50000}"/>
    <cellStyle name="Note 5 5" xfId="42362" xr:uid="{00000000-0005-0000-0000-0000FCA50000}"/>
    <cellStyle name="Note 5 5 2" xfId="42363" xr:uid="{00000000-0005-0000-0000-0000FDA50000}"/>
    <cellStyle name="Note 5 5 2 2" xfId="42364" xr:uid="{00000000-0005-0000-0000-0000FEA50000}"/>
    <cellStyle name="Note 5 5 3" xfId="42365" xr:uid="{00000000-0005-0000-0000-0000FFA50000}"/>
    <cellStyle name="Note 5 6" xfId="42366" xr:uid="{00000000-0005-0000-0000-000000A60000}"/>
    <cellStyle name="Note 5 6 2" xfId="42367" xr:uid="{00000000-0005-0000-0000-000001A60000}"/>
    <cellStyle name="Note 5 6 2 2" xfId="42368" xr:uid="{00000000-0005-0000-0000-000002A60000}"/>
    <cellStyle name="Note 5 6 3" xfId="42369" xr:uid="{00000000-0005-0000-0000-000003A60000}"/>
    <cellStyle name="Note 5 7" xfId="42370" xr:uid="{00000000-0005-0000-0000-000004A60000}"/>
    <cellStyle name="Note 5 7 2" xfId="42371" xr:uid="{00000000-0005-0000-0000-000005A60000}"/>
    <cellStyle name="Note 5 7 2 2" xfId="42372" xr:uid="{00000000-0005-0000-0000-000006A60000}"/>
    <cellStyle name="Note 5 7 2 2 2" xfId="42373" xr:uid="{00000000-0005-0000-0000-000007A60000}"/>
    <cellStyle name="Note 5 7 2 3" xfId="42374" xr:uid="{00000000-0005-0000-0000-000008A60000}"/>
    <cellStyle name="Note 5 7 3" xfId="42375" xr:uid="{00000000-0005-0000-0000-000009A60000}"/>
    <cellStyle name="Note 5 7 3 2" xfId="42376" xr:uid="{00000000-0005-0000-0000-00000AA60000}"/>
    <cellStyle name="Note 5 7 4" xfId="42377" xr:uid="{00000000-0005-0000-0000-00000BA60000}"/>
    <cellStyle name="Note 5 8" xfId="42378" xr:uid="{00000000-0005-0000-0000-00000CA60000}"/>
    <cellStyle name="Note 5 8 2" xfId="42379" xr:uid="{00000000-0005-0000-0000-00000DA60000}"/>
    <cellStyle name="Note 5 8 2 2" xfId="42380" xr:uid="{00000000-0005-0000-0000-00000EA60000}"/>
    <cellStyle name="Note 5 8 3" xfId="42381" xr:uid="{00000000-0005-0000-0000-00000FA60000}"/>
    <cellStyle name="Note 5 9" xfId="42382" xr:uid="{00000000-0005-0000-0000-000010A60000}"/>
    <cellStyle name="Note 5 9 2" xfId="42383" xr:uid="{00000000-0005-0000-0000-000011A60000}"/>
    <cellStyle name="Note 6" xfId="42384" xr:uid="{00000000-0005-0000-0000-000012A60000}"/>
    <cellStyle name="Note 6 2" xfId="42385" xr:uid="{00000000-0005-0000-0000-000013A60000}"/>
    <cellStyle name="Note 6 2 2" xfId="42386" xr:uid="{00000000-0005-0000-0000-000014A60000}"/>
    <cellStyle name="Note 6 2 2 2" xfId="42387" xr:uid="{00000000-0005-0000-0000-000015A60000}"/>
    <cellStyle name="Note 6 2 2 2 2" xfId="42388" xr:uid="{00000000-0005-0000-0000-000016A60000}"/>
    <cellStyle name="Note 6 2 2 2 2 2" xfId="42389" xr:uid="{00000000-0005-0000-0000-000017A60000}"/>
    <cellStyle name="Note 6 2 2 2 2 2 2" xfId="42390" xr:uid="{00000000-0005-0000-0000-000018A60000}"/>
    <cellStyle name="Note 6 2 2 2 2 3" xfId="42391" xr:uid="{00000000-0005-0000-0000-000019A60000}"/>
    <cellStyle name="Note 6 2 2 2 3" xfId="42392" xr:uid="{00000000-0005-0000-0000-00001AA60000}"/>
    <cellStyle name="Note 6 2 2 2 3 2" xfId="42393" xr:uid="{00000000-0005-0000-0000-00001BA60000}"/>
    <cellStyle name="Note 6 2 2 2 4" xfId="42394" xr:uid="{00000000-0005-0000-0000-00001CA60000}"/>
    <cellStyle name="Note 6 2 2 3" xfId="42395" xr:uid="{00000000-0005-0000-0000-00001DA60000}"/>
    <cellStyle name="Note 6 2 2 3 2" xfId="42396" xr:uid="{00000000-0005-0000-0000-00001EA60000}"/>
    <cellStyle name="Note 6 2 2 3 2 2" xfId="42397" xr:uid="{00000000-0005-0000-0000-00001FA60000}"/>
    <cellStyle name="Note 6 2 2 3 3" xfId="42398" xr:uid="{00000000-0005-0000-0000-000020A60000}"/>
    <cellStyle name="Note 6 2 2 4" xfId="42399" xr:uid="{00000000-0005-0000-0000-000021A60000}"/>
    <cellStyle name="Note 6 2 2 4 2" xfId="42400" xr:uid="{00000000-0005-0000-0000-000022A60000}"/>
    <cellStyle name="Note 6 2 2 5" xfId="42401" xr:uid="{00000000-0005-0000-0000-000023A60000}"/>
    <cellStyle name="Note 6 2 3" xfId="42402" xr:uid="{00000000-0005-0000-0000-000024A60000}"/>
    <cellStyle name="Note 6 2 3 2" xfId="42403" xr:uid="{00000000-0005-0000-0000-000025A60000}"/>
    <cellStyle name="Note 6 2 3 2 2" xfId="42404" xr:uid="{00000000-0005-0000-0000-000026A60000}"/>
    <cellStyle name="Note 6 2 3 3" xfId="42405" xr:uid="{00000000-0005-0000-0000-000027A60000}"/>
    <cellStyle name="Note 6 2 4" xfId="42406" xr:uid="{00000000-0005-0000-0000-000028A60000}"/>
    <cellStyle name="Note 6 2 4 2" xfId="42407" xr:uid="{00000000-0005-0000-0000-000029A60000}"/>
    <cellStyle name="Note 6 2 4 2 2" xfId="42408" xr:uid="{00000000-0005-0000-0000-00002AA60000}"/>
    <cellStyle name="Note 6 2 4 3" xfId="42409" xr:uid="{00000000-0005-0000-0000-00002BA60000}"/>
    <cellStyle name="Note 6 2 5" xfId="42410" xr:uid="{00000000-0005-0000-0000-00002CA60000}"/>
    <cellStyle name="Note 6 2 5 2" xfId="42411" xr:uid="{00000000-0005-0000-0000-00002DA60000}"/>
    <cellStyle name="Note 6 2 5 2 2" xfId="42412" xr:uid="{00000000-0005-0000-0000-00002EA60000}"/>
    <cellStyle name="Note 6 2 5 2 2 2" xfId="42413" xr:uid="{00000000-0005-0000-0000-00002FA60000}"/>
    <cellStyle name="Note 6 2 5 2 3" xfId="42414" xr:uid="{00000000-0005-0000-0000-000030A60000}"/>
    <cellStyle name="Note 6 2 5 3" xfId="42415" xr:uid="{00000000-0005-0000-0000-000031A60000}"/>
    <cellStyle name="Note 6 2 5 3 2" xfId="42416" xr:uid="{00000000-0005-0000-0000-000032A60000}"/>
    <cellStyle name="Note 6 2 5 4" xfId="42417" xr:uid="{00000000-0005-0000-0000-000033A60000}"/>
    <cellStyle name="Note 6 2 6" xfId="42418" xr:uid="{00000000-0005-0000-0000-000034A60000}"/>
    <cellStyle name="Note 6 2 6 2" xfId="42419" xr:uid="{00000000-0005-0000-0000-000035A60000}"/>
    <cellStyle name="Note 6 2 6 2 2" xfId="42420" xr:uid="{00000000-0005-0000-0000-000036A60000}"/>
    <cellStyle name="Note 6 2 6 3" xfId="42421" xr:uid="{00000000-0005-0000-0000-000037A60000}"/>
    <cellStyle name="Note 6 2 7" xfId="42422" xr:uid="{00000000-0005-0000-0000-000038A60000}"/>
    <cellStyle name="Note 6 2 7 2" xfId="42423" xr:uid="{00000000-0005-0000-0000-000039A60000}"/>
    <cellStyle name="Note 6 2 8" xfId="42424" xr:uid="{00000000-0005-0000-0000-00003AA60000}"/>
    <cellStyle name="Note 6 3" xfId="42425" xr:uid="{00000000-0005-0000-0000-00003BA60000}"/>
    <cellStyle name="Note 6 3 2" xfId="42426" xr:uid="{00000000-0005-0000-0000-00003CA60000}"/>
    <cellStyle name="Note 6 3 2 2" xfId="42427" xr:uid="{00000000-0005-0000-0000-00003DA60000}"/>
    <cellStyle name="Note 6 3 2 2 2" xfId="42428" xr:uid="{00000000-0005-0000-0000-00003EA60000}"/>
    <cellStyle name="Note 6 3 2 2 2 2" xfId="42429" xr:uid="{00000000-0005-0000-0000-00003FA60000}"/>
    <cellStyle name="Note 6 3 2 2 2 2 2" xfId="42430" xr:uid="{00000000-0005-0000-0000-000040A60000}"/>
    <cellStyle name="Note 6 3 2 2 2 3" xfId="42431" xr:uid="{00000000-0005-0000-0000-000041A60000}"/>
    <cellStyle name="Note 6 3 2 2 3" xfId="42432" xr:uid="{00000000-0005-0000-0000-000042A60000}"/>
    <cellStyle name="Note 6 3 2 2 3 2" xfId="42433" xr:uid="{00000000-0005-0000-0000-000043A60000}"/>
    <cellStyle name="Note 6 3 2 2 4" xfId="42434" xr:uid="{00000000-0005-0000-0000-000044A60000}"/>
    <cellStyle name="Note 6 3 2 3" xfId="42435" xr:uid="{00000000-0005-0000-0000-000045A60000}"/>
    <cellStyle name="Note 6 3 2 3 2" xfId="42436" xr:uid="{00000000-0005-0000-0000-000046A60000}"/>
    <cellStyle name="Note 6 3 2 3 2 2" xfId="42437" xr:uid="{00000000-0005-0000-0000-000047A60000}"/>
    <cellStyle name="Note 6 3 2 3 3" xfId="42438" xr:uid="{00000000-0005-0000-0000-000048A60000}"/>
    <cellStyle name="Note 6 3 2 4" xfId="42439" xr:uid="{00000000-0005-0000-0000-000049A60000}"/>
    <cellStyle name="Note 6 3 2 4 2" xfId="42440" xr:uid="{00000000-0005-0000-0000-00004AA60000}"/>
    <cellStyle name="Note 6 3 2 5" xfId="42441" xr:uid="{00000000-0005-0000-0000-00004BA60000}"/>
    <cellStyle name="Note 6 3 3" xfId="42442" xr:uid="{00000000-0005-0000-0000-00004CA60000}"/>
    <cellStyle name="Note 6 3 3 2" xfId="42443" xr:uid="{00000000-0005-0000-0000-00004DA60000}"/>
    <cellStyle name="Note 6 3 3 2 2" xfId="42444" xr:uid="{00000000-0005-0000-0000-00004EA60000}"/>
    <cellStyle name="Note 6 3 3 2 2 2" xfId="42445" xr:uid="{00000000-0005-0000-0000-00004FA60000}"/>
    <cellStyle name="Note 6 3 3 2 3" xfId="42446" xr:uid="{00000000-0005-0000-0000-000050A60000}"/>
    <cellStyle name="Note 6 3 3 3" xfId="42447" xr:uid="{00000000-0005-0000-0000-000051A60000}"/>
    <cellStyle name="Note 6 3 3 3 2" xfId="42448" xr:uid="{00000000-0005-0000-0000-000052A60000}"/>
    <cellStyle name="Note 6 3 3 4" xfId="42449" xr:uid="{00000000-0005-0000-0000-000053A60000}"/>
    <cellStyle name="Note 6 3 4" xfId="42450" xr:uid="{00000000-0005-0000-0000-000054A60000}"/>
    <cellStyle name="Note 6 3 4 2" xfId="42451" xr:uid="{00000000-0005-0000-0000-000055A60000}"/>
    <cellStyle name="Note 6 3 4 2 2" xfId="42452" xr:uid="{00000000-0005-0000-0000-000056A60000}"/>
    <cellStyle name="Note 6 3 4 3" xfId="42453" xr:uid="{00000000-0005-0000-0000-000057A60000}"/>
    <cellStyle name="Note 6 3 5" xfId="42454" xr:uid="{00000000-0005-0000-0000-000058A60000}"/>
    <cellStyle name="Note 6 3 5 2" xfId="42455" xr:uid="{00000000-0005-0000-0000-000059A60000}"/>
    <cellStyle name="Note 6 3 6" xfId="42456" xr:uid="{00000000-0005-0000-0000-00005AA60000}"/>
    <cellStyle name="Note 6 4" xfId="42457" xr:uid="{00000000-0005-0000-0000-00005BA60000}"/>
    <cellStyle name="Note 6 4 2" xfId="42458" xr:uid="{00000000-0005-0000-0000-00005CA60000}"/>
    <cellStyle name="Note 6 4 2 2" xfId="42459" xr:uid="{00000000-0005-0000-0000-00005DA60000}"/>
    <cellStyle name="Note 6 4 3" xfId="42460" xr:uid="{00000000-0005-0000-0000-00005EA60000}"/>
    <cellStyle name="Note 6 5" xfId="42461" xr:uid="{00000000-0005-0000-0000-00005FA60000}"/>
    <cellStyle name="Note 6 5 2" xfId="42462" xr:uid="{00000000-0005-0000-0000-000060A60000}"/>
    <cellStyle name="Note 6 5 2 2" xfId="42463" xr:uid="{00000000-0005-0000-0000-000061A60000}"/>
    <cellStyle name="Note 6 5 3" xfId="42464" xr:uid="{00000000-0005-0000-0000-000062A60000}"/>
    <cellStyle name="Note 6 6" xfId="42465" xr:uid="{00000000-0005-0000-0000-000063A60000}"/>
    <cellStyle name="Note 6 6 2" xfId="42466" xr:uid="{00000000-0005-0000-0000-000064A60000}"/>
    <cellStyle name="Note 6 6 2 2" xfId="42467" xr:uid="{00000000-0005-0000-0000-000065A60000}"/>
    <cellStyle name="Note 6 6 2 2 2" xfId="42468" xr:uid="{00000000-0005-0000-0000-000066A60000}"/>
    <cellStyle name="Note 6 6 2 3" xfId="42469" xr:uid="{00000000-0005-0000-0000-000067A60000}"/>
    <cellStyle name="Note 6 6 3" xfId="42470" xr:uid="{00000000-0005-0000-0000-000068A60000}"/>
    <cellStyle name="Note 6 6 3 2" xfId="42471" xr:uid="{00000000-0005-0000-0000-000069A60000}"/>
    <cellStyle name="Note 6 6 4" xfId="42472" xr:uid="{00000000-0005-0000-0000-00006AA60000}"/>
    <cellStyle name="Note 6 7" xfId="42473" xr:uid="{00000000-0005-0000-0000-00006BA60000}"/>
    <cellStyle name="Note 6 7 2" xfId="42474" xr:uid="{00000000-0005-0000-0000-00006CA60000}"/>
    <cellStyle name="Note 6 7 2 2" xfId="42475" xr:uid="{00000000-0005-0000-0000-00006DA60000}"/>
    <cellStyle name="Note 6 7 3" xfId="42476" xr:uid="{00000000-0005-0000-0000-00006EA60000}"/>
    <cellStyle name="Note 6 8" xfId="42477" xr:uid="{00000000-0005-0000-0000-00006FA60000}"/>
    <cellStyle name="Note 6 8 2" xfId="42478" xr:uid="{00000000-0005-0000-0000-000070A60000}"/>
    <cellStyle name="Note 6 9" xfId="42479" xr:uid="{00000000-0005-0000-0000-000071A60000}"/>
    <cellStyle name="Note 7" xfId="42480" xr:uid="{00000000-0005-0000-0000-000072A60000}"/>
    <cellStyle name="Note 7 2" xfId="42481" xr:uid="{00000000-0005-0000-0000-000073A60000}"/>
    <cellStyle name="Note 7 2 2" xfId="42482" xr:uid="{00000000-0005-0000-0000-000074A60000}"/>
    <cellStyle name="Note 7 2 2 2" xfId="42483" xr:uid="{00000000-0005-0000-0000-000075A60000}"/>
    <cellStyle name="Note 7 2 2 2 2" xfId="42484" xr:uid="{00000000-0005-0000-0000-000076A60000}"/>
    <cellStyle name="Note 7 2 2 2 2 2" xfId="42485" xr:uid="{00000000-0005-0000-0000-000077A60000}"/>
    <cellStyle name="Note 7 2 2 2 3" xfId="42486" xr:uid="{00000000-0005-0000-0000-000078A60000}"/>
    <cellStyle name="Note 7 2 2 3" xfId="42487" xr:uid="{00000000-0005-0000-0000-000079A60000}"/>
    <cellStyle name="Note 7 2 2 3 2" xfId="42488" xr:uid="{00000000-0005-0000-0000-00007AA60000}"/>
    <cellStyle name="Note 7 2 2 4" xfId="42489" xr:uid="{00000000-0005-0000-0000-00007BA60000}"/>
    <cellStyle name="Note 7 2 3" xfId="42490" xr:uid="{00000000-0005-0000-0000-00007CA60000}"/>
    <cellStyle name="Note 7 2 3 2" xfId="42491" xr:uid="{00000000-0005-0000-0000-00007DA60000}"/>
    <cellStyle name="Note 7 2 3 2 2" xfId="42492" xr:uid="{00000000-0005-0000-0000-00007EA60000}"/>
    <cellStyle name="Note 7 2 3 3" xfId="42493" xr:uid="{00000000-0005-0000-0000-00007FA60000}"/>
    <cellStyle name="Note 7 2 4" xfId="42494" xr:uid="{00000000-0005-0000-0000-000080A60000}"/>
    <cellStyle name="Note 7 2 4 2" xfId="42495" xr:uid="{00000000-0005-0000-0000-000081A60000}"/>
    <cellStyle name="Note 7 2 5" xfId="42496" xr:uid="{00000000-0005-0000-0000-000082A60000}"/>
    <cellStyle name="Note 7 3" xfId="42497" xr:uid="{00000000-0005-0000-0000-000083A60000}"/>
    <cellStyle name="Note 7 3 2" xfId="42498" xr:uid="{00000000-0005-0000-0000-000084A60000}"/>
    <cellStyle name="Note 7 3 2 2" xfId="42499" xr:uid="{00000000-0005-0000-0000-000085A60000}"/>
    <cellStyle name="Note 7 3 3" xfId="42500" xr:uid="{00000000-0005-0000-0000-000086A60000}"/>
    <cellStyle name="Note 7 4" xfId="42501" xr:uid="{00000000-0005-0000-0000-000087A60000}"/>
    <cellStyle name="Note 7 4 2" xfId="42502" xr:uid="{00000000-0005-0000-0000-000088A60000}"/>
    <cellStyle name="Note 7 4 2 2" xfId="42503" xr:uid="{00000000-0005-0000-0000-000089A60000}"/>
    <cellStyle name="Note 7 4 2 2 2" xfId="42504" xr:uid="{00000000-0005-0000-0000-00008AA60000}"/>
    <cellStyle name="Note 7 4 2 3" xfId="42505" xr:uid="{00000000-0005-0000-0000-00008BA60000}"/>
    <cellStyle name="Note 7 4 3" xfId="42506" xr:uid="{00000000-0005-0000-0000-00008CA60000}"/>
    <cellStyle name="Note 7 4 3 2" xfId="42507" xr:uid="{00000000-0005-0000-0000-00008DA60000}"/>
    <cellStyle name="Note 7 4 4" xfId="42508" xr:uid="{00000000-0005-0000-0000-00008EA60000}"/>
    <cellStyle name="Note 7 5" xfId="42509" xr:uid="{00000000-0005-0000-0000-00008FA60000}"/>
    <cellStyle name="Note 7 5 2" xfId="42510" xr:uid="{00000000-0005-0000-0000-000090A60000}"/>
    <cellStyle name="Note 7 5 2 2" xfId="42511" xr:uid="{00000000-0005-0000-0000-000091A60000}"/>
    <cellStyle name="Note 7 5 3" xfId="42512" xr:uid="{00000000-0005-0000-0000-000092A60000}"/>
    <cellStyle name="Note 7 6" xfId="42513" xr:uid="{00000000-0005-0000-0000-000093A60000}"/>
    <cellStyle name="Note 7 6 2" xfId="42514" xr:uid="{00000000-0005-0000-0000-000094A60000}"/>
    <cellStyle name="Note 7 7" xfId="42515" xr:uid="{00000000-0005-0000-0000-000095A60000}"/>
    <cellStyle name="Note 8" xfId="42516" xr:uid="{00000000-0005-0000-0000-000096A60000}"/>
    <cellStyle name="Note 8 2" xfId="42517" xr:uid="{00000000-0005-0000-0000-000097A60000}"/>
    <cellStyle name="Note 8 2 2" xfId="42518" xr:uid="{00000000-0005-0000-0000-000098A60000}"/>
    <cellStyle name="Note 8 2 2 2" xfId="42519" xr:uid="{00000000-0005-0000-0000-000099A60000}"/>
    <cellStyle name="Note 8 2 2 2 2" xfId="42520" xr:uid="{00000000-0005-0000-0000-00009AA60000}"/>
    <cellStyle name="Note 8 2 2 2 2 2" xfId="42521" xr:uid="{00000000-0005-0000-0000-00009BA60000}"/>
    <cellStyle name="Note 8 2 2 2 2 2 2" xfId="42522" xr:uid="{00000000-0005-0000-0000-00009CA60000}"/>
    <cellStyle name="Note 8 2 2 2 2 3" xfId="42523" xr:uid="{00000000-0005-0000-0000-00009DA60000}"/>
    <cellStyle name="Note 8 2 2 2 3" xfId="42524" xr:uid="{00000000-0005-0000-0000-00009EA60000}"/>
    <cellStyle name="Note 8 2 2 2 3 2" xfId="42525" xr:uid="{00000000-0005-0000-0000-00009FA60000}"/>
    <cellStyle name="Note 8 2 2 2 4" xfId="42526" xr:uid="{00000000-0005-0000-0000-0000A0A60000}"/>
    <cellStyle name="Note 8 2 2 3" xfId="42527" xr:uid="{00000000-0005-0000-0000-0000A1A60000}"/>
    <cellStyle name="Note 8 2 2 3 2" xfId="42528" xr:uid="{00000000-0005-0000-0000-0000A2A60000}"/>
    <cellStyle name="Note 8 2 2 3 2 2" xfId="42529" xr:uid="{00000000-0005-0000-0000-0000A3A60000}"/>
    <cellStyle name="Note 8 2 2 3 3" xfId="42530" xr:uid="{00000000-0005-0000-0000-0000A4A60000}"/>
    <cellStyle name="Note 8 2 2 4" xfId="42531" xr:uid="{00000000-0005-0000-0000-0000A5A60000}"/>
    <cellStyle name="Note 8 2 2 4 2" xfId="42532" xr:uid="{00000000-0005-0000-0000-0000A6A60000}"/>
    <cellStyle name="Note 8 2 2 5" xfId="42533" xr:uid="{00000000-0005-0000-0000-0000A7A60000}"/>
    <cellStyle name="Note 8 2 3" xfId="42534" xr:uid="{00000000-0005-0000-0000-0000A8A60000}"/>
    <cellStyle name="Note 8 2 3 2" xfId="42535" xr:uid="{00000000-0005-0000-0000-0000A9A60000}"/>
    <cellStyle name="Note 8 2 3 2 2" xfId="42536" xr:uid="{00000000-0005-0000-0000-0000AAA60000}"/>
    <cellStyle name="Note 8 2 3 2 2 2" xfId="42537" xr:uid="{00000000-0005-0000-0000-0000ABA60000}"/>
    <cellStyle name="Note 8 2 3 2 3" xfId="42538" xr:uid="{00000000-0005-0000-0000-0000ACA60000}"/>
    <cellStyle name="Note 8 2 3 3" xfId="42539" xr:uid="{00000000-0005-0000-0000-0000ADA60000}"/>
    <cellStyle name="Note 8 2 3 3 2" xfId="42540" xr:uid="{00000000-0005-0000-0000-0000AEA60000}"/>
    <cellStyle name="Note 8 2 3 4" xfId="42541" xr:uid="{00000000-0005-0000-0000-0000AFA60000}"/>
    <cellStyle name="Note 8 2 4" xfId="42542" xr:uid="{00000000-0005-0000-0000-0000B0A60000}"/>
    <cellStyle name="Note 8 2 4 2" xfId="42543" xr:uid="{00000000-0005-0000-0000-0000B1A60000}"/>
    <cellStyle name="Note 8 2 4 2 2" xfId="42544" xr:uid="{00000000-0005-0000-0000-0000B2A60000}"/>
    <cellStyle name="Note 8 2 4 3" xfId="42545" xr:uid="{00000000-0005-0000-0000-0000B3A60000}"/>
    <cellStyle name="Note 8 2 5" xfId="42546" xr:uid="{00000000-0005-0000-0000-0000B4A60000}"/>
    <cellStyle name="Note 8 2 5 2" xfId="42547" xr:uid="{00000000-0005-0000-0000-0000B5A60000}"/>
    <cellStyle name="Note 8 2 6" xfId="42548" xr:uid="{00000000-0005-0000-0000-0000B6A60000}"/>
    <cellStyle name="Note 8 3" xfId="42549" xr:uid="{00000000-0005-0000-0000-0000B7A60000}"/>
    <cellStyle name="Note 8 3 2" xfId="42550" xr:uid="{00000000-0005-0000-0000-0000B8A60000}"/>
    <cellStyle name="Note 8 3 2 2" xfId="42551" xr:uid="{00000000-0005-0000-0000-0000B9A60000}"/>
    <cellStyle name="Note 8 3 2 2 2" xfId="42552" xr:uid="{00000000-0005-0000-0000-0000BAA60000}"/>
    <cellStyle name="Note 8 3 2 2 2 2" xfId="42553" xr:uid="{00000000-0005-0000-0000-0000BBA60000}"/>
    <cellStyle name="Note 8 3 2 2 2 2 2" xfId="42554" xr:uid="{00000000-0005-0000-0000-0000BCA60000}"/>
    <cellStyle name="Note 8 3 2 2 2 2 2 2" xfId="42555" xr:uid="{00000000-0005-0000-0000-0000BDA60000}"/>
    <cellStyle name="Note 8 3 2 2 2 2 3" xfId="42556" xr:uid="{00000000-0005-0000-0000-0000BEA60000}"/>
    <cellStyle name="Note 8 3 2 2 2 3" xfId="42557" xr:uid="{00000000-0005-0000-0000-0000BFA60000}"/>
    <cellStyle name="Note 8 3 2 2 2 3 2" xfId="42558" xr:uid="{00000000-0005-0000-0000-0000C0A60000}"/>
    <cellStyle name="Note 8 3 2 2 2 4" xfId="42559" xr:uid="{00000000-0005-0000-0000-0000C1A60000}"/>
    <cellStyle name="Note 8 3 2 2 3" xfId="42560" xr:uid="{00000000-0005-0000-0000-0000C2A60000}"/>
    <cellStyle name="Note 8 3 2 2 3 2" xfId="42561" xr:uid="{00000000-0005-0000-0000-0000C3A60000}"/>
    <cellStyle name="Note 8 3 2 2 3 2 2" xfId="42562" xr:uid="{00000000-0005-0000-0000-0000C4A60000}"/>
    <cellStyle name="Note 8 3 2 2 3 3" xfId="42563" xr:uid="{00000000-0005-0000-0000-0000C5A60000}"/>
    <cellStyle name="Note 8 3 2 2 4" xfId="42564" xr:uid="{00000000-0005-0000-0000-0000C6A60000}"/>
    <cellStyle name="Note 8 3 2 2 4 2" xfId="42565" xr:uid="{00000000-0005-0000-0000-0000C7A60000}"/>
    <cellStyle name="Note 8 3 2 2 5" xfId="42566" xr:uid="{00000000-0005-0000-0000-0000C8A60000}"/>
    <cellStyle name="Note 8 3 2 3" xfId="42567" xr:uid="{00000000-0005-0000-0000-0000C9A60000}"/>
    <cellStyle name="Note 8 3 2 3 2" xfId="42568" xr:uid="{00000000-0005-0000-0000-0000CAA60000}"/>
    <cellStyle name="Note 8 3 2 3 2 2" xfId="42569" xr:uid="{00000000-0005-0000-0000-0000CBA60000}"/>
    <cellStyle name="Note 8 3 2 3 2 2 2" xfId="42570" xr:uid="{00000000-0005-0000-0000-0000CCA60000}"/>
    <cellStyle name="Note 8 3 2 3 2 3" xfId="42571" xr:uid="{00000000-0005-0000-0000-0000CDA60000}"/>
    <cellStyle name="Note 8 3 2 3 3" xfId="42572" xr:uid="{00000000-0005-0000-0000-0000CEA60000}"/>
    <cellStyle name="Note 8 3 2 3 3 2" xfId="42573" xr:uid="{00000000-0005-0000-0000-0000CFA60000}"/>
    <cellStyle name="Note 8 3 2 3 4" xfId="42574" xr:uid="{00000000-0005-0000-0000-0000D0A60000}"/>
    <cellStyle name="Note 8 3 2 4" xfId="42575" xr:uid="{00000000-0005-0000-0000-0000D1A60000}"/>
    <cellStyle name="Note 8 3 2 4 2" xfId="42576" xr:uid="{00000000-0005-0000-0000-0000D2A60000}"/>
    <cellStyle name="Note 8 3 2 4 2 2" xfId="42577" xr:uid="{00000000-0005-0000-0000-0000D3A60000}"/>
    <cellStyle name="Note 8 3 2 4 3" xfId="42578" xr:uid="{00000000-0005-0000-0000-0000D4A60000}"/>
    <cellStyle name="Note 8 3 2 5" xfId="42579" xr:uid="{00000000-0005-0000-0000-0000D5A60000}"/>
    <cellStyle name="Note 8 3 2 5 2" xfId="42580" xr:uid="{00000000-0005-0000-0000-0000D6A60000}"/>
    <cellStyle name="Note 8 3 2 6" xfId="42581" xr:uid="{00000000-0005-0000-0000-0000D7A60000}"/>
    <cellStyle name="Note 8 3 3" xfId="42582" xr:uid="{00000000-0005-0000-0000-0000D8A60000}"/>
    <cellStyle name="Note 8 3 3 2" xfId="42583" xr:uid="{00000000-0005-0000-0000-0000D9A60000}"/>
    <cellStyle name="Note 8 3 3 2 2" xfId="42584" xr:uid="{00000000-0005-0000-0000-0000DAA60000}"/>
    <cellStyle name="Note 8 3 3 2 2 2" xfId="42585" xr:uid="{00000000-0005-0000-0000-0000DBA60000}"/>
    <cellStyle name="Note 8 3 3 2 2 2 2" xfId="42586" xr:uid="{00000000-0005-0000-0000-0000DCA60000}"/>
    <cellStyle name="Note 8 3 3 2 2 3" xfId="42587" xr:uid="{00000000-0005-0000-0000-0000DDA60000}"/>
    <cellStyle name="Note 8 3 3 2 3" xfId="42588" xr:uid="{00000000-0005-0000-0000-0000DEA60000}"/>
    <cellStyle name="Note 8 3 3 2 3 2" xfId="42589" xr:uid="{00000000-0005-0000-0000-0000DFA60000}"/>
    <cellStyle name="Note 8 3 3 2 4" xfId="42590" xr:uid="{00000000-0005-0000-0000-0000E0A60000}"/>
    <cellStyle name="Note 8 3 3 3" xfId="42591" xr:uid="{00000000-0005-0000-0000-0000E1A60000}"/>
    <cellStyle name="Note 8 3 3 3 2" xfId="42592" xr:uid="{00000000-0005-0000-0000-0000E2A60000}"/>
    <cellStyle name="Note 8 3 3 3 2 2" xfId="42593" xr:uid="{00000000-0005-0000-0000-0000E3A60000}"/>
    <cellStyle name="Note 8 3 3 3 3" xfId="42594" xr:uid="{00000000-0005-0000-0000-0000E4A60000}"/>
    <cellStyle name="Note 8 3 3 4" xfId="42595" xr:uid="{00000000-0005-0000-0000-0000E5A60000}"/>
    <cellStyle name="Note 8 3 3 4 2" xfId="42596" xr:uid="{00000000-0005-0000-0000-0000E6A60000}"/>
    <cellStyle name="Note 8 3 3 5" xfId="42597" xr:uid="{00000000-0005-0000-0000-0000E7A60000}"/>
    <cellStyle name="Note 8 3 4" xfId="42598" xr:uid="{00000000-0005-0000-0000-0000E8A60000}"/>
    <cellStyle name="Note 8 3 4 2" xfId="42599" xr:uid="{00000000-0005-0000-0000-0000E9A60000}"/>
    <cellStyle name="Note 8 3 4 2 2" xfId="42600" xr:uid="{00000000-0005-0000-0000-0000EAA60000}"/>
    <cellStyle name="Note 8 3 4 2 2 2" xfId="42601" xr:uid="{00000000-0005-0000-0000-0000EBA60000}"/>
    <cellStyle name="Note 8 3 4 2 3" xfId="42602" xr:uid="{00000000-0005-0000-0000-0000ECA60000}"/>
    <cellStyle name="Note 8 3 4 3" xfId="42603" xr:uid="{00000000-0005-0000-0000-0000EDA60000}"/>
    <cellStyle name="Note 8 3 4 3 2" xfId="42604" xr:uid="{00000000-0005-0000-0000-0000EEA60000}"/>
    <cellStyle name="Note 8 3 4 4" xfId="42605" xr:uid="{00000000-0005-0000-0000-0000EFA60000}"/>
    <cellStyle name="Note 8 3 5" xfId="42606" xr:uid="{00000000-0005-0000-0000-0000F0A60000}"/>
    <cellStyle name="Note 8 3 5 2" xfId="42607" xr:uid="{00000000-0005-0000-0000-0000F1A60000}"/>
    <cellStyle name="Note 8 3 5 2 2" xfId="42608" xr:uid="{00000000-0005-0000-0000-0000F2A60000}"/>
    <cellStyle name="Note 8 3 5 3" xfId="42609" xr:uid="{00000000-0005-0000-0000-0000F3A60000}"/>
    <cellStyle name="Note 8 3 6" xfId="42610" xr:uid="{00000000-0005-0000-0000-0000F4A60000}"/>
    <cellStyle name="Note 8 3 6 2" xfId="42611" xr:uid="{00000000-0005-0000-0000-0000F5A60000}"/>
    <cellStyle name="Note 8 3 7" xfId="42612" xr:uid="{00000000-0005-0000-0000-0000F6A60000}"/>
    <cellStyle name="Note 8 4" xfId="42613" xr:uid="{00000000-0005-0000-0000-0000F7A60000}"/>
    <cellStyle name="Note 8 4 2" xfId="42614" xr:uid="{00000000-0005-0000-0000-0000F8A60000}"/>
    <cellStyle name="Note 8 4 2 2" xfId="42615" xr:uid="{00000000-0005-0000-0000-0000F9A60000}"/>
    <cellStyle name="Note 8 4 3" xfId="42616" xr:uid="{00000000-0005-0000-0000-0000FAA60000}"/>
    <cellStyle name="Note 8 5" xfId="42617" xr:uid="{00000000-0005-0000-0000-0000FBA60000}"/>
    <cellStyle name="Note 8 5 2" xfId="42618" xr:uid="{00000000-0005-0000-0000-0000FCA60000}"/>
    <cellStyle name="Note 8 5 2 2" xfId="42619" xr:uid="{00000000-0005-0000-0000-0000FDA60000}"/>
    <cellStyle name="Note 8 5 2 2 2" xfId="42620" xr:uid="{00000000-0005-0000-0000-0000FEA60000}"/>
    <cellStyle name="Note 8 5 2 2 2 2" xfId="42621" xr:uid="{00000000-0005-0000-0000-0000FFA60000}"/>
    <cellStyle name="Note 8 5 2 2 3" xfId="42622" xr:uid="{00000000-0005-0000-0000-000000A70000}"/>
    <cellStyle name="Note 8 5 2 3" xfId="42623" xr:uid="{00000000-0005-0000-0000-000001A70000}"/>
    <cellStyle name="Note 8 5 2 3 2" xfId="42624" xr:uid="{00000000-0005-0000-0000-000002A70000}"/>
    <cellStyle name="Note 8 5 2 4" xfId="42625" xr:uid="{00000000-0005-0000-0000-000003A70000}"/>
    <cellStyle name="Note 8 5 3" xfId="42626" xr:uid="{00000000-0005-0000-0000-000004A70000}"/>
    <cellStyle name="Note 8 5 3 2" xfId="42627" xr:uid="{00000000-0005-0000-0000-000005A70000}"/>
    <cellStyle name="Note 8 5 3 2 2" xfId="42628" xr:uid="{00000000-0005-0000-0000-000006A70000}"/>
    <cellStyle name="Note 8 5 3 3" xfId="42629" xr:uid="{00000000-0005-0000-0000-000007A70000}"/>
    <cellStyle name="Note 8 5 4" xfId="42630" xr:uid="{00000000-0005-0000-0000-000008A70000}"/>
    <cellStyle name="Note 8 5 4 2" xfId="42631" xr:uid="{00000000-0005-0000-0000-000009A70000}"/>
    <cellStyle name="Note 8 5 5" xfId="42632" xr:uid="{00000000-0005-0000-0000-00000AA70000}"/>
    <cellStyle name="Note 8 6" xfId="42633" xr:uid="{00000000-0005-0000-0000-00000BA70000}"/>
    <cellStyle name="Note 8 6 2" xfId="42634" xr:uid="{00000000-0005-0000-0000-00000CA70000}"/>
    <cellStyle name="Note 8 6 2 2" xfId="42635" xr:uid="{00000000-0005-0000-0000-00000DA70000}"/>
    <cellStyle name="Note 8 6 2 2 2" xfId="42636" xr:uid="{00000000-0005-0000-0000-00000EA70000}"/>
    <cellStyle name="Note 8 6 2 3" xfId="42637" xr:uid="{00000000-0005-0000-0000-00000FA70000}"/>
    <cellStyle name="Note 8 6 3" xfId="42638" xr:uid="{00000000-0005-0000-0000-000010A70000}"/>
    <cellStyle name="Note 8 6 3 2" xfId="42639" xr:uid="{00000000-0005-0000-0000-000011A70000}"/>
    <cellStyle name="Note 8 6 4" xfId="42640" xr:uid="{00000000-0005-0000-0000-000012A70000}"/>
    <cellStyle name="Note 8 7" xfId="42641" xr:uid="{00000000-0005-0000-0000-000013A70000}"/>
    <cellStyle name="Note 8 7 2" xfId="42642" xr:uid="{00000000-0005-0000-0000-000014A70000}"/>
    <cellStyle name="Note 8 7 2 2" xfId="42643" xr:uid="{00000000-0005-0000-0000-000015A70000}"/>
    <cellStyle name="Note 8 7 3" xfId="42644" xr:uid="{00000000-0005-0000-0000-000016A70000}"/>
    <cellStyle name="Note 8 8" xfId="42645" xr:uid="{00000000-0005-0000-0000-000017A70000}"/>
    <cellStyle name="Note 8 8 2" xfId="42646" xr:uid="{00000000-0005-0000-0000-000018A70000}"/>
    <cellStyle name="Note 8 9" xfId="42647" xr:uid="{00000000-0005-0000-0000-000019A70000}"/>
    <cellStyle name="Note 9" xfId="42648" xr:uid="{00000000-0005-0000-0000-00001AA70000}"/>
    <cellStyle name="Note 9 2" xfId="42649" xr:uid="{00000000-0005-0000-0000-00001BA70000}"/>
    <cellStyle name="Note 9 2 2" xfId="42650" xr:uid="{00000000-0005-0000-0000-00001CA70000}"/>
    <cellStyle name="Note 9 2 2 2" xfId="42651" xr:uid="{00000000-0005-0000-0000-00001DA70000}"/>
    <cellStyle name="Note 9 2 2 2 2" xfId="42652" xr:uid="{00000000-0005-0000-0000-00001EA70000}"/>
    <cellStyle name="Note 9 2 2 3" xfId="42653" xr:uid="{00000000-0005-0000-0000-00001FA70000}"/>
    <cellStyle name="Note 9 2 3" xfId="42654" xr:uid="{00000000-0005-0000-0000-000020A70000}"/>
    <cellStyle name="Note 9 2 3 2" xfId="42655" xr:uid="{00000000-0005-0000-0000-000021A70000}"/>
    <cellStyle name="Note 9 2 4" xfId="42656" xr:uid="{00000000-0005-0000-0000-000022A70000}"/>
    <cellStyle name="Note 9 3" xfId="42657" xr:uid="{00000000-0005-0000-0000-000023A70000}"/>
    <cellStyle name="Note 9 3 2" xfId="42658" xr:uid="{00000000-0005-0000-0000-000024A70000}"/>
    <cellStyle name="Note 9 3 2 2" xfId="42659" xr:uid="{00000000-0005-0000-0000-000025A70000}"/>
    <cellStyle name="Note 9 3 3" xfId="42660" xr:uid="{00000000-0005-0000-0000-000026A70000}"/>
    <cellStyle name="Note 9 4" xfId="42661" xr:uid="{00000000-0005-0000-0000-000027A70000}"/>
    <cellStyle name="Note 9 4 2" xfId="42662" xr:uid="{00000000-0005-0000-0000-000028A70000}"/>
    <cellStyle name="Note 9 5" xfId="42663" xr:uid="{00000000-0005-0000-0000-000029A70000}"/>
    <cellStyle name="onezero" xfId="42664" xr:uid="{00000000-0005-0000-0000-00002AA70000}"/>
    <cellStyle name="onezero 2" xfId="42665" xr:uid="{00000000-0005-0000-0000-00002BA70000}"/>
    <cellStyle name="onezero 3" xfId="42666" xr:uid="{00000000-0005-0000-0000-00002CA70000}"/>
    <cellStyle name="onezero 3 2" xfId="42667" xr:uid="{00000000-0005-0000-0000-00002DA70000}"/>
    <cellStyle name="onezero 3 2 2" xfId="42668" xr:uid="{00000000-0005-0000-0000-00002EA70000}"/>
    <cellStyle name="onezero 3 3" xfId="42669" xr:uid="{00000000-0005-0000-0000-00002FA70000}"/>
    <cellStyle name="onezero 4" xfId="42670" xr:uid="{00000000-0005-0000-0000-000030A70000}"/>
    <cellStyle name="onezero 4 2" xfId="42671" xr:uid="{00000000-0005-0000-0000-000031A70000}"/>
    <cellStyle name="onezero 4 2 2" xfId="42672" xr:uid="{00000000-0005-0000-0000-000032A70000}"/>
    <cellStyle name="onezero 4 3" xfId="42673" xr:uid="{00000000-0005-0000-0000-000033A70000}"/>
    <cellStyle name="Output 10" xfId="42674" xr:uid="{00000000-0005-0000-0000-000034A70000}"/>
    <cellStyle name="Output 2" xfId="42675" xr:uid="{00000000-0005-0000-0000-000035A70000}"/>
    <cellStyle name="Output 2 10" xfId="42676" xr:uid="{00000000-0005-0000-0000-000036A70000}"/>
    <cellStyle name="Output 2 10 2" xfId="42677" xr:uid="{00000000-0005-0000-0000-000037A70000}"/>
    <cellStyle name="Output 2 10 2 2" xfId="42678" xr:uid="{00000000-0005-0000-0000-000038A70000}"/>
    <cellStyle name="Output 2 10 3" xfId="42679" xr:uid="{00000000-0005-0000-0000-000039A70000}"/>
    <cellStyle name="Output 2 11" xfId="42680" xr:uid="{00000000-0005-0000-0000-00003AA70000}"/>
    <cellStyle name="Output 2 11 2" xfId="42681" xr:uid="{00000000-0005-0000-0000-00003BA70000}"/>
    <cellStyle name="Output 2 11 2 2" xfId="42682" xr:uid="{00000000-0005-0000-0000-00003CA70000}"/>
    <cellStyle name="Output 2 11 3" xfId="42683" xr:uid="{00000000-0005-0000-0000-00003DA70000}"/>
    <cellStyle name="Output 2 12" xfId="42684" xr:uid="{00000000-0005-0000-0000-00003EA70000}"/>
    <cellStyle name="Output 2 12 2" xfId="42685" xr:uid="{00000000-0005-0000-0000-00003FA70000}"/>
    <cellStyle name="Output 2 12 2 2" xfId="42686" xr:uid="{00000000-0005-0000-0000-000040A70000}"/>
    <cellStyle name="Output 2 12 2 2 2" xfId="42687" xr:uid="{00000000-0005-0000-0000-000041A70000}"/>
    <cellStyle name="Output 2 12 2 3" xfId="42688" xr:uid="{00000000-0005-0000-0000-000042A70000}"/>
    <cellStyle name="Output 2 12 3" xfId="42689" xr:uid="{00000000-0005-0000-0000-000043A70000}"/>
    <cellStyle name="Output 2 12 3 2" xfId="42690" xr:uid="{00000000-0005-0000-0000-000044A70000}"/>
    <cellStyle name="Output 2 12 4" xfId="42691" xr:uid="{00000000-0005-0000-0000-000045A70000}"/>
    <cellStyle name="Output 2 12 4 2" xfId="42692" xr:uid="{00000000-0005-0000-0000-000046A70000}"/>
    <cellStyle name="Output 2 12 5" xfId="42693" xr:uid="{00000000-0005-0000-0000-000047A70000}"/>
    <cellStyle name="Output 2 13" xfId="42694" xr:uid="{00000000-0005-0000-0000-000048A70000}"/>
    <cellStyle name="Output 2 13 2" xfId="42695" xr:uid="{00000000-0005-0000-0000-000049A70000}"/>
    <cellStyle name="Output 2 13 3" xfId="42696" xr:uid="{00000000-0005-0000-0000-00004AA70000}"/>
    <cellStyle name="Output 2 14" xfId="42697" xr:uid="{00000000-0005-0000-0000-00004BA70000}"/>
    <cellStyle name="Output 2 14 2" xfId="42698" xr:uid="{00000000-0005-0000-0000-00004CA70000}"/>
    <cellStyle name="Output 2 15" xfId="42699" xr:uid="{00000000-0005-0000-0000-00004DA70000}"/>
    <cellStyle name="Output 2 16" xfId="42700" xr:uid="{00000000-0005-0000-0000-00004EA70000}"/>
    <cellStyle name="Output 2 2" xfId="42701" xr:uid="{00000000-0005-0000-0000-00004FA70000}"/>
    <cellStyle name="Output 2 2 2" xfId="42702" xr:uid="{00000000-0005-0000-0000-000050A70000}"/>
    <cellStyle name="Output 2 2 2 2" xfId="42703" xr:uid="{00000000-0005-0000-0000-000051A70000}"/>
    <cellStyle name="Output 2 2 2 2 2" xfId="42704" xr:uid="{00000000-0005-0000-0000-000052A70000}"/>
    <cellStyle name="Output 2 2 2 3" xfId="42705" xr:uid="{00000000-0005-0000-0000-000053A70000}"/>
    <cellStyle name="Output 2 2 2 3 2" xfId="42706" xr:uid="{00000000-0005-0000-0000-000054A70000}"/>
    <cellStyle name="Output 2 2 2 3 2 2" xfId="42707" xr:uid="{00000000-0005-0000-0000-000055A70000}"/>
    <cellStyle name="Output 2 2 2 3 3" xfId="42708" xr:uid="{00000000-0005-0000-0000-000056A70000}"/>
    <cellStyle name="Output 2 2 2 4" xfId="42709" xr:uid="{00000000-0005-0000-0000-000057A70000}"/>
    <cellStyle name="Output 2 2 2 4 2" xfId="42710" xr:uid="{00000000-0005-0000-0000-000058A70000}"/>
    <cellStyle name="Output 2 2 2 4 2 2" xfId="42711" xr:uid="{00000000-0005-0000-0000-000059A70000}"/>
    <cellStyle name="Output 2 2 2 4 3" xfId="42712" xr:uid="{00000000-0005-0000-0000-00005AA70000}"/>
    <cellStyle name="Output 2 2 2 5" xfId="42713" xr:uid="{00000000-0005-0000-0000-00005BA70000}"/>
    <cellStyle name="Output 2 2 3" xfId="42714" xr:uid="{00000000-0005-0000-0000-00005CA70000}"/>
    <cellStyle name="Output 2 2 3 2" xfId="42715" xr:uid="{00000000-0005-0000-0000-00005DA70000}"/>
    <cellStyle name="Output 2 2 3 2 2" xfId="42716" xr:uid="{00000000-0005-0000-0000-00005EA70000}"/>
    <cellStyle name="Output 2 2 3 2 2 2" xfId="42717" xr:uid="{00000000-0005-0000-0000-00005FA70000}"/>
    <cellStyle name="Output 2 2 3 2 3" xfId="42718" xr:uid="{00000000-0005-0000-0000-000060A70000}"/>
    <cellStyle name="Output 2 2 3 2 3 2" xfId="42719" xr:uid="{00000000-0005-0000-0000-000061A70000}"/>
    <cellStyle name="Output 2 2 3 2 3 2 2" xfId="42720" xr:uid="{00000000-0005-0000-0000-000062A70000}"/>
    <cellStyle name="Output 2 2 3 2 3 3" xfId="42721" xr:uid="{00000000-0005-0000-0000-000063A70000}"/>
    <cellStyle name="Output 2 2 3 2 4" xfId="42722" xr:uid="{00000000-0005-0000-0000-000064A70000}"/>
    <cellStyle name="Output 2 2 3 3" xfId="42723" xr:uid="{00000000-0005-0000-0000-000065A70000}"/>
    <cellStyle name="Output 2 2 3 3 2" xfId="42724" xr:uid="{00000000-0005-0000-0000-000066A70000}"/>
    <cellStyle name="Output 2 2 3 3 2 2" xfId="42725" xr:uid="{00000000-0005-0000-0000-000067A70000}"/>
    <cellStyle name="Output 2 2 3 3 3" xfId="42726" xr:uid="{00000000-0005-0000-0000-000068A70000}"/>
    <cellStyle name="Output 2 2 3 4" xfId="42727" xr:uid="{00000000-0005-0000-0000-000069A70000}"/>
    <cellStyle name="Output 2 2 3 4 2" xfId="42728" xr:uid="{00000000-0005-0000-0000-00006AA70000}"/>
    <cellStyle name="Output 2 2 3 4 2 2" xfId="42729" xr:uid="{00000000-0005-0000-0000-00006BA70000}"/>
    <cellStyle name="Output 2 2 3 4 3" xfId="42730" xr:uid="{00000000-0005-0000-0000-00006CA70000}"/>
    <cellStyle name="Output 2 2 3 5" xfId="42731" xr:uid="{00000000-0005-0000-0000-00006DA70000}"/>
    <cellStyle name="Output 2 2 3 5 2" xfId="42732" xr:uid="{00000000-0005-0000-0000-00006EA70000}"/>
    <cellStyle name="Output 2 2 3 5 2 2" xfId="42733" xr:uid="{00000000-0005-0000-0000-00006FA70000}"/>
    <cellStyle name="Output 2 2 3 5 3" xfId="42734" xr:uid="{00000000-0005-0000-0000-000070A70000}"/>
    <cellStyle name="Output 2 2 3 6" xfId="42735" xr:uid="{00000000-0005-0000-0000-000071A70000}"/>
    <cellStyle name="Output 2 2 4" xfId="42736" xr:uid="{00000000-0005-0000-0000-000072A70000}"/>
    <cellStyle name="Output 2 2 4 2" xfId="42737" xr:uid="{00000000-0005-0000-0000-000073A70000}"/>
    <cellStyle name="Output 2 2 4 2 2" xfId="42738" xr:uid="{00000000-0005-0000-0000-000074A70000}"/>
    <cellStyle name="Output 2 2 4 3" xfId="42739" xr:uid="{00000000-0005-0000-0000-000075A70000}"/>
    <cellStyle name="Output 2 2 5" xfId="42740" xr:uid="{00000000-0005-0000-0000-000076A70000}"/>
    <cellStyle name="Output 2 2 5 2" xfId="42741" xr:uid="{00000000-0005-0000-0000-000077A70000}"/>
    <cellStyle name="Output 2 2 5 2 2" xfId="42742" xr:uid="{00000000-0005-0000-0000-000078A70000}"/>
    <cellStyle name="Output 2 2 5 3" xfId="42743" xr:uid="{00000000-0005-0000-0000-000079A70000}"/>
    <cellStyle name="Output 2 2 6" xfId="42744" xr:uid="{00000000-0005-0000-0000-00007AA70000}"/>
    <cellStyle name="Output 2 2 6 2" xfId="42745" xr:uid="{00000000-0005-0000-0000-00007BA70000}"/>
    <cellStyle name="Output 2 2 6 2 2" xfId="42746" xr:uid="{00000000-0005-0000-0000-00007CA70000}"/>
    <cellStyle name="Output 2 2 6 3" xfId="42747" xr:uid="{00000000-0005-0000-0000-00007DA70000}"/>
    <cellStyle name="Output 2 2 7" xfId="42748" xr:uid="{00000000-0005-0000-0000-00007EA70000}"/>
    <cellStyle name="Output 2 3" xfId="42749" xr:uid="{00000000-0005-0000-0000-00007FA70000}"/>
    <cellStyle name="Output 2 3 2" xfId="42750" xr:uid="{00000000-0005-0000-0000-000080A70000}"/>
    <cellStyle name="Output 2 3 2 2" xfId="42751" xr:uid="{00000000-0005-0000-0000-000081A70000}"/>
    <cellStyle name="Output 2 3 2 2 2" xfId="42752" xr:uid="{00000000-0005-0000-0000-000082A70000}"/>
    <cellStyle name="Output 2 3 2 2 2 2" xfId="42753" xr:uid="{00000000-0005-0000-0000-000083A70000}"/>
    <cellStyle name="Output 2 3 2 2 3" xfId="42754" xr:uid="{00000000-0005-0000-0000-000084A70000}"/>
    <cellStyle name="Output 2 3 2 3" xfId="42755" xr:uid="{00000000-0005-0000-0000-000085A70000}"/>
    <cellStyle name="Output 2 3 2 3 2" xfId="42756" xr:uid="{00000000-0005-0000-0000-000086A70000}"/>
    <cellStyle name="Output 2 3 2 3 2 2" xfId="42757" xr:uid="{00000000-0005-0000-0000-000087A70000}"/>
    <cellStyle name="Output 2 3 2 3 3" xfId="42758" xr:uid="{00000000-0005-0000-0000-000088A70000}"/>
    <cellStyle name="Output 2 3 2 4" xfId="42759" xr:uid="{00000000-0005-0000-0000-000089A70000}"/>
    <cellStyle name="Output 2 3 2 4 2" xfId="42760" xr:uid="{00000000-0005-0000-0000-00008AA70000}"/>
    <cellStyle name="Output 2 3 2 4 2 2" xfId="42761" xr:uid="{00000000-0005-0000-0000-00008BA70000}"/>
    <cellStyle name="Output 2 3 2 4 3" xfId="42762" xr:uid="{00000000-0005-0000-0000-00008CA70000}"/>
    <cellStyle name="Output 2 3 2 5" xfId="42763" xr:uid="{00000000-0005-0000-0000-00008DA70000}"/>
    <cellStyle name="Output 2 3 2 5 2" xfId="42764" xr:uid="{00000000-0005-0000-0000-00008EA70000}"/>
    <cellStyle name="Output 2 3 2 6" xfId="42765" xr:uid="{00000000-0005-0000-0000-00008FA70000}"/>
    <cellStyle name="Output 2 3 3" xfId="42766" xr:uid="{00000000-0005-0000-0000-000090A70000}"/>
    <cellStyle name="Output 2 3 3 2" xfId="42767" xr:uid="{00000000-0005-0000-0000-000091A70000}"/>
    <cellStyle name="Output 2 3 3 2 2" xfId="42768" xr:uid="{00000000-0005-0000-0000-000092A70000}"/>
    <cellStyle name="Output 2 3 3 2 2 2" xfId="42769" xr:uid="{00000000-0005-0000-0000-000093A70000}"/>
    <cellStyle name="Output 2 3 3 2 2 2 2" xfId="42770" xr:uid="{00000000-0005-0000-0000-000094A70000}"/>
    <cellStyle name="Output 2 3 3 2 2 3" xfId="42771" xr:uid="{00000000-0005-0000-0000-000095A70000}"/>
    <cellStyle name="Output 2 3 3 2 3" xfId="42772" xr:uid="{00000000-0005-0000-0000-000096A70000}"/>
    <cellStyle name="Output 2 3 3 2 3 2" xfId="42773" xr:uid="{00000000-0005-0000-0000-000097A70000}"/>
    <cellStyle name="Output 2 3 3 2 3 2 2" xfId="42774" xr:uid="{00000000-0005-0000-0000-000098A70000}"/>
    <cellStyle name="Output 2 3 3 2 3 3" xfId="42775" xr:uid="{00000000-0005-0000-0000-000099A70000}"/>
    <cellStyle name="Output 2 3 3 2 4" xfId="42776" xr:uid="{00000000-0005-0000-0000-00009AA70000}"/>
    <cellStyle name="Output 2 3 3 2 4 2" xfId="42777" xr:uid="{00000000-0005-0000-0000-00009BA70000}"/>
    <cellStyle name="Output 2 3 3 2 5" xfId="42778" xr:uid="{00000000-0005-0000-0000-00009CA70000}"/>
    <cellStyle name="Output 2 3 3 3" xfId="42779" xr:uid="{00000000-0005-0000-0000-00009DA70000}"/>
    <cellStyle name="Output 2 3 3 3 2" xfId="42780" xr:uid="{00000000-0005-0000-0000-00009EA70000}"/>
    <cellStyle name="Output 2 3 3 3 2 2" xfId="42781" xr:uid="{00000000-0005-0000-0000-00009FA70000}"/>
    <cellStyle name="Output 2 3 3 3 2 2 2" xfId="42782" xr:uid="{00000000-0005-0000-0000-0000A0A70000}"/>
    <cellStyle name="Output 2 3 3 3 2 3" xfId="42783" xr:uid="{00000000-0005-0000-0000-0000A1A70000}"/>
    <cellStyle name="Output 2 3 3 3 3" xfId="42784" xr:uid="{00000000-0005-0000-0000-0000A2A70000}"/>
    <cellStyle name="Output 2 3 3 3 3 2" xfId="42785" xr:uid="{00000000-0005-0000-0000-0000A3A70000}"/>
    <cellStyle name="Output 2 3 3 3 4" xfId="42786" xr:uid="{00000000-0005-0000-0000-0000A4A70000}"/>
    <cellStyle name="Output 2 3 3 4" xfId="42787" xr:uid="{00000000-0005-0000-0000-0000A5A70000}"/>
    <cellStyle name="Output 2 3 3 4 2" xfId="42788" xr:uid="{00000000-0005-0000-0000-0000A6A70000}"/>
    <cellStyle name="Output 2 3 3 4 2 2" xfId="42789" xr:uid="{00000000-0005-0000-0000-0000A7A70000}"/>
    <cellStyle name="Output 2 3 3 4 3" xfId="42790" xr:uid="{00000000-0005-0000-0000-0000A8A70000}"/>
    <cellStyle name="Output 2 3 3 5" xfId="42791" xr:uid="{00000000-0005-0000-0000-0000A9A70000}"/>
    <cellStyle name="Output 2 3 3 5 2" xfId="42792" xr:uid="{00000000-0005-0000-0000-0000AAA70000}"/>
    <cellStyle name="Output 2 3 3 5 2 2" xfId="42793" xr:uid="{00000000-0005-0000-0000-0000ABA70000}"/>
    <cellStyle name="Output 2 3 3 5 3" xfId="42794" xr:uid="{00000000-0005-0000-0000-0000ACA70000}"/>
    <cellStyle name="Output 2 3 3 6" xfId="42795" xr:uid="{00000000-0005-0000-0000-0000ADA70000}"/>
    <cellStyle name="Output 2 3 3 6 2" xfId="42796" xr:uid="{00000000-0005-0000-0000-0000AEA70000}"/>
    <cellStyle name="Output 2 3 3 7" xfId="42797" xr:uid="{00000000-0005-0000-0000-0000AFA70000}"/>
    <cellStyle name="Output 2 3 4" xfId="42798" xr:uid="{00000000-0005-0000-0000-0000B0A70000}"/>
    <cellStyle name="Output 2 3 4 2" xfId="42799" xr:uid="{00000000-0005-0000-0000-0000B1A70000}"/>
    <cellStyle name="Output 2 3 4 2 2" xfId="42800" xr:uid="{00000000-0005-0000-0000-0000B2A70000}"/>
    <cellStyle name="Output 2 3 4 2 2 2" xfId="42801" xr:uid="{00000000-0005-0000-0000-0000B3A70000}"/>
    <cellStyle name="Output 2 3 4 2 3" xfId="42802" xr:uid="{00000000-0005-0000-0000-0000B4A70000}"/>
    <cellStyle name="Output 2 3 4 3" xfId="42803" xr:uid="{00000000-0005-0000-0000-0000B5A70000}"/>
    <cellStyle name="Output 2 3 4 3 2" xfId="42804" xr:uid="{00000000-0005-0000-0000-0000B6A70000}"/>
    <cellStyle name="Output 2 3 4 4" xfId="42805" xr:uid="{00000000-0005-0000-0000-0000B7A70000}"/>
    <cellStyle name="Output 2 3 5" xfId="42806" xr:uid="{00000000-0005-0000-0000-0000B8A70000}"/>
    <cellStyle name="Output 2 3 5 2" xfId="42807" xr:uid="{00000000-0005-0000-0000-0000B9A70000}"/>
    <cellStyle name="Output 2 3 5 2 2" xfId="42808" xr:uid="{00000000-0005-0000-0000-0000BAA70000}"/>
    <cellStyle name="Output 2 3 5 3" xfId="42809" xr:uid="{00000000-0005-0000-0000-0000BBA70000}"/>
    <cellStyle name="Output 2 3 6" xfId="42810" xr:uid="{00000000-0005-0000-0000-0000BCA70000}"/>
    <cellStyle name="Output 2 3 6 2" xfId="42811" xr:uid="{00000000-0005-0000-0000-0000BDA70000}"/>
    <cellStyle name="Output 2 3 6 2 2" xfId="42812" xr:uid="{00000000-0005-0000-0000-0000BEA70000}"/>
    <cellStyle name="Output 2 3 6 3" xfId="42813" xr:uid="{00000000-0005-0000-0000-0000BFA70000}"/>
    <cellStyle name="Output 2 3 7" xfId="42814" xr:uid="{00000000-0005-0000-0000-0000C0A70000}"/>
    <cellStyle name="Output 2 3 7 2" xfId="42815" xr:uid="{00000000-0005-0000-0000-0000C1A70000}"/>
    <cellStyle name="Output 2 3 8" xfId="42816" xr:uid="{00000000-0005-0000-0000-0000C2A70000}"/>
    <cellStyle name="Output 2 4" xfId="42817" xr:uid="{00000000-0005-0000-0000-0000C3A70000}"/>
    <cellStyle name="Output 2 4 2" xfId="42818" xr:uid="{00000000-0005-0000-0000-0000C4A70000}"/>
    <cellStyle name="Output 2 4 2 2" xfId="42819" xr:uid="{00000000-0005-0000-0000-0000C5A70000}"/>
    <cellStyle name="Output 2 4 2 2 2" xfId="42820" xr:uid="{00000000-0005-0000-0000-0000C6A70000}"/>
    <cellStyle name="Output 2 4 2 2 2 2" xfId="42821" xr:uid="{00000000-0005-0000-0000-0000C7A70000}"/>
    <cellStyle name="Output 2 4 2 2 3" xfId="42822" xr:uid="{00000000-0005-0000-0000-0000C8A70000}"/>
    <cellStyle name="Output 2 4 2 3" xfId="42823" xr:uid="{00000000-0005-0000-0000-0000C9A70000}"/>
    <cellStyle name="Output 2 4 2 3 2" xfId="42824" xr:uid="{00000000-0005-0000-0000-0000CAA70000}"/>
    <cellStyle name="Output 2 4 2 3 2 2" xfId="42825" xr:uid="{00000000-0005-0000-0000-0000CBA70000}"/>
    <cellStyle name="Output 2 4 2 3 3" xfId="42826" xr:uid="{00000000-0005-0000-0000-0000CCA70000}"/>
    <cellStyle name="Output 2 4 2 4" xfId="42827" xr:uid="{00000000-0005-0000-0000-0000CDA70000}"/>
    <cellStyle name="Output 2 4 2 4 2" xfId="42828" xr:uid="{00000000-0005-0000-0000-0000CEA70000}"/>
    <cellStyle name="Output 2 4 2 4 2 2" xfId="42829" xr:uid="{00000000-0005-0000-0000-0000CFA70000}"/>
    <cellStyle name="Output 2 4 2 4 3" xfId="42830" xr:uid="{00000000-0005-0000-0000-0000D0A70000}"/>
    <cellStyle name="Output 2 4 2 5" xfId="42831" xr:uid="{00000000-0005-0000-0000-0000D1A70000}"/>
    <cellStyle name="Output 2 4 2 5 2" xfId="42832" xr:uid="{00000000-0005-0000-0000-0000D2A70000}"/>
    <cellStyle name="Output 2 4 2 6" xfId="42833" xr:uid="{00000000-0005-0000-0000-0000D3A70000}"/>
    <cellStyle name="Output 2 4 3" xfId="42834" xr:uid="{00000000-0005-0000-0000-0000D4A70000}"/>
    <cellStyle name="Output 2 4 3 2" xfId="42835" xr:uid="{00000000-0005-0000-0000-0000D5A70000}"/>
    <cellStyle name="Output 2 4 3 2 2" xfId="42836" xr:uid="{00000000-0005-0000-0000-0000D6A70000}"/>
    <cellStyle name="Output 2 4 3 2 2 2" xfId="42837" xr:uid="{00000000-0005-0000-0000-0000D7A70000}"/>
    <cellStyle name="Output 2 4 3 2 3" xfId="42838" xr:uid="{00000000-0005-0000-0000-0000D8A70000}"/>
    <cellStyle name="Output 2 4 3 3" xfId="42839" xr:uid="{00000000-0005-0000-0000-0000D9A70000}"/>
    <cellStyle name="Output 2 4 3 3 2" xfId="42840" xr:uid="{00000000-0005-0000-0000-0000DAA70000}"/>
    <cellStyle name="Output 2 4 3 4" xfId="42841" xr:uid="{00000000-0005-0000-0000-0000DBA70000}"/>
    <cellStyle name="Output 2 4 4" xfId="42842" xr:uid="{00000000-0005-0000-0000-0000DCA70000}"/>
    <cellStyle name="Output 2 4 4 2" xfId="42843" xr:uid="{00000000-0005-0000-0000-0000DDA70000}"/>
    <cellStyle name="Output 2 4 4 2 2" xfId="42844" xr:uid="{00000000-0005-0000-0000-0000DEA70000}"/>
    <cellStyle name="Output 2 4 4 3" xfId="42845" xr:uid="{00000000-0005-0000-0000-0000DFA70000}"/>
    <cellStyle name="Output 2 4 5" xfId="42846" xr:uid="{00000000-0005-0000-0000-0000E0A70000}"/>
    <cellStyle name="Output 2 4 5 2" xfId="42847" xr:uid="{00000000-0005-0000-0000-0000E1A70000}"/>
    <cellStyle name="Output 2 4 5 2 2" xfId="42848" xr:uid="{00000000-0005-0000-0000-0000E2A70000}"/>
    <cellStyle name="Output 2 4 5 3" xfId="42849" xr:uid="{00000000-0005-0000-0000-0000E3A70000}"/>
    <cellStyle name="Output 2 4 6" xfId="42850" xr:uid="{00000000-0005-0000-0000-0000E4A70000}"/>
    <cellStyle name="Output 2 4 6 2" xfId="42851" xr:uid="{00000000-0005-0000-0000-0000E5A70000}"/>
    <cellStyle name="Output 2 4 7" xfId="42852" xr:uid="{00000000-0005-0000-0000-0000E6A70000}"/>
    <cellStyle name="Output 2 5" xfId="42853" xr:uid="{00000000-0005-0000-0000-0000E7A70000}"/>
    <cellStyle name="Output 2 5 2" xfId="42854" xr:uid="{00000000-0005-0000-0000-0000E8A70000}"/>
    <cellStyle name="Output 2 5 2 2" xfId="42855" xr:uid="{00000000-0005-0000-0000-0000E9A70000}"/>
    <cellStyle name="Output 2 5 2 2 2" xfId="42856" xr:uid="{00000000-0005-0000-0000-0000EAA70000}"/>
    <cellStyle name="Output 2 5 2 2 2 2" xfId="42857" xr:uid="{00000000-0005-0000-0000-0000EBA70000}"/>
    <cellStyle name="Output 2 5 2 2 3" xfId="42858" xr:uid="{00000000-0005-0000-0000-0000ECA70000}"/>
    <cellStyle name="Output 2 5 2 3" xfId="42859" xr:uid="{00000000-0005-0000-0000-0000EDA70000}"/>
    <cellStyle name="Output 2 5 2 3 2" xfId="42860" xr:uid="{00000000-0005-0000-0000-0000EEA70000}"/>
    <cellStyle name="Output 2 5 2 3 2 2" xfId="42861" xr:uid="{00000000-0005-0000-0000-0000EFA70000}"/>
    <cellStyle name="Output 2 5 2 3 3" xfId="42862" xr:uid="{00000000-0005-0000-0000-0000F0A70000}"/>
    <cellStyle name="Output 2 5 2 4" xfId="42863" xr:uid="{00000000-0005-0000-0000-0000F1A70000}"/>
    <cellStyle name="Output 2 5 2 4 2" xfId="42864" xr:uid="{00000000-0005-0000-0000-0000F2A70000}"/>
    <cellStyle name="Output 2 5 2 4 2 2" xfId="42865" xr:uid="{00000000-0005-0000-0000-0000F3A70000}"/>
    <cellStyle name="Output 2 5 2 4 3" xfId="42866" xr:uid="{00000000-0005-0000-0000-0000F4A70000}"/>
    <cellStyle name="Output 2 5 2 5" xfId="42867" xr:uid="{00000000-0005-0000-0000-0000F5A70000}"/>
    <cellStyle name="Output 2 5 2 5 2" xfId="42868" xr:uid="{00000000-0005-0000-0000-0000F6A70000}"/>
    <cellStyle name="Output 2 5 2 6" xfId="42869" xr:uid="{00000000-0005-0000-0000-0000F7A70000}"/>
    <cellStyle name="Output 2 5 3" xfId="42870" xr:uid="{00000000-0005-0000-0000-0000F8A70000}"/>
    <cellStyle name="Output 2 5 3 2" xfId="42871" xr:uid="{00000000-0005-0000-0000-0000F9A70000}"/>
    <cellStyle name="Output 2 5 3 2 2" xfId="42872" xr:uid="{00000000-0005-0000-0000-0000FAA70000}"/>
    <cellStyle name="Output 2 5 3 2 2 2" xfId="42873" xr:uid="{00000000-0005-0000-0000-0000FBA70000}"/>
    <cellStyle name="Output 2 5 3 2 2 2 2" xfId="42874" xr:uid="{00000000-0005-0000-0000-0000FCA70000}"/>
    <cellStyle name="Output 2 5 3 2 2 3" xfId="42875" xr:uid="{00000000-0005-0000-0000-0000FDA70000}"/>
    <cellStyle name="Output 2 5 3 2 3" xfId="42876" xr:uid="{00000000-0005-0000-0000-0000FEA70000}"/>
    <cellStyle name="Output 2 5 3 2 3 2" xfId="42877" xr:uid="{00000000-0005-0000-0000-0000FFA70000}"/>
    <cellStyle name="Output 2 5 3 2 3 2 2" xfId="42878" xr:uid="{00000000-0005-0000-0000-000000A80000}"/>
    <cellStyle name="Output 2 5 3 2 3 3" xfId="42879" xr:uid="{00000000-0005-0000-0000-000001A80000}"/>
    <cellStyle name="Output 2 5 3 2 4" xfId="42880" xr:uid="{00000000-0005-0000-0000-000002A80000}"/>
    <cellStyle name="Output 2 5 3 2 4 2" xfId="42881" xr:uid="{00000000-0005-0000-0000-000003A80000}"/>
    <cellStyle name="Output 2 5 3 2 5" xfId="42882" xr:uid="{00000000-0005-0000-0000-000004A80000}"/>
    <cellStyle name="Output 2 5 3 3" xfId="42883" xr:uid="{00000000-0005-0000-0000-000005A80000}"/>
    <cellStyle name="Output 2 5 3 3 2" xfId="42884" xr:uid="{00000000-0005-0000-0000-000006A80000}"/>
    <cellStyle name="Output 2 5 3 3 2 2" xfId="42885" xr:uid="{00000000-0005-0000-0000-000007A80000}"/>
    <cellStyle name="Output 2 5 3 3 2 2 2" xfId="42886" xr:uid="{00000000-0005-0000-0000-000008A80000}"/>
    <cellStyle name="Output 2 5 3 3 2 3" xfId="42887" xr:uid="{00000000-0005-0000-0000-000009A80000}"/>
    <cellStyle name="Output 2 5 3 3 3" xfId="42888" xr:uid="{00000000-0005-0000-0000-00000AA80000}"/>
    <cellStyle name="Output 2 5 3 3 3 2" xfId="42889" xr:uid="{00000000-0005-0000-0000-00000BA80000}"/>
    <cellStyle name="Output 2 5 3 3 4" xfId="42890" xr:uid="{00000000-0005-0000-0000-00000CA80000}"/>
    <cellStyle name="Output 2 5 3 4" xfId="42891" xr:uid="{00000000-0005-0000-0000-00000DA80000}"/>
    <cellStyle name="Output 2 5 3 4 2" xfId="42892" xr:uid="{00000000-0005-0000-0000-00000EA80000}"/>
    <cellStyle name="Output 2 5 3 4 2 2" xfId="42893" xr:uid="{00000000-0005-0000-0000-00000FA80000}"/>
    <cellStyle name="Output 2 5 3 4 3" xfId="42894" xr:uid="{00000000-0005-0000-0000-000010A80000}"/>
    <cellStyle name="Output 2 5 3 5" xfId="42895" xr:uid="{00000000-0005-0000-0000-000011A80000}"/>
    <cellStyle name="Output 2 5 3 5 2" xfId="42896" xr:uid="{00000000-0005-0000-0000-000012A80000}"/>
    <cellStyle name="Output 2 5 3 5 2 2" xfId="42897" xr:uid="{00000000-0005-0000-0000-000013A80000}"/>
    <cellStyle name="Output 2 5 3 5 3" xfId="42898" xr:uid="{00000000-0005-0000-0000-000014A80000}"/>
    <cellStyle name="Output 2 5 3 6" xfId="42899" xr:uid="{00000000-0005-0000-0000-000015A80000}"/>
    <cellStyle name="Output 2 5 3 6 2" xfId="42900" xr:uid="{00000000-0005-0000-0000-000016A80000}"/>
    <cellStyle name="Output 2 5 3 7" xfId="42901" xr:uid="{00000000-0005-0000-0000-000017A80000}"/>
    <cellStyle name="Output 2 5 4" xfId="42902" xr:uid="{00000000-0005-0000-0000-000018A80000}"/>
    <cellStyle name="Output 2 5 4 2" xfId="42903" xr:uid="{00000000-0005-0000-0000-000019A80000}"/>
    <cellStyle name="Output 2 5 4 2 2" xfId="42904" xr:uid="{00000000-0005-0000-0000-00001AA80000}"/>
    <cellStyle name="Output 2 5 4 2 2 2" xfId="42905" xr:uid="{00000000-0005-0000-0000-00001BA80000}"/>
    <cellStyle name="Output 2 5 4 2 3" xfId="42906" xr:uid="{00000000-0005-0000-0000-00001CA80000}"/>
    <cellStyle name="Output 2 5 4 3" xfId="42907" xr:uid="{00000000-0005-0000-0000-00001DA80000}"/>
    <cellStyle name="Output 2 5 4 3 2" xfId="42908" xr:uid="{00000000-0005-0000-0000-00001EA80000}"/>
    <cellStyle name="Output 2 5 4 4" xfId="42909" xr:uid="{00000000-0005-0000-0000-00001FA80000}"/>
    <cellStyle name="Output 2 5 5" xfId="42910" xr:uid="{00000000-0005-0000-0000-000020A80000}"/>
    <cellStyle name="Output 2 5 5 2" xfId="42911" xr:uid="{00000000-0005-0000-0000-000021A80000}"/>
    <cellStyle name="Output 2 5 5 2 2" xfId="42912" xr:uid="{00000000-0005-0000-0000-000022A80000}"/>
    <cellStyle name="Output 2 5 5 3" xfId="42913" xr:uid="{00000000-0005-0000-0000-000023A80000}"/>
    <cellStyle name="Output 2 5 6" xfId="42914" xr:uid="{00000000-0005-0000-0000-000024A80000}"/>
    <cellStyle name="Output 2 5 6 2" xfId="42915" xr:uid="{00000000-0005-0000-0000-000025A80000}"/>
    <cellStyle name="Output 2 5 6 2 2" xfId="42916" xr:uid="{00000000-0005-0000-0000-000026A80000}"/>
    <cellStyle name="Output 2 5 6 3" xfId="42917" xr:uid="{00000000-0005-0000-0000-000027A80000}"/>
    <cellStyle name="Output 2 5 7" xfId="42918" xr:uid="{00000000-0005-0000-0000-000028A80000}"/>
    <cellStyle name="Output 2 5 7 2" xfId="42919" xr:uid="{00000000-0005-0000-0000-000029A80000}"/>
    <cellStyle name="Output 2 5 8" xfId="42920" xr:uid="{00000000-0005-0000-0000-00002AA80000}"/>
    <cellStyle name="Output 2 6" xfId="42921" xr:uid="{00000000-0005-0000-0000-00002BA80000}"/>
    <cellStyle name="Output 2 6 2" xfId="42922" xr:uid="{00000000-0005-0000-0000-00002CA80000}"/>
    <cellStyle name="Output 2 6 2 2" xfId="42923" xr:uid="{00000000-0005-0000-0000-00002DA80000}"/>
    <cellStyle name="Output 2 6 2 2 2" xfId="42924" xr:uid="{00000000-0005-0000-0000-00002EA80000}"/>
    <cellStyle name="Output 2 6 2 2 2 2" xfId="42925" xr:uid="{00000000-0005-0000-0000-00002FA80000}"/>
    <cellStyle name="Output 2 6 2 2 3" xfId="42926" xr:uid="{00000000-0005-0000-0000-000030A80000}"/>
    <cellStyle name="Output 2 6 2 3" xfId="42927" xr:uid="{00000000-0005-0000-0000-000031A80000}"/>
    <cellStyle name="Output 2 6 2 3 2" xfId="42928" xr:uid="{00000000-0005-0000-0000-000032A80000}"/>
    <cellStyle name="Output 2 6 2 3 2 2" xfId="42929" xr:uid="{00000000-0005-0000-0000-000033A80000}"/>
    <cellStyle name="Output 2 6 2 3 3" xfId="42930" xr:uid="{00000000-0005-0000-0000-000034A80000}"/>
    <cellStyle name="Output 2 6 2 4" xfId="42931" xr:uid="{00000000-0005-0000-0000-000035A80000}"/>
    <cellStyle name="Output 2 6 2 4 2" xfId="42932" xr:uid="{00000000-0005-0000-0000-000036A80000}"/>
    <cellStyle name="Output 2 6 2 4 2 2" xfId="42933" xr:uid="{00000000-0005-0000-0000-000037A80000}"/>
    <cellStyle name="Output 2 6 2 4 3" xfId="42934" xr:uid="{00000000-0005-0000-0000-000038A80000}"/>
    <cellStyle name="Output 2 6 2 5" xfId="42935" xr:uid="{00000000-0005-0000-0000-000039A80000}"/>
    <cellStyle name="Output 2 6 2 5 2" xfId="42936" xr:uid="{00000000-0005-0000-0000-00003AA80000}"/>
    <cellStyle name="Output 2 6 2 6" xfId="42937" xr:uid="{00000000-0005-0000-0000-00003BA80000}"/>
    <cellStyle name="Output 2 6 3" xfId="42938" xr:uid="{00000000-0005-0000-0000-00003CA80000}"/>
    <cellStyle name="Output 2 6 3 2" xfId="42939" xr:uid="{00000000-0005-0000-0000-00003DA80000}"/>
    <cellStyle name="Output 2 6 3 2 2" xfId="42940" xr:uid="{00000000-0005-0000-0000-00003EA80000}"/>
    <cellStyle name="Output 2 6 3 2 2 2" xfId="42941" xr:uid="{00000000-0005-0000-0000-00003FA80000}"/>
    <cellStyle name="Output 2 6 3 2 3" xfId="42942" xr:uid="{00000000-0005-0000-0000-000040A80000}"/>
    <cellStyle name="Output 2 6 3 3" xfId="42943" xr:uid="{00000000-0005-0000-0000-000041A80000}"/>
    <cellStyle name="Output 2 6 3 3 2" xfId="42944" xr:uid="{00000000-0005-0000-0000-000042A80000}"/>
    <cellStyle name="Output 2 6 3 3 2 2" xfId="42945" xr:uid="{00000000-0005-0000-0000-000043A80000}"/>
    <cellStyle name="Output 2 6 3 3 3" xfId="42946" xr:uid="{00000000-0005-0000-0000-000044A80000}"/>
    <cellStyle name="Output 2 6 3 4" xfId="42947" xr:uid="{00000000-0005-0000-0000-000045A80000}"/>
    <cellStyle name="Output 2 6 3 4 2" xfId="42948" xr:uid="{00000000-0005-0000-0000-000046A80000}"/>
    <cellStyle name="Output 2 6 3 5" xfId="42949" xr:uid="{00000000-0005-0000-0000-000047A80000}"/>
    <cellStyle name="Output 2 6 4" xfId="42950" xr:uid="{00000000-0005-0000-0000-000048A80000}"/>
    <cellStyle name="Output 2 6 4 2" xfId="42951" xr:uid="{00000000-0005-0000-0000-000049A80000}"/>
    <cellStyle name="Output 2 6 4 2 2" xfId="42952" xr:uid="{00000000-0005-0000-0000-00004AA80000}"/>
    <cellStyle name="Output 2 6 4 2 2 2" xfId="42953" xr:uid="{00000000-0005-0000-0000-00004BA80000}"/>
    <cellStyle name="Output 2 6 4 2 3" xfId="42954" xr:uid="{00000000-0005-0000-0000-00004CA80000}"/>
    <cellStyle name="Output 2 6 4 3" xfId="42955" xr:uid="{00000000-0005-0000-0000-00004DA80000}"/>
    <cellStyle name="Output 2 6 4 3 2" xfId="42956" xr:uid="{00000000-0005-0000-0000-00004EA80000}"/>
    <cellStyle name="Output 2 6 4 4" xfId="42957" xr:uid="{00000000-0005-0000-0000-00004FA80000}"/>
    <cellStyle name="Output 2 6 5" xfId="42958" xr:uid="{00000000-0005-0000-0000-000050A80000}"/>
    <cellStyle name="Output 2 6 5 2" xfId="42959" xr:uid="{00000000-0005-0000-0000-000051A80000}"/>
    <cellStyle name="Output 2 6 5 2 2" xfId="42960" xr:uid="{00000000-0005-0000-0000-000052A80000}"/>
    <cellStyle name="Output 2 6 5 3" xfId="42961" xr:uid="{00000000-0005-0000-0000-000053A80000}"/>
    <cellStyle name="Output 2 6 6" xfId="42962" xr:uid="{00000000-0005-0000-0000-000054A80000}"/>
    <cellStyle name="Output 2 6 6 2" xfId="42963" xr:uid="{00000000-0005-0000-0000-000055A80000}"/>
    <cellStyle name="Output 2 6 6 2 2" xfId="42964" xr:uid="{00000000-0005-0000-0000-000056A80000}"/>
    <cellStyle name="Output 2 6 6 3" xfId="42965" xr:uid="{00000000-0005-0000-0000-000057A80000}"/>
    <cellStyle name="Output 2 6 7" xfId="42966" xr:uid="{00000000-0005-0000-0000-000058A80000}"/>
    <cellStyle name="Output 2 6 7 2" xfId="42967" xr:uid="{00000000-0005-0000-0000-000059A80000}"/>
    <cellStyle name="Output 2 6 8" xfId="42968" xr:uid="{00000000-0005-0000-0000-00005AA80000}"/>
    <cellStyle name="Output 2 7" xfId="42969" xr:uid="{00000000-0005-0000-0000-00005BA80000}"/>
    <cellStyle name="Output 2 7 2" xfId="42970" xr:uid="{00000000-0005-0000-0000-00005CA80000}"/>
    <cellStyle name="Output 2 7 2 2" xfId="42971" xr:uid="{00000000-0005-0000-0000-00005DA80000}"/>
    <cellStyle name="Output 2 7 2 2 2" xfId="42972" xr:uid="{00000000-0005-0000-0000-00005EA80000}"/>
    <cellStyle name="Output 2 7 2 3" xfId="42973" xr:uid="{00000000-0005-0000-0000-00005FA80000}"/>
    <cellStyle name="Output 2 7 3" xfId="42974" xr:uid="{00000000-0005-0000-0000-000060A80000}"/>
    <cellStyle name="Output 2 7 3 2" xfId="42975" xr:uid="{00000000-0005-0000-0000-000061A80000}"/>
    <cellStyle name="Output 2 7 3 2 2" xfId="42976" xr:uid="{00000000-0005-0000-0000-000062A80000}"/>
    <cellStyle name="Output 2 7 3 3" xfId="42977" xr:uid="{00000000-0005-0000-0000-000063A80000}"/>
    <cellStyle name="Output 2 7 4" xfId="42978" xr:uid="{00000000-0005-0000-0000-000064A80000}"/>
    <cellStyle name="Output 2 7 4 2" xfId="42979" xr:uid="{00000000-0005-0000-0000-000065A80000}"/>
    <cellStyle name="Output 2 7 4 2 2" xfId="42980" xr:uid="{00000000-0005-0000-0000-000066A80000}"/>
    <cellStyle name="Output 2 7 4 3" xfId="42981" xr:uid="{00000000-0005-0000-0000-000067A80000}"/>
    <cellStyle name="Output 2 7 5" xfId="42982" xr:uid="{00000000-0005-0000-0000-000068A80000}"/>
    <cellStyle name="Output 2 7 5 2" xfId="42983" xr:uid="{00000000-0005-0000-0000-000069A80000}"/>
    <cellStyle name="Output 2 7 6" xfId="42984" xr:uid="{00000000-0005-0000-0000-00006AA80000}"/>
    <cellStyle name="Output 2 8" xfId="42985" xr:uid="{00000000-0005-0000-0000-00006BA80000}"/>
    <cellStyle name="Output 2 8 2" xfId="42986" xr:uid="{00000000-0005-0000-0000-00006CA80000}"/>
    <cellStyle name="Output 2 8 2 2" xfId="42987" xr:uid="{00000000-0005-0000-0000-00006DA80000}"/>
    <cellStyle name="Output 2 8 2 2 2" xfId="42988" xr:uid="{00000000-0005-0000-0000-00006EA80000}"/>
    <cellStyle name="Output 2 8 2 2 2 2" xfId="42989" xr:uid="{00000000-0005-0000-0000-00006FA80000}"/>
    <cellStyle name="Output 2 8 2 2 3" xfId="42990" xr:uid="{00000000-0005-0000-0000-000070A80000}"/>
    <cellStyle name="Output 2 8 2 3" xfId="42991" xr:uid="{00000000-0005-0000-0000-000071A80000}"/>
    <cellStyle name="Output 2 8 2 3 2" xfId="42992" xr:uid="{00000000-0005-0000-0000-000072A80000}"/>
    <cellStyle name="Output 2 8 2 3 2 2" xfId="42993" xr:uid="{00000000-0005-0000-0000-000073A80000}"/>
    <cellStyle name="Output 2 8 2 3 3" xfId="42994" xr:uid="{00000000-0005-0000-0000-000074A80000}"/>
    <cellStyle name="Output 2 8 2 4" xfId="42995" xr:uid="{00000000-0005-0000-0000-000075A80000}"/>
    <cellStyle name="Output 2 8 2 4 2" xfId="42996" xr:uid="{00000000-0005-0000-0000-000076A80000}"/>
    <cellStyle name="Output 2 8 2 5" xfId="42997" xr:uid="{00000000-0005-0000-0000-000077A80000}"/>
    <cellStyle name="Output 2 8 3" xfId="42998" xr:uid="{00000000-0005-0000-0000-000078A80000}"/>
    <cellStyle name="Output 2 8 3 2" xfId="42999" xr:uid="{00000000-0005-0000-0000-000079A80000}"/>
    <cellStyle name="Output 2 8 3 2 2" xfId="43000" xr:uid="{00000000-0005-0000-0000-00007AA80000}"/>
    <cellStyle name="Output 2 8 3 2 2 2" xfId="43001" xr:uid="{00000000-0005-0000-0000-00007BA80000}"/>
    <cellStyle name="Output 2 8 3 2 3" xfId="43002" xr:uid="{00000000-0005-0000-0000-00007CA80000}"/>
    <cellStyle name="Output 2 8 3 3" xfId="43003" xr:uid="{00000000-0005-0000-0000-00007DA80000}"/>
    <cellStyle name="Output 2 8 3 3 2" xfId="43004" xr:uid="{00000000-0005-0000-0000-00007EA80000}"/>
    <cellStyle name="Output 2 8 3 4" xfId="43005" xr:uid="{00000000-0005-0000-0000-00007FA80000}"/>
    <cellStyle name="Output 2 8 4" xfId="43006" xr:uid="{00000000-0005-0000-0000-000080A80000}"/>
    <cellStyle name="Output 2 8 4 2" xfId="43007" xr:uid="{00000000-0005-0000-0000-000081A80000}"/>
    <cellStyle name="Output 2 8 4 2 2" xfId="43008" xr:uid="{00000000-0005-0000-0000-000082A80000}"/>
    <cellStyle name="Output 2 8 4 3" xfId="43009" xr:uid="{00000000-0005-0000-0000-000083A80000}"/>
    <cellStyle name="Output 2 8 5" xfId="43010" xr:uid="{00000000-0005-0000-0000-000084A80000}"/>
    <cellStyle name="Output 2 8 5 2" xfId="43011" xr:uid="{00000000-0005-0000-0000-000085A80000}"/>
    <cellStyle name="Output 2 8 5 2 2" xfId="43012" xr:uid="{00000000-0005-0000-0000-000086A80000}"/>
    <cellStyle name="Output 2 8 5 3" xfId="43013" xr:uid="{00000000-0005-0000-0000-000087A80000}"/>
    <cellStyle name="Output 2 8 6" xfId="43014" xr:uid="{00000000-0005-0000-0000-000088A80000}"/>
    <cellStyle name="Output 2 8 6 2" xfId="43015" xr:uid="{00000000-0005-0000-0000-000089A80000}"/>
    <cellStyle name="Output 2 8 7" xfId="43016" xr:uid="{00000000-0005-0000-0000-00008AA80000}"/>
    <cellStyle name="Output 2 9" xfId="43017" xr:uid="{00000000-0005-0000-0000-00008BA80000}"/>
    <cellStyle name="Output 2 9 2" xfId="43018" xr:uid="{00000000-0005-0000-0000-00008CA80000}"/>
    <cellStyle name="Output 2 9 2 2" xfId="43019" xr:uid="{00000000-0005-0000-0000-00008DA80000}"/>
    <cellStyle name="Output 2 9 2 2 2" xfId="43020" xr:uid="{00000000-0005-0000-0000-00008EA80000}"/>
    <cellStyle name="Output 2 9 2 3" xfId="43021" xr:uid="{00000000-0005-0000-0000-00008FA80000}"/>
    <cellStyle name="Output 2 9 3" xfId="43022" xr:uid="{00000000-0005-0000-0000-000090A80000}"/>
    <cellStyle name="Output 2 9 3 2" xfId="43023" xr:uid="{00000000-0005-0000-0000-000091A80000}"/>
    <cellStyle name="Output 2 9 4" xfId="43024" xr:uid="{00000000-0005-0000-0000-000092A80000}"/>
    <cellStyle name="Output 3" xfId="43025" xr:uid="{00000000-0005-0000-0000-000093A80000}"/>
    <cellStyle name="Output 3 2" xfId="43026" xr:uid="{00000000-0005-0000-0000-000094A80000}"/>
    <cellStyle name="Output 3 2 2" xfId="43027" xr:uid="{00000000-0005-0000-0000-000095A80000}"/>
    <cellStyle name="Output 3 2 2 2" xfId="43028" xr:uid="{00000000-0005-0000-0000-000096A80000}"/>
    <cellStyle name="Output 3 2 2 2 2" xfId="43029" xr:uid="{00000000-0005-0000-0000-000097A80000}"/>
    <cellStyle name="Output 3 2 2 3" xfId="43030" xr:uid="{00000000-0005-0000-0000-000098A80000}"/>
    <cellStyle name="Output 3 2 3" xfId="43031" xr:uid="{00000000-0005-0000-0000-000099A80000}"/>
    <cellStyle name="Output 3 2 3 2" xfId="43032" xr:uid="{00000000-0005-0000-0000-00009AA80000}"/>
    <cellStyle name="Output 3 2 3 2 2" xfId="43033" xr:uid="{00000000-0005-0000-0000-00009BA80000}"/>
    <cellStyle name="Output 3 2 3 3" xfId="43034" xr:uid="{00000000-0005-0000-0000-00009CA80000}"/>
    <cellStyle name="Output 3 2 4" xfId="43035" xr:uid="{00000000-0005-0000-0000-00009DA80000}"/>
    <cellStyle name="Output 3 2 4 2" xfId="43036" xr:uid="{00000000-0005-0000-0000-00009EA80000}"/>
    <cellStyle name="Output 3 2 4 2 2" xfId="43037" xr:uid="{00000000-0005-0000-0000-00009FA80000}"/>
    <cellStyle name="Output 3 2 4 3" xfId="43038" xr:uid="{00000000-0005-0000-0000-0000A0A80000}"/>
    <cellStyle name="Output 3 2 5" xfId="43039" xr:uid="{00000000-0005-0000-0000-0000A1A80000}"/>
    <cellStyle name="Output 3 2 5 2" xfId="43040" xr:uid="{00000000-0005-0000-0000-0000A2A80000}"/>
    <cellStyle name="Output 3 2 6" xfId="43041" xr:uid="{00000000-0005-0000-0000-0000A3A80000}"/>
    <cellStyle name="Output 3 3" xfId="43042" xr:uid="{00000000-0005-0000-0000-0000A4A80000}"/>
    <cellStyle name="Output 3 3 2" xfId="43043" xr:uid="{00000000-0005-0000-0000-0000A5A80000}"/>
    <cellStyle name="Output 3 3 2 2" xfId="43044" xr:uid="{00000000-0005-0000-0000-0000A6A80000}"/>
    <cellStyle name="Output 3 3 3" xfId="43045" xr:uid="{00000000-0005-0000-0000-0000A7A80000}"/>
    <cellStyle name="Output 3 3 3 2" xfId="43046" xr:uid="{00000000-0005-0000-0000-0000A8A80000}"/>
    <cellStyle name="Output 3 3 3 2 2" xfId="43047" xr:uid="{00000000-0005-0000-0000-0000A9A80000}"/>
    <cellStyle name="Output 3 3 3 3" xfId="43048" xr:uid="{00000000-0005-0000-0000-0000AAA80000}"/>
    <cellStyle name="Output 3 3 4" xfId="43049" xr:uid="{00000000-0005-0000-0000-0000ABA80000}"/>
    <cellStyle name="Output 3 3 4 2" xfId="43050" xr:uid="{00000000-0005-0000-0000-0000ACA80000}"/>
    <cellStyle name="Output 3 3 4 2 2" xfId="43051" xr:uid="{00000000-0005-0000-0000-0000ADA80000}"/>
    <cellStyle name="Output 3 3 4 3" xfId="43052" xr:uid="{00000000-0005-0000-0000-0000AEA80000}"/>
    <cellStyle name="Output 3 3 5" xfId="43053" xr:uid="{00000000-0005-0000-0000-0000AFA80000}"/>
    <cellStyle name="Output 3 4" xfId="43054" xr:uid="{00000000-0005-0000-0000-0000B0A80000}"/>
    <cellStyle name="Output 3 4 2" xfId="43055" xr:uid="{00000000-0005-0000-0000-0000B1A80000}"/>
    <cellStyle name="Output 3 4 2 2" xfId="43056" xr:uid="{00000000-0005-0000-0000-0000B2A80000}"/>
    <cellStyle name="Output 3 4 2 2 2" xfId="43057" xr:uid="{00000000-0005-0000-0000-0000B3A80000}"/>
    <cellStyle name="Output 3 4 2 3" xfId="43058" xr:uid="{00000000-0005-0000-0000-0000B4A80000}"/>
    <cellStyle name="Output 3 4 2 3 2" xfId="43059" xr:uid="{00000000-0005-0000-0000-0000B5A80000}"/>
    <cellStyle name="Output 3 4 2 3 2 2" xfId="43060" xr:uid="{00000000-0005-0000-0000-0000B6A80000}"/>
    <cellStyle name="Output 3 4 2 3 3" xfId="43061" xr:uid="{00000000-0005-0000-0000-0000B7A80000}"/>
    <cellStyle name="Output 3 4 2 4" xfId="43062" xr:uid="{00000000-0005-0000-0000-0000B8A80000}"/>
    <cellStyle name="Output 3 4 3" xfId="43063" xr:uid="{00000000-0005-0000-0000-0000B9A80000}"/>
    <cellStyle name="Output 3 4 3 2" xfId="43064" xr:uid="{00000000-0005-0000-0000-0000BAA80000}"/>
    <cellStyle name="Output 3 4 3 2 2" xfId="43065" xr:uid="{00000000-0005-0000-0000-0000BBA80000}"/>
    <cellStyle name="Output 3 4 3 3" xfId="43066" xr:uid="{00000000-0005-0000-0000-0000BCA80000}"/>
    <cellStyle name="Output 3 4 4" xfId="43067" xr:uid="{00000000-0005-0000-0000-0000BDA80000}"/>
    <cellStyle name="Output 3 4 4 2" xfId="43068" xr:uid="{00000000-0005-0000-0000-0000BEA80000}"/>
    <cellStyle name="Output 3 4 4 2 2" xfId="43069" xr:uid="{00000000-0005-0000-0000-0000BFA80000}"/>
    <cellStyle name="Output 3 4 4 3" xfId="43070" xr:uid="{00000000-0005-0000-0000-0000C0A80000}"/>
    <cellStyle name="Output 3 4 5" xfId="43071" xr:uid="{00000000-0005-0000-0000-0000C1A80000}"/>
    <cellStyle name="Output 3 4 5 2" xfId="43072" xr:uid="{00000000-0005-0000-0000-0000C2A80000}"/>
    <cellStyle name="Output 3 4 5 2 2" xfId="43073" xr:uid="{00000000-0005-0000-0000-0000C3A80000}"/>
    <cellStyle name="Output 3 4 5 3" xfId="43074" xr:uid="{00000000-0005-0000-0000-0000C4A80000}"/>
    <cellStyle name="Output 3 4 6" xfId="43075" xr:uid="{00000000-0005-0000-0000-0000C5A80000}"/>
    <cellStyle name="Output 3 5" xfId="43076" xr:uid="{00000000-0005-0000-0000-0000C6A80000}"/>
    <cellStyle name="Output 3 5 2" xfId="43077" xr:uid="{00000000-0005-0000-0000-0000C7A80000}"/>
    <cellStyle name="Output 3 5 2 2" xfId="43078" xr:uid="{00000000-0005-0000-0000-0000C8A80000}"/>
    <cellStyle name="Output 3 5 3" xfId="43079" xr:uid="{00000000-0005-0000-0000-0000C9A80000}"/>
    <cellStyle name="Output 3 6" xfId="43080" xr:uid="{00000000-0005-0000-0000-0000CAA80000}"/>
    <cellStyle name="Output 3 6 2" xfId="43081" xr:uid="{00000000-0005-0000-0000-0000CBA80000}"/>
    <cellStyle name="Output 3 6 2 2" xfId="43082" xr:uid="{00000000-0005-0000-0000-0000CCA80000}"/>
    <cellStyle name="Output 3 6 3" xfId="43083" xr:uid="{00000000-0005-0000-0000-0000CDA80000}"/>
    <cellStyle name="Output 3 7" xfId="43084" xr:uid="{00000000-0005-0000-0000-0000CEA80000}"/>
    <cellStyle name="Output 3 7 2" xfId="43085" xr:uid="{00000000-0005-0000-0000-0000CFA80000}"/>
    <cellStyle name="Output 3 7 2 2" xfId="43086" xr:uid="{00000000-0005-0000-0000-0000D0A80000}"/>
    <cellStyle name="Output 3 7 3" xfId="43087" xr:uid="{00000000-0005-0000-0000-0000D1A80000}"/>
    <cellStyle name="Output 3 8" xfId="43088" xr:uid="{00000000-0005-0000-0000-0000D2A80000}"/>
    <cellStyle name="Output 4" xfId="43089" xr:uid="{00000000-0005-0000-0000-0000D3A80000}"/>
    <cellStyle name="Output 4 2" xfId="43090" xr:uid="{00000000-0005-0000-0000-0000D4A80000}"/>
    <cellStyle name="Output 4 2 2" xfId="43091" xr:uid="{00000000-0005-0000-0000-0000D5A80000}"/>
    <cellStyle name="Output 4 2 2 2" xfId="43092" xr:uid="{00000000-0005-0000-0000-0000D6A80000}"/>
    <cellStyle name="Output 4 2 3" xfId="43093" xr:uid="{00000000-0005-0000-0000-0000D7A80000}"/>
    <cellStyle name="Output 4 2 3 2" xfId="43094" xr:uid="{00000000-0005-0000-0000-0000D8A80000}"/>
    <cellStyle name="Output 4 2 3 2 2" xfId="43095" xr:uid="{00000000-0005-0000-0000-0000D9A80000}"/>
    <cellStyle name="Output 4 2 3 3" xfId="43096" xr:uid="{00000000-0005-0000-0000-0000DAA80000}"/>
    <cellStyle name="Output 4 2 4" xfId="43097" xr:uid="{00000000-0005-0000-0000-0000DBA80000}"/>
    <cellStyle name="Output 4 2 4 2" xfId="43098" xr:uid="{00000000-0005-0000-0000-0000DCA80000}"/>
    <cellStyle name="Output 4 2 4 2 2" xfId="43099" xr:uid="{00000000-0005-0000-0000-0000DDA80000}"/>
    <cellStyle name="Output 4 2 4 3" xfId="43100" xr:uid="{00000000-0005-0000-0000-0000DEA80000}"/>
    <cellStyle name="Output 4 2 5" xfId="43101" xr:uid="{00000000-0005-0000-0000-0000DFA80000}"/>
    <cellStyle name="Output 4 3" xfId="43102" xr:uid="{00000000-0005-0000-0000-0000E0A80000}"/>
    <cellStyle name="Output 4 3 2" xfId="43103" xr:uid="{00000000-0005-0000-0000-0000E1A80000}"/>
    <cellStyle name="Output 4 3 2 2" xfId="43104" xr:uid="{00000000-0005-0000-0000-0000E2A80000}"/>
    <cellStyle name="Output 4 3 2 2 2" xfId="43105" xr:uid="{00000000-0005-0000-0000-0000E3A80000}"/>
    <cellStyle name="Output 4 3 2 3" xfId="43106" xr:uid="{00000000-0005-0000-0000-0000E4A80000}"/>
    <cellStyle name="Output 4 3 2 3 2" xfId="43107" xr:uid="{00000000-0005-0000-0000-0000E5A80000}"/>
    <cellStyle name="Output 4 3 2 3 2 2" xfId="43108" xr:uid="{00000000-0005-0000-0000-0000E6A80000}"/>
    <cellStyle name="Output 4 3 2 3 3" xfId="43109" xr:uid="{00000000-0005-0000-0000-0000E7A80000}"/>
    <cellStyle name="Output 4 3 2 4" xfId="43110" xr:uid="{00000000-0005-0000-0000-0000E8A80000}"/>
    <cellStyle name="Output 4 3 3" xfId="43111" xr:uid="{00000000-0005-0000-0000-0000E9A80000}"/>
    <cellStyle name="Output 4 3 3 2" xfId="43112" xr:uid="{00000000-0005-0000-0000-0000EAA80000}"/>
    <cellStyle name="Output 4 3 3 2 2" xfId="43113" xr:uid="{00000000-0005-0000-0000-0000EBA80000}"/>
    <cellStyle name="Output 4 3 3 3" xfId="43114" xr:uid="{00000000-0005-0000-0000-0000ECA80000}"/>
    <cellStyle name="Output 4 3 4" xfId="43115" xr:uid="{00000000-0005-0000-0000-0000EDA80000}"/>
    <cellStyle name="Output 4 3 4 2" xfId="43116" xr:uid="{00000000-0005-0000-0000-0000EEA80000}"/>
    <cellStyle name="Output 4 3 4 2 2" xfId="43117" xr:uid="{00000000-0005-0000-0000-0000EFA80000}"/>
    <cellStyle name="Output 4 3 4 3" xfId="43118" xr:uid="{00000000-0005-0000-0000-0000F0A80000}"/>
    <cellStyle name="Output 4 3 5" xfId="43119" xr:uid="{00000000-0005-0000-0000-0000F1A80000}"/>
    <cellStyle name="Output 4 3 5 2" xfId="43120" xr:uid="{00000000-0005-0000-0000-0000F2A80000}"/>
    <cellStyle name="Output 4 3 5 2 2" xfId="43121" xr:uid="{00000000-0005-0000-0000-0000F3A80000}"/>
    <cellStyle name="Output 4 3 5 3" xfId="43122" xr:uid="{00000000-0005-0000-0000-0000F4A80000}"/>
    <cellStyle name="Output 4 3 6" xfId="43123" xr:uid="{00000000-0005-0000-0000-0000F5A80000}"/>
    <cellStyle name="Output 4 4" xfId="43124" xr:uid="{00000000-0005-0000-0000-0000F6A80000}"/>
    <cellStyle name="Output 4 4 2" xfId="43125" xr:uid="{00000000-0005-0000-0000-0000F7A80000}"/>
    <cellStyle name="Output 4 4 2 2" xfId="43126" xr:uid="{00000000-0005-0000-0000-0000F8A80000}"/>
    <cellStyle name="Output 4 4 3" xfId="43127" xr:uid="{00000000-0005-0000-0000-0000F9A80000}"/>
    <cellStyle name="Output 4 5" xfId="43128" xr:uid="{00000000-0005-0000-0000-0000FAA80000}"/>
    <cellStyle name="Output 4 5 2" xfId="43129" xr:uid="{00000000-0005-0000-0000-0000FBA80000}"/>
    <cellStyle name="Output 4 5 2 2" xfId="43130" xr:uid="{00000000-0005-0000-0000-0000FCA80000}"/>
    <cellStyle name="Output 4 5 3" xfId="43131" xr:uid="{00000000-0005-0000-0000-0000FDA80000}"/>
    <cellStyle name="Output 4 6" xfId="43132" xr:uid="{00000000-0005-0000-0000-0000FEA80000}"/>
    <cellStyle name="Output 4 6 2" xfId="43133" xr:uid="{00000000-0005-0000-0000-0000FFA80000}"/>
    <cellStyle name="Output 4 6 2 2" xfId="43134" xr:uid="{00000000-0005-0000-0000-000000A90000}"/>
    <cellStyle name="Output 4 6 3" xfId="43135" xr:uid="{00000000-0005-0000-0000-000001A90000}"/>
    <cellStyle name="Output 4 7" xfId="43136" xr:uid="{00000000-0005-0000-0000-000002A90000}"/>
    <cellStyle name="Output 5" xfId="43137" xr:uid="{00000000-0005-0000-0000-000003A90000}"/>
    <cellStyle name="Output 5 2" xfId="43138" xr:uid="{00000000-0005-0000-0000-000004A90000}"/>
    <cellStyle name="Output 5 2 2" xfId="43139" xr:uid="{00000000-0005-0000-0000-000005A90000}"/>
    <cellStyle name="Output 5 2 2 2" xfId="43140" xr:uid="{00000000-0005-0000-0000-000006A90000}"/>
    <cellStyle name="Output 5 2 2 2 2" xfId="43141" xr:uid="{00000000-0005-0000-0000-000007A90000}"/>
    <cellStyle name="Output 5 2 2 3" xfId="43142" xr:uid="{00000000-0005-0000-0000-000008A90000}"/>
    <cellStyle name="Output 5 2 3" xfId="43143" xr:uid="{00000000-0005-0000-0000-000009A90000}"/>
    <cellStyle name="Output 5 2 3 2" xfId="43144" xr:uid="{00000000-0005-0000-0000-00000AA90000}"/>
    <cellStyle name="Output 5 2 3 2 2" xfId="43145" xr:uid="{00000000-0005-0000-0000-00000BA90000}"/>
    <cellStyle name="Output 5 2 3 3" xfId="43146" xr:uid="{00000000-0005-0000-0000-00000CA90000}"/>
    <cellStyle name="Output 5 2 4" xfId="43147" xr:uid="{00000000-0005-0000-0000-00000DA90000}"/>
    <cellStyle name="Output 5 2 4 2" xfId="43148" xr:uid="{00000000-0005-0000-0000-00000EA90000}"/>
    <cellStyle name="Output 5 2 4 2 2" xfId="43149" xr:uid="{00000000-0005-0000-0000-00000FA90000}"/>
    <cellStyle name="Output 5 2 4 3" xfId="43150" xr:uid="{00000000-0005-0000-0000-000010A90000}"/>
    <cellStyle name="Output 5 2 5" xfId="43151" xr:uid="{00000000-0005-0000-0000-000011A90000}"/>
    <cellStyle name="Output 5 2 5 2" xfId="43152" xr:uid="{00000000-0005-0000-0000-000012A90000}"/>
    <cellStyle name="Output 5 2 6" xfId="43153" xr:uid="{00000000-0005-0000-0000-000013A90000}"/>
    <cellStyle name="Output 5 3" xfId="43154" xr:uid="{00000000-0005-0000-0000-000014A90000}"/>
    <cellStyle name="Output 5 3 2" xfId="43155" xr:uid="{00000000-0005-0000-0000-000015A90000}"/>
    <cellStyle name="Output 5 3 2 2" xfId="43156" xr:uid="{00000000-0005-0000-0000-000016A90000}"/>
    <cellStyle name="Output 5 3 2 2 2" xfId="43157" xr:uid="{00000000-0005-0000-0000-000017A90000}"/>
    <cellStyle name="Output 5 3 2 2 2 2" xfId="43158" xr:uid="{00000000-0005-0000-0000-000018A90000}"/>
    <cellStyle name="Output 5 3 2 2 3" xfId="43159" xr:uid="{00000000-0005-0000-0000-000019A90000}"/>
    <cellStyle name="Output 5 3 2 3" xfId="43160" xr:uid="{00000000-0005-0000-0000-00001AA90000}"/>
    <cellStyle name="Output 5 3 2 3 2" xfId="43161" xr:uid="{00000000-0005-0000-0000-00001BA90000}"/>
    <cellStyle name="Output 5 3 2 3 2 2" xfId="43162" xr:uid="{00000000-0005-0000-0000-00001CA90000}"/>
    <cellStyle name="Output 5 3 2 3 3" xfId="43163" xr:uid="{00000000-0005-0000-0000-00001DA90000}"/>
    <cellStyle name="Output 5 3 2 4" xfId="43164" xr:uid="{00000000-0005-0000-0000-00001EA90000}"/>
    <cellStyle name="Output 5 3 2 4 2" xfId="43165" xr:uid="{00000000-0005-0000-0000-00001FA90000}"/>
    <cellStyle name="Output 5 3 2 5" xfId="43166" xr:uid="{00000000-0005-0000-0000-000020A90000}"/>
    <cellStyle name="Output 5 3 3" xfId="43167" xr:uid="{00000000-0005-0000-0000-000021A90000}"/>
    <cellStyle name="Output 5 3 3 2" xfId="43168" xr:uid="{00000000-0005-0000-0000-000022A90000}"/>
    <cellStyle name="Output 5 3 3 2 2" xfId="43169" xr:uid="{00000000-0005-0000-0000-000023A90000}"/>
    <cellStyle name="Output 5 3 3 2 2 2" xfId="43170" xr:uid="{00000000-0005-0000-0000-000024A90000}"/>
    <cellStyle name="Output 5 3 3 2 3" xfId="43171" xr:uid="{00000000-0005-0000-0000-000025A90000}"/>
    <cellStyle name="Output 5 3 3 3" xfId="43172" xr:uid="{00000000-0005-0000-0000-000026A90000}"/>
    <cellStyle name="Output 5 3 3 3 2" xfId="43173" xr:uid="{00000000-0005-0000-0000-000027A90000}"/>
    <cellStyle name="Output 5 3 3 4" xfId="43174" xr:uid="{00000000-0005-0000-0000-000028A90000}"/>
    <cellStyle name="Output 5 3 4" xfId="43175" xr:uid="{00000000-0005-0000-0000-000029A90000}"/>
    <cellStyle name="Output 5 3 4 2" xfId="43176" xr:uid="{00000000-0005-0000-0000-00002AA90000}"/>
    <cellStyle name="Output 5 3 4 2 2" xfId="43177" xr:uid="{00000000-0005-0000-0000-00002BA90000}"/>
    <cellStyle name="Output 5 3 4 3" xfId="43178" xr:uid="{00000000-0005-0000-0000-00002CA90000}"/>
    <cellStyle name="Output 5 3 5" xfId="43179" xr:uid="{00000000-0005-0000-0000-00002DA90000}"/>
    <cellStyle name="Output 5 3 5 2" xfId="43180" xr:uid="{00000000-0005-0000-0000-00002EA90000}"/>
    <cellStyle name="Output 5 3 5 2 2" xfId="43181" xr:uid="{00000000-0005-0000-0000-00002FA90000}"/>
    <cellStyle name="Output 5 3 5 3" xfId="43182" xr:uid="{00000000-0005-0000-0000-000030A90000}"/>
    <cellStyle name="Output 5 3 6" xfId="43183" xr:uid="{00000000-0005-0000-0000-000031A90000}"/>
    <cellStyle name="Output 5 3 6 2" xfId="43184" xr:uid="{00000000-0005-0000-0000-000032A90000}"/>
    <cellStyle name="Output 5 3 7" xfId="43185" xr:uid="{00000000-0005-0000-0000-000033A90000}"/>
    <cellStyle name="Output 5 4" xfId="43186" xr:uid="{00000000-0005-0000-0000-000034A90000}"/>
    <cellStyle name="Output 5 4 2" xfId="43187" xr:uid="{00000000-0005-0000-0000-000035A90000}"/>
    <cellStyle name="Output 5 4 2 2" xfId="43188" xr:uid="{00000000-0005-0000-0000-000036A90000}"/>
    <cellStyle name="Output 5 4 2 2 2" xfId="43189" xr:uid="{00000000-0005-0000-0000-000037A90000}"/>
    <cellStyle name="Output 5 4 2 3" xfId="43190" xr:uid="{00000000-0005-0000-0000-000038A90000}"/>
    <cellStyle name="Output 5 4 3" xfId="43191" xr:uid="{00000000-0005-0000-0000-000039A90000}"/>
    <cellStyle name="Output 5 4 3 2" xfId="43192" xr:uid="{00000000-0005-0000-0000-00003AA90000}"/>
    <cellStyle name="Output 5 4 4" xfId="43193" xr:uid="{00000000-0005-0000-0000-00003BA90000}"/>
    <cellStyle name="Output 5 5" xfId="43194" xr:uid="{00000000-0005-0000-0000-00003CA90000}"/>
    <cellStyle name="Output 5 5 2" xfId="43195" xr:uid="{00000000-0005-0000-0000-00003DA90000}"/>
    <cellStyle name="Output 5 5 2 2" xfId="43196" xr:uid="{00000000-0005-0000-0000-00003EA90000}"/>
    <cellStyle name="Output 5 5 3" xfId="43197" xr:uid="{00000000-0005-0000-0000-00003FA90000}"/>
    <cellStyle name="Output 5 6" xfId="43198" xr:uid="{00000000-0005-0000-0000-000040A90000}"/>
    <cellStyle name="Output 5 6 2" xfId="43199" xr:uid="{00000000-0005-0000-0000-000041A90000}"/>
    <cellStyle name="Output 5 6 2 2" xfId="43200" xr:uid="{00000000-0005-0000-0000-000042A90000}"/>
    <cellStyle name="Output 5 6 3" xfId="43201" xr:uid="{00000000-0005-0000-0000-000043A90000}"/>
    <cellStyle name="Output 5 7" xfId="43202" xr:uid="{00000000-0005-0000-0000-000044A90000}"/>
    <cellStyle name="Output 5 7 2" xfId="43203" xr:uid="{00000000-0005-0000-0000-000045A90000}"/>
    <cellStyle name="Output 5 8" xfId="43204" xr:uid="{00000000-0005-0000-0000-000046A90000}"/>
    <cellStyle name="Output 6" xfId="43205" xr:uid="{00000000-0005-0000-0000-000047A90000}"/>
    <cellStyle name="Output 6 2" xfId="43206" xr:uid="{00000000-0005-0000-0000-000048A90000}"/>
    <cellStyle name="Output 6 2 2" xfId="43207" xr:uid="{00000000-0005-0000-0000-000049A90000}"/>
    <cellStyle name="Output 6 2 2 2" xfId="43208" xr:uid="{00000000-0005-0000-0000-00004AA90000}"/>
    <cellStyle name="Output 6 2 2 2 2" xfId="43209" xr:uid="{00000000-0005-0000-0000-00004BA90000}"/>
    <cellStyle name="Output 6 2 2 3" xfId="43210" xr:uid="{00000000-0005-0000-0000-00004CA90000}"/>
    <cellStyle name="Output 6 2 3" xfId="43211" xr:uid="{00000000-0005-0000-0000-00004DA90000}"/>
    <cellStyle name="Output 6 2 3 2" xfId="43212" xr:uid="{00000000-0005-0000-0000-00004EA90000}"/>
    <cellStyle name="Output 6 2 3 2 2" xfId="43213" xr:uid="{00000000-0005-0000-0000-00004FA90000}"/>
    <cellStyle name="Output 6 2 3 3" xfId="43214" xr:uid="{00000000-0005-0000-0000-000050A90000}"/>
    <cellStyle name="Output 6 2 4" xfId="43215" xr:uid="{00000000-0005-0000-0000-000051A90000}"/>
    <cellStyle name="Output 6 2 4 2" xfId="43216" xr:uid="{00000000-0005-0000-0000-000052A90000}"/>
    <cellStyle name="Output 6 2 4 2 2" xfId="43217" xr:uid="{00000000-0005-0000-0000-000053A90000}"/>
    <cellStyle name="Output 6 2 4 3" xfId="43218" xr:uid="{00000000-0005-0000-0000-000054A90000}"/>
    <cellStyle name="Output 6 2 5" xfId="43219" xr:uid="{00000000-0005-0000-0000-000055A90000}"/>
    <cellStyle name="Output 6 2 5 2" xfId="43220" xr:uid="{00000000-0005-0000-0000-000056A90000}"/>
    <cellStyle name="Output 6 2 6" xfId="43221" xr:uid="{00000000-0005-0000-0000-000057A90000}"/>
    <cellStyle name="Output 6 3" xfId="43222" xr:uid="{00000000-0005-0000-0000-000058A90000}"/>
    <cellStyle name="Output 6 3 2" xfId="43223" xr:uid="{00000000-0005-0000-0000-000059A90000}"/>
    <cellStyle name="Output 6 3 2 2" xfId="43224" xr:uid="{00000000-0005-0000-0000-00005AA90000}"/>
    <cellStyle name="Output 6 3 2 2 2" xfId="43225" xr:uid="{00000000-0005-0000-0000-00005BA90000}"/>
    <cellStyle name="Output 6 3 2 3" xfId="43226" xr:uid="{00000000-0005-0000-0000-00005CA90000}"/>
    <cellStyle name="Output 6 3 3" xfId="43227" xr:uid="{00000000-0005-0000-0000-00005DA90000}"/>
    <cellStyle name="Output 6 3 3 2" xfId="43228" xr:uid="{00000000-0005-0000-0000-00005EA90000}"/>
    <cellStyle name="Output 6 3 4" xfId="43229" xr:uid="{00000000-0005-0000-0000-00005FA90000}"/>
    <cellStyle name="Output 6 4" xfId="43230" xr:uid="{00000000-0005-0000-0000-000060A90000}"/>
    <cellStyle name="Output 6 4 2" xfId="43231" xr:uid="{00000000-0005-0000-0000-000061A90000}"/>
    <cellStyle name="Output 6 4 2 2" xfId="43232" xr:uid="{00000000-0005-0000-0000-000062A90000}"/>
    <cellStyle name="Output 6 4 3" xfId="43233" xr:uid="{00000000-0005-0000-0000-000063A90000}"/>
    <cellStyle name="Output 6 5" xfId="43234" xr:uid="{00000000-0005-0000-0000-000064A90000}"/>
    <cellStyle name="Output 6 5 2" xfId="43235" xr:uid="{00000000-0005-0000-0000-000065A90000}"/>
    <cellStyle name="Output 6 5 2 2" xfId="43236" xr:uid="{00000000-0005-0000-0000-000066A90000}"/>
    <cellStyle name="Output 6 5 3" xfId="43237" xr:uid="{00000000-0005-0000-0000-000067A90000}"/>
    <cellStyle name="Output 6 6" xfId="43238" xr:uid="{00000000-0005-0000-0000-000068A90000}"/>
    <cellStyle name="Output 6 6 2" xfId="43239" xr:uid="{00000000-0005-0000-0000-000069A90000}"/>
    <cellStyle name="Output 6 7" xfId="43240" xr:uid="{00000000-0005-0000-0000-00006AA90000}"/>
    <cellStyle name="Output 7" xfId="43241" xr:uid="{00000000-0005-0000-0000-00006BA90000}"/>
    <cellStyle name="Output 7 2" xfId="43242" xr:uid="{00000000-0005-0000-0000-00006CA90000}"/>
    <cellStyle name="Output 8" xfId="43243" xr:uid="{00000000-0005-0000-0000-00006DA90000}"/>
    <cellStyle name="Output 8 2" xfId="43244" xr:uid="{00000000-0005-0000-0000-00006EA90000}"/>
    <cellStyle name="Output 9" xfId="43245" xr:uid="{00000000-0005-0000-0000-00006FA90000}"/>
    <cellStyle name="pct2" xfId="43246" xr:uid="{00000000-0005-0000-0000-000070A90000}"/>
    <cellStyle name="pct2 2" xfId="43247" xr:uid="{00000000-0005-0000-0000-000071A90000}"/>
    <cellStyle name="pct2 3" xfId="43248" xr:uid="{00000000-0005-0000-0000-000072A90000}"/>
    <cellStyle name="pct2 3 2" xfId="43249" xr:uid="{00000000-0005-0000-0000-000073A90000}"/>
    <cellStyle name="pct2 3 2 2" xfId="43250" xr:uid="{00000000-0005-0000-0000-000074A90000}"/>
    <cellStyle name="pct2 3 3" xfId="43251" xr:uid="{00000000-0005-0000-0000-000075A90000}"/>
    <cellStyle name="pct2 4" xfId="43252" xr:uid="{00000000-0005-0000-0000-000076A90000}"/>
    <cellStyle name="pct2 4 2" xfId="43253" xr:uid="{00000000-0005-0000-0000-000077A90000}"/>
    <cellStyle name="pct2 4 2 2" xfId="43254" xr:uid="{00000000-0005-0000-0000-000078A90000}"/>
    <cellStyle name="pct2 4 3" xfId="43255" xr:uid="{00000000-0005-0000-0000-000079A90000}"/>
    <cellStyle name="PctNoZero" xfId="43256" xr:uid="{00000000-0005-0000-0000-00007AA90000}"/>
    <cellStyle name="PctNoZero 2" xfId="43257" xr:uid="{00000000-0005-0000-0000-00007BA90000}"/>
    <cellStyle name="PctNoZero 3" xfId="43258" xr:uid="{00000000-0005-0000-0000-00007CA90000}"/>
    <cellStyle name="PctNoZero 3 2" xfId="43259" xr:uid="{00000000-0005-0000-0000-00007DA90000}"/>
    <cellStyle name="PctNoZero 3 2 2" xfId="43260" xr:uid="{00000000-0005-0000-0000-00007EA90000}"/>
    <cellStyle name="PctNoZero 3 3" xfId="43261" xr:uid="{00000000-0005-0000-0000-00007FA90000}"/>
    <cellStyle name="PctNoZero 4" xfId="43262" xr:uid="{00000000-0005-0000-0000-000080A90000}"/>
    <cellStyle name="PctNoZero 4 2" xfId="43263" xr:uid="{00000000-0005-0000-0000-000081A90000}"/>
    <cellStyle name="PctNoZero 4 2 2" xfId="43264" xr:uid="{00000000-0005-0000-0000-000082A90000}"/>
    <cellStyle name="PctNoZero 4 3" xfId="43265" xr:uid="{00000000-0005-0000-0000-000083A90000}"/>
    <cellStyle name="per.style" xfId="43266" xr:uid="{00000000-0005-0000-0000-000084A90000}"/>
    <cellStyle name="per.style 2" xfId="43267" xr:uid="{00000000-0005-0000-0000-000085A90000}"/>
    <cellStyle name="per.style 2 2" xfId="43268" xr:uid="{00000000-0005-0000-0000-000086A90000}"/>
    <cellStyle name="per.style 2 3" xfId="43269" xr:uid="{00000000-0005-0000-0000-000087A90000}"/>
    <cellStyle name="per.style 2 3 2" xfId="43270" xr:uid="{00000000-0005-0000-0000-000088A90000}"/>
    <cellStyle name="per.style 2 3 2 2" xfId="43271" xr:uid="{00000000-0005-0000-0000-000089A90000}"/>
    <cellStyle name="per.style 2 3 3" xfId="43272" xr:uid="{00000000-0005-0000-0000-00008AA90000}"/>
    <cellStyle name="per.style 2 4" xfId="43273" xr:uid="{00000000-0005-0000-0000-00008BA90000}"/>
    <cellStyle name="per.style 2 4 2" xfId="43274" xr:uid="{00000000-0005-0000-0000-00008CA90000}"/>
    <cellStyle name="per.style 2 4 2 2" xfId="43275" xr:uid="{00000000-0005-0000-0000-00008DA90000}"/>
    <cellStyle name="per.style 2 4 3" xfId="43276" xr:uid="{00000000-0005-0000-0000-00008EA90000}"/>
    <cellStyle name="per.style 3" xfId="43277" xr:uid="{00000000-0005-0000-0000-00008FA90000}"/>
    <cellStyle name="per.style 4" xfId="43278" xr:uid="{00000000-0005-0000-0000-000090A90000}"/>
    <cellStyle name="per.style 4 2" xfId="43279" xr:uid="{00000000-0005-0000-0000-000091A90000}"/>
    <cellStyle name="per.style 4 2 2" xfId="43280" xr:uid="{00000000-0005-0000-0000-000092A90000}"/>
    <cellStyle name="per.style 4 3" xfId="43281" xr:uid="{00000000-0005-0000-0000-000093A90000}"/>
    <cellStyle name="per.style 5" xfId="43282" xr:uid="{00000000-0005-0000-0000-000094A90000}"/>
    <cellStyle name="per.style 5 2" xfId="43283" xr:uid="{00000000-0005-0000-0000-000095A90000}"/>
    <cellStyle name="per.style 5 2 2" xfId="43284" xr:uid="{00000000-0005-0000-0000-000096A90000}"/>
    <cellStyle name="per.style 5 3" xfId="43285" xr:uid="{00000000-0005-0000-0000-000097A90000}"/>
    <cellStyle name="Percent" xfId="37" builtinId="5"/>
    <cellStyle name="Percent (0.0%)" xfId="43286" xr:uid="{00000000-0005-0000-0000-000099A90000}"/>
    <cellStyle name="Percent (0.0%) 2" xfId="43287" xr:uid="{00000000-0005-0000-0000-00009AA90000}"/>
    <cellStyle name="Percent (0.0%) 3" xfId="43288" xr:uid="{00000000-0005-0000-0000-00009BA90000}"/>
    <cellStyle name="Percent (0.0%) 3 2" xfId="43289" xr:uid="{00000000-0005-0000-0000-00009CA90000}"/>
    <cellStyle name="Percent (0.0%) 3 2 2" xfId="43290" xr:uid="{00000000-0005-0000-0000-00009DA90000}"/>
    <cellStyle name="Percent (0.0%) 3 3" xfId="43291" xr:uid="{00000000-0005-0000-0000-00009EA90000}"/>
    <cellStyle name="Percent (0.0%) 4" xfId="43292" xr:uid="{00000000-0005-0000-0000-00009FA90000}"/>
    <cellStyle name="Percent (0.0%) 4 2" xfId="43293" xr:uid="{00000000-0005-0000-0000-0000A0A90000}"/>
    <cellStyle name="Percent (0.0%) 4 2 2" xfId="43294" xr:uid="{00000000-0005-0000-0000-0000A1A90000}"/>
    <cellStyle name="Percent (0.0%) 4 3" xfId="43295" xr:uid="{00000000-0005-0000-0000-0000A2A90000}"/>
    <cellStyle name="Percent [2]" xfId="43296" xr:uid="{00000000-0005-0000-0000-0000A3A90000}"/>
    <cellStyle name="Percent [2] 2" xfId="43297" xr:uid="{00000000-0005-0000-0000-0000A4A90000}"/>
    <cellStyle name="Percent [2] 2 2" xfId="43298" xr:uid="{00000000-0005-0000-0000-0000A5A90000}"/>
    <cellStyle name="Percent [2] 2 3" xfId="43299" xr:uid="{00000000-0005-0000-0000-0000A6A90000}"/>
    <cellStyle name="Percent [2] 2 3 2" xfId="43300" xr:uid="{00000000-0005-0000-0000-0000A7A90000}"/>
    <cellStyle name="Percent [2] 2 3 2 2" xfId="43301" xr:uid="{00000000-0005-0000-0000-0000A8A90000}"/>
    <cellStyle name="Percent [2] 2 3 3" xfId="43302" xr:uid="{00000000-0005-0000-0000-0000A9A90000}"/>
    <cellStyle name="Percent [2] 2 4" xfId="43303" xr:uid="{00000000-0005-0000-0000-0000AAA90000}"/>
    <cellStyle name="Percent [2] 2 4 2" xfId="43304" xr:uid="{00000000-0005-0000-0000-0000ABA90000}"/>
    <cellStyle name="Percent [2] 2 4 2 2" xfId="43305" xr:uid="{00000000-0005-0000-0000-0000ACA90000}"/>
    <cellStyle name="Percent [2] 2 4 3" xfId="43306" xr:uid="{00000000-0005-0000-0000-0000ADA90000}"/>
    <cellStyle name="Percent [2] 3" xfId="43307" xr:uid="{00000000-0005-0000-0000-0000AEA90000}"/>
    <cellStyle name="Percent [2] 4" xfId="43308" xr:uid="{00000000-0005-0000-0000-0000AFA90000}"/>
    <cellStyle name="Percent [2] 4 2" xfId="43309" xr:uid="{00000000-0005-0000-0000-0000B0A90000}"/>
    <cellStyle name="Percent [2] 4 2 2" xfId="43310" xr:uid="{00000000-0005-0000-0000-0000B1A90000}"/>
    <cellStyle name="Percent [2] 4 3" xfId="43311" xr:uid="{00000000-0005-0000-0000-0000B2A90000}"/>
    <cellStyle name="Percent [2] 5" xfId="43312" xr:uid="{00000000-0005-0000-0000-0000B3A90000}"/>
    <cellStyle name="Percent [2] 5 2" xfId="43313" xr:uid="{00000000-0005-0000-0000-0000B4A90000}"/>
    <cellStyle name="Percent [2] 5 2 2" xfId="43314" xr:uid="{00000000-0005-0000-0000-0000B5A90000}"/>
    <cellStyle name="Percent [2] 5 3" xfId="43315" xr:uid="{00000000-0005-0000-0000-0000B6A90000}"/>
    <cellStyle name="Percent 10" xfId="43316" xr:uid="{00000000-0005-0000-0000-0000B7A90000}"/>
    <cellStyle name="Percent 10 2" xfId="43317" xr:uid="{00000000-0005-0000-0000-0000B8A90000}"/>
    <cellStyle name="Percent 10 3" xfId="43318" xr:uid="{00000000-0005-0000-0000-0000B9A90000}"/>
    <cellStyle name="Percent 10 3 2" xfId="43319" xr:uid="{00000000-0005-0000-0000-0000BAA90000}"/>
    <cellStyle name="Percent 10 3 2 2" xfId="43320" xr:uid="{00000000-0005-0000-0000-0000BBA90000}"/>
    <cellStyle name="Percent 10 3 3" xfId="43321" xr:uid="{00000000-0005-0000-0000-0000BCA90000}"/>
    <cellStyle name="Percent 10 4" xfId="43322" xr:uid="{00000000-0005-0000-0000-0000BDA90000}"/>
    <cellStyle name="Percent 10 4 2" xfId="43323" xr:uid="{00000000-0005-0000-0000-0000BEA90000}"/>
    <cellStyle name="Percent 10 4 2 2" xfId="43324" xr:uid="{00000000-0005-0000-0000-0000BFA90000}"/>
    <cellStyle name="Percent 10 4 3" xfId="43325" xr:uid="{00000000-0005-0000-0000-0000C0A90000}"/>
    <cellStyle name="Percent 100" xfId="43326" xr:uid="{00000000-0005-0000-0000-0000C1A90000}"/>
    <cellStyle name="Percent 100 2" xfId="43327" xr:uid="{00000000-0005-0000-0000-0000C2A90000}"/>
    <cellStyle name="Percent 100 3" xfId="43328" xr:uid="{00000000-0005-0000-0000-0000C3A90000}"/>
    <cellStyle name="Percent 100 3 2" xfId="43329" xr:uid="{00000000-0005-0000-0000-0000C4A90000}"/>
    <cellStyle name="Percent 100 3 2 2" xfId="43330" xr:uid="{00000000-0005-0000-0000-0000C5A90000}"/>
    <cellStyle name="Percent 100 3 3" xfId="43331" xr:uid="{00000000-0005-0000-0000-0000C6A90000}"/>
    <cellStyle name="Percent 100 4" xfId="43332" xr:uid="{00000000-0005-0000-0000-0000C7A90000}"/>
    <cellStyle name="Percent 100 4 2" xfId="43333" xr:uid="{00000000-0005-0000-0000-0000C8A90000}"/>
    <cellStyle name="Percent 100 4 2 2" xfId="43334" xr:uid="{00000000-0005-0000-0000-0000C9A90000}"/>
    <cellStyle name="Percent 100 4 3" xfId="43335" xr:uid="{00000000-0005-0000-0000-0000CAA90000}"/>
    <cellStyle name="Percent 101" xfId="43336" xr:uid="{00000000-0005-0000-0000-0000CBA90000}"/>
    <cellStyle name="Percent 101 2" xfId="43337" xr:uid="{00000000-0005-0000-0000-0000CCA90000}"/>
    <cellStyle name="Percent 101 3" xfId="43338" xr:uid="{00000000-0005-0000-0000-0000CDA90000}"/>
    <cellStyle name="Percent 101 3 2" xfId="43339" xr:uid="{00000000-0005-0000-0000-0000CEA90000}"/>
    <cellStyle name="Percent 101 3 2 2" xfId="43340" xr:uid="{00000000-0005-0000-0000-0000CFA90000}"/>
    <cellStyle name="Percent 101 3 3" xfId="43341" xr:uid="{00000000-0005-0000-0000-0000D0A90000}"/>
    <cellStyle name="Percent 101 4" xfId="43342" xr:uid="{00000000-0005-0000-0000-0000D1A90000}"/>
    <cellStyle name="Percent 101 4 2" xfId="43343" xr:uid="{00000000-0005-0000-0000-0000D2A90000}"/>
    <cellStyle name="Percent 101 4 2 2" xfId="43344" xr:uid="{00000000-0005-0000-0000-0000D3A90000}"/>
    <cellStyle name="Percent 101 4 3" xfId="43345" xr:uid="{00000000-0005-0000-0000-0000D4A90000}"/>
    <cellStyle name="Percent 102" xfId="43346" xr:uid="{00000000-0005-0000-0000-0000D5A90000}"/>
    <cellStyle name="Percent 102 2" xfId="43347" xr:uid="{00000000-0005-0000-0000-0000D6A90000}"/>
    <cellStyle name="Percent 102 3" xfId="43348" xr:uid="{00000000-0005-0000-0000-0000D7A90000}"/>
    <cellStyle name="Percent 102 3 2" xfId="43349" xr:uid="{00000000-0005-0000-0000-0000D8A90000}"/>
    <cellStyle name="Percent 102 3 2 2" xfId="43350" xr:uid="{00000000-0005-0000-0000-0000D9A90000}"/>
    <cellStyle name="Percent 102 3 3" xfId="43351" xr:uid="{00000000-0005-0000-0000-0000DAA90000}"/>
    <cellStyle name="Percent 102 4" xfId="43352" xr:uid="{00000000-0005-0000-0000-0000DBA90000}"/>
    <cellStyle name="Percent 102 4 2" xfId="43353" xr:uid="{00000000-0005-0000-0000-0000DCA90000}"/>
    <cellStyle name="Percent 102 4 2 2" xfId="43354" xr:uid="{00000000-0005-0000-0000-0000DDA90000}"/>
    <cellStyle name="Percent 102 4 3" xfId="43355" xr:uid="{00000000-0005-0000-0000-0000DEA90000}"/>
    <cellStyle name="Percent 103" xfId="43356" xr:uid="{00000000-0005-0000-0000-0000DFA90000}"/>
    <cellStyle name="Percent 103 2" xfId="43357" xr:uid="{00000000-0005-0000-0000-0000E0A90000}"/>
    <cellStyle name="Percent 103 3" xfId="43358" xr:uid="{00000000-0005-0000-0000-0000E1A90000}"/>
    <cellStyle name="Percent 103 3 2" xfId="43359" xr:uid="{00000000-0005-0000-0000-0000E2A90000}"/>
    <cellStyle name="Percent 103 3 2 2" xfId="43360" xr:uid="{00000000-0005-0000-0000-0000E3A90000}"/>
    <cellStyle name="Percent 103 3 3" xfId="43361" xr:uid="{00000000-0005-0000-0000-0000E4A90000}"/>
    <cellStyle name="Percent 103 4" xfId="43362" xr:uid="{00000000-0005-0000-0000-0000E5A90000}"/>
    <cellStyle name="Percent 103 4 2" xfId="43363" xr:uid="{00000000-0005-0000-0000-0000E6A90000}"/>
    <cellStyle name="Percent 103 4 2 2" xfId="43364" xr:uid="{00000000-0005-0000-0000-0000E7A90000}"/>
    <cellStyle name="Percent 103 4 3" xfId="43365" xr:uid="{00000000-0005-0000-0000-0000E8A90000}"/>
    <cellStyle name="Percent 104" xfId="43366" xr:uid="{00000000-0005-0000-0000-0000E9A90000}"/>
    <cellStyle name="Percent 104 2" xfId="43367" xr:uid="{00000000-0005-0000-0000-0000EAA90000}"/>
    <cellStyle name="Percent 104 3" xfId="43368" xr:uid="{00000000-0005-0000-0000-0000EBA90000}"/>
    <cellStyle name="Percent 104 3 2" xfId="43369" xr:uid="{00000000-0005-0000-0000-0000ECA90000}"/>
    <cellStyle name="Percent 104 3 2 2" xfId="43370" xr:uid="{00000000-0005-0000-0000-0000EDA90000}"/>
    <cellStyle name="Percent 104 3 3" xfId="43371" xr:uid="{00000000-0005-0000-0000-0000EEA90000}"/>
    <cellStyle name="Percent 104 4" xfId="43372" xr:uid="{00000000-0005-0000-0000-0000EFA90000}"/>
    <cellStyle name="Percent 104 4 2" xfId="43373" xr:uid="{00000000-0005-0000-0000-0000F0A90000}"/>
    <cellStyle name="Percent 104 4 2 2" xfId="43374" xr:uid="{00000000-0005-0000-0000-0000F1A90000}"/>
    <cellStyle name="Percent 104 4 3" xfId="43375" xr:uid="{00000000-0005-0000-0000-0000F2A90000}"/>
    <cellStyle name="Percent 105" xfId="43376" xr:uid="{00000000-0005-0000-0000-0000F3A90000}"/>
    <cellStyle name="Percent 105 2" xfId="43377" xr:uid="{00000000-0005-0000-0000-0000F4A90000}"/>
    <cellStyle name="Percent 105 3" xfId="43378" xr:uid="{00000000-0005-0000-0000-0000F5A90000}"/>
    <cellStyle name="Percent 105 3 2" xfId="43379" xr:uid="{00000000-0005-0000-0000-0000F6A90000}"/>
    <cellStyle name="Percent 105 3 2 2" xfId="43380" xr:uid="{00000000-0005-0000-0000-0000F7A90000}"/>
    <cellStyle name="Percent 105 3 3" xfId="43381" xr:uid="{00000000-0005-0000-0000-0000F8A90000}"/>
    <cellStyle name="Percent 105 4" xfId="43382" xr:uid="{00000000-0005-0000-0000-0000F9A90000}"/>
    <cellStyle name="Percent 105 4 2" xfId="43383" xr:uid="{00000000-0005-0000-0000-0000FAA90000}"/>
    <cellStyle name="Percent 105 4 2 2" xfId="43384" xr:uid="{00000000-0005-0000-0000-0000FBA90000}"/>
    <cellStyle name="Percent 105 4 3" xfId="43385" xr:uid="{00000000-0005-0000-0000-0000FCA90000}"/>
    <cellStyle name="Percent 106" xfId="43386" xr:uid="{00000000-0005-0000-0000-0000FDA90000}"/>
    <cellStyle name="Percent 106 2" xfId="43387" xr:uid="{00000000-0005-0000-0000-0000FEA90000}"/>
    <cellStyle name="Percent 106 3" xfId="43388" xr:uid="{00000000-0005-0000-0000-0000FFA90000}"/>
    <cellStyle name="Percent 106 3 2" xfId="43389" xr:uid="{00000000-0005-0000-0000-000000AA0000}"/>
    <cellStyle name="Percent 106 3 2 2" xfId="43390" xr:uid="{00000000-0005-0000-0000-000001AA0000}"/>
    <cellStyle name="Percent 106 3 3" xfId="43391" xr:uid="{00000000-0005-0000-0000-000002AA0000}"/>
    <cellStyle name="Percent 106 4" xfId="43392" xr:uid="{00000000-0005-0000-0000-000003AA0000}"/>
    <cellStyle name="Percent 106 4 2" xfId="43393" xr:uid="{00000000-0005-0000-0000-000004AA0000}"/>
    <cellStyle name="Percent 106 4 2 2" xfId="43394" xr:uid="{00000000-0005-0000-0000-000005AA0000}"/>
    <cellStyle name="Percent 106 4 3" xfId="43395" xr:uid="{00000000-0005-0000-0000-000006AA0000}"/>
    <cellStyle name="Percent 107" xfId="43396" xr:uid="{00000000-0005-0000-0000-000007AA0000}"/>
    <cellStyle name="Percent 107 2" xfId="43397" xr:uid="{00000000-0005-0000-0000-000008AA0000}"/>
    <cellStyle name="Percent 107 3" xfId="43398" xr:uid="{00000000-0005-0000-0000-000009AA0000}"/>
    <cellStyle name="Percent 107 3 2" xfId="43399" xr:uid="{00000000-0005-0000-0000-00000AAA0000}"/>
    <cellStyle name="Percent 107 3 2 2" xfId="43400" xr:uid="{00000000-0005-0000-0000-00000BAA0000}"/>
    <cellStyle name="Percent 107 3 3" xfId="43401" xr:uid="{00000000-0005-0000-0000-00000CAA0000}"/>
    <cellStyle name="Percent 108" xfId="43402" xr:uid="{00000000-0005-0000-0000-00000DAA0000}"/>
    <cellStyle name="Percent 108 2" xfId="43403" xr:uid="{00000000-0005-0000-0000-00000EAA0000}"/>
    <cellStyle name="Percent 108 3" xfId="43404" xr:uid="{00000000-0005-0000-0000-00000FAA0000}"/>
    <cellStyle name="Percent 108 3 2" xfId="43405" xr:uid="{00000000-0005-0000-0000-000010AA0000}"/>
    <cellStyle name="Percent 108 3 2 2" xfId="43406" xr:uid="{00000000-0005-0000-0000-000011AA0000}"/>
    <cellStyle name="Percent 108 3 3" xfId="43407" xr:uid="{00000000-0005-0000-0000-000012AA0000}"/>
    <cellStyle name="Percent 109" xfId="43408" xr:uid="{00000000-0005-0000-0000-000013AA0000}"/>
    <cellStyle name="Percent 109 2" xfId="43409" xr:uid="{00000000-0005-0000-0000-000014AA0000}"/>
    <cellStyle name="Percent 109 3" xfId="43410" xr:uid="{00000000-0005-0000-0000-000015AA0000}"/>
    <cellStyle name="Percent 109 3 2" xfId="43411" xr:uid="{00000000-0005-0000-0000-000016AA0000}"/>
    <cellStyle name="Percent 109 3 2 2" xfId="43412" xr:uid="{00000000-0005-0000-0000-000017AA0000}"/>
    <cellStyle name="Percent 109 3 3" xfId="43413" xr:uid="{00000000-0005-0000-0000-000018AA0000}"/>
    <cellStyle name="Percent 11" xfId="43414" xr:uid="{00000000-0005-0000-0000-000019AA0000}"/>
    <cellStyle name="Percent 11 2" xfId="43415" xr:uid="{00000000-0005-0000-0000-00001AAA0000}"/>
    <cellStyle name="Percent 11 3" xfId="43416" xr:uid="{00000000-0005-0000-0000-00001BAA0000}"/>
    <cellStyle name="Percent 11 3 2" xfId="43417" xr:uid="{00000000-0005-0000-0000-00001CAA0000}"/>
    <cellStyle name="Percent 11 3 2 2" xfId="43418" xr:uid="{00000000-0005-0000-0000-00001DAA0000}"/>
    <cellStyle name="Percent 11 3 3" xfId="43419" xr:uid="{00000000-0005-0000-0000-00001EAA0000}"/>
    <cellStyle name="Percent 11 4" xfId="43420" xr:uid="{00000000-0005-0000-0000-00001FAA0000}"/>
    <cellStyle name="Percent 11 4 2" xfId="43421" xr:uid="{00000000-0005-0000-0000-000020AA0000}"/>
    <cellStyle name="Percent 11 4 2 2" xfId="43422" xr:uid="{00000000-0005-0000-0000-000021AA0000}"/>
    <cellStyle name="Percent 11 4 3" xfId="43423" xr:uid="{00000000-0005-0000-0000-000022AA0000}"/>
    <cellStyle name="Percent 110" xfId="43424" xr:uid="{00000000-0005-0000-0000-000023AA0000}"/>
    <cellStyle name="Percent 111" xfId="43425" xr:uid="{00000000-0005-0000-0000-000024AA0000}"/>
    <cellStyle name="Percent 112" xfId="43426" xr:uid="{00000000-0005-0000-0000-000025AA0000}"/>
    <cellStyle name="Percent 113" xfId="43427" xr:uid="{00000000-0005-0000-0000-000026AA0000}"/>
    <cellStyle name="Percent 114" xfId="43428" xr:uid="{00000000-0005-0000-0000-000027AA0000}"/>
    <cellStyle name="Percent 115" xfId="43429" xr:uid="{00000000-0005-0000-0000-000028AA0000}"/>
    <cellStyle name="Percent 116" xfId="43430" xr:uid="{00000000-0005-0000-0000-000029AA0000}"/>
    <cellStyle name="Percent 117" xfId="43431" xr:uid="{00000000-0005-0000-0000-00002AAA0000}"/>
    <cellStyle name="Percent 118" xfId="43432" xr:uid="{00000000-0005-0000-0000-00002BAA0000}"/>
    <cellStyle name="Percent 119" xfId="43433" xr:uid="{00000000-0005-0000-0000-00002CAA0000}"/>
    <cellStyle name="Percent 12" xfId="43434" xr:uid="{00000000-0005-0000-0000-00002DAA0000}"/>
    <cellStyle name="Percent 12 2" xfId="43435" xr:uid="{00000000-0005-0000-0000-00002EAA0000}"/>
    <cellStyle name="Percent 12 3" xfId="43436" xr:uid="{00000000-0005-0000-0000-00002FAA0000}"/>
    <cellStyle name="Percent 12 3 2" xfId="43437" xr:uid="{00000000-0005-0000-0000-000030AA0000}"/>
    <cellStyle name="Percent 12 3 2 2" xfId="43438" xr:uid="{00000000-0005-0000-0000-000031AA0000}"/>
    <cellStyle name="Percent 12 3 3" xfId="43439" xr:uid="{00000000-0005-0000-0000-000032AA0000}"/>
    <cellStyle name="Percent 12 4" xfId="43440" xr:uid="{00000000-0005-0000-0000-000033AA0000}"/>
    <cellStyle name="Percent 12 4 2" xfId="43441" xr:uid="{00000000-0005-0000-0000-000034AA0000}"/>
    <cellStyle name="Percent 12 4 2 2" xfId="43442" xr:uid="{00000000-0005-0000-0000-000035AA0000}"/>
    <cellStyle name="Percent 12 4 3" xfId="43443" xr:uid="{00000000-0005-0000-0000-000036AA0000}"/>
    <cellStyle name="Percent 120" xfId="43444" xr:uid="{00000000-0005-0000-0000-000037AA0000}"/>
    <cellStyle name="Percent 121" xfId="43445" xr:uid="{00000000-0005-0000-0000-000038AA0000}"/>
    <cellStyle name="Percent 122" xfId="43446" xr:uid="{00000000-0005-0000-0000-000039AA0000}"/>
    <cellStyle name="Percent 123" xfId="43447" xr:uid="{00000000-0005-0000-0000-00003AAA0000}"/>
    <cellStyle name="Percent 124" xfId="43448" xr:uid="{00000000-0005-0000-0000-00003BAA0000}"/>
    <cellStyle name="Percent 125" xfId="43449" xr:uid="{00000000-0005-0000-0000-00003CAA0000}"/>
    <cellStyle name="Percent 126" xfId="43450" xr:uid="{00000000-0005-0000-0000-00003DAA0000}"/>
    <cellStyle name="Percent 127" xfId="43451" xr:uid="{00000000-0005-0000-0000-00003EAA0000}"/>
    <cellStyle name="Percent 128" xfId="43452" xr:uid="{00000000-0005-0000-0000-00003FAA0000}"/>
    <cellStyle name="Percent 129" xfId="43453" xr:uid="{00000000-0005-0000-0000-000040AA0000}"/>
    <cellStyle name="Percent 13" xfId="43454" xr:uid="{00000000-0005-0000-0000-000041AA0000}"/>
    <cellStyle name="Percent 13 2" xfId="43455" xr:uid="{00000000-0005-0000-0000-000042AA0000}"/>
    <cellStyle name="Percent 13 3" xfId="43456" xr:uid="{00000000-0005-0000-0000-000043AA0000}"/>
    <cellStyle name="Percent 13 3 2" xfId="43457" xr:uid="{00000000-0005-0000-0000-000044AA0000}"/>
    <cellStyle name="Percent 13 3 2 2" xfId="43458" xr:uid="{00000000-0005-0000-0000-000045AA0000}"/>
    <cellStyle name="Percent 13 3 3" xfId="43459" xr:uid="{00000000-0005-0000-0000-000046AA0000}"/>
    <cellStyle name="Percent 13 4" xfId="43460" xr:uid="{00000000-0005-0000-0000-000047AA0000}"/>
    <cellStyle name="Percent 13 4 2" xfId="43461" xr:uid="{00000000-0005-0000-0000-000048AA0000}"/>
    <cellStyle name="Percent 13 4 2 2" xfId="43462" xr:uid="{00000000-0005-0000-0000-000049AA0000}"/>
    <cellStyle name="Percent 13 4 3" xfId="43463" xr:uid="{00000000-0005-0000-0000-00004AAA0000}"/>
    <cellStyle name="Percent 130" xfId="43464" xr:uid="{00000000-0005-0000-0000-00004BAA0000}"/>
    <cellStyle name="Percent 131" xfId="43465" xr:uid="{00000000-0005-0000-0000-00004CAA0000}"/>
    <cellStyle name="Percent 132" xfId="43466" xr:uid="{00000000-0005-0000-0000-00004DAA0000}"/>
    <cellStyle name="Percent 133" xfId="43467" xr:uid="{00000000-0005-0000-0000-00004EAA0000}"/>
    <cellStyle name="Percent 134" xfId="43468" xr:uid="{00000000-0005-0000-0000-00004FAA0000}"/>
    <cellStyle name="Percent 135" xfId="43469" xr:uid="{00000000-0005-0000-0000-000050AA0000}"/>
    <cellStyle name="Percent 136" xfId="43470" xr:uid="{00000000-0005-0000-0000-000051AA0000}"/>
    <cellStyle name="Percent 137" xfId="43471" xr:uid="{00000000-0005-0000-0000-000052AA0000}"/>
    <cellStyle name="Percent 138" xfId="43472" xr:uid="{00000000-0005-0000-0000-000053AA0000}"/>
    <cellStyle name="Percent 139" xfId="43473" xr:uid="{00000000-0005-0000-0000-000054AA0000}"/>
    <cellStyle name="Percent 14" xfId="43474" xr:uid="{00000000-0005-0000-0000-000055AA0000}"/>
    <cellStyle name="Percent 14 2" xfId="43475" xr:uid="{00000000-0005-0000-0000-000056AA0000}"/>
    <cellStyle name="Percent 14 3" xfId="43476" xr:uid="{00000000-0005-0000-0000-000057AA0000}"/>
    <cellStyle name="Percent 14 3 2" xfId="43477" xr:uid="{00000000-0005-0000-0000-000058AA0000}"/>
    <cellStyle name="Percent 14 3 2 2" xfId="43478" xr:uid="{00000000-0005-0000-0000-000059AA0000}"/>
    <cellStyle name="Percent 14 3 3" xfId="43479" xr:uid="{00000000-0005-0000-0000-00005AAA0000}"/>
    <cellStyle name="Percent 14 4" xfId="43480" xr:uid="{00000000-0005-0000-0000-00005BAA0000}"/>
    <cellStyle name="Percent 14 4 2" xfId="43481" xr:uid="{00000000-0005-0000-0000-00005CAA0000}"/>
    <cellStyle name="Percent 14 4 2 2" xfId="43482" xr:uid="{00000000-0005-0000-0000-00005DAA0000}"/>
    <cellStyle name="Percent 14 4 3" xfId="43483" xr:uid="{00000000-0005-0000-0000-00005EAA0000}"/>
    <cellStyle name="Percent 140" xfId="43484" xr:uid="{00000000-0005-0000-0000-00005FAA0000}"/>
    <cellStyle name="Percent 141" xfId="43485" xr:uid="{00000000-0005-0000-0000-000060AA0000}"/>
    <cellStyle name="Percent 142" xfId="43486" xr:uid="{00000000-0005-0000-0000-000061AA0000}"/>
    <cellStyle name="Percent 143" xfId="43487" xr:uid="{00000000-0005-0000-0000-000062AA0000}"/>
    <cellStyle name="Percent 144" xfId="43488" xr:uid="{00000000-0005-0000-0000-000063AA0000}"/>
    <cellStyle name="Percent 145" xfId="43489" xr:uid="{00000000-0005-0000-0000-000064AA0000}"/>
    <cellStyle name="Percent 146" xfId="43490" xr:uid="{00000000-0005-0000-0000-000065AA0000}"/>
    <cellStyle name="Percent 147" xfId="43491" xr:uid="{00000000-0005-0000-0000-000066AA0000}"/>
    <cellStyle name="Percent 148" xfId="43492" xr:uid="{00000000-0005-0000-0000-000067AA0000}"/>
    <cellStyle name="Percent 149" xfId="43493" xr:uid="{00000000-0005-0000-0000-000068AA0000}"/>
    <cellStyle name="Percent 15" xfId="43494" xr:uid="{00000000-0005-0000-0000-000069AA0000}"/>
    <cellStyle name="Percent 15 2" xfId="43495" xr:uid="{00000000-0005-0000-0000-00006AAA0000}"/>
    <cellStyle name="Percent 15 3" xfId="43496" xr:uid="{00000000-0005-0000-0000-00006BAA0000}"/>
    <cellStyle name="Percent 15 3 2" xfId="43497" xr:uid="{00000000-0005-0000-0000-00006CAA0000}"/>
    <cellStyle name="Percent 15 3 2 2" xfId="43498" xr:uid="{00000000-0005-0000-0000-00006DAA0000}"/>
    <cellStyle name="Percent 15 3 3" xfId="43499" xr:uid="{00000000-0005-0000-0000-00006EAA0000}"/>
    <cellStyle name="Percent 15 4" xfId="43500" xr:uid="{00000000-0005-0000-0000-00006FAA0000}"/>
    <cellStyle name="Percent 15 4 2" xfId="43501" xr:uid="{00000000-0005-0000-0000-000070AA0000}"/>
    <cellStyle name="Percent 15 4 2 2" xfId="43502" xr:uid="{00000000-0005-0000-0000-000071AA0000}"/>
    <cellStyle name="Percent 15 4 3" xfId="43503" xr:uid="{00000000-0005-0000-0000-000072AA0000}"/>
    <cellStyle name="Percent 150" xfId="669" xr:uid="{00000000-0005-0000-0000-000073AA0000}"/>
    <cellStyle name="Percent 151" xfId="53872" xr:uid="{00000000-0005-0000-0000-000074AA0000}"/>
    <cellStyle name="Percent 152" xfId="53876" xr:uid="{00000000-0005-0000-0000-000075AA0000}"/>
    <cellStyle name="Percent 153" xfId="53879" xr:uid="{00000000-0005-0000-0000-000076AA0000}"/>
    <cellStyle name="Percent 154" xfId="53882" xr:uid="{00000000-0005-0000-0000-000077AA0000}"/>
    <cellStyle name="Percent 155" xfId="53885" xr:uid="{00000000-0005-0000-0000-000078AA0000}"/>
    <cellStyle name="Percent 156" xfId="53894" xr:uid="{845C1E15-D317-47DA-AD09-29C0F635C834}"/>
    <cellStyle name="Percent 16" xfId="43504" xr:uid="{00000000-0005-0000-0000-000079AA0000}"/>
    <cellStyle name="Percent 16 2" xfId="43505" xr:uid="{00000000-0005-0000-0000-00007AAA0000}"/>
    <cellStyle name="Percent 16 3" xfId="43506" xr:uid="{00000000-0005-0000-0000-00007BAA0000}"/>
    <cellStyle name="Percent 16 3 2" xfId="43507" xr:uid="{00000000-0005-0000-0000-00007CAA0000}"/>
    <cellStyle name="Percent 16 3 2 2" xfId="43508" xr:uid="{00000000-0005-0000-0000-00007DAA0000}"/>
    <cellStyle name="Percent 16 3 3" xfId="43509" xr:uid="{00000000-0005-0000-0000-00007EAA0000}"/>
    <cellStyle name="Percent 16 4" xfId="43510" xr:uid="{00000000-0005-0000-0000-00007FAA0000}"/>
    <cellStyle name="Percent 16 4 2" xfId="43511" xr:uid="{00000000-0005-0000-0000-000080AA0000}"/>
    <cellStyle name="Percent 16 4 2 2" xfId="43512" xr:uid="{00000000-0005-0000-0000-000081AA0000}"/>
    <cellStyle name="Percent 16 4 3" xfId="43513" xr:uid="{00000000-0005-0000-0000-000082AA0000}"/>
    <cellStyle name="Percent 17" xfId="43514" xr:uid="{00000000-0005-0000-0000-000083AA0000}"/>
    <cellStyle name="Percent 17 2" xfId="43515" xr:uid="{00000000-0005-0000-0000-000084AA0000}"/>
    <cellStyle name="Percent 17 3" xfId="43516" xr:uid="{00000000-0005-0000-0000-000085AA0000}"/>
    <cellStyle name="Percent 17 3 2" xfId="43517" xr:uid="{00000000-0005-0000-0000-000086AA0000}"/>
    <cellStyle name="Percent 17 3 2 2" xfId="43518" xr:uid="{00000000-0005-0000-0000-000087AA0000}"/>
    <cellStyle name="Percent 17 3 3" xfId="43519" xr:uid="{00000000-0005-0000-0000-000088AA0000}"/>
    <cellStyle name="Percent 17 4" xfId="43520" xr:uid="{00000000-0005-0000-0000-000089AA0000}"/>
    <cellStyle name="Percent 17 4 2" xfId="43521" xr:uid="{00000000-0005-0000-0000-00008AAA0000}"/>
    <cellStyle name="Percent 17 4 2 2" xfId="43522" xr:uid="{00000000-0005-0000-0000-00008BAA0000}"/>
    <cellStyle name="Percent 17 4 3" xfId="43523" xr:uid="{00000000-0005-0000-0000-00008CAA0000}"/>
    <cellStyle name="Percent 18" xfId="43524" xr:uid="{00000000-0005-0000-0000-00008DAA0000}"/>
    <cellStyle name="Percent 18 2" xfId="43525" xr:uid="{00000000-0005-0000-0000-00008EAA0000}"/>
    <cellStyle name="Percent 18 3" xfId="43526" xr:uid="{00000000-0005-0000-0000-00008FAA0000}"/>
    <cellStyle name="Percent 18 3 2" xfId="43527" xr:uid="{00000000-0005-0000-0000-000090AA0000}"/>
    <cellStyle name="Percent 18 3 2 2" xfId="43528" xr:uid="{00000000-0005-0000-0000-000091AA0000}"/>
    <cellStyle name="Percent 18 3 3" xfId="43529" xr:uid="{00000000-0005-0000-0000-000092AA0000}"/>
    <cellStyle name="Percent 18 4" xfId="43530" xr:uid="{00000000-0005-0000-0000-000093AA0000}"/>
    <cellStyle name="Percent 18 4 2" xfId="43531" xr:uid="{00000000-0005-0000-0000-000094AA0000}"/>
    <cellStyle name="Percent 18 4 2 2" xfId="43532" xr:uid="{00000000-0005-0000-0000-000095AA0000}"/>
    <cellStyle name="Percent 18 4 3" xfId="43533" xr:uid="{00000000-0005-0000-0000-000096AA0000}"/>
    <cellStyle name="Percent 19" xfId="43534" xr:uid="{00000000-0005-0000-0000-000097AA0000}"/>
    <cellStyle name="Percent 19 2" xfId="43535" xr:uid="{00000000-0005-0000-0000-000098AA0000}"/>
    <cellStyle name="Percent 19 3" xfId="43536" xr:uid="{00000000-0005-0000-0000-000099AA0000}"/>
    <cellStyle name="Percent 19 3 2" xfId="43537" xr:uid="{00000000-0005-0000-0000-00009AAA0000}"/>
    <cellStyle name="Percent 19 3 2 2" xfId="43538" xr:uid="{00000000-0005-0000-0000-00009BAA0000}"/>
    <cellStyle name="Percent 19 3 3" xfId="43539" xr:uid="{00000000-0005-0000-0000-00009CAA0000}"/>
    <cellStyle name="Percent 19 4" xfId="43540" xr:uid="{00000000-0005-0000-0000-00009DAA0000}"/>
    <cellStyle name="Percent 19 4 2" xfId="43541" xr:uid="{00000000-0005-0000-0000-00009EAA0000}"/>
    <cellStyle name="Percent 19 4 2 2" xfId="43542" xr:uid="{00000000-0005-0000-0000-00009FAA0000}"/>
    <cellStyle name="Percent 19 4 3" xfId="43543" xr:uid="{00000000-0005-0000-0000-0000A0AA0000}"/>
    <cellStyle name="Percent 2" xfId="38" xr:uid="{00000000-0005-0000-0000-0000A1AA0000}"/>
    <cellStyle name="Percent 2 2" xfId="43545" xr:uid="{00000000-0005-0000-0000-0000A2AA0000}"/>
    <cellStyle name="Percent 2 2 2" xfId="43546" xr:uid="{00000000-0005-0000-0000-0000A3AA0000}"/>
    <cellStyle name="Percent 2 2 3" xfId="43547" xr:uid="{00000000-0005-0000-0000-0000A4AA0000}"/>
    <cellStyle name="Percent 2 2 3 2" xfId="43548" xr:uid="{00000000-0005-0000-0000-0000A5AA0000}"/>
    <cellStyle name="Percent 2 2 3 2 2" xfId="43549" xr:uid="{00000000-0005-0000-0000-0000A6AA0000}"/>
    <cellStyle name="Percent 2 2 3 3" xfId="43550" xr:uid="{00000000-0005-0000-0000-0000A7AA0000}"/>
    <cellStyle name="Percent 2 2 4" xfId="43551" xr:uid="{00000000-0005-0000-0000-0000A8AA0000}"/>
    <cellStyle name="Percent 2 2 4 2" xfId="43552" xr:uid="{00000000-0005-0000-0000-0000A9AA0000}"/>
    <cellStyle name="Percent 2 2 4 2 2" xfId="43553" xr:uid="{00000000-0005-0000-0000-0000AAAA0000}"/>
    <cellStyle name="Percent 2 2 4 3" xfId="43554" xr:uid="{00000000-0005-0000-0000-0000ABAA0000}"/>
    <cellStyle name="Percent 2 3" xfId="43555" xr:uid="{00000000-0005-0000-0000-0000ACAA0000}"/>
    <cellStyle name="Percent 2 4" xfId="43556" xr:uid="{00000000-0005-0000-0000-0000ADAA0000}"/>
    <cellStyle name="Percent 2 4 2" xfId="43557" xr:uid="{00000000-0005-0000-0000-0000AEAA0000}"/>
    <cellStyle name="Percent 2 4 2 2" xfId="43558" xr:uid="{00000000-0005-0000-0000-0000AFAA0000}"/>
    <cellStyle name="Percent 2 4 3" xfId="43559" xr:uid="{00000000-0005-0000-0000-0000B0AA0000}"/>
    <cellStyle name="Percent 2 5" xfId="43560" xr:uid="{00000000-0005-0000-0000-0000B1AA0000}"/>
    <cellStyle name="Percent 2 5 2" xfId="43561" xr:uid="{00000000-0005-0000-0000-0000B2AA0000}"/>
    <cellStyle name="Percent 2 5 2 2" xfId="43562" xr:uid="{00000000-0005-0000-0000-0000B3AA0000}"/>
    <cellStyle name="Percent 2 5 3" xfId="43563" xr:uid="{00000000-0005-0000-0000-0000B4AA0000}"/>
    <cellStyle name="Percent 2 6" xfId="43544" xr:uid="{00000000-0005-0000-0000-0000B5AA0000}"/>
    <cellStyle name="Percent 20" xfId="43564" xr:uid="{00000000-0005-0000-0000-0000B6AA0000}"/>
    <cellStyle name="Percent 20 2" xfId="43565" xr:uid="{00000000-0005-0000-0000-0000B7AA0000}"/>
    <cellStyle name="Percent 20 3" xfId="43566" xr:uid="{00000000-0005-0000-0000-0000B8AA0000}"/>
    <cellStyle name="Percent 20 3 2" xfId="43567" xr:uid="{00000000-0005-0000-0000-0000B9AA0000}"/>
    <cellStyle name="Percent 20 3 2 2" xfId="43568" xr:uid="{00000000-0005-0000-0000-0000BAAA0000}"/>
    <cellStyle name="Percent 20 3 3" xfId="43569" xr:uid="{00000000-0005-0000-0000-0000BBAA0000}"/>
    <cellStyle name="Percent 20 4" xfId="43570" xr:uid="{00000000-0005-0000-0000-0000BCAA0000}"/>
    <cellStyle name="Percent 20 4 2" xfId="43571" xr:uid="{00000000-0005-0000-0000-0000BDAA0000}"/>
    <cellStyle name="Percent 20 4 2 2" xfId="43572" xr:uid="{00000000-0005-0000-0000-0000BEAA0000}"/>
    <cellStyle name="Percent 20 4 3" xfId="43573" xr:uid="{00000000-0005-0000-0000-0000BFAA0000}"/>
    <cellStyle name="Percent 21" xfId="43574" xr:uid="{00000000-0005-0000-0000-0000C0AA0000}"/>
    <cellStyle name="Percent 21 2" xfId="43575" xr:uid="{00000000-0005-0000-0000-0000C1AA0000}"/>
    <cellStyle name="Percent 21 3" xfId="43576" xr:uid="{00000000-0005-0000-0000-0000C2AA0000}"/>
    <cellStyle name="Percent 21 3 2" xfId="43577" xr:uid="{00000000-0005-0000-0000-0000C3AA0000}"/>
    <cellStyle name="Percent 21 3 2 2" xfId="43578" xr:uid="{00000000-0005-0000-0000-0000C4AA0000}"/>
    <cellStyle name="Percent 21 3 3" xfId="43579" xr:uid="{00000000-0005-0000-0000-0000C5AA0000}"/>
    <cellStyle name="Percent 21 4" xfId="43580" xr:uid="{00000000-0005-0000-0000-0000C6AA0000}"/>
    <cellStyle name="Percent 21 4 2" xfId="43581" xr:uid="{00000000-0005-0000-0000-0000C7AA0000}"/>
    <cellStyle name="Percent 21 4 2 2" xfId="43582" xr:uid="{00000000-0005-0000-0000-0000C8AA0000}"/>
    <cellStyle name="Percent 21 4 3" xfId="43583" xr:uid="{00000000-0005-0000-0000-0000C9AA0000}"/>
    <cellStyle name="Percent 22" xfId="43584" xr:uid="{00000000-0005-0000-0000-0000CAAA0000}"/>
    <cellStyle name="Percent 22 2" xfId="43585" xr:uid="{00000000-0005-0000-0000-0000CBAA0000}"/>
    <cellStyle name="Percent 22 3" xfId="43586" xr:uid="{00000000-0005-0000-0000-0000CCAA0000}"/>
    <cellStyle name="Percent 22 3 2" xfId="43587" xr:uid="{00000000-0005-0000-0000-0000CDAA0000}"/>
    <cellStyle name="Percent 22 3 2 2" xfId="43588" xr:uid="{00000000-0005-0000-0000-0000CEAA0000}"/>
    <cellStyle name="Percent 22 3 3" xfId="43589" xr:uid="{00000000-0005-0000-0000-0000CFAA0000}"/>
    <cellStyle name="Percent 22 4" xfId="43590" xr:uid="{00000000-0005-0000-0000-0000D0AA0000}"/>
    <cellStyle name="Percent 22 4 2" xfId="43591" xr:uid="{00000000-0005-0000-0000-0000D1AA0000}"/>
    <cellStyle name="Percent 22 4 2 2" xfId="43592" xr:uid="{00000000-0005-0000-0000-0000D2AA0000}"/>
    <cellStyle name="Percent 22 4 3" xfId="43593" xr:uid="{00000000-0005-0000-0000-0000D3AA0000}"/>
    <cellStyle name="Percent 23" xfId="43594" xr:uid="{00000000-0005-0000-0000-0000D4AA0000}"/>
    <cellStyle name="Percent 23 2" xfId="43595" xr:uid="{00000000-0005-0000-0000-0000D5AA0000}"/>
    <cellStyle name="Percent 23 3" xfId="43596" xr:uid="{00000000-0005-0000-0000-0000D6AA0000}"/>
    <cellStyle name="Percent 23 3 2" xfId="43597" xr:uid="{00000000-0005-0000-0000-0000D7AA0000}"/>
    <cellStyle name="Percent 23 3 2 2" xfId="43598" xr:uid="{00000000-0005-0000-0000-0000D8AA0000}"/>
    <cellStyle name="Percent 23 3 3" xfId="43599" xr:uid="{00000000-0005-0000-0000-0000D9AA0000}"/>
    <cellStyle name="Percent 23 4" xfId="43600" xr:uid="{00000000-0005-0000-0000-0000DAAA0000}"/>
    <cellStyle name="Percent 23 4 2" xfId="43601" xr:uid="{00000000-0005-0000-0000-0000DBAA0000}"/>
    <cellStyle name="Percent 23 4 2 2" xfId="43602" xr:uid="{00000000-0005-0000-0000-0000DCAA0000}"/>
    <cellStyle name="Percent 23 4 3" xfId="43603" xr:uid="{00000000-0005-0000-0000-0000DDAA0000}"/>
    <cellStyle name="Percent 24" xfId="43604" xr:uid="{00000000-0005-0000-0000-0000DEAA0000}"/>
    <cellStyle name="Percent 24 2" xfId="43605" xr:uid="{00000000-0005-0000-0000-0000DFAA0000}"/>
    <cellStyle name="Percent 24 3" xfId="43606" xr:uid="{00000000-0005-0000-0000-0000E0AA0000}"/>
    <cellStyle name="Percent 24 3 2" xfId="43607" xr:uid="{00000000-0005-0000-0000-0000E1AA0000}"/>
    <cellStyle name="Percent 24 3 2 2" xfId="43608" xr:uid="{00000000-0005-0000-0000-0000E2AA0000}"/>
    <cellStyle name="Percent 24 3 3" xfId="43609" xr:uid="{00000000-0005-0000-0000-0000E3AA0000}"/>
    <cellStyle name="Percent 24 4" xfId="43610" xr:uid="{00000000-0005-0000-0000-0000E4AA0000}"/>
    <cellStyle name="Percent 24 4 2" xfId="43611" xr:uid="{00000000-0005-0000-0000-0000E5AA0000}"/>
    <cellStyle name="Percent 24 4 2 2" xfId="43612" xr:uid="{00000000-0005-0000-0000-0000E6AA0000}"/>
    <cellStyle name="Percent 24 4 3" xfId="43613" xr:uid="{00000000-0005-0000-0000-0000E7AA0000}"/>
    <cellStyle name="Percent 25" xfId="43614" xr:uid="{00000000-0005-0000-0000-0000E8AA0000}"/>
    <cellStyle name="Percent 25 2" xfId="43615" xr:uid="{00000000-0005-0000-0000-0000E9AA0000}"/>
    <cellStyle name="Percent 25 3" xfId="43616" xr:uid="{00000000-0005-0000-0000-0000EAAA0000}"/>
    <cellStyle name="Percent 25 3 2" xfId="43617" xr:uid="{00000000-0005-0000-0000-0000EBAA0000}"/>
    <cellStyle name="Percent 25 3 2 2" xfId="43618" xr:uid="{00000000-0005-0000-0000-0000ECAA0000}"/>
    <cellStyle name="Percent 25 3 3" xfId="43619" xr:uid="{00000000-0005-0000-0000-0000EDAA0000}"/>
    <cellStyle name="Percent 25 4" xfId="43620" xr:uid="{00000000-0005-0000-0000-0000EEAA0000}"/>
    <cellStyle name="Percent 25 4 2" xfId="43621" xr:uid="{00000000-0005-0000-0000-0000EFAA0000}"/>
    <cellStyle name="Percent 25 4 2 2" xfId="43622" xr:uid="{00000000-0005-0000-0000-0000F0AA0000}"/>
    <cellStyle name="Percent 25 4 3" xfId="43623" xr:uid="{00000000-0005-0000-0000-0000F1AA0000}"/>
    <cellStyle name="Percent 26" xfId="43624" xr:uid="{00000000-0005-0000-0000-0000F2AA0000}"/>
    <cellStyle name="Percent 26 2" xfId="43625" xr:uid="{00000000-0005-0000-0000-0000F3AA0000}"/>
    <cellStyle name="Percent 26 3" xfId="43626" xr:uid="{00000000-0005-0000-0000-0000F4AA0000}"/>
    <cellStyle name="Percent 26 3 2" xfId="43627" xr:uid="{00000000-0005-0000-0000-0000F5AA0000}"/>
    <cellStyle name="Percent 26 3 2 2" xfId="43628" xr:uid="{00000000-0005-0000-0000-0000F6AA0000}"/>
    <cellStyle name="Percent 26 3 3" xfId="43629" xr:uid="{00000000-0005-0000-0000-0000F7AA0000}"/>
    <cellStyle name="Percent 26 4" xfId="43630" xr:uid="{00000000-0005-0000-0000-0000F8AA0000}"/>
    <cellStyle name="Percent 26 4 2" xfId="43631" xr:uid="{00000000-0005-0000-0000-0000F9AA0000}"/>
    <cellStyle name="Percent 26 4 2 2" xfId="43632" xr:uid="{00000000-0005-0000-0000-0000FAAA0000}"/>
    <cellStyle name="Percent 26 4 3" xfId="43633" xr:uid="{00000000-0005-0000-0000-0000FBAA0000}"/>
    <cellStyle name="Percent 27" xfId="43634" xr:uid="{00000000-0005-0000-0000-0000FCAA0000}"/>
    <cellStyle name="Percent 27 2" xfId="43635" xr:uid="{00000000-0005-0000-0000-0000FDAA0000}"/>
    <cellStyle name="Percent 27 3" xfId="43636" xr:uid="{00000000-0005-0000-0000-0000FEAA0000}"/>
    <cellStyle name="Percent 27 3 2" xfId="43637" xr:uid="{00000000-0005-0000-0000-0000FFAA0000}"/>
    <cellStyle name="Percent 27 3 2 2" xfId="43638" xr:uid="{00000000-0005-0000-0000-000000AB0000}"/>
    <cellStyle name="Percent 27 3 3" xfId="43639" xr:uid="{00000000-0005-0000-0000-000001AB0000}"/>
    <cellStyle name="Percent 27 4" xfId="43640" xr:uid="{00000000-0005-0000-0000-000002AB0000}"/>
    <cellStyle name="Percent 27 4 2" xfId="43641" xr:uid="{00000000-0005-0000-0000-000003AB0000}"/>
    <cellStyle name="Percent 27 4 2 2" xfId="43642" xr:uid="{00000000-0005-0000-0000-000004AB0000}"/>
    <cellStyle name="Percent 27 4 3" xfId="43643" xr:uid="{00000000-0005-0000-0000-000005AB0000}"/>
    <cellStyle name="Percent 28" xfId="43644" xr:uid="{00000000-0005-0000-0000-000006AB0000}"/>
    <cellStyle name="Percent 28 2" xfId="43645" xr:uid="{00000000-0005-0000-0000-000007AB0000}"/>
    <cellStyle name="Percent 28 3" xfId="43646" xr:uid="{00000000-0005-0000-0000-000008AB0000}"/>
    <cellStyle name="Percent 28 3 2" xfId="43647" xr:uid="{00000000-0005-0000-0000-000009AB0000}"/>
    <cellStyle name="Percent 28 3 2 2" xfId="43648" xr:uid="{00000000-0005-0000-0000-00000AAB0000}"/>
    <cellStyle name="Percent 28 3 3" xfId="43649" xr:uid="{00000000-0005-0000-0000-00000BAB0000}"/>
    <cellStyle name="Percent 28 4" xfId="43650" xr:uid="{00000000-0005-0000-0000-00000CAB0000}"/>
    <cellStyle name="Percent 28 4 2" xfId="43651" xr:uid="{00000000-0005-0000-0000-00000DAB0000}"/>
    <cellStyle name="Percent 28 4 2 2" xfId="43652" xr:uid="{00000000-0005-0000-0000-00000EAB0000}"/>
    <cellStyle name="Percent 28 4 3" xfId="43653" xr:uid="{00000000-0005-0000-0000-00000FAB0000}"/>
    <cellStyle name="Percent 29" xfId="43654" xr:uid="{00000000-0005-0000-0000-000010AB0000}"/>
    <cellStyle name="Percent 29 2" xfId="43655" xr:uid="{00000000-0005-0000-0000-000011AB0000}"/>
    <cellStyle name="Percent 29 3" xfId="43656" xr:uid="{00000000-0005-0000-0000-000012AB0000}"/>
    <cellStyle name="Percent 29 3 2" xfId="43657" xr:uid="{00000000-0005-0000-0000-000013AB0000}"/>
    <cellStyle name="Percent 29 3 2 2" xfId="43658" xr:uid="{00000000-0005-0000-0000-000014AB0000}"/>
    <cellStyle name="Percent 29 3 3" xfId="43659" xr:uid="{00000000-0005-0000-0000-000015AB0000}"/>
    <cellStyle name="Percent 29 4" xfId="43660" xr:uid="{00000000-0005-0000-0000-000016AB0000}"/>
    <cellStyle name="Percent 29 4 2" xfId="43661" xr:uid="{00000000-0005-0000-0000-000017AB0000}"/>
    <cellStyle name="Percent 29 4 2 2" xfId="43662" xr:uid="{00000000-0005-0000-0000-000018AB0000}"/>
    <cellStyle name="Percent 29 4 3" xfId="43663" xr:uid="{00000000-0005-0000-0000-000019AB0000}"/>
    <cellStyle name="Percent 3" xfId="39" xr:uid="{00000000-0005-0000-0000-00001AAB0000}"/>
    <cellStyle name="Percent 3 2" xfId="106" xr:uid="{00000000-0005-0000-0000-00001BAB0000}"/>
    <cellStyle name="Percent 3 2 2" xfId="43665" xr:uid="{00000000-0005-0000-0000-00001CAB0000}"/>
    <cellStyle name="Percent 3 2 3" xfId="43666" xr:uid="{00000000-0005-0000-0000-00001DAB0000}"/>
    <cellStyle name="Percent 3 2 3 2" xfId="43667" xr:uid="{00000000-0005-0000-0000-00001EAB0000}"/>
    <cellStyle name="Percent 3 2 3 2 2" xfId="43668" xr:uid="{00000000-0005-0000-0000-00001FAB0000}"/>
    <cellStyle name="Percent 3 2 3 3" xfId="43669" xr:uid="{00000000-0005-0000-0000-000020AB0000}"/>
    <cellStyle name="Percent 3 2 4" xfId="43670" xr:uid="{00000000-0005-0000-0000-000021AB0000}"/>
    <cellStyle name="Percent 3 2 4 2" xfId="43671" xr:uid="{00000000-0005-0000-0000-000022AB0000}"/>
    <cellStyle name="Percent 3 2 4 2 2" xfId="43672" xr:uid="{00000000-0005-0000-0000-000023AB0000}"/>
    <cellStyle name="Percent 3 2 4 3" xfId="43673" xr:uid="{00000000-0005-0000-0000-000024AB0000}"/>
    <cellStyle name="Percent 3 3" xfId="134" xr:uid="{00000000-0005-0000-0000-000025AB0000}"/>
    <cellStyle name="Percent 3 3 2" xfId="43675" xr:uid="{00000000-0005-0000-0000-000026AB0000}"/>
    <cellStyle name="Percent 3 3 2 2" xfId="43676" xr:uid="{00000000-0005-0000-0000-000027AB0000}"/>
    <cellStyle name="Percent 3 3 3" xfId="43677" xr:uid="{00000000-0005-0000-0000-000028AB0000}"/>
    <cellStyle name="Percent 3 3 3 2" xfId="43678" xr:uid="{00000000-0005-0000-0000-000029AB0000}"/>
    <cellStyle name="Percent 3 3 3 2 2" xfId="43679" xr:uid="{00000000-0005-0000-0000-00002AAB0000}"/>
    <cellStyle name="Percent 3 3 3 3" xfId="43680" xr:uid="{00000000-0005-0000-0000-00002BAB0000}"/>
    <cellStyle name="Percent 3 3 4" xfId="43681" xr:uid="{00000000-0005-0000-0000-00002CAB0000}"/>
    <cellStyle name="Percent 3 3 4 2" xfId="43682" xr:uid="{00000000-0005-0000-0000-00002DAB0000}"/>
    <cellStyle name="Percent 3 3 4 2 2" xfId="43683" xr:uid="{00000000-0005-0000-0000-00002EAB0000}"/>
    <cellStyle name="Percent 3 3 4 3" xfId="43684" xr:uid="{00000000-0005-0000-0000-00002FAB0000}"/>
    <cellStyle name="Percent 3 3 5" xfId="43685" xr:uid="{00000000-0005-0000-0000-000030AB0000}"/>
    <cellStyle name="Percent 3 3 6" xfId="43674" xr:uid="{00000000-0005-0000-0000-000031AB0000}"/>
    <cellStyle name="Percent 3 4" xfId="43686" xr:uid="{00000000-0005-0000-0000-000032AB0000}"/>
    <cellStyle name="Percent 3 5" xfId="43687" xr:uid="{00000000-0005-0000-0000-000033AB0000}"/>
    <cellStyle name="Percent 3 5 2" xfId="43688" xr:uid="{00000000-0005-0000-0000-000034AB0000}"/>
    <cellStyle name="Percent 3 5 2 2" xfId="43689" xr:uid="{00000000-0005-0000-0000-000035AB0000}"/>
    <cellStyle name="Percent 3 5 3" xfId="43690" xr:uid="{00000000-0005-0000-0000-000036AB0000}"/>
    <cellStyle name="Percent 3 6" xfId="43691" xr:uid="{00000000-0005-0000-0000-000037AB0000}"/>
    <cellStyle name="Percent 3 6 2" xfId="43692" xr:uid="{00000000-0005-0000-0000-000038AB0000}"/>
    <cellStyle name="Percent 3 6 2 2" xfId="43693" xr:uid="{00000000-0005-0000-0000-000039AB0000}"/>
    <cellStyle name="Percent 3 6 3" xfId="43694" xr:uid="{00000000-0005-0000-0000-00003AAB0000}"/>
    <cellStyle name="Percent 3 7" xfId="43664" xr:uid="{00000000-0005-0000-0000-00003BAB0000}"/>
    <cellStyle name="Percent 30" xfId="43695" xr:uid="{00000000-0005-0000-0000-00003CAB0000}"/>
    <cellStyle name="Percent 30 2" xfId="43696" xr:uid="{00000000-0005-0000-0000-00003DAB0000}"/>
    <cellStyle name="Percent 30 3" xfId="43697" xr:uid="{00000000-0005-0000-0000-00003EAB0000}"/>
    <cellStyle name="Percent 30 3 2" xfId="43698" xr:uid="{00000000-0005-0000-0000-00003FAB0000}"/>
    <cellStyle name="Percent 30 3 2 2" xfId="43699" xr:uid="{00000000-0005-0000-0000-000040AB0000}"/>
    <cellStyle name="Percent 30 3 3" xfId="43700" xr:uid="{00000000-0005-0000-0000-000041AB0000}"/>
    <cellStyle name="Percent 30 4" xfId="43701" xr:uid="{00000000-0005-0000-0000-000042AB0000}"/>
    <cellStyle name="Percent 30 4 2" xfId="43702" xr:uid="{00000000-0005-0000-0000-000043AB0000}"/>
    <cellStyle name="Percent 30 4 2 2" xfId="43703" xr:uid="{00000000-0005-0000-0000-000044AB0000}"/>
    <cellStyle name="Percent 30 4 3" xfId="43704" xr:uid="{00000000-0005-0000-0000-000045AB0000}"/>
    <cellStyle name="Percent 31" xfId="43705" xr:uid="{00000000-0005-0000-0000-000046AB0000}"/>
    <cellStyle name="Percent 31 2" xfId="43706" xr:uid="{00000000-0005-0000-0000-000047AB0000}"/>
    <cellStyle name="Percent 31 3" xfId="43707" xr:uid="{00000000-0005-0000-0000-000048AB0000}"/>
    <cellStyle name="Percent 31 3 2" xfId="43708" xr:uid="{00000000-0005-0000-0000-000049AB0000}"/>
    <cellStyle name="Percent 31 3 2 2" xfId="43709" xr:uid="{00000000-0005-0000-0000-00004AAB0000}"/>
    <cellStyle name="Percent 31 3 3" xfId="43710" xr:uid="{00000000-0005-0000-0000-00004BAB0000}"/>
    <cellStyle name="Percent 31 4" xfId="43711" xr:uid="{00000000-0005-0000-0000-00004CAB0000}"/>
    <cellStyle name="Percent 31 4 2" xfId="43712" xr:uid="{00000000-0005-0000-0000-00004DAB0000}"/>
    <cellStyle name="Percent 31 4 2 2" xfId="43713" xr:uid="{00000000-0005-0000-0000-00004EAB0000}"/>
    <cellStyle name="Percent 31 4 3" xfId="43714" xr:uid="{00000000-0005-0000-0000-00004FAB0000}"/>
    <cellStyle name="Percent 32" xfId="43715" xr:uid="{00000000-0005-0000-0000-000050AB0000}"/>
    <cellStyle name="Percent 32 2" xfId="43716" xr:uid="{00000000-0005-0000-0000-000051AB0000}"/>
    <cellStyle name="Percent 32 3" xfId="43717" xr:uid="{00000000-0005-0000-0000-000052AB0000}"/>
    <cellStyle name="Percent 32 3 2" xfId="43718" xr:uid="{00000000-0005-0000-0000-000053AB0000}"/>
    <cellStyle name="Percent 32 3 2 2" xfId="43719" xr:uid="{00000000-0005-0000-0000-000054AB0000}"/>
    <cellStyle name="Percent 32 3 3" xfId="43720" xr:uid="{00000000-0005-0000-0000-000055AB0000}"/>
    <cellStyle name="Percent 32 4" xfId="43721" xr:uid="{00000000-0005-0000-0000-000056AB0000}"/>
    <cellStyle name="Percent 32 4 2" xfId="43722" xr:uid="{00000000-0005-0000-0000-000057AB0000}"/>
    <cellStyle name="Percent 32 4 2 2" xfId="43723" xr:uid="{00000000-0005-0000-0000-000058AB0000}"/>
    <cellStyle name="Percent 32 4 3" xfId="43724" xr:uid="{00000000-0005-0000-0000-000059AB0000}"/>
    <cellStyle name="Percent 33" xfId="43725" xr:uid="{00000000-0005-0000-0000-00005AAB0000}"/>
    <cellStyle name="Percent 33 2" xfId="43726" xr:uid="{00000000-0005-0000-0000-00005BAB0000}"/>
    <cellStyle name="Percent 33 3" xfId="43727" xr:uid="{00000000-0005-0000-0000-00005CAB0000}"/>
    <cellStyle name="Percent 33 3 2" xfId="43728" xr:uid="{00000000-0005-0000-0000-00005DAB0000}"/>
    <cellStyle name="Percent 33 3 2 2" xfId="43729" xr:uid="{00000000-0005-0000-0000-00005EAB0000}"/>
    <cellStyle name="Percent 33 3 3" xfId="43730" xr:uid="{00000000-0005-0000-0000-00005FAB0000}"/>
    <cellStyle name="Percent 33 4" xfId="43731" xr:uid="{00000000-0005-0000-0000-000060AB0000}"/>
    <cellStyle name="Percent 33 4 2" xfId="43732" xr:uid="{00000000-0005-0000-0000-000061AB0000}"/>
    <cellStyle name="Percent 33 4 2 2" xfId="43733" xr:uid="{00000000-0005-0000-0000-000062AB0000}"/>
    <cellStyle name="Percent 33 4 3" xfId="43734" xr:uid="{00000000-0005-0000-0000-000063AB0000}"/>
    <cellStyle name="Percent 34" xfId="43735" xr:uid="{00000000-0005-0000-0000-000064AB0000}"/>
    <cellStyle name="Percent 34 2" xfId="43736" xr:uid="{00000000-0005-0000-0000-000065AB0000}"/>
    <cellStyle name="Percent 34 3" xfId="43737" xr:uid="{00000000-0005-0000-0000-000066AB0000}"/>
    <cellStyle name="Percent 34 3 2" xfId="43738" xr:uid="{00000000-0005-0000-0000-000067AB0000}"/>
    <cellStyle name="Percent 34 3 2 2" xfId="43739" xr:uid="{00000000-0005-0000-0000-000068AB0000}"/>
    <cellStyle name="Percent 34 3 3" xfId="43740" xr:uid="{00000000-0005-0000-0000-000069AB0000}"/>
    <cellStyle name="Percent 34 4" xfId="43741" xr:uid="{00000000-0005-0000-0000-00006AAB0000}"/>
    <cellStyle name="Percent 34 4 2" xfId="43742" xr:uid="{00000000-0005-0000-0000-00006BAB0000}"/>
    <cellStyle name="Percent 34 4 2 2" xfId="43743" xr:uid="{00000000-0005-0000-0000-00006CAB0000}"/>
    <cellStyle name="Percent 34 4 3" xfId="43744" xr:uid="{00000000-0005-0000-0000-00006DAB0000}"/>
    <cellStyle name="Percent 35" xfId="43745" xr:uid="{00000000-0005-0000-0000-00006EAB0000}"/>
    <cellStyle name="Percent 35 2" xfId="43746" xr:uid="{00000000-0005-0000-0000-00006FAB0000}"/>
    <cellStyle name="Percent 35 3" xfId="43747" xr:uid="{00000000-0005-0000-0000-000070AB0000}"/>
    <cellStyle name="Percent 35 3 2" xfId="43748" xr:uid="{00000000-0005-0000-0000-000071AB0000}"/>
    <cellStyle name="Percent 35 3 2 2" xfId="43749" xr:uid="{00000000-0005-0000-0000-000072AB0000}"/>
    <cellStyle name="Percent 35 3 3" xfId="43750" xr:uid="{00000000-0005-0000-0000-000073AB0000}"/>
    <cellStyle name="Percent 35 4" xfId="43751" xr:uid="{00000000-0005-0000-0000-000074AB0000}"/>
    <cellStyle name="Percent 35 4 2" xfId="43752" xr:uid="{00000000-0005-0000-0000-000075AB0000}"/>
    <cellStyle name="Percent 35 4 2 2" xfId="43753" xr:uid="{00000000-0005-0000-0000-000076AB0000}"/>
    <cellStyle name="Percent 35 4 3" xfId="43754" xr:uid="{00000000-0005-0000-0000-000077AB0000}"/>
    <cellStyle name="Percent 36" xfId="43755" xr:uid="{00000000-0005-0000-0000-000078AB0000}"/>
    <cellStyle name="Percent 36 2" xfId="43756" xr:uid="{00000000-0005-0000-0000-000079AB0000}"/>
    <cellStyle name="Percent 36 3" xfId="43757" xr:uid="{00000000-0005-0000-0000-00007AAB0000}"/>
    <cellStyle name="Percent 36 3 2" xfId="43758" xr:uid="{00000000-0005-0000-0000-00007BAB0000}"/>
    <cellStyle name="Percent 36 3 2 2" xfId="43759" xr:uid="{00000000-0005-0000-0000-00007CAB0000}"/>
    <cellStyle name="Percent 36 3 3" xfId="43760" xr:uid="{00000000-0005-0000-0000-00007DAB0000}"/>
    <cellStyle name="Percent 36 4" xfId="43761" xr:uid="{00000000-0005-0000-0000-00007EAB0000}"/>
    <cellStyle name="Percent 36 4 2" xfId="43762" xr:uid="{00000000-0005-0000-0000-00007FAB0000}"/>
    <cellStyle name="Percent 36 4 2 2" xfId="43763" xr:uid="{00000000-0005-0000-0000-000080AB0000}"/>
    <cellStyle name="Percent 36 4 3" xfId="43764" xr:uid="{00000000-0005-0000-0000-000081AB0000}"/>
    <cellStyle name="Percent 37" xfId="43765" xr:uid="{00000000-0005-0000-0000-000082AB0000}"/>
    <cellStyle name="Percent 37 2" xfId="43766" xr:uid="{00000000-0005-0000-0000-000083AB0000}"/>
    <cellStyle name="Percent 37 3" xfId="43767" xr:uid="{00000000-0005-0000-0000-000084AB0000}"/>
    <cellStyle name="Percent 37 3 2" xfId="43768" xr:uid="{00000000-0005-0000-0000-000085AB0000}"/>
    <cellStyle name="Percent 37 3 2 2" xfId="43769" xr:uid="{00000000-0005-0000-0000-000086AB0000}"/>
    <cellStyle name="Percent 37 3 3" xfId="43770" xr:uid="{00000000-0005-0000-0000-000087AB0000}"/>
    <cellStyle name="Percent 37 4" xfId="43771" xr:uid="{00000000-0005-0000-0000-000088AB0000}"/>
    <cellStyle name="Percent 37 4 2" xfId="43772" xr:uid="{00000000-0005-0000-0000-000089AB0000}"/>
    <cellStyle name="Percent 37 4 2 2" xfId="43773" xr:uid="{00000000-0005-0000-0000-00008AAB0000}"/>
    <cellStyle name="Percent 37 4 3" xfId="43774" xr:uid="{00000000-0005-0000-0000-00008BAB0000}"/>
    <cellStyle name="Percent 38" xfId="43775" xr:uid="{00000000-0005-0000-0000-00008CAB0000}"/>
    <cellStyle name="Percent 38 2" xfId="43776" xr:uid="{00000000-0005-0000-0000-00008DAB0000}"/>
    <cellStyle name="Percent 38 3" xfId="43777" xr:uid="{00000000-0005-0000-0000-00008EAB0000}"/>
    <cellStyle name="Percent 38 3 2" xfId="43778" xr:uid="{00000000-0005-0000-0000-00008FAB0000}"/>
    <cellStyle name="Percent 38 3 2 2" xfId="43779" xr:uid="{00000000-0005-0000-0000-000090AB0000}"/>
    <cellStyle name="Percent 38 3 3" xfId="43780" xr:uid="{00000000-0005-0000-0000-000091AB0000}"/>
    <cellStyle name="Percent 38 4" xfId="43781" xr:uid="{00000000-0005-0000-0000-000092AB0000}"/>
    <cellStyle name="Percent 38 4 2" xfId="43782" xr:uid="{00000000-0005-0000-0000-000093AB0000}"/>
    <cellStyle name="Percent 38 4 2 2" xfId="43783" xr:uid="{00000000-0005-0000-0000-000094AB0000}"/>
    <cellStyle name="Percent 38 4 3" xfId="43784" xr:uid="{00000000-0005-0000-0000-000095AB0000}"/>
    <cellStyle name="Percent 39" xfId="43785" xr:uid="{00000000-0005-0000-0000-000096AB0000}"/>
    <cellStyle name="Percent 39 2" xfId="43786" xr:uid="{00000000-0005-0000-0000-000097AB0000}"/>
    <cellStyle name="Percent 39 3" xfId="43787" xr:uid="{00000000-0005-0000-0000-000098AB0000}"/>
    <cellStyle name="Percent 39 3 2" xfId="43788" xr:uid="{00000000-0005-0000-0000-000099AB0000}"/>
    <cellStyle name="Percent 39 3 2 2" xfId="43789" xr:uid="{00000000-0005-0000-0000-00009AAB0000}"/>
    <cellStyle name="Percent 39 3 3" xfId="43790" xr:uid="{00000000-0005-0000-0000-00009BAB0000}"/>
    <cellStyle name="Percent 39 4" xfId="43791" xr:uid="{00000000-0005-0000-0000-00009CAB0000}"/>
    <cellStyle name="Percent 39 4 2" xfId="43792" xr:uid="{00000000-0005-0000-0000-00009DAB0000}"/>
    <cellStyle name="Percent 39 4 2 2" xfId="43793" xr:uid="{00000000-0005-0000-0000-00009EAB0000}"/>
    <cellStyle name="Percent 39 4 3" xfId="43794" xr:uid="{00000000-0005-0000-0000-00009FAB0000}"/>
    <cellStyle name="Percent 4" xfId="105" xr:uid="{00000000-0005-0000-0000-0000A0AB0000}"/>
    <cellStyle name="Percent 4 2" xfId="43796" xr:uid="{00000000-0005-0000-0000-0000A1AB0000}"/>
    <cellStyle name="Percent 4 2 2" xfId="43797" xr:uid="{00000000-0005-0000-0000-0000A2AB0000}"/>
    <cellStyle name="Percent 4 2 3" xfId="43798" xr:uid="{00000000-0005-0000-0000-0000A3AB0000}"/>
    <cellStyle name="Percent 4 2 3 2" xfId="43799" xr:uid="{00000000-0005-0000-0000-0000A4AB0000}"/>
    <cellStyle name="Percent 4 2 3 2 2" xfId="43800" xr:uid="{00000000-0005-0000-0000-0000A5AB0000}"/>
    <cellStyle name="Percent 4 2 3 3" xfId="43801" xr:uid="{00000000-0005-0000-0000-0000A6AB0000}"/>
    <cellStyle name="Percent 4 2 4" xfId="43802" xr:uid="{00000000-0005-0000-0000-0000A7AB0000}"/>
    <cellStyle name="Percent 4 2 4 2" xfId="43803" xr:uid="{00000000-0005-0000-0000-0000A8AB0000}"/>
    <cellStyle name="Percent 4 2 4 2 2" xfId="43804" xr:uid="{00000000-0005-0000-0000-0000A9AB0000}"/>
    <cellStyle name="Percent 4 2 4 3" xfId="43805" xr:uid="{00000000-0005-0000-0000-0000AAAB0000}"/>
    <cellStyle name="Percent 4 3" xfId="43806" xr:uid="{00000000-0005-0000-0000-0000ABAB0000}"/>
    <cellStyle name="Percent 4 3 2" xfId="43807" xr:uid="{00000000-0005-0000-0000-0000ACAB0000}"/>
    <cellStyle name="Percent 4 3 3" xfId="43808" xr:uid="{00000000-0005-0000-0000-0000ADAB0000}"/>
    <cellStyle name="Percent 4 3 3 2" xfId="43809" xr:uid="{00000000-0005-0000-0000-0000AEAB0000}"/>
    <cellStyle name="Percent 4 3 3 2 2" xfId="43810" xr:uid="{00000000-0005-0000-0000-0000AFAB0000}"/>
    <cellStyle name="Percent 4 3 3 3" xfId="43811" xr:uid="{00000000-0005-0000-0000-0000B0AB0000}"/>
    <cellStyle name="Percent 4 3 4" xfId="43812" xr:uid="{00000000-0005-0000-0000-0000B1AB0000}"/>
    <cellStyle name="Percent 4 3 4 2" xfId="43813" xr:uid="{00000000-0005-0000-0000-0000B2AB0000}"/>
    <cellStyle name="Percent 4 3 4 2 2" xfId="43814" xr:uid="{00000000-0005-0000-0000-0000B3AB0000}"/>
    <cellStyle name="Percent 4 3 4 3" xfId="43815" xr:uid="{00000000-0005-0000-0000-0000B4AB0000}"/>
    <cellStyle name="Percent 4 4" xfId="43816" xr:uid="{00000000-0005-0000-0000-0000B5AB0000}"/>
    <cellStyle name="Percent 4 5" xfId="43817" xr:uid="{00000000-0005-0000-0000-0000B6AB0000}"/>
    <cellStyle name="Percent 4 5 2" xfId="43818" xr:uid="{00000000-0005-0000-0000-0000B7AB0000}"/>
    <cellStyle name="Percent 4 5 2 2" xfId="43819" xr:uid="{00000000-0005-0000-0000-0000B8AB0000}"/>
    <cellStyle name="Percent 4 5 3" xfId="43820" xr:uid="{00000000-0005-0000-0000-0000B9AB0000}"/>
    <cellStyle name="Percent 4 6" xfId="43821" xr:uid="{00000000-0005-0000-0000-0000BAAB0000}"/>
    <cellStyle name="Percent 4 6 2" xfId="43822" xr:uid="{00000000-0005-0000-0000-0000BBAB0000}"/>
    <cellStyle name="Percent 4 6 2 2" xfId="43823" xr:uid="{00000000-0005-0000-0000-0000BCAB0000}"/>
    <cellStyle name="Percent 4 6 3" xfId="43824" xr:uid="{00000000-0005-0000-0000-0000BDAB0000}"/>
    <cellStyle name="Percent 4 7" xfId="43795" xr:uid="{00000000-0005-0000-0000-0000BEAB0000}"/>
    <cellStyle name="Percent 40" xfId="43825" xr:uid="{00000000-0005-0000-0000-0000BFAB0000}"/>
    <cellStyle name="Percent 40 2" xfId="43826" xr:uid="{00000000-0005-0000-0000-0000C0AB0000}"/>
    <cellStyle name="Percent 40 3" xfId="43827" xr:uid="{00000000-0005-0000-0000-0000C1AB0000}"/>
    <cellStyle name="Percent 40 3 2" xfId="43828" xr:uid="{00000000-0005-0000-0000-0000C2AB0000}"/>
    <cellStyle name="Percent 40 3 2 2" xfId="43829" xr:uid="{00000000-0005-0000-0000-0000C3AB0000}"/>
    <cellStyle name="Percent 40 3 3" xfId="43830" xr:uid="{00000000-0005-0000-0000-0000C4AB0000}"/>
    <cellStyle name="Percent 40 4" xfId="43831" xr:uid="{00000000-0005-0000-0000-0000C5AB0000}"/>
    <cellStyle name="Percent 40 4 2" xfId="43832" xr:uid="{00000000-0005-0000-0000-0000C6AB0000}"/>
    <cellStyle name="Percent 40 4 2 2" xfId="43833" xr:uid="{00000000-0005-0000-0000-0000C7AB0000}"/>
    <cellStyle name="Percent 40 4 3" xfId="43834" xr:uid="{00000000-0005-0000-0000-0000C8AB0000}"/>
    <cellStyle name="Percent 41" xfId="43835" xr:uid="{00000000-0005-0000-0000-0000C9AB0000}"/>
    <cellStyle name="Percent 41 2" xfId="43836" xr:uid="{00000000-0005-0000-0000-0000CAAB0000}"/>
    <cellStyle name="Percent 41 3" xfId="43837" xr:uid="{00000000-0005-0000-0000-0000CBAB0000}"/>
    <cellStyle name="Percent 41 3 2" xfId="43838" xr:uid="{00000000-0005-0000-0000-0000CCAB0000}"/>
    <cellStyle name="Percent 41 3 2 2" xfId="43839" xr:uid="{00000000-0005-0000-0000-0000CDAB0000}"/>
    <cellStyle name="Percent 41 3 3" xfId="43840" xr:uid="{00000000-0005-0000-0000-0000CEAB0000}"/>
    <cellStyle name="Percent 41 4" xfId="43841" xr:uid="{00000000-0005-0000-0000-0000CFAB0000}"/>
    <cellStyle name="Percent 41 4 2" xfId="43842" xr:uid="{00000000-0005-0000-0000-0000D0AB0000}"/>
    <cellStyle name="Percent 41 4 2 2" xfId="43843" xr:uid="{00000000-0005-0000-0000-0000D1AB0000}"/>
    <cellStyle name="Percent 41 4 3" xfId="43844" xr:uid="{00000000-0005-0000-0000-0000D2AB0000}"/>
    <cellStyle name="Percent 42" xfId="43845" xr:uid="{00000000-0005-0000-0000-0000D3AB0000}"/>
    <cellStyle name="Percent 42 2" xfId="43846" xr:uid="{00000000-0005-0000-0000-0000D4AB0000}"/>
    <cellStyle name="Percent 42 3" xfId="43847" xr:uid="{00000000-0005-0000-0000-0000D5AB0000}"/>
    <cellStyle name="Percent 42 3 2" xfId="43848" xr:uid="{00000000-0005-0000-0000-0000D6AB0000}"/>
    <cellStyle name="Percent 42 3 2 2" xfId="43849" xr:uid="{00000000-0005-0000-0000-0000D7AB0000}"/>
    <cellStyle name="Percent 42 3 3" xfId="43850" xr:uid="{00000000-0005-0000-0000-0000D8AB0000}"/>
    <cellStyle name="Percent 42 4" xfId="43851" xr:uid="{00000000-0005-0000-0000-0000D9AB0000}"/>
    <cellStyle name="Percent 42 4 2" xfId="43852" xr:uid="{00000000-0005-0000-0000-0000DAAB0000}"/>
    <cellStyle name="Percent 42 4 2 2" xfId="43853" xr:uid="{00000000-0005-0000-0000-0000DBAB0000}"/>
    <cellStyle name="Percent 42 4 3" xfId="43854" xr:uid="{00000000-0005-0000-0000-0000DCAB0000}"/>
    <cellStyle name="Percent 43" xfId="43855" xr:uid="{00000000-0005-0000-0000-0000DDAB0000}"/>
    <cellStyle name="Percent 43 2" xfId="43856" xr:uid="{00000000-0005-0000-0000-0000DEAB0000}"/>
    <cellStyle name="Percent 43 3" xfId="43857" xr:uid="{00000000-0005-0000-0000-0000DFAB0000}"/>
    <cellStyle name="Percent 43 3 2" xfId="43858" xr:uid="{00000000-0005-0000-0000-0000E0AB0000}"/>
    <cellStyle name="Percent 43 3 2 2" xfId="43859" xr:uid="{00000000-0005-0000-0000-0000E1AB0000}"/>
    <cellStyle name="Percent 43 3 3" xfId="43860" xr:uid="{00000000-0005-0000-0000-0000E2AB0000}"/>
    <cellStyle name="Percent 43 4" xfId="43861" xr:uid="{00000000-0005-0000-0000-0000E3AB0000}"/>
    <cellStyle name="Percent 43 4 2" xfId="43862" xr:uid="{00000000-0005-0000-0000-0000E4AB0000}"/>
    <cellStyle name="Percent 43 4 2 2" xfId="43863" xr:uid="{00000000-0005-0000-0000-0000E5AB0000}"/>
    <cellStyle name="Percent 43 4 3" xfId="43864" xr:uid="{00000000-0005-0000-0000-0000E6AB0000}"/>
    <cellStyle name="Percent 44" xfId="43865" xr:uid="{00000000-0005-0000-0000-0000E7AB0000}"/>
    <cellStyle name="Percent 44 2" xfId="43866" xr:uid="{00000000-0005-0000-0000-0000E8AB0000}"/>
    <cellStyle name="Percent 44 3" xfId="43867" xr:uid="{00000000-0005-0000-0000-0000E9AB0000}"/>
    <cellStyle name="Percent 44 3 2" xfId="43868" xr:uid="{00000000-0005-0000-0000-0000EAAB0000}"/>
    <cellStyle name="Percent 44 3 2 2" xfId="43869" xr:uid="{00000000-0005-0000-0000-0000EBAB0000}"/>
    <cellStyle name="Percent 44 3 3" xfId="43870" xr:uid="{00000000-0005-0000-0000-0000ECAB0000}"/>
    <cellStyle name="Percent 44 4" xfId="43871" xr:uid="{00000000-0005-0000-0000-0000EDAB0000}"/>
    <cellStyle name="Percent 44 4 2" xfId="43872" xr:uid="{00000000-0005-0000-0000-0000EEAB0000}"/>
    <cellStyle name="Percent 44 4 2 2" xfId="43873" xr:uid="{00000000-0005-0000-0000-0000EFAB0000}"/>
    <cellStyle name="Percent 44 4 3" xfId="43874" xr:uid="{00000000-0005-0000-0000-0000F0AB0000}"/>
    <cellStyle name="Percent 45" xfId="43875" xr:uid="{00000000-0005-0000-0000-0000F1AB0000}"/>
    <cellStyle name="Percent 45 2" xfId="43876" xr:uid="{00000000-0005-0000-0000-0000F2AB0000}"/>
    <cellStyle name="Percent 45 3" xfId="43877" xr:uid="{00000000-0005-0000-0000-0000F3AB0000}"/>
    <cellStyle name="Percent 45 3 2" xfId="43878" xr:uid="{00000000-0005-0000-0000-0000F4AB0000}"/>
    <cellStyle name="Percent 45 3 2 2" xfId="43879" xr:uid="{00000000-0005-0000-0000-0000F5AB0000}"/>
    <cellStyle name="Percent 45 3 3" xfId="43880" xr:uid="{00000000-0005-0000-0000-0000F6AB0000}"/>
    <cellStyle name="Percent 45 4" xfId="43881" xr:uid="{00000000-0005-0000-0000-0000F7AB0000}"/>
    <cellStyle name="Percent 45 4 2" xfId="43882" xr:uid="{00000000-0005-0000-0000-0000F8AB0000}"/>
    <cellStyle name="Percent 45 4 2 2" xfId="43883" xr:uid="{00000000-0005-0000-0000-0000F9AB0000}"/>
    <cellStyle name="Percent 45 4 3" xfId="43884" xr:uid="{00000000-0005-0000-0000-0000FAAB0000}"/>
    <cellStyle name="Percent 46" xfId="43885" xr:uid="{00000000-0005-0000-0000-0000FBAB0000}"/>
    <cellStyle name="Percent 46 2" xfId="43886" xr:uid="{00000000-0005-0000-0000-0000FCAB0000}"/>
    <cellStyle name="Percent 46 3" xfId="43887" xr:uid="{00000000-0005-0000-0000-0000FDAB0000}"/>
    <cellStyle name="Percent 46 3 2" xfId="43888" xr:uid="{00000000-0005-0000-0000-0000FEAB0000}"/>
    <cellStyle name="Percent 46 3 2 2" xfId="43889" xr:uid="{00000000-0005-0000-0000-0000FFAB0000}"/>
    <cellStyle name="Percent 46 3 3" xfId="43890" xr:uid="{00000000-0005-0000-0000-000000AC0000}"/>
    <cellStyle name="Percent 46 4" xfId="43891" xr:uid="{00000000-0005-0000-0000-000001AC0000}"/>
    <cellStyle name="Percent 46 4 2" xfId="43892" xr:uid="{00000000-0005-0000-0000-000002AC0000}"/>
    <cellStyle name="Percent 46 4 2 2" xfId="43893" xr:uid="{00000000-0005-0000-0000-000003AC0000}"/>
    <cellStyle name="Percent 46 4 3" xfId="43894" xr:uid="{00000000-0005-0000-0000-000004AC0000}"/>
    <cellStyle name="Percent 47" xfId="43895" xr:uid="{00000000-0005-0000-0000-000005AC0000}"/>
    <cellStyle name="Percent 47 2" xfId="43896" xr:uid="{00000000-0005-0000-0000-000006AC0000}"/>
    <cellStyle name="Percent 47 3" xfId="43897" xr:uid="{00000000-0005-0000-0000-000007AC0000}"/>
    <cellStyle name="Percent 47 3 2" xfId="43898" xr:uid="{00000000-0005-0000-0000-000008AC0000}"/>
    <cellStyle name="Percent 47 3 2 2" xfId="43899" xr:uid="{00000000-0005-0000-0000-000009AC0000}"/>
    <cellStyle name="Percent 47 3 3" xfId="43900" xr:uid="{00000000-0005-0000-0000-00000AAC0000}"/>
    <cellStyle name="Percent 47 4" xfId="43901" xr:uid="{00000000-0005-0000-0000-00000BAC0000}"/>
    <cellStyle name="Percent 47 4 2" xfId="43902" xr:uid="{00000000-0005-0000-0000-00000CAC0000}"/>
    <cellStyle name="Percent 47 4 2 2" xfId="43903" xr:uid="{00000000-0005-0000-0000-00000DAC0000}"/>
    <cellStyle name="Percent 47 4 3" xfId="43904" xr:uid="{00000000-0005-0000-0000-00000EAC0000}"/>
    <cellStyle name="Percent 48" xfId="43905" xr:uid="{00000000-0005-0000-0000-00000FAC0000}"/>
    <cellStyle name="Percent 48 2" xfId="43906" xr:uid="{00000000-0005-0000-0000-000010AC0000}"/>
    <cellStyle name="Percent 48 3" xfId="43907" xr:uid="{00000000-0005-0000-0000-000011AC0000}"/>
    <cellStyle name="Percent 48 3 2" xfId="43908" xr:uid="{00000000-0005-0000-0000-000012AC0000}"/>
    <cellStyle name="Percent 48 3 2 2" xfId="43909" xr:uid="{00000000-0005-0000-0000-000013AC0000}"/>
    <cellStyle name="Percent 48 3 3" xfId="43910" xr:uid="{00000000-0005-0000-0000-000014AC0000}"/>
    <cellStyle name="Percent 48 4" xfId="43911" xr:uid="{00000000-0005-0000-0000-000015AC0000}"/>
    <cellStyle name="Percent 48 4 2" xfId="43912" xr:uid="{00000000-0005-0000-0000-000016AC0000}"/>
    <cellStyle name="Percent 48 4 2 2" xfId="43913" xr:uid="{00000000-0005-0000-0000-000017AC0000}"/>
    <cellStyle name="Percent 48 4 3" xfId="43914" xr:uid="{00000000-0005-0000-0000-000018AC0000}"/>
    <cellStyle name="Percent 49" xfId="43915" xr:uid="{00000000-0005-0000-0000-000019AC0000}"/>
    <cellStyle name="Percent 49 2" xfId="43916" xr:uid="{00000000-0005-0000-0000-00001AAC0000}"/>
    <cellStyle name="Percent 49 3" xfId="43917" xr:uid="{00000000-0005-0000-0000-00001BAC0000}"/>
    <cellStyle name="Percent 49 3 2" xfId="43918" xr:uid="{00000000-0005-0000-0000-00001CAC0000}"/>
    <cellStyle name="Percent 49 3 2 2" xfId="43919" xr:uid="{00000000-0005-0000-0000-00001DAC0000}"/>
    <cellStyle name="Percent 49 3 3" xfId="43920" xr:uid="{00000000-0005-0000-0000-00001EAC0000}"/>
    <cellStyle name="Percent 49 4" xfId="43921" xr:uid="{00000000-0005-0000-0000-00001FAC0000}"/>
    <cellStyle name="Percent 49 4 2" xfId="43922" xr:uid="{00000000-0005-0000-0000-000020AC0000}"/>
    <cellStyle name="Percent 49 4 2 2" xfId="43923" xr:uid="{00000000-0005-0000-0000-000021AC0000}"/>
    <cellStyle name="Percent 49 4 3" xfId="43924" xr:uid="{00000000-0005-0000-0000-000022AC0000}"/>
    <cellStyle name="Percent 5" xfId="141" xr:uid="{00000000-0005-0000-0000-000023AC0000}"/>
    <cellStyle name="Percent 5 2" xfId="43926" xr:uid="{00000000-0005-0000-0000-000024AC0000}"/>
    <cellStyle name="Percent 5 3" xfId="43927" xr:uid="{00000000-0005-0000-0000-000025AC0000}"/>
    <cellStyle name="Percent 5 3 2" xfId="43928" xr:uid="{00000000-0005-0000-0000-000026AC0000}"/>
    <cellStyle name="Percent 5 3 2 2" xfId="43929" xr:uid="{00000000-0005-0000-0000-000027AC0000}"/>
    <cellStyle name="Percent 5 3 3" xfId="43930" xr:uid="{00000000-0005-0000-0000-000028AC0000}"/>
    <cellStyle name="Percent 5 4" xfId="43931" xr:uid="{00000000-0005-0000-0000-000029AC0000}"/>
    <cellStyle name="Percent 5 4 2" xfId="43932" xr:uid="{00000000-0005-0000-0000-00002AAC0000}"/>
    <cellStyle name="Percent 5 4 2 2" xfId="43933" xr:uid="{00000000-0005-0000-0000-00002BAC0000}"/>
    <cellStyle name="Percent 5 4 3" xfId="43934" xr:uid="{00000000-0005-0000-0000-00002CAC0000}"/>
    <cellStyle name="Percent 5 5" xfId="43925" xr:uid="{00000000-0005-0000-0000-00002DAC0000}"/>
    <cellStyle name="Percent 50" xfId="43935" xr:uid="{00000000-0005-0000-0000-00002EAC0000}"/>
    <cellStyle name="Percent 50 2" xfId="43936" xr:uid="{00000000-0005-0000-0000-00002FAC0000}"/>
    <cellStyle name="Percent 50 3" xfId="43937" xr:uid="{00000000-0005-0000-0000-000030AC0000}"/>
    <cellStyle name="Percent 50 3 2" xfId="43938" xr:uid="{00000000-0005-0000-0000-000031AC0000}"/>
    <cellStyle name="Percent 50 3 2 2" xfId="43939" xr:uid="{00000000-0005-0000-0000-000032AC0000}"/>
    <cellStyle name="Percent 50 3 3" xfId="43940" xr:uid="{00000000-0005-0000-0000-000033AC0000}"/>
    <cellStyle name="Percent 50 4" xfId="43941" xr:uid="{00000000-0005-0000-0000-000034AC0000}"/>
    <cellStyle name="Percent 50 4 2" xfId="43942" xr:uid="{00000000-0005-0000-0000-000035AC0000}"/>
    <cellStyle name="Percent 50 4 2 2" xfId="43943" xr:uid="{00000000-0005-0000-0000-000036AC0000}"/>
    <cellStyle name="Percent 50 4 3" xfId="43944" xr:uid="{00000000-0005-0000-0000-000037AC0000}"/>
    <cellStyle name="Percent 51" xfId="43945" xr:uid="{00000000-0005-0000-0000-000038AC0000}"/>
    <cellStyle name="Percent 51 2" xfId="43946" xr:uid="{00000000-0005-0000-0000-000039AC0000}"/>
    <cellStyle name="Percent 51 3" xfId="43947" xr:uid="{00000000-0005-0000-0000-00003AAC0000}"/>
    <cellStyle name="Percent 51 3 2" xfId="43948" xr:uid="{00000000-0005-0000-0000-00003BAC0000}"/>
    <cellStyle name="Percent 51 3 2 2" xfId="43949" xr:uid="{00000000-0005-0000-0000-00003CAC0000}"/>
    <cellStyle name="Percent 51 3 3" xfId="43950" xr:uid="{00000000-0005-0000-0000-00003DAC0000}"/>
    <cellStyle name="Percent 51 4" xfId="43951" xr:uid="{00000000-0005-0000-0000-00003EAC0000}"/>
    <cellStyle name="Percent 51 4 2" xfId="43952" xr:uid="{00000000-0005-0000-0000-00003FAC0000}"/>
    <cellStyle name="Percent 51 4 2 2" xfId="43953" xr:uid="{00000000-0005-0000-0000-000040AC0000}"/>
    <cellStyle name="Percent 51 4 3" xfId="43954" xr:uid="{00000000-0005-0000-0000-000041AC0000}"/>
    <cellStyle name="Percent 52" xfId="43955" xr:uid="{00000000-0005-0000-0000-000042AC0000}"/>
    <cellStyle name="Percent 52 2" xfId="43956" xr:uid="{00000000-0005-0000-0000-000043AC0000}"/>
    <cellStyle name="Percent 52 3" xfId="43957" xr:uid="{00000000-0005-0000-0000-000044AC0000}"/>
    <cellStyle name="Percent 52 3 2" xfId="43958" xr:uid="{00000000-0005-0000-0000-000045AC0000}"/>
    <cellStyle name="Percent 52 3 2 2" xfId="43959" xr:uid="{00000000-0005-0000-0000-000046AC0000}"/>
    <cellStyle name="Percent 52 3 3" xfId="43960" xr:uid="{00000000-0005-0000-0000-000047AC0000}"/>
    <cellStyle name="Percent 52 4" xfId="43961" xr:uid="{00000000-0005-0000-0000-000048AC0000}"/>
    <cellStyle name="Percent 52 4 2" xfId="43962" xr:uid="{00000000-0005-0000-0000-000049AC0000}"/>
    <cellStyle name="Percent 52 4 2 2" xfId="43963" xr:uid="{00000000-0005-0000-0000-00004AAC0000}"/>
    <cellStyle name="Percent 52 4 3" xfId="43964" xr:uid="{00000000-0005-0000-0000-00004BAC0000}"/>
    <cellStyle name="Percent 53" xfId="43965" xr:uid="{00000000-0005-0000-0000-00004CAC0000}"/>
    <cellStyle name="Percent 53 2" xfId="43966" xr:uid="{00000000-0005-0000-0000-00004DAC0000}"/>
    <cellStyle name="Percent 53 3" xfId="43967" xr:uid="{00000000-0005-0000-0000-00004EAC0000}"/>
    <cellStyle name="Percent 53 3 2" xfId="43968" xr:uid="{00000000-0005-0000-0000-00004FAC0000}"/>
    <cellStyle name="Percent 53 3 2 2" xfId="43969" xr:uid="{00000000-0005-0000-0000-000050AC0000}"/>
    <cellStyle name="Percent 53 3 3" xfId="43970" xr:uid="{00000000-0005-0000-0000-000051AC0000}"/>
    <cellStyle name="Percent 53 4" xfId="43971" xr:uid="{00000000-0005-0000-0000-000052AC0000}"/>
    <cellStyle name="Percent 53 4 2" xfId="43972" xr:uid="{00000000-0005-0000-0000-000053AC0000}"/>
    <cellStyle name="Percent 53 4 2 2" xfId="43973" xr:uid="{00000000-0005-0000-0000-000054AC0000}"/>
    <cellStyle name="Percent 53 4 3" xfId="43974" xr:uid="{00000000-0005-0000-0000-000055AC0000}"/>
    <cellStyle name="Percent 54" xfId="43975" xr:uid="{00000000-0005-0000-0000-000056AC0000}"/>
    <cellStyle name="Percent 54 2" xfId="43976" xr:uid="{00000000-0005-0000-0000-000057AC0000}"/>
    <cellStyle name="Percent 54 3" xfId="43977" xr:uid="{00000000-0005-0000-0000-000058AC0000}"/>
    <cellStyle name="Percent 54 3 2" xfId="43978" xr:uid="{00000000-0005-0000-0000-000059AC0000}"/>
    <cellStyle name="Percent 54 3 2 2" xfId="43979" xr:uid="{00000000-0005-0000-0000-00005AAC0000}"/>
    <cellStyle name="Percent 54 3 3" xfId="43980" xr:uid="{00000000-0005-0000-0000-00005BAC0000}"/>
    <cellStyle name="Percent 54 4" xfId="43981" xr:uid="{00000000-0005-0000-0000-00005CAC0000}"/>
    <cellStyle name="Percent 54 4 2" xfId="43982" xr:uid="{00000000-0005-0000-0000-00005DAC0000}"/>
    <cellStyle name="Percent 54 4 2 2" xfId="43983" xr:uid="{00000000-0005-0000-0000-00005EAC0000}"/>
    <cellStyle name="Percent 54 4 3" xfId="43984" xr:uid="{00000000-0005-0000-0000-00005FAC0000}"/>
    <cellStyle name="Percent 55" xfId="43985" xr:uid="{00000000-0005-0000-0000-000060AC0000}"/>
    <cellStyle name="Percent 55 2" xfId="43986" xr:uid="{00000000-0005-0000-0000-000061AC0000}"/>
    <cellStyle name="Percent 55 3" xfId="43987" xr:uid="{00000000-0005-0000-0000-000062AC0000}"/>
    <cellStyle name="Percent 55 3 2" xfId="43988" xr:uid="{00000000-0005-0000-0000-000063AC0000}"/>
    <cellStyle name="Percent 55 3 2 2" xfId="43989" xr:uid="{00000000-0005-0000-0000-000064AC0000}"/>
    <cellStyle name="Percent 55 3 3" xfId="43990" xr:uid="{00000000-0005-0000-0000-000065AC0000}"/>
    <cellStyle name="Percent 55 4" xfId="43991" xr:uid="{00000000-0005-0000-0000-000066AC0000}"/>
    <cellStyle name="Percent 55 4 2" xfId="43992" xr:uid="{00000000-0005-0000-0000-000067AC0000}"/>
    <cellStyle name="Percent 55 4 2 2" xfId="43993" xr:uid="{00000000-0005-0000-0000-000068AC0000}"/>
    <cellStyle name="Percent 55 4 3" xfId="43994" xr:uid="{00000000-0005-0000-0000-000069AC0000}"/>
    <cellStyle name="Percent 56" xfId="43995" xr:uid="{00000000-0005-0000-0000-00006AAC0000}"/>
    <cellStyle name="Percent 56 2" xfId="43996" xr:uid="{00000000-0005-0000-0000-00006BAC0000}"/>
    <cellStyle name="Percent 56 3" xfId="43997" xr:uid="{00000000-0005-0000-0000-00006CAC0000}"/>
    <cellStyle name="Percent 56 3 2" xfId="43998" xr:uid="{00000000-0005-0000-0000-00006DAC0000}"/>
    <cellStyle name="Percent 56 3 2 2" xfId="43999" xr:uid="{00000000-0005-0000-0000-00006EAC0000}"/>
    <cellStyle name="Percent 56 3 3" xfId="44000" xr:uid="{00000000-0005-0000-0000-00006FAC0000}"/>
    <cellStyle name="Percent 56 4" xfId="44001" xr:uid="{00000000-0005-0000-0000-000070AC0000}"/>
    <cellStyle name="Percent 56 4 2" xfId="44002" xr:uid="{00000000-0005-0000-0000-000071AC0000}"/>
    <cellStyle name="Percent 56 4 2 2" xfId="44003" xr:uid="{00000000-0005-0000-0000-000072AC0000}"/>
    <cellStyle name="Percent 56 4 3" xfId="44004" xr:uid="{00000000-0005-0000-0000-000073AC0000}"/>
    <cellStyle name="Percent 57" xfId="44005" xr:uid="{00000000-0005-0000-0000-000074AC0000}"/>
    <cellStyle name="Percent 57 2" xfId="44006" xr:uid="{00000000-0005-0000-0000-000075AC0000}"/>
    <cellStyle name="Percent 57 3" xfId="44007" xr:uid="{00000000-0005-0000-0000-000076AC0000}"/>
    <cellStyle name="Percent 57 3 2" xfId="44008" xr:uid="{00000000-0005-0000-0000-000077AC0000}"/>
    <cellStyle name="Percent 57 3 2 2" xfId="44009" xr:uid="{00000000-0005-0000-0000-000078AC0000}"/>
    <cellStyle name="Percent 57 3 3" xfId="44010" xr:uid="{00000000-0005-0000-0000-000079AC0000}"/>
    <cellStyle name="Percent 57 4" xfId="44011" xr:uid="{00000000-0005-0000-0000-00007AAC0000}"/>
    <cellStyle name="Percent 57 4 2" xfId="44012" xr:uid="{00000000-0005-0000-0000-00007BAC0000}"/>
    <cellStyle name="Percent 57 4 2 2" xfId="44013" xr:uid="{00000000-0005-0000-0000-00007CAC0000}"/>
    <cellStyle name="Percent 57 4 3" xfId="44014" xr:uid="{00000000-0005-0000-0000-00007DAC0000}"/>
    <cellStyle name="Percent 58" xfId="44015" xr:uid="{00000000-0005-0000-0000-00007EAC0000}"/>
    <cellStyle name="Percent 58 2" xfId="44016" xr:uid="{00000000-0005-0000-0000-00007FAC0000}"/>
    <cellStyle name="Percent 58 3" xfId="44017" xr:uid="{00000000-0005-0000-0000-000080AC0000}"/>
    <cellStyle name="Percent 58 3 2" xfId="44018" xr:uid="{00000000-0005-0000-0000-000081AC0000}"/>
    <cellStyle name="Percent 58 3 2 2" xfId="44019" xr:uid="{00000000-0005-0000-0000-000082AC0000}"/>
    <cellStyle name="Percent 58 3 3" xfId="44020" xr:uid="{00000000-0005-0000-0000-000083AC0000}"/>
    <cellStyle name="Percent 58 4" xfId="44021" xr:uid="{00000000-0005-0000-0000-000084AC0000}"/>
    <cellStyle name="Percent 58 4 2" xfId="44022" xr:uid="{00000000-0005-0000-0000-000085AC0000}"/>
    <cellStyle name="Percent 58 4 2 2" xfId="44023" xr:uid="{00000000-0005-0000-0000-000086AC0000}"/>
    <cellStyle name="Percent 58 4 3" xfId="44024" xr:uid="{00000000-0005-0000-0000-000087AC0000}"/>
    <cellStyle name="Percent 59" xfId="44025" xr:uid="{00000000-0005-0000-0000-000088AC0000}"/>
    <cellStyle name="Percent 59 2" xfId="44026" xr:uid="{00000000-0005-0000-0000-000089AC0000}"/>
    <cellStyle name="Percent 59 3" xfId="44027" xr:uid="{00000000-0005-0000-0000-00008AAC0000}"/>
    <cellStyle name="Percent 59 3 2" xfId="44028" xr:uid="{00000000-0005-0000-0000-00008BAC0000}"/>
    <cellStyle name="Percent 59 3 2 2" xfId="44029" xr:uid="{00000000-0005-0000-0000-00008CAC0000}"/>
    <cellStyle name="Percent 59 3 3" xfId="44030" xr:uid="{00000000-0005-0000-0000-00008DAC0000}"/>
    <cellStyle name="Percent 59 4" xfId="44031" xr:uid="{00000000-0005-0000-0000-00008EAC0000}"/>
    <cellStyle name="Percent 59 4 2" xfId="44032" xr:uid="{00000000-0005-0000-0000-00008FAC0000}"/>
    <cellStyle name="Percent 59 4 2 2" xfId="44033" xr:uid="{00000000-0005-0000-0000-000090AC0000}"/>
    <cellStyle name="Percent 59 4 3" xfId="44034" xr:uid="{00000000-0005-0000-0000-000091AC0000}"/>
    <cellStyle name="Percent 6" xfId="246" xr:uid="{00000000-0005-0000-0000-000092AC0000}"/>
    <cellStyle name="Percent 6 2" xfId="256" xr:uid="{00000000-0005-0000-0000-000093AC0000}"/>
    <cellStyle name="Percent 6 3" xfId="44036" xr:uid="{00000000-0005-0000-0000-000094AC0000}"/>
    <cellStyle name="Percent 6 3 2" xfId="44037" xr:uid="{00000000-0005-0000-0000-000095AC0000}"/>
    <cellStyle name="Percent 6 3 2 2" xfId="44038" xr:uid="{00000000-0005-0000-0000-000096AC0000}"/>
    <cellStyle name="Percent 6 3 3" xfId="44039" xr:uid="{00000000-0005-0000-0000-000097AC0000}"/>
    <cellStyle name="Percent 6 4" xfId="44040" xr:uid="{00000000-0005-0000-0000-000098AC0000}"/>
    <cellStyle name="Percent 6 4 2" xfId="44041" xr:uid="{00000000-0005-0000-0000-000099AC0000}"/>
    <cellStyle name="Percent 6 4 2 2" xfId="44042" xr:uid="{00000000-0005-0000-0000-00009AAC0000}"/>
    <cellStyle name="Percent 6 4 3" xfId="44043" xr:uid="{00000000-0005-0000-0000-00009BAC0000}"/>
    <cellStyle name="Percent 6 5" xfId="44035" xr:uid="{00000000-0005-0000-0000-00009CAC0000}"/>
    <cellStyle name="Percent 60" xfId="44044" xr:uid="{00000000-0005-0000-0000-00009DAC0000}"/>
    <cellStyle name="Percent 60 2" xfId="44045" xr:uid="{00000000-0005-0000-0000-00009EAC0000}"/>
    <cellStyle name="Percent 60 3" xfId="44046" xr:uid="{00000000-0005-0000-0000-00009FAC0000}"/>
    <cellStyle name="Percent 60 3 2" xfId="44047" xr:uid="{00000000-0005-0000-0000-0000A0AC0000}"/>
    <cellStyle name="Percent 60 3 2 2" xfId="44048" xr:uid="{00000000-0005-0000-0000-0000A1AC0000}"/>
    <cellStyle name="Percent 60 3 3" xfId="44049" xr:uid="{00000000-0005-0000-0000-0000A2AC0000}"/>
    <cellStyle name="Percent 60 4" xfId="44050" xr:uid="{00000000-0005-0000-0000-0000A3AC0000}"/>
    <cellStyle name="Percent 60 4 2" xfId="44051" xr:uid="{00000000-0005-0000-0000-0000A4AC0000}"/>
    <cellStyle name="Percent 60 4 2 2" xfId="44052" xr:uid="{00000000-0005-0000-0000-0000A5AC0000}"/>
    <cellStyle name="Percent 60 4 3" xfId="44053" xr:uid="{00000000-0005-0000-0000-0000A6AC0000}"/>
    <cellStyle name="Percent 61" xfId="44054" xr:uid="{00000000-0005-0000-0000-0000A7AC0000}"/>
    <cellStyle name="Percent 61 2" xfId="44055" xr:uid="{00000000-0005-0000-0000-0000A8AC0000}"/>
    <cellStyle name="Percent 61 3" xfId="44056" xr:uid="{00000000-0005-0000-0000-0000A9AC0000}"/>
    <cellStyle name="Percent 61 3 2" xfId="44057" xr:uid="{00000000-0005-0000-0000-0000AAAC0000}"/>
    <cellStyle name="Percent 61 3 2 2" xfId="44058" xr:uid="{00000000-0005-0000-0000-0000ABAC0000}"/>
    <cellStyle name="Percent 61 3 3" xfId="44059" xr:uid="{00000000-0005-0000-0000-0000ACAC0000}"/>
    <cellStyle name="Percent 61 4" xfId="44060" xr:uid="{00000000-0005-0000-0000-0000ADAC0000}"/>
    <cellStyle name="Percent 61 4 2" xfId="44061" xr:uid="{00000000-0005-0000-0000-0000AEAC0000}"/>
    <cellStyle name="Percent 61 4 2 2" xfId="44062" xr:uid="{00000000-0005-0000-0000-0000AFAC0000}"/>
    <cellStyle name="Percent 61 4 3" xfId="44063" xr:uid="{00000000-0005-0000-0000-0000B0AC0000}"/>
    <cellStyle name="Percent 62" xfId="44064" xr:uid="{00000000-0005-0000-0000-0000B1AC0000}"/>
    <cellStyle name="Percent 62 2" xfId="44065" xr:uid="{00000000-0005-0000-0000-0000B2AC0000}"/>
    <cellStyle name="Percent 62 3" xfId="44066" xr:uid="{00000000-0005-0000-0000-0000B3AC0000}"/>
    <cellStyle name="Percent 62 3 2" xfId="44067" xr:uid="{00000000-0005-0000-0000-0000B4AC0000}"/>
    <cellStyle name="Percent 62 3 2 2" xfId="44068" xr:uid="{00000000-0005-0000-0000-0000B5AC0000}"/>
    <cellStyle name="Percent 62 3 3" xfId="44069" xr:uid="{00000000-0005-0000-0000-0000B6AC0000}"/>
    <cellStyle name="Percent 62 4" xfId="44070" xr:uid="{00000000-0005-0000-0000-0000B7AC0000}"/>
    <cellStyle name="Percent 62 4 2" xfId="44071" xr:uid="{00000000-0005-0000-0000-0000B8AC0000}"/>
    <cellStyle name="Percent 62 4 2 2" xfId="44072" xr:uid="{00000000-0005-0000-0000-0000B9AC0000}"/>
    <cellStyle name="Percent 62 4 3" xfId="44073" xr:uid="{00000000-0005-0000-0000-0000BAAC0000}"/>
    <cellStyle name="Percent 63" xfId="44074" xr:uid="{00000000-0005-0000-0000-0000BBAC0000}"/>
    <cellStyle name="Percent 63 2" xfId="44075" xr:uid="{00000000-0005-0000-0000-0000BCAC0000}"/>
    <cellStyle name="Percent 63 3" xfId="44076" xr:uid="{00000000-0005-0000-0000-0000BDAC0000}"/>
    <cellStyle name="Percent 63 3 2" xfId="44077" xr:uid="{00000000-0005-0000-0000-0000BEAC0000}"/>
    <cellStyle name="Percent 63 3 2 2" xfId="44078" xr:uid="{00000000-0005-0000-0000-0000BFAC0000}"/>
    <cellStyle name="Percent 63 3 3" xfId="44079" xr:uid="{00000000-0005-0000-0000-0000C0AC0000}"/>
    <cellStyle name="Percent 63 4" xfId="44080" xr:uid="{00000000-0005-0000-0000-0000C1AC0000}"/>
    <cellStyle name="Percent 63 4 2" xfId="44081" xr:uid="{00000000-0005-0000-0000-0000C2AC0000}"/>
    <cellStyle name="Percent 63 4 2 2" xfId="44082" xr:uid="{00000000-0005-0000-0000-0000C3AC0000}"/>
    <cellStyle name="Percent 63 4 3" xfId="44083" xr:uid="{00000000-0005-0000-0000-0000C4AC0000}"/>
    <cellStyle name="Percent 64" xfId="44084" xr:uid="{00000000-0005-0000-0000-0000C5AC0000}"/>
    <cellStyle name="Percent 64 2" xfId="44085" xr:uid="{00000000-0005-0000-0000-0000C6AC0000}"/>
    <cellStyle name="Percent 64 3" xfId="44086" xr:uid="{00000000-0005-0000-0000-0000C7AC0000}"/>
    <cellStyle name="Percent 64 3 2" xfId="44087" xr:uid="{00000000-0005-0000-0000-0000C8AC0000}"/>
    <cellStyle name="Percent 64 3 2 2" xfId="44088" xr:uid="{00000000-0005-0000-0000-0000C9AC0000}"/>
    <cellStyle name="Percent 64 3 3" xfId="44089" xr:uid="{00000000-0005-0000-0000-0000CAAC0000}"/>
    <cellStyle name="Percent 64 4" xfId="44090" xr:uid="{00000000-0005-0000-0000-0000CBAC0000}"/>
    <cellStyle name="Percent 64 4 2" xfId="44091" xr:uid="{00000000-0005-0000-0000-0000CCAC0000}"/>
    <cellStyle name="Percent 64 4 2 2" xfId="44092" xr:uid="{00000000-0005-0000-0000-0000CDAC0000}"/>
    <cellStyle name="Percent 64 4 3" xfId="44093" xr:uid="{00000000-0005-0000-0000-0000CEAC0000}"/>
    <cellStyle name="Percent 65" xfId="44094" xr:uid="{00000000-0005-0000-0000-0000CFAC0000}"/>
    <cellStyle name="Percent 65 2" xfId="44095" xr:uid="{00000000-0005-0000-0000-0000D0AC0000}"/>
    <cellStyle name="Percent 65 3" xfId="44096" xr:uid="{00000000-0005-0000-0000-0000D1AC0000}"/>
    <cellStyle name="Percent 65 3 2" xfId="44097" xr:uid="{00000000-0005-0000-0000-0000D2AC0000}"/>
    <cellStyle name="Percent 65 3 2 2" xfId="44098" xr:uid="{00000000-0005-0000-0000-0000D3AC0000}"/>
    <cellStyle name="Percent 65 3 3" xfId="44099" xr:uid="{00000000-0005-0000-0000-0000D4AC0000}"/>
    <cellStyle name="Percent 65 4" xfId="44100" xr:uid="{00000000-0005-0000-0000-0000D5AC0000}"/>
    <cellStyle name="Percent 65 4 2" xfId="44101" xr:uid="{00000000-0005-0000-0000-0000D6AC0000}"/>
    <cellStyle name="Percent 65 4 2 2" xfId="44102" xr:uid="{00000000-0005-0000-0000-0000D7AC0000}"/>
    <cellStyle name="Percent 65 4 3" xfId="44103" xr:uid="{00000000-0005-0000-0000-0000D8AC0000}"/>
    <cellStyle name="Percent 66" xfId="44104" xr:uid="{00000000-0005-0000-0000-0000D9AC0000}"/>
    <cellStyle name="Percent 66 2" xfId="44105" xr:uid="{00000000-0005-0000-0000-0000DAAC0000}"/>
    <cellStyle name="Percent 66 3" xfId="44106" xr:uid="{00000000-0005-0000-0000-0000DBAC0000}"/>
    <cellStyle name="Percent 66 3 2" xfId="44107" xr:uid="{00000000-0005-0000-0000-0000DCAC0000}"/>
    <cellStyle name="Percent 66 3 2 2" xfId="44108" xr:uid="{00000000-0005-0000-0000-0000DDAC0000}"/>
    <cellStyle name="Percent 66 3 3" xfId="44109" xr:uid="{00000000-0005-0000-0000-0000DEAC0000}"/>
    <cellStyle name="Percent 66 4" xfId="44110" xr:uid="{00000000-0005-0000-0000-0000DFAC0000}"/>
    <cellStyle name="Percent 66 4 2" xfId="44111" xr:uid="{00000000-0005-0000-0000-0000E0AC0000}"/>
    <cellStyle name="Percent 66 4 2 2" xfId="44112" xr:uid="{00000000-0005-0000-0000-0000E1AC0000}"/>
    <cellStyle name="Percent 66 4 3" xfId="44113" xr:uid="{00000000-0005-0000-0000-0000E2AC0000}"/>
    <cellStyle name="Percent 67" xfId="44114" xr:uid="{00000000-0005-0000-0000-0000E3AC0000}"/>
    <cellStyle name="Percent 67 2" xfId="44115" xr:uid="{00000000-0005-0000-0000-0000E4AC0000}"/>
    <cellStyle name="Percent 67 3" xfId="44116" xr:uid="{00000000-0005-0000-0000-0000E5AC0000}"/>
    <cellStyle name="Percent 67 3 2" xfId="44117" xr:uid="{00000000-0005-0000-0000-0000E6AC0000}"/>
    <cellStyle name="Percent 67 3 2 2" xfId="44118" xr:uid="{00000000-0005-0000-0000-0000E7AC0000}"/>
    <cellStyle name="Percent 67 3 3" xfId="44119" xr:uid="{00000000-0005-0000-0000-0000E8AC0000}"/>
    <cellStyle name="Percent 67 4" xfId="44120" xr:uid="{00000000-0005-0000-0000-0000E9AC0000}"/>
    <cellStyle name="Percent 67 4 2" xfId="44121" xr:uid="{00000000-0005-0000-0000-0000EAAC0000}"/>
    <cellStyle name="Percent 67 4 2 2" xfId="44122" xr:uid="{00000000-0005-0000-0000-0000EBAC0000}"/>
    <cellStyle name="Percent 67 4 3" xfId="44123" xr:uid="{00000000-0005-0000-0000-0000ECAC0000}"/>
    <cellStyle name="Percent 68" xfId="44124" xr:uid="{00000000-0005-0000-0000-0000EDAC0000}"/>
    <cellStyle name="Percent 68 2" xfId="44125" xr:uid="{00000000-0005-0000-0000-0000EEAC0000}"/>
    <cellStyle name="Percent 68 3" xfId="44126" xr:uid="{00000000-0005-0000-0000-0000EFAC0000}"/>
    <cellStyle name="Percent 68 3 2" xfId="44127" xr:uid="{00000000-0005-0000-0000-0000F0AC0000}"/>
    <cellStyle name="Percent 68 3 2 2" xfId="44128" xr:uid="{00000000-0005-0000-0000-0000F1AC0000}"/>
    <cellStyle name="Percent 68 3 3" xfId="44129" xr:uid="{00000000-0005-0000-0000-0000F2AC0000}"/>
    <cellStyle name="Percent 68 4" xfId="44130" xr:uid="{00000000-0005-0000-0000-0000F3AC0000}"/>
    <cellStyle name="Percent 68 4 2" xfId="44131" xr:uid="{00000000-0005-0000-0000-0000F4AC0000}"/>
    <cellStyle name="Percent 68 4 2 2" xfId="44132" xr:uid="{00000000-0005-0000-0000-0000F5AC0000}"/>
    <cellStyle name="Percent 68 4 3" xfId="44133" xr:uid="{00000000-0005-0000-0000-0000F6AC0000}"/>
    <cellStyle name="Percent 69" xfId="44134" xr:uid="{00000000-0005-0000-0000-0000F7AC0000}"/>
    <cellStyle name="Percent 69 2" xfId="44135" xr:uid="{00000000-0005-0000-0000-0000F8AC0000}"/>
    <cellStyle name="Percent 69 3" xfId="44136" xr:uid="{00000000-0005-0000-0000-0000F9AC0000}"/>
    <cellStyle name="Percent 69 3 2" xfId="44137" xr:uid="{00000000-0005-0000-0000-0000FAAC0000}"/>
    <cellStyle name="Percent 69 3 2 2" xfId="44138" xr:uid="{00000000-0005-0000-0000-0000FBAC0000}"/>
    <cellStyle name="Percent 69 3 3" xfId="44139" xr:uid="{00000000-0005-0000-0000-0000FCAC0000}"/>
    <cellStyle name="Percent 69 4" xfId="44140" xr:uid="{00000000-0005-0000-0000-0000FDAC0000}"/>
    <cellStyle name="Percent 69 4 2" xfId="44141" xr:uid="{00000000-0005-0000-0000-0000FEAC0000}"/>
    <cellStyle name="Percent 69 4 2 2" xfId="44142" xr:uid="{00000000-0005-0000-0000-0000FFAC0000}"/>
    <cellStyle name="Percent 69 4 3" xfId="44143" xr:uid="{00000000-0005-0000-0000-000000AD0000}"/>
    <cellStyle name="Percent 7" xfId="44144" xr:uid="{00000000-0005-0000-0000-000001AD0000}"/>
    <cellStyle name="Percent 7 2" xfId="44145" xr:uid="{00000000-0005-0000-0000-000002AD0000}"/>
    <cellStyle name="Percent 7 2 2" xfId="44146" xr:uid="{00000000-0005-0000-0000-000003AD0000}"/>
    <cellStyle name="Percent 7 2 2 2" xfId="44147" xr:uid="{00000000-0005-0000-0000-000004AD0000}"/>
    <cellStyle name="Percent 7 2 3" xfId="44148" xr:uid="{00000000-0005-0000-0000-000005AD0000}"/>
    <cellStyle name="Percent 7 2 3 2" xfId="44149" xr:uid="{00000000-0005-0000-0000-000006AD0000}"/>
    <cellStyle name="Percent 7 2 3 2 2" xfId="44150" xr:uid="{00000000-0005-0000-0000-000007AD0000}"/>
    <cellStyle name="Percent 7 2 3 3" xfId="44151" xr:uid="{00000000-0005-0000-0000-000008AD0000}"/>
    <cellStyle name="Percent 7 2 4" xfId="44152" xr:uid="{00000000-0005-0000-0000-000009AD0000}"/>
    <cellStyle name="Percent 7 3" xfId="44153" xr:uid="{00000000-0005-0000-0000-00000AAD0000}"/>
    <cellStyle name="Percent 7 4" xfId="44154" xr:uid="{00000000-0005-0000-0000-00000BAD0000}"/>
    <cellStyle name="Percent 7 4 2" xfId="44155" xr:uid="{00000000-0005-0000-0000-00000CAD0000}"/>
    <cellStyle name="Percent 7 4 2 2" xfId="44156" xr:uid="{00000000-0005-0000-0000-00000DAD0000}"/>
    <cellStyle name="Percent 7 4 3" xfId="44157" xr:uid="{00000000-0005-0000-0000-00000EAD0000}"/>
    <cellStyle name="Percent 7 5" xfId="44158" xr:uid="{00000000-0005-0000-0000-00000FAD0000}"/>
    <cellStyle name="Percent 7 5 2" xfId="44159" xr:uid="{00000000-0005-0000-0000-000010AD0000}"/>
    <cellStyle name="Percent 7 5 2 2" xfId="44160" xr:uid="{00000000-0005-0000-0000-000011AD0000}"/>
    <cellStyle name="Percent 7 5 3" xfId="44161" xr:uid="{00000000-0005-0000-0000-000012AD0000}"/>
    <cellStyle name="Percent 70" xfId="44162" xr:uid="{00000000-0005-0000-0000-000013AD0000}"/>
    <cellStyle name="Percent 70 2" xfId="44163" xr:uid="{00000000-0005-0000-0000-000014AD0000}"/>
    <cellStyle name="Percent 70 3" xfId="44164" xr:uid="{00000000-0005-0000-0000-000015AD0000}"/>
    <cellStyle name="Percent 70 3 2" xfId="44165" xr:uid="{00000000-0005-0000-0000-000016AD0000}"/>
    <cellStyle name="Percent 70 3 2 2" xfId="44166" xr:uid="{00000000-0005-0000-0000-000017AD0000}"/>
    <cellStyle name="Percent 70 3 3" xfId="44167" xr:uid="{00000000-0005-0000-0000-000018AD0000}"/>
    <cellStyle name="Percent 70 4" xfId="44168" xr:uid="{00000000-0005-0000-0000-000019AD0000}"/>
    <cellStyle name="Percent 70 4 2" xfId="44169" xr:uid="{00000000-0005-0000-0000-00001AAD0000}"/>
    <cellStyle name="Percent 70 4 2 2" xfId="44170" xr:uid="{00000000-0005-0000-0000-00001BAD0000}"/>
    <cellStyle name="Percent 70 4 3" xfId="44171" xr:uid="{00000000-0005-0000-0000-00001CAD0000}"/>
    <cellStyle name="Percent 71" xfId="44172" xr:uid="{00000000-0005-0000-0000-00001DAD0000}"/>
    <cellStyle name="Percent 71 2" xfId="44173" xr:uid="{00000000-0005-0000-0000-00001EAD0000}"/>
    <cellStyle name="Percent 71 3" xfId="44174" xr:uid="{00000000-0005-0000-0000-00001FAD0000}"/>
    <cellStyle name="Percent 71 3 2" xfId="44175" xr:uid="{00000000-0005-0000-0000-000020AD0000}"/>
    <cellStyle name="Percent 71 3 2 2" xfId="44176" xr:uid="{00000000-0005-0000-0000-000021AD0000}"/>
    <cellStyle name="Percent 71 3 3" xfId="44177" xr:uid="{00000000-0005-0000-0000-000022AD0000}"/>
    <cellStyle name="Percent 71 4" xfId="44178" xr:uid="{00000000-0005-0000-0000-000023AD0000}"/>
    <cellStyle name="Percent 71 4 2" xfId="44179" xr:uid="{00000000-0005-0000-0000-000024AD0000}"/>
    <cellStyle name="Percent 71 4 2 2" xfId="44180" xr:uid="{00000000-0005-0000-0000-000025AD0000}"/>
    <cellStyle name="Percent 71 4 3" xfId="44181" xr:uid="{00000000-0005-0000-0000-000026AD0000}"/>
    <cellStyle name="Percent 72" xfId="44182" xr:uid="{00000000-0005-0000-0000-000027AD0000}"/>
    <cellStyle name="Percent 72 2" xfId="44183" xr:uid="{00000000-0005-0000-0000-000028AD0000}"/>
    <cellStyle name="Percent 72 3" xfId="44184" xr:uid="{00000000-0005-0000-0000-000029AD0000}"/>
    <cellStyle name="Percent 72 3 2" xfId="44185" xr:uid="{00000000-0005-0000-0000-00002AAD0000}"/>
    <cellStyle name="Percent 72 3 2 2" xfId="44186" xr:uid="{00000000-0005-0000-0000-00002BAD0000}"/>
    <cellStyle name="Percent 72 3 3" xfId="44187" xr:uid="{00000000-0005-0000-0000-00002CAD0000}"/>
    <cellStyle name="Percent 72 4" xfId="44188" xr:uid="{00000000-0005-0000-0000-00002DAD0000}"/>
    <cellStyle name="Percent 72 4 2" xfId="44189" xr:uid="{00000000-0005-0000-0000-00002EAD0000}"/>
    <cellStyle name="Percent 72 4 2 2" xfId="44190" xr:uid="{00000000-0005-0000-0000-00002FAD0000}"/>
    <cellStyle name="Percent 72 4 3" xfId="44191" xr:uid="{00000000-0005-0000-0000-000030AD0000}"/>
    <cellStyle name="Percent 73" xfId="44192" xr:uid="{00000000-0005-0000-0000-000031AD0000}"/>
    <cellStyle name="Percent 73 2" xfId="44193" xr:uid="{00000000-0005-0000-0000-000032AD0000}"/>
    <cellStyle name="Percent 73 3" xfId="44194" xr:uid="{00000000-0005-0000-0000-000033AD0000}"/>
    <cellStyle name="Percent 73 3 2" xfId="44195" xr:uid="{00000000-0005-0000-0000-000034AD0000}"/>
    <cellStyle name="Percent 73 3 2 2" xfId="44196" xr:uid="{00000000-0005-0000-0000-000035AD0000}"/>
    <cellStyle name="Percent 73 3 3" xfId="44197" xr:uid="{00000000-0005-0000-0000-000036AD0000}"/>
    <cellStyle name="Percent 73 4" xfId="44198" xr:uid="{00000000-0005-0000-0000-000037AD0000}"/>
    <cellStyle name="Percent 73 4 2" xfId="44199" xr:uid="{00000000-0005-0000-0000-000038AD0000}"/>
    <cellStyle name="Percent 73 4 2 2" xfId="44200" xr:uid="{00000000-0005-0000-0000-000039AD0000}"/>
    <cellStyle name="Percent 73 4 3" xfId="44201" xr:uid="{00000000-0005-0000-0000-00003AAD0000}"/>
    <cellStyle name="Percent 74" xfId="44202" xr:uid="{00000000-0005-0000-0000-00003BAD0000}"/>
    <cellStyle name="Percent 74 2" xfId="44203" xr:uid="{00000000-0005-0000-0000-00003CAD0000}"/>
    <cellStyle name="Percent 74 3" xfId="44204" xr:uid="{00000000-0005-0000-0000-00003DAD0000}"/>
    <cellStyle name="Percent 74 3 2" xfId="44205" xr:uid="{00000000-0005-0000-0000-00003EAD0000}"/>
    <cellStyle name="Percent 74 3 2 2" xfId="44206" xr:uid="{00000000-0005-0000-0000-00003FAD0000}"/>
    <cellStyle name="Percent 74 3 3" xfId="44207" xr:uid="{00000000-0005-0000-0000-000040AD0000}"/>
    <cellStyle name="Percent 74 4" xfId="44208" xr:uid="{00000000-0005-0000-0000-000041AD0000}"/>
    <cellStyle name="Percent 74 4 2" xfId="44209" xr:uid="{00000000-0005-0000-0000-000042AD0000}"/>
    <cellStyle name="Percent 74 4 2 2" xfId="44210" xr:uid="{00000000-0005-0000-0000-000043AD0000}"/>
    <cellStyle name="Percent 74 4 3" xfId="44211" xr:uid="{00000000-0005-0000-0000-000044AD0000}"/>
    <cellStyle name="Percent 75" xfId="44212" xr:uid="{00000000-0005-0000-0000-000045AD0000}"/>
    <cellStyle name="Percent 75 2" xfId="44213" xr:uid="{00000000-0005-0000-0000-000046AD0000}"/>
    <cellStyle name="Percent 75 3" xfId="44214" xr:uid="{00000000-0005-0000-0000-000047AD0000}"/>
    <cellStyle name="Percent 75 3 2" xfId="44215" xr:uid="{00000000-0005-0000-0000-000048AD0000}"/>
    <cellStyle name="Percent 75 3 2 2" xfId="44216" xr:uid="{00000000-0005-0000-0000-000049AD0000}"/>
    <cellStyle name="Percent 75 3 3" xfId="44217" xr:uid="{00000000-0005-0000-0000-00004AAD0000}"/>
    <cellStyle name="Percent 75 4" xfId="44218" xr:uid="{00000000-0005-0000-0000-00004BAD0000}"/>
    <cellStyle name="Percent 75 4 2" xfId="44219" xr:uid="{00000000-0005-0000-0000-00004CAD0000}"/>
    <cellStyle name="Percent 75 4 2 2" xfId="44220" xr:uid="{00000000-0005-0000-0000-00004DAD0000}"/>
    <cellStyle name="Percent 75 4 3" xfId="44221" xr:uid="{00000000-0005-0000-0000-00004EAD0000}"/>
    <cellStyle name="Percent 76" xfId="44222" xr:uid="{00000000-0005-0000-0000-00004FAD0000}"/>
    <cellStyle name="Percent 76 2" xfId="44223" xr:uid="{00000000-0005-0000-0000-000050AD0000}"/>
    <cellStyle name="Percent 76 3" xfId="44224" xr:uid="{00000000-0005-0000-0000-000051AD0000}"/>
    <cellStyle name="Percent 76 3 2" xfId="44225" xr:uid="{00000000-0005-0000-0000-000052AD0000}"/>
    <cellStyle name="Percent 76 3 2 2" xfId="44226" xr:uid="{00000000-0005-0000-0000-000053AD0000}"/>
    <cellStyle name="Percent 76 3 3" xfId="44227" xr:uid="{00000000-0005-0000-0000-000054AD0000}"/>
    <cellStyle name="Percent 76 4" xfId="44228" xr:uid="{00000000-0005-0000-0000-000055AD0000}"/>
    <cellStyle name="Percent 76 4 2" xfId="44229" xr:uid="{00000000-0005-0000-0000-000056AD0000}"/>
    <cellStyle name="Percent 76 4 2 2" xfId="44230" xr:uid="{00000000-0005-0000-0000-000057AD0000}"/>
    <cellStyle name="Percent 76 4 3" xfId="44231" xr:uid="{00000000-0005-0000-0000-000058AD0000}"/>
    <cellStyle name="Percent 77" xfId="44232" xr:uid="{00000000-0005-0000-0000-000059AD0000}"/>
    <cellStyle name="Percent 77 2" xfId="44233" xr:uid="{00000000-0005-0000-0000-00005AAD0000}"/>
    <cellStyle name="Percent 77 3" xfId="44234" xr:uid="{00000000-0005-0000-0000-00005BAD0000}"/>
    <cellStyle name="Percent 77 3 2" xfId="44235" xr:uid="{00000000-0005-0000-0000-00005CAD0000}"/>
    <cellStyle name="Percent 77 3 2 2" xfId="44236" xr:uid="{00000000-0005-0000-0000-00005DAD0000}"/>
    <cellStyle name="Percent 77 3 3" xfId="44237" xr:uid="{00000000-0005-0000-0000-00005EAD0000}"/>
    <cellStyle name="Percent 77 4" xfId="44238" xr:uid="{00000000-0005-0000-0000-00005FAD0000}"/>
    <cellStyle name="Percent 77 4 2" xfId="44239" xr:uid="{00000000-0005-0000-0000-000060AD0000}"/>
    <cellStyle name="Percent 77 4 2 2" xfId="44240" xr:uid="{00000000-0005-0000-0000-000061AD0000}"/>
    <cellStyle name="Percent 77 4 3" xfId="44241" xr:uid="{00000000-0005-0000-0000-000062AD0000}"/>
    <cellStyle name="Percent 78" xfId="44242" xr:uid="{00000000-0005-0000-0000-000063AD0000}"/>
    <cellStyle name="Percent 78 2" xfId="44243" xr:uid="{00000000-0005-0000-0000-000064AD0000}"/>
    <cellStyle name="Percent 78 3" xfId="44244" xr:uid="{00000000-0005-0000-0000-000065AD0000}"/>
    <cellStyle name="Percent 78 3 2" xfId="44245" xr:uid="{00000000-0005-0000-0000-000066AD0000}"/>
    <cellStyle name="Percent 78 3 2 2" xfId="44246" xr:uid="{00000000-0005-0000-0000-000067AD0000}"/>
    <cellStyle name="Percent 78 3 3" xfId="44247" xr:uid="{00000000-0005-0000-0000-000068AD0000}"/>
    <cellStyle name="Percent 78 4" xfId="44248" xr:uid="{00000000-0005-0000-0000-000069AD0000}"/>
    <cellStyle name="Percent 78 4 2" xfId="44249" xr:uid="{00000000-0005-0000-0000-00006AAD0000}"/>
    <cellStyle name="Percent 78 4 2 2" xfId="44250" xr:uid="{00000000-0005-0000-0000-00006BAD0000}"/>
    <cellStyle name="Percent 78 4 3" xfId="44251" xr:uid="{00000000-0005-0000-0000-00006CAD0000}"/>
    <cellStyle name="Percent 79" xfId="44252" xr:uid="{00000000-0005-0000-0000-00006DAD0000}"/>
    <cellStyle name="Percent 79 2" xfId="44253" xr:uid="{00000000-0005-0000-0000-00006EAD0000}"/>
    <cellStyle name="Percent 79 3" xfId="44254" xr:uid="{00000000-0005-0000-0000-00006FAD0000}"/>
    <cellStyle name="Percent 79 3 2" xfId="44255" xr:uid="{00000000-0005-0000-0000-000070AD0000}"/>
    <cellStyle name="Percent 79 3 2 2" xfId="44256" xr:uid="{00000000-0005-0000-0000-000071AD0000}"/>
    <cellStyle name="Percent 79 3 3" xfId="44257" xr:uid="{00000000-0005-0000-0000-000072AD0000}"/>
    <cellStyle name="Percent 79 4" xfId="44258" xr:uid="{00000000-0005-0000-0000-000073AD0000}"/>
    <cellStyle name="Percent 79 4 2" xfId="44259" xr:uid="{00000000-0005-0000-0000-000074AD0000}"/>
    <cellStyle name="Percent 79 4 2 2" xfId="44260" xr:uid="{00000000-0005-0000-0000-000075AD0000}"/>
    <cellStyle name="Percent 79 4 3" xfId="44261" xr:uid="{00000000-0005-0000-0000-000076AD0000}"/>
    <cellStyle name="Percent 8" xfId="44262" xr:uid="{00000000-0005-0000-0000-000077AD0000}"/>
    <cellStyle name="Percent 8 2" xfId="44263" xr:uid="{00000000-0005-0000-0000-000078AD0000}"/>
    <cellStyle name="Percent 8 2 2" xfId="44264" xr:uid="{00000000-0005-0000-0000-000079AD0000}"/>
    <cellStyle name="Percent 8 2 2 2" xfId="44265" xr:uid="{00000000-0005-0000-0000-00007AAD0000}"/>
    <cellStyle name="Percent 8 2 3" xfId="44266" xr:uid="{00000000-0005-0000-0000-00007BAD0000}"/>
    <cellStyle name="Percent 8 2 3 2" xfId="44267" xr:uid="{00000000-0005-0000-0000-00007CAD0000}"/>
    <cellStyle name="Percent 8 2 3 2 2" xfId="44268" xr:uid="{00000000-0005-0000-0000-00007DAD0000}"/>
    <cellStyle name="Percent 8 2 3 3" xfId="44269" xr:uid="{00000000-0005-0000-0000-00007EAD0000}"/>
    <cellStyle name="Percent 8 2 4" xfId="44270" xr:uid="{00000000-0005-0000-0000-00007FAD0000}"/>
    <cellStyle name="Percent 8 2 4 2" xfId="44271" xr:uid="{00000000-0005-0000-0000-000080AD0000}"/>
    <cellStyle name="Percent 8 2 4 2 2" xfId="44272" xr:uid="{00000000-0005-0000-0000-000081AD0000}"/>
    <cellStyle name="Percent 8 2 4 3" xfId="44273" xr:uid="{00000000-0005-0000-0000-000082AD0000}"/>
    <cellStyle name="Percent 8 2 5" xfId="44274" xr:uid="{00000000-0005-0000-0000-000083AD0000}"/>
    <cellStyle name="Percent 8 3" xfId="44275" xr:uid="{00000000-0005-0000-0000-000084AD0000}"/>
    <cellStyle name="Percent 8 3 2" xfId="44276" xr:uid="{00000000-0005-0000-0000-000085AD0000}"/>
    <cellStyle name="Percent 8 3 2 2" xfId="44277" xr:uid="{00000000-0005-0000-0000-000086AD0000}"/>
    <cellStyle name="Percent 8 3 3" xfId="44278" xr:uid="{00000000-0005-0000-0000-000087AD0000}"/>
    <cellStyle name="Percent 8 3 3 2" xfId="44279" xr:uid="{00000000-0005-0000-0000-000088AD0000}"/>
    <cellStyle name="Percent 8 3 3 2 2" xfId="44280" xr:uid="{00000000-0005-0000-0000-000089AD0000}"/>
    <cellStyle name="Percent 8 3 3 3" xfId="44281" xr:uid="{00000000-0005-0000-0000-00008AAD0000}"/>
    <cellStyle name="Percent 8 3 4" xfId="44282" xr:uid="{00000000-0005-0000-0000-00008BAD0000}"/>
    <cellStyle name="Percent 8 4" xfId="44283" xr:uid="{00000000-0005-0000-0000-00008CAD0000}"/>
    <cellStyle name="Percent 8 5" xfId="44284" xr:uid="{00000000-0005-0000-0000-00008DAD0000}"/>
    <cellStyle name="Percent 8 5 2" xfId="44285" xr:uid="{00000000-0005-0000-0000-00008EAD0000}"/>
    <cellStyle name="Percent 8 5 2 2" xfId="44286" xr:uid="{00000000-0005-0000-0000-00008FAD0000}"/>
    <cellStyle name="Percent 8 5 3" xfId="44287" xr:uid="{00000000-0005-0000-0000-000090AD0000}"/>
    <cellStyle name="Percent 8 6" xfId="44288" xr:uid="{00000000-0005-0000-0000-000091AD0000}"/>
    <cellStyle name="Percent 8 6 2" xfId="44289" xr:uid="{00000000-0005-0000-0000-000092AD0000}"/>
    <cellStyle name="Percent 8 6 2 2" xfId="44290" xr:uid="{00000000-0005-0000-0000-000093AD0000}"/>
    <cellStyle name="Percent 8 6 3" xfId="44291" xr:uid="{00000000-0005-0000-0000-000094AD0000}"/>
    <cellStyle name="Percent 80" xfId="44292" xr:uid="{00000000-0005-0000-0000-000095AD0000}"/>
    <cellStyle name="Percent 80 2" xfId="44293" xr:uid="{00000000-0005-0000-0000-000096AD0000}"/>
    <cellStyle name="Percent 80 3" xfId="44294" xr:uid="{00000000-0005-0000-0000-000097AD0000}"/>
    <cellStyle name="Percent 80 3 2" xfId="44295" xr:uid="{00000000-0005-0000-0000-000098AD0000}"/>
    <cellStyle name="Percent 80 3 2 2" xfId="44296" xr:uid="{00000000-0005-0000-0000-000099AD0000}"/>
    <cellStyle name="Percent 80 3 3" xfId="44297" xr:uid="{00000000-0005-0000-0000-00009AAD0000}"/>
    <cellStyle name="Percent 80 4" xfId="44298" xr:uid="{00000000-0005-0000-0000-00009BAD0000}"/>
    <cellStyle name="Percent 80 4 2" xfId="44299" xr:uid="{00000000-0005-0000-0000-00009CAD0000}"/>
    <cellStyle name="Percent 80 4 2 2" xfId="44300" xr:uid="{00000000-0005-0000-0000-00009DAD0000}"/>
    <cellStyle name="Percent 80 4 3" xfId="44301" xr:uid="{00000000-0005-0000-0000-00009EAD0000}"/>
    <cellStyle name="Percent 81" xfId="44302" xr:uid="{00000000-0005-0000-0000-00009FAD0000}"/>
    <cellStyle name="Percent 81 2" xfId="44303" xr:uid="{00000000-0005-0000-0000-0000A0AD0000}"/>
    <cellStyle name="Percent 81 3" xfId="44304" xr:uid="{00000000-0005-0000-0000-0000A1AD0000}"/>
    <cellStyle name="Percent 81 3 2" xfId="44305" xr:uid="{00000000-0005-0000-0000-0000A2AD0000}"/>
    <cellStyle name="Percent 81 3 2 2" xfId="44306" xr:uid="{00000000-0005-0000-0000-0000A3AD0000}"/>
    <cellStyle name="Percent 81 3 3" xfId="44307" xr:uid="{00000000-0005-0000-0000-0000A4AD0000}"/>
    <cellStyle name="Percent 81 4" xfId="44308" xr:uid="{00000000-0005-0000-0000-0000A5AD0000}"/>
    <cellStyle name="Percent 81 4 2" xfId="44309" xr:uid="{00000000-0005-0000-0000-0000A6AD0000}"/>
    <cellStyle name="Percent 81 4 2 2" xfId="44310" xr:uid="{00000000-0005-0000-0000-0000A7AD0000}"/>
    <cellStyle name="Percent 81 4 3" xfId="44311" xr:uid="{00000000-0005-0000-0000-0000A8AD0000}"/>
    <cellStyle name="Percent 82" xfId="44312" xr:uid="{00000000-0005-0000-0000-0000A9AD0000}"/>
    <cellStyle name="Percent 82 2" xfId="44313" xr:uid="{00000000-0005-0000-0000-0000AAAD0000}"/>
    <cellStyle name="Percent 82 3" xfId="44314" xr:uid="{00000000-0005-0000-0000-0000ABAD0000}"/>
    <cellStyle name="Percent 82 3 2" xfId="44315" xr:uid="{00000000-0005-0000-0000-0000ACAD0000}"/>
    <cellStyle name="Percent 82 3 2 2" xfId="44316" xr:uid="{00000000-0005-0000-0000-0000ADAD0000}"/>
    <cellStyle name="Percent 82 3 3" xfId="44317" xr:uid="{00000000-0005-0000-0000-0000AEAD0000}"/>
    <cellStyle name="Percent 82 4" xfId="44318" xr:uid="{00000000-0005-0000-0000-0000AFAD0000}"/>
    <cellStyle name="Percent 82 4 2" xfId="44319" xr:uid="{00000000-0005-0000-0000-0000B0AD0000}"/>
    <cellStyle name="Percent 82 4 2 2" xfId="44320" xr:uid="{00000000-0005-0000-0000-0000B1AD0000}"/>
    <cellStyle name="Percent 82 4 3" xfId="44321" xr:uid="{00000000-0005-0000-0000-0000B2AD0000}"/>
    <cellStyle name="Percent 83" xfId="44322" xr:uid="{00000000-0005-0000-0000-0000B3AD0000}"/>
    <cellStyle name="Percent 83 2" xfId="44323" xr:uid="{00000000-0005-0000-0000-0000B4AD0000}"/>
    <cellStyle name="Percent 83 3" xfId="44324" xr:uid="{00000000-0005-0000-0000-0000B5AD0000}"/>
    <cellStyle name="Percent 83 3 2" xfId="44325" xr:uid="{00000000-0005-0000-0000-0000B6AD0000}"/>
    <cellStyle name="Percent 83 3 2 2" xfId="44326" xr:uid="{00000000-0005-0000-0000-0000B7AD0000}"/>
    <cellStyle name="Percent 83 3 3" xfId="44327" xr:uid="{00000000-0005-0000-0000-0000B8AD0000}"/>
    <cellStyle name="Percent 83 4" xfId="44328" xr:uid="{00000000-0005-0000-0000-0000B9AD0000}"/>
    <cellStyle name="Percent 83 4 2" xfId="44329" xr:uid="{00000000-0005-0000-0000-0000BAAD0000}"/>
    <cellStyle name="Percent 83 4 2 2" xfId="44330" xr:uid="{00000000-0005-0000-0000-0000BBAD0000}"/>
    <cellStyle name="Percent 83 4 3" xfId="44331" xr:uid="{00000000-0005-0000-0000-0000BCAD0000}"/>
    <cellStyle name="Percent 84" xfId="44332" xr:uid="{00000000-0005-0000-0000-0000BDAD0000}"/>
    <cellStyle name="Percent 84 2" xfId="44333" xr:uid="{00000000-0005-0000-0000-0000BEAD0000}"/>
    <cellStyle name="Percent 84 3" xfId="44334" xr:uid="{00000000-0005-0000-0000-0000BFAD0000}"/>
    <cellStyle name="Percent 84 3 2" xfId="44335" xr:uid="{00000000-0005-0000-0000-0000C0AD0000}"/>
    <cellStyle name="Percent 84 3 2 2" xfId="44336" xr:uid="{00000000-0005-0000-0000-0000C1AD0000}"/>
    <cellStyle name="Percent 84 3 3" xfId="44337" xr:uid="{00000000-0005-0000-0000-0000C2AD0000}"/>
    <cellStyle name="Percent 84 4" xfId="44338" xr:uid="{00000000-0005-0000-0000-0000C3AD0000}"/>
    <cellStyle name="Percent 84 4 2" xfId="44339" xr:uid="{00000000-0005-0000-0000-0000C4AD0000}"/>
    <cellStyle name="Percent 84 4 2 2" xfId="44340" xr:uid="{00000000-0005-0000-0000-0000C5AD0000}"/>
    <cellStyle name="Percent 84 4 3" xfId="44341" xr:uid="{00000000-0005-0000-0000-0000C6AD0000}"/>
    <cellStyle name="Percent 85" xfId="44342" xr:uid="{00000000-0005-0000-0000-0000C7AD0000}"/>
    <cellStyle name="Percent 85 2" xfId="44343" xr:uid="{00000000-0005-0000-0000-0000C8AD0000}"/>
    <cellStyle name="Percent 85 3" xfId="44344" xr:uid="{00000000-0005-0000-0000-0000C9AD0000}"/>
    <cellStyle name="Percent 85 3 2" xfId="44345" xr:uid="{00000000-0005-0000-0000-0000CAAD0000}"/>
    <cellStyle name="Percent 85 3 2 2" xfId="44346" xr:uid="{00000000-0005-0000-0000-0000CBAD0000}"/>
    <cellStyle name="Percent 85 3 3" xfId="44347" xr:uid="{00000000-0005-0000-0000-0000CCAD0000}"/>
    <cellStyle name="Percent 85 4" xfId="44348" xr:uid="{00000000-0005-0000-0000-0000CDAD0000}"/>
    <cellStyle name="Percent 85 4 2" xfId="44349" xr:uid="{00000000-0005-0000-0000-0000CEAD0000}"/>
    <cellStyle name="Percent 85 4 2 2" xfId="44350" xr:uid="{00000000-0005-0000-0000-0000CFAD0000}"/>
    <cellStyle name="Percent 85 4 3" xfId="44351" xr:uid="{00000000-0005-0000-0000-0000D0AD0000}"/>
    <cellStyle name="Percent 86" xfId="44352" xr:uid="{00000000-0005-0000-0000-0000D1AD0000}"/>
    <cellStyle name="Percent 86 2" xfId="44353" xr:uid="{00000000-0005-0000-0000-0000D2AD0000}"/>
    <cellStyle name="Percent 86 3" xfId="44354" xr:uid="{00000000-0005-0000-0000-0000D3AD0000}"/>
    <cellStyle name="Percent 86 3 2" xfId="44355" xr:uid="{00000000-0005-0000-0000-0000D4AD0000}"/>
    <cellStyle name="Percent 86 3 2 2" xfId="44356" xr:uid="{00000000-0005-0000-0000-0000D5AD0000}"/>
    <cellStyle name="Percent 86 3 3" xfId="44357" xr:uid="{00000000-0005-0000-0000-0000D6AD0000}"/>
    <cellStyle name="Percent 86 4" xfId="44358" xr:uid="{00000000-0005-0000-0000-0000D7AD0000}"/>
    <cellStyle name="Percent 86 4 2" xfId="44359" xr:uid="{00000000-0005-0000-0000-0000D8AD0000}"/>
    <cellStyle name="Percent 86 4 2 2" xfId="44360" xr:uid="{00000000-0005-0000-0000-0000D9AD0000}"/>
    <cellStyle name="Percent 86 4 3" xfId="44361" xr:uid="{00000000-0005-0000-0000-0000DAAD0000}"/>
    <cellStyle name="Percent 87" xfId="44362" xr:uid="{00000000-0005-0000-0000-0000DBAD0000}"/>
    <cellStyle name="Percent 87 2" xfId="44363" xr:uid="{00000000-0005-0000-0000-0000DCAD0000}"/>
    <cellStyle name="Percent 87 3" xfId="44364" xr:uid="{00000000-0005-0000-0000-0000DDAD0000}"/>
    <cellStyle name="Percent 87 3 2" xfId="44365" xr:uid="{00000000-0005-0000-0000-0000DEAD0000}"/>
    <cellStyle name="Percent 87 3 2 2" xfId="44366" xr:uid="{00000000-0005-0000-0000-0000DFAD0000}"/>
    <cellStyle name="Percent 87 3 3" xfId="44367" xr:uid="{00000000-0005-0000-0000-0000E0AD0000}"/>
    <cellStyle name="Percent 87 4" xfId="44368" xr:uid="{00000000-0005-0000-0000-0000E1AD0000}"/>
    <cellStyle name="Percent 87 4 2" xfId="44369" xr:uid="{00000000-0005-0000-0000-0000E2AD0000}"/>
    <cellStyle name="Percent 87 4 2 2" xfId="44370" xr:uid="{00000000-0005-0000-0000-0000E3AD0000}"/>
    <cellStyle name="Percent 87 4 3" xfId="44371" xr:uid="{00000000-0005-0000-0000-0000E4AD0000}"/>
    <cellStyle name="Percent 88" xfId="44372" xr:uid="{00000000-0005-0000-0000-0000E5AD0000}"/>
    <cellStyle name="Percent 88 2" xfId="44373" xr:uid="{00000000-0005-0000-0000-0000E6AD0000}"/>
    <cellStyle name="Percent 88 3" xfId="44374" xr:uid="{00000000-0005-0000-0000-0000E7AD0000}"/>
    <cellStyle name="Percent 88 3 2" xfId="44375" xr:uid="{00000000-0005-0000-0000-0000E8AD0000}"/>
    <cellStyle name="Percent 88 3 2 2" xfId="44376" xr:uid="{00000000-0005-0000-0000-0000E9AD0000}"/>
    <cellStyle name="Percent 88 3 3" xfId="44377" xr:uid="{00000000-0005-0000-0000-0000EAAD0000}"/>
    <cellStyle name="Percent 88 4" xfId="44378" xr:uid="{00000000-0005-0000-0000-0000EBAD0000}"/>
    <cellStyle name="Percent 88 4 2" xfId="44379" xr:uid="{00000000-0005-0000-0000-0000ECAD0000}"/>
    <cellStyle name="Percent 88 4 2 2" xfId="44380" xr:uid="{00000000-0005-0000-0000-0000EDAD0000}"/>
    <cellStyle name="Percent 88 4 3" xfId="44381" xr:uid="{00000000-0005-0000-0000-0000EEAD0000}"/>
    <cellStyle name="Percent 89" xfId="44382" xr:uid="{00000000-0005-0000-0000-0000EFAD0000}"/>
    <cellStyle name="Percent 89 2" xfId="44383" xr:uid="{00000000-0005-0000-0000-0000F0AD0000}"/>
    <cellStyle name="Percent 89 3" xfId="44384" xr:uid="{00000000-0005-0000-0000-0000F1AD0000}"/>
    <cellStyle name="Percent 89 3 2" xfId="44385" xr:uid="{00000000-0005-0000-0000-0000F2AD0000}"/>
    <cellStyle name="Percent 89 3 2 2" xfId="44386" xr:uid="{00000000-0005-0000-0000-0000F3AD0000}"/>
    <cellStyle name="Percent 89 3 3" xfId="44387" xr:uid="{00000000-0005-0000-0000-0000F4AD0000}"/>
    <cellStyle name="Percent 89 4" xfId="44388" xr:uid="{00000000-0005-0000-0000-0000F5AD0000}"/>
    <cellStyle name="Percent 89 4 2" xfId="44389" xr:uid="{00000000-0005-0000-0000-0000F6AD0000}"/>
    <cellStyle name="Percent 89 4 2 2" xfId="44390" xr:uid="{00000000-0005-0000-0000-0000F7AD0000}"/>
    <cellStyle name="Percent 89 4 3" xfId="44391" xr:uid="{00000000-0005-0000-0000-0000F8AD0000}"/>
    <cellStyle name="Percent 9" xfId="44392" xr:uid="{00000000-0005-0000-0000-0000F9AD0000}"/>
    <cellStyle name="Percent 9 2" xfId="44393" xr:uid="{00000000-0005-0000-0000-0000FAAD0000}"/>
    <cellStyle name="Percent 9 3" xfId="44394" xr:uid="{00000000-0005-0000-0000-0000FBAD0000}"/>
    <cellStyle name="Percent 9 3 2" xfId="44395" xr:uid="{00000000-0005-0000-0000-0000FCAD0000}"/>
    <cellStyle name="Percent 9 3 2 2" xfId="44396" xr:uid="{00000000-0005-0000-0000-0000FDAD0000}"/>
    <cellStyle name="Percent 9 3 3" xfId="44397" xr:uid="{00000000-0005-0000-0000-0000FEAD0000}"/>
    <cellStyle name="Percent 9 4" xfId="44398" xr:uid="{00000000-0005-0000-0000-0000FFAD0000}"/>
    <cellStyle name="Percent 9 4 2" xfId="44399" xr:uid="{00000000-0005-0000-0000-000000AE0000}"/>
    <cellStyle name="Percent 9 4 2 2" xfId="44400" xr:uid="{00000000-0005-0000-0000-000001AE0000}"/>
    <cellStyle name="Percent 9 4 3" xfId="44401" xr:uid="{00000000-0005-0000-0000-000002AE0000}"/>
    <cellStyle name="Percent 90" xfId="44402" xr:uid="{00000000-0005-0000-0000-000003AE0000}"/>
    <cellStyle name="Percent 90 2" xfId="44403" xr:uid="{00000000-0005-0000-0000-000004AE0000}"/>
    <cellStyle name="Percent 90 3" xfId="44404" xr:uid="{00000000-0005-0000-0000-000005AE0000}"/>
    <cellStyle name="Percent 90 3 2" xfId="44405" xr:uid="{00000000-0005-0000-0000-000006AE0000}"/>
    <cellStyle name="Percent 90 3 2 2" xfId="44406" xr:uid="{00000000-0005-0000-0000-000007AE0000}"/>
    <cellStyle name="Percent 90 3 3" xfId="44407" xr:uid="{00000000-0005-0000-0000-000008AE0000}"/>
    <cellStyle name="Percent 90 4" xfId="44408" xr:uid="{00000000-0005-0000-0000-000009AE0000}"/>
    <cellStyle name="Percent 90 4 2" xfId="44409" xr:uid="{00000000-0005-0000-0000-00000AAE0000}"/>
    <cellStyle name="Percent 90 4 2 2" xfId="44410" xr:uid="{00000000-0005-0000-0000-00000BAE0000}"/>
    <cellStyle name="Percent 90 4 3" xfId="44411" xr:uid="{00000000-0005-0000-0000-00000CAE0000}"/>
    <cellStyle name="Percent 91" xfId="44412" xr:uid="{00000000-0005-0000-0000-00000DAE0000}"/>
    <cellStyle name="Percent 91 2" xfId="44413" xr:uid="{00000000-0005-0000-0000-00000EAE0000}"/>
    <cellStyle name="Percent 91 3" xfId="44414" xr:uid="{00000000-0005-0000-0000-00000FAE0000}"/>
    <cellStyle name="Percent 91 3 2" xfId="44415" xr:uid="{00000000-0005-0000-0000-000010AE0000}"/>
    <cellStyle name="Percent 91 3 2 2" xfId="44416" xr:uid="{00000000-0005-0000-0000-000011AE0000}"/>
    <cellStyle name="Percent 91 3 3" xfId="44417" xr:uid="{00000000-0005-0000-0000-000012AE0000}"/>
    <cellStyle name="Percent 91 4" xfId="44418" xr:uid="{00000000-0005-0000-0000-000013AE0000}"/>
    <cellStyle name="Percent 91 4 2" xfId="44419" xr:uid="{00000000-0005-0000-0000-000014AE0000}"/>
    <cellStyle name="Percent 91 4 2 2" xfId="44420" xr:uid="{00000000-0005-0000-0000-000015AE0000}"/>
    <cellStyle name="Percent 91 4 3" xfId="44421" xr:uid="{00000000-0005-0000-0000-000016AE0000}"/>
    <cellStyle name="Percent 92" xfId="44422" xr:uid="{00000000-0005-0000-0000-000017AE0000}"/>
    <cellStyle name="Percent 92 2" xfId="44423" xr:uid="{00000000-0005-0000-0000-000018AE0000}"/>
    <cellStyle name="Percent 92 3" xfId="44424" xr:uid="{00000000-0005-0000-0000-000019AE0000}"/>
    <cellStyle name="Percent 92 3 2" xfId="44425" xr:uid="{00000000-0005-0000-0000-00001AAE0000}"/>
    <cellStyle name="Percent 92 3 2 2" xfId="44426" xr:uid="{00000000-0005-0000-0000-00001BAE0000}"/>
    <cellStyle name="Percent 92 3 3" xfId="44427" xr:uid="{00000000-0005-0000-0000-00001CAE0000}"/>
    <cellStyle name="Percent 92 4" xfId="44428" xr:uid="{00000000-0005-0000-0000-00001DAE0000}"/>
    <cellStyle name="Percent 92 4 2" xfId="44429" xr:uid="{00000000-0005-0000-0000-00001EAE0000}"/>
    <cellStyle name="Percent 92 4 2 2" xfId="44430" xr:uid="{00000000-0005-0000-0000-00001FAE0000}"/>
    <cellStyle name="Percent 92 4 3" xfId="44431" xr:uid="{00000000-0005-0000-0000-000020AE0000}"/>
    <cellStyle name="Percent 93" xfId="44432" xr:uid="{00000000-0005-0000-0000-000021AE0000}"/>
    <cellStyle name="Percent 93 2" xfId="44433" xr:uid="{00000000-0005-0000-0000-000022AE0000}"/>
    <cellStyle name="Percent 93 3" xfId="44434" xr:uid="{00000000-0005-0000-0000-000023AE0000}"/>
    <cellStyle name="Percent 93 3 2" xfId="44435" xr:uid="{00000000-0005-0000-0000-000024AE0000}"/>
    <cellStyle name="Percent 93 3 2 2" xfId="44436" xr:uid="{00000000-0005-0000-0000-000025AE0000}"/>
    <cellStyle name="Percent 93 3 3" xfId="44437" xr:uid="{00000000-0005-0000-0000-000026AE0000}"/>
    <cellStyle name="Percent 93 4" xfId="44438" xr:uid="{00000000-0005-0000-0000-000027AE0000}"/>
    <cellStyle name="Percent 93 4 2" xfId="44439" xr:uid="{00000000-0005-0000-0000-000028AE0000}"/>
    <cellStyle name="Percent 93 4 2 2" xfId="44440" xr:uid="{00000000-0005-0000-0000-000029AE0000}"/>
    <cellStyle name="Percent 93 4 3" xfId="44441" xr:uid="{00000000-0005-0000-0000-00002AAE0000}"/>
    <cellStyle name="Percent 94" xfId="44442" xr:uid="{00000000-0005-0000-0000-00002BAE0000}"/>
    <cellStyle name="Percent 94 2" xfId="44443" xr:uid="{00000000-0005-0000-0000-00002CAE0000}"/>
    <cellStyle name="Percent 94 3" xfId="44444" xr:uid="{00000000-0005-0000-0000-00002DAE0000}"/>
    <cellStyle name="Percent 94 3 2" xfId="44445" xr:uid="{00000000-0005-0000-0000-00002EAE0000}"/>
    <cellStyle name="Percent 94 3 2 2" xfId="44446" xr:uid="{00000000-0005-0000-0000-00002FAE0000}"/>
    <cellStyle name="Percent 94 3 3" xfId="44447" xr:uid="{00000000-0005-0000-0000-000030AE0000}"/>
    <cellStyle name="Percent 94 4" xfId="44448" xr:uid="{00000000-0005-0000-0000-000031AE0000}"/>
    <cellStyle name="Percent 94 4 2" xfId="44449" xr:uid="{00000000-0005-0000-0000-000032AE0000}"/>
    <cellStyle name="Percent 94 4 2 2" xfId="44450" xr:uid="{00000000-0005-0000-0000-000033AE0000}"/>
    <cellStyle name="Percent 94 4 3" xfId="44451" xr:uid="{00000000-0005-0000-0000-000034AE0000}"/>
    <cellStyle name="Percent 95" xfId="44452" xr:uid="{00000000-0005-0000-0000-000035AE0000}"/>
    <cellStyle name="Percent 95 2" xfId="44453" xr:uid="{00000000-0005-0000-0000-000036AE0000}"/>
    <cellStyle name="Percent 95 3" xfId="44454" xr:uid="{00000000-0005-0000-0000-000037AE0000}"/>
    <cellStyle name="Percent 95 3 2" xfId="44455" xr:uid="{00000000-0005-0000-0000-000038AE0000}"/>
    <cellStyle name="Percent 95 3 2 2" xfId="44456" xr:uid="{00000000-0005-0000-0000-000039AE0000}"/>
    <cellStyle name="Percent 95 3 3" xfId="44457" xr:uid="{00000000-0005-0000-0000-00003AAE0000}"/>
    <cellStyle name="Percent 95 4" xfId="44458" xr:uid="{00000000-0005-0000-0000-00003BAE0000}"/>
    <cellStyle name="Percent 95 4 2" xfId="44459" xr:uid="{00000000-0005-0000-0000-00003CAE0000}"/>
    <cellStyle name="Percent 95 4 2 2" xfId="44460" xr:uid="{00000000-0005-0000-0000-00003DAE0000}"/>
    <cellStyle name="Percent 95 4 3" xfId="44461" xr:uid="{00000000-0005-0000-0000-00003EAE0000}"/>
    <cellStyle name="Percent 96" xfId="44462" xr:uid="{00000000-0005-0000-0000-00003FAE0000}"/>
    <cellStyle name="Percent 96 2" xfId="44463" xr:uid="{00000000-0005-0000-0000-000040AE0000}"/>
    <cellStyle name="Percent 96 3" xfId="44464" xr:uid="{00000000-0005-0000-0000-000041AE0000}"/>
    <cellStyle name="Percent 96 3 2" xfId="44465" xr:uid="{00000000-0005-0000-0000-000042AE0000}"/>
    <cellStyle name="Percent 96 3 2 2" xfId="44466" xr:uid="{00000000-0005-0000-0000-000043AE0000}"/>
    <cellStyle name="Percent 96 3 3" xfId="44467" xr:uid="{00000000-0005-0000-0000-000044AE0000}"/>
    <cellStyle name="Percent 96 4" xfId="44468" xr:uid="{00000000-0005-0000-0000-000045AE0000}"/>
    <cellStyle name="Percent 96 4 2" xfId="44469" xr:uid="{00000000-0005-0000-0000-000046AE0000}"/>
    <cellStyle name="Percent 96 4 2 2" xfId="44470" xr:uid="{00000000-0005-0000-0000-000047AE0000}"/>
    <cellStyle name="Percent 96 4 3" xfId="44471" xr:uid="{00000000-0005-0000-0000-000048AE0000}"/>
    <cellStyle name="Percent 97" xfId="44472" xr:uid="{00000000-0005-0000-0000-000049AE0000}"/>
    <cellStyle name="Percent 97 2" xfId="44473" xr:uid="{00000000-0005-0000-0000-00004AAE0000}"/>
    <cellStyle name="Percent 97 3" xfId="44474" xr:uid="{00000000-0005-0000-0000-00004BAE0000}"/>
    <cellStyle name="Percent 97 3 2" xfId="44475" xr:uid="{00000000-0005-0000-0000-00004CAE0000}"/>
    <cellStyle name="Percent 97 3 2 2" xfId="44476" xr:uid="{00000000-0005-0000-0000-00004DAE0000}"/>
    <cellStyle name="Percent 97 3 3" xfId="44477" xr:uid="{00000000-0005-0000-0000-00004EAE0000}"/>
    <cellStyle name="Percent 97 4" xfId="44478" xr:uid="{00000000-0005-0000-0000-00004FAE0000}"/>
    <cellStyle name="Percent 97 4 2" xfId="44479" xr:uid="{00000000-0005-0000-0000-000050AE0000}"/>
    <cellStyle name="Percent 97 4 2 2" xfId="44480" xr:uid="{00000000-0005-0000-0000-000051AE0000}"/>
    <cellStyle name="Percent 97 4 3" xfId="44481" xr:uid="{00000000-0005-0000-0000-000052AE0000}"/>
    <cellStyle name="Percent 98" xfId="44482" xr:uid="{00000000-0005-0000-0000-000053AE0000}"/>
    <cellStyle name="Percent 98 2" xfId="44483" xr:uid="{00000000-0005-0000-0000-000054AE0000}"/>
    <cellStyle name="Percent 98 3" xfId="44484" xr:uid="{00000000-0005-0000-0000-000055AE0000}"/>
    <cellStyle name="Percent 98 3 2" xfId="44485" xr:uid="{00000000-0005-0000-0000-000056AE0000}"/>
    <cellStyle name="Percent 98 3 2 2" xfId="44486" xr:uid="{00000000-0005-0000-0000-000057AE0000}"/>
    <cellStyle name="Percent 98 3 3" xfId="44487" xr:uid="{00000000-0005-0000-0000-000058AE0000}"/>
    <cellStyle name="Percent 98 4" xfId="44488" xr:uid="{00000000-0005-0000-0000-000059AE0000}"/>
    <cellStyle name="Percent 98 4 2" xfId="44489" xr:uid="{00000000-0005-0000-0000-00005AAE0000}"/>
    <cellStyle name="Percent 98 4 2 2" xfId="44490" xr:uid="{00000000-0005-0000-0000-00005BAE0000}"/>
    <cellStyle name="Percent 98 4 3" xfId="44491" xr:uid="{00000000-0005-0000-0000-00005CAE0000}"/>
    <cellStyle name="Percent 99" xfId="44492" xr:uid="{00000000-0005-0000-0000-00005DAE0000}"/>
    <cellStyle name="Percent 99 2" xfId="44493" xr:uid="{00000000-0005-0000-0000-00005EAE0000}"/>
    <cellStyle name="Percent 99 3" xfId="44494" xr:uid="{00000000-0005-0000-0000-00005FAE0000}"/>
    <cellStyle name="Percent 99 3 2" xfId="44495" xr:uid="{00000000-0005-0000-0000-000060AE0000}"/>
    <cellStyle name="Percent 99 3 2 2" xfId="44496" xr:uid="{00000000-0005-0000-0000-000061AE0000}"/>
    <cellStyle name="Percent 99 3 3" xfId="44497" xr:uid="{00000000-0005-0000-0000-000062AE0000}"/>
    <cellStyle name="Percent 99 4" xfId="44498" xr:uid="{00000000-0005-0000-0000-000063AE0000}"/>
    <cellStyle name="Percent 99 4 2" xfId="44499" xr:uid="{00000000-0005-0000-0000-000064AE0000}"/>
    <cellStyle name="Percent 99 4 2 2" xfId="44500" xr:uid="{00000000-0005-0000-0000-000065AE0000}"/>
    <cellStyle name="Percent 99 4 3" xfId="44501" xr:uid="{00000000-0005-0000-0000-000066AE0000}"/>
    <cellStyle name="Percent[0]" xfId="44502" xr:uid="{00000000-0005-0000-0000-000067AE0000}"/>
    <cellStyle name="Percent[00]" xfId="44503" xr:uid="{00000000-0005-0000-0000-000068AE0000}"/>
    <cellStyle name="Percent[00] 2" xfId="44504" xr:uid="{00000000-0005-0000-0000-000069AE0000}"/>
    <cellStyle name="Percent[00] 3" xfId="44505" xr:uid="{00000000-0005-0000-0000-00006AAE0000}"/>
    <cellStyle name="Percent[00] 3 2" xfId="44506" xr:uid="{00000000-0005-0000-0000-00006BAE0000}"/>
    <cellStyle name="Percent[00] 3 2 2" xfId="44507" xr:uid="{00000000-0005-0000-0000-00006CAE0000}"/>
    <cellStyle name="Percent[00] 3 3" xfId="44508" xr:uid="{00000000-0005-0000-0000-00006DAE0000}"/>
    <cellStyle name="Percent[00] 4" xfId="44509" xr:uid="{00000000-0005-0000-0000-00006EAE0000}"/>
    <cellStyle name="Percent[00] 4 2" xfId="44510" xr:uid="{00000000-0005-0000-0000-00006FAE0000}"/>
    <cellStyle name="Percent[00] 4 2 2" xfId="44511" xr:uid="{00000000-0005-0000-0000-000070AE0000}"/>
    <cellStyle name="Percent[00] 4 3" xfId="44512" xr:uid="{00000000-0005-0000-0000-000071AE0000}"/>
    <cellStyle name="Percent1" xfId="44513" xr:uid="{00000000-0005-0000-0000-000072AE0000}"/>
    <cellStyle name="Percent1 2" xfId="44514" xr:uid="{00000000-0005-0000-0000-000073AE0000}"/>
    <cellStyle name="Percent1 3" xfId="44515" xr:uid="{00000000-0005-0000-0000-000074AE0000}"/>
    <cellStyle name="Percent1 3 2" xfId="44516" xr:uid="{00000000-0005-0000-0000-000075AE0000}"/>
    <cellStyle name="Percent1 3 2 2" xfId="44517" xr:uid="{00000000-0005-0000-0000-000076AE0000}"/>
    <cellStyle name="Percent1 3 3" xfId="44518" xr:uid="{00000000-0005-0000-0000-000077AE0000}"/>
    <cellStyle name="Percent1 4" xfId="44519" xr:uid="{00000000-0005-0000-0000-000078AE0000}"/>
    <cellStyle name="Percent1 4 2" xfId="44520" xr:uid="{00000000-0005-0000-0000-000079AE0000}"/>
    <cellStyle name="Percent1 4 2 2" xfId="44521" xr:uid="{00000000-0005-0000-0000-00007AAE0000}"/>
    <cellStyle name="Percent1 4 3" xfId="44522" xr:uid="{00000000-0005-0000-0000-00007BAE0000}"/>
    <cellStyle name="Placeholder" xfId="44523" xr:uid="{00000000-0005-0000-0000-00007CAE0000}"/>
    <cellStyle name="Placeholder 2" xfId="44524" xr:uid="{00000000-0005-0000-0000-00007DAE0000}"/>
    <cellStyle name="Placeholder 3" xfId="44525" xr:uid="{00000000-0005-0000-0000-00007EAE0000}"/>
    <cellStyle name="Placeholder 3 2" xfId="44526" xr:uid="{00000000-0005-0000-0000-00007FAE0000}"/>
    <cellStyle name="Placeholder 3 2 2" xfId="44527" xr:uid="{00000000-0005-0000-0000-000080AE0000}"/>
    <cellStyle name="Placeholder 3 3" xfId="44528" xr:uid="{00000000-0005-0000-0000-000081AE0000}"/>
    <cellStyle name="Placeholder 4" xfId="44529" xr:uid="{00000000-0005-0000-0000-000082AE0000}"/>
    <cellStyle name="Placeholder 4 2" xfId="44530" xr:uid="{00000000-0005-0000-0000-000083AE0000}"/>
    <cellStyle name="Placeholder 4 2 2" xfId="44531" xr:uid="{00000000-0005-0000-0000-000084AE0000}"/>
    <cellStyle name="Placeholder 4 3" xfId="44532" xr:uid="{00000000-0005-0000-0000-000085AE0000}"/>
    <cellStyle name="PSChar" xfId="44533" xr:uid="{00000000-0005-0000-0000-000086AE0000}"/>
    <cellStyle name="PSChar 10" xfId="44534" xr:uid="{00000000-0005-0000-0000-000087AE0000}"/>
    <cellStyle name="PSChar 2" xfId="44535" xr:uid="{00000000-0005-0000-0000-000088AE0000}"/>
    <cellStyle name="PSChar 2 2" xfId="44536" xr:uid="{00000000-0005-0000-0000-000089AE0000}"/>
    <cellStyle name="PSChar 2 2 2" xfId="44537" xr:uid="{00000000-0005-0000-0000-00008AAE0000}"/>
    <cellStyle name="PSChar 2 2 2 2" xfId="44538" xr:uid="{00000000-0005-0000-0000-00008BAE0000}"/>
    <cellStyle name="PSChar 2 2 3" xfId="44539" xr:uid="{00000000-0005-0000-0000-00008CAE0000}"/>
    <cellStyle name="PSChar 2 2 3 2" xfId="44540" xr:uid="{00000000-0005-0000-0000-00008DAE0000}"/>
    <cellStyle name="PSChar 2 2 3 2 2" xfId="44541" xr:uid="{00000000-0005-0000-0000-00008EAE0000}"/>
    <cellStyle name="PSChar 2 2 3 3" xfId="44542" xr:uid="{00000000-0005-0000-0000-00008FAE0000}"/>
    <cellStyle name="PSChar 2 2 4" xfId="44543" xr:uid="{00000000-0005-0000-0000-000090AE0000}"/>
    <cellStyle name="PSChar 2 2 4 2" xfId="44544" xr:uid="{00000000-0005-0000-0000-000091AE0000}"/>
    <cellStyle name="PSChar 2 2 4 2 2" xfId="44545" xr:uid="{00000000-0005-0000-0000-000092AE0000}"/>
    <cellStyle name="PSChar 2 2 4 3" xfId="44546" xr:uid="{00000000-0005-0000-0000-000093AE0000}"/>
    <cellStyle name="PSChar 2 2 5" xfId="44547" xr:uid="{00000000-0005-0000-0000-000094AE0000}"/>
    <cellStyle name="PSChar 2 3" xfId="44548" xr:uid="{00000000-0005-0000-0000-000095AE0000}"/>
    <cellStyle name="PSChar 2 3 2" xfId="44549" xr:uid="{00000000-0005-0000-0000-000096AE0000}"/>
    <cellStyle name="PSChar 2 3 2 2" xfId="44550" xr:uid="{00000000-0005-0000-0000-000097AE0000}"/>
    <cellStyle name="PSChar 2 3 2 2 2" xfId="44551" xr:uid="{00000000-0005-0000-0000-000098AE0000}"/>
    <cellStyle name="PSChar 2 3 2 3" xfId="44552" xr:uid="{00000000-0005-0000-0000-000099AE0000}"/>
    <cellStyle name="PSChar 2 3 2 3 2" xfId="44553" xr:uid="{00000000-0005-0000-0000-00009AAE0000}"/>
    <cellStyle name="PSChar 2 3 2 3 2 2" xfId="44554" xr:uid="{00000000-0005-0000-0000-00009BAE0000}"/>
    <cellStyle name="PSChar 2 3 2 3 3" xfId="44555" xr:uid="{00000000-0005-0000-0000-00009CAE0000}"/>
    <cellStyle name="PSChar 2 3 2 4" xfId="44556" xr:uid="{00000000-0005-0000-0000-00009DAE0000}"/>
    <cellStyle name="PSChar 2 3 3" xfId="44557" xr:uid="{00000000-0005-0000-0000-00009EAE0000}"/>
    <cellStyle name="PSChar 2 3 3 2" xfId="44558" xr:uid="{00000000-0005-0000-0000-00009FAE0000}"/>
    <cellStyle name="PSChar 2 3 3 2 2" xfId="44559" xr:uid="{00000000-0005-0000-0000-0000A0AE0000}"/>
    <cellStyle name="PSChar 2 3 3 3" xfId="44560" xr:uid="{00000000-0005-0000-0000-0000A1AE0000}"/>
    <cellStyle name="PSChar 2 3 4" xfId="44561" xr:uid="{00000000-0005-0000-0000-0000A2AE0000}"/>
    <cellStyle name="PSChar 2 3 4 2" xfId="44562" xr:uid="{00000000-0005-0000-0000-0000A3AE0000}"/>
    <cellStyle name="PSChar 2 3 4 2 2" xfId="44563" xr:uid="{00000000-0005-0000-0000-0000A4AE0000}"/>
    <cellStyle name="PSChar 2 3 4 3" xfId="44564" xr:uid="{00000000-0005-0000-0000-0000A5AE0000}"/>
    <cellStyle name="PSChar 2 3 5" xfId="44565" xr:uid="{00000000-0005-0000-0000-0000A6AE0000}"/>
    <cellStyle name="PSChar 2 3 5 2" xfId="44566" xr:uid="{00000000-0005-0000-0000-0000A7AE0000}"/>
    <cellStyle name="PSChar 2 3 5 2 2" xfId="44567" xr:uid="{00000000-0005-0000-0000-0000A8AE0000}"/>
    <cellStyle name="PSChar 2 3 5 3" xfId="44568" xr:uid="{00000000-0005-0000-0000-0000A9AE0000}"/>
    <cellStyle name="PSChar 2 3 6" xfId="44569" xr:uid="{00000000-0005-0000-0000-0000AAAE0000}"/>
    <cellStyle name="PSChar 2 4" xfId="44570" xr:uid="{00000000-0005-0000-0000-0000ABAE0000}"/>
    <cellStyle name="PSChar 2 4 2" xfId="44571" xr:uid="{00000000-0005-0000-0000-0000ACAE0000}"/>
    <cellStyle name="PSChar 2 4 2 2" xfId="44572" xr:uid="{00000000-0005-0000-0000-0000ADAE0000}"/>
    <cellStyle name="PSChar 2 4 3" xfId="44573" xr:uid="{00000000-0005-0000-0000-0000AEAE0000}"/>
    <cellStyle name="PSChar 2 5" xfId="44574" xr:uid="{00000000-0005-0000-0000-0000AFAE0000}"/>
    <cellStyle name="PSChar 2 5 2" xfId="44575" xr:uid="{00000000-0005-0000-0000-0000B0AE0000}"/>
    <cellStyle name="PSChar 2 5 2 2" xfId="44576" xr:uid="{00000000-0005-0000-0000-0000B1AE0000}"/>
    <cellStyle name="PSChar 2 5 3" xfId="44577" xr:uid="{00000000-0005-0000-0000-0000B2AE0000}"/>
    <cellStyle name="PSChar 2 6" xfId="44578" xr:uid="{00000000-0005-0000-0000-0000B3AE0000}"/>
    <cellStyle name="PSChar 2 6 2" xfId="44579" xr:uid="{00000000-0005-0000-0000-0000B4AE0000}"/>
    <cellStyle name="PSChar 2 6 2 2" xfId="44580" xr:uid="{00000000-0005-0000-0000-0000B5AE0000}"/>
    <cellStyle name="PSChar 2 6 3" xfId="44581" xr:uid="{00000000-0005-0000-0000-0000B6AE0000}"/>
    <cellStyle name="PSChar 2 7" xfId="44582" xr:uid="{00000000-0005-0000-0000-0000B7AE0000}"/>
    <cellStyle name="PSChar 3" xfId="44583" xr:uid="{00000000-0005-0000-0000-0000B8AE0000}"/>
    <cellStyle name="PSChar 3 2" xfId="44584" xr:uid="{00000000-0005-0000-0000-0000B9AE0000}"/>
    <cellStyle name="PSChar 3 2 2" xfId="44585" xr:uid="{00000000-0005-0000-0000-0000BAAE0000}"/>
    <cellStyle name="PSChar 3 2 2 2" xfId="44586" xr:uid="{00000000-0005-0000-0000-0000BBAE0000}"/>
    <cellStyle name="PSChar 3 2 3" xfId="44587" xr:uid="{00000000-0005-0000-0000-0000BCAE0000}"/>
    <cellStyle name="PSChar 3 2 3 2" xfId="44588" xr:uid="{00000000-0005-0000-0000-0000BDAE0000}"/>
    <cellStyle name="PSChar 3 2 3 2 2" xfId="44589" xr:uid="{00000000-0005-0000-0000-0000BEAE0000}"/>
    <cellStyle name="PSChar 3 2 3 3" xfId="44590" xr:uid="{00000000-0005-0000-0000-0000BFAE0000}"/>
    <cellStyle name="PSChar 3 2 4" xfId="44591" xr:uid="{00000000-0005-0000-0000-0000C0AE0000}"/>
    <cellStyle name="PSChar 3 2 4 2" xfId="44592" xr:uid="{00000000-0005-0000-0000-0000C1AE0000}"/>
    <cellStyle name="PSChar 3 2 4 2 2" xfId="44593" xr:uid="{00000000-0005-0000-0000-0000C2AE0000}"/>
    <cellStyle name="PSChar 3 2 4 3" xfId="44594" xr:uid="{00000000-0005-0000-0000-0000C3AE0000}"/>
    <cellStyle name="PSChar 3 2 5" xfId="44595" xr:uid="{00000000-0005-0000-0000-0000C4AE0000}"/>
    <cellStyle name="PSChar 3 3" xfId="44596" xr:uid="{00000000-0005-0000-0000-0000C5AE0000}"/>
    <cellStyle name="PSChar 3 3 2" xfId="44597" xr:uid="{00000000-0005-0000-0000-0000C6AE0000}"/>
    <cellStyle name="PSChar 3 3 2 2" xfId="44598" xr:uid="{00000000-0005-0000-0000-0000C7AE0000}"/>
    <cellStyle name="PSChar 3 3 3" xfId="44599" xr:uid="{00000000-0005-0000-0000-0000C8AE0000}"/>
    <cellStyle name="PSChar 3 4" xfId="44600" xr:uid="{00000000-0005-0000-0000-0000C9AE0000}"/>
    <cellStyle name="PSChar 3 4 2" xfId="44601" xr:uid="{00000000-0005-0000-0000-0000CAAE0000}"/>
    <cellStyle name="PSChar 3 4 2 2" xfId="44602" xr:uid="{00000000-0005-0000-0000-0000CBAE0000}"/>
    <cellStyle name="PSChar 3 4 3" xfId="44603" xr:uid="{00000000-0005-0000-0000-0000CCAE0000}"/>
    <cellStyle name="PSChar 3 5" xfId="44604" xr:uid="{00000000-0005-0000-0000-0000CDAE0000}"/>
    <cellStyle name="PSChar 3 5 2" xfId="44605" xr:uid="{00000000-0005-0000-0000-0000CEAE0000}"/>
    <cellStyle name="PSChar 3 5 2 2" xfId="44606" xr:uid="{00000000-0005-0000-0000-0000CFAE0000}"/>
    <cellStyle name="PSChar 3 5 3" xfId="44607" xr:uid="{00000000-0005-0000-0000-0000D0AE0000}"/>
    <cellStyle name="PSChar 3 6" xfId="44608" xr:uid="{00000000-0005-0000-0000-0000D1AE0000}"/>
    <cellStyle name="PSChar 4" xfId="44609" xr:uid="{00000000-0005-0000-0000-0000D2AE0000}"/>
    <cellStyle name="PSChar 4 2" xfId="44610" xr:uid="{00000000-0005-0000-0000-0000D3AE0000}"/>
    <cellStyle name="PSChar 4 2 2" xfId="44611" xr:uid="{00000000-0005-0000-0000-0000D4AE0000}"/>
    <cellStyle name="PSChar 4 2 2 2" xfId="44612" xr:uid="{00000000-0005-0000-0000-0000D5AE0000}"/>
    <cellStyle name="PSChar 4 2 3" xfId="44613" xr:uid="{00000000-0005-0000-0000-0000D6AE0000}"/>
    <cellStyle name="PSChar 4 2 3 2" xfId="44614" xr:uid="{00000000-0005-0000-0000-0000D7AE0000}"/>
    <cellStyle name="PSChar 4 2 3 2 2" xfId="44615" xr:uid="{00000000-0005-0000-0000-0000D8AE0000}"/>
    <cellStyle name="PSChar 4 2 3 3" xfId="44616" xr:uid="{00000000-0005-0000-0000-0000D9AE0000}"/>
    <cellStyle name="PSChar 4 2 4" xfId="44617" xr:uid="{00000000-0005-0000-0000-0000DAAE0000}"/>
    <cellStyle name="PSChar 4 2 4 2" xfId="44618" xr:uid="{00000000-0005-0000-0000-0000DBAE0000}"/>
    <cellStyle name="PSChar 4 2 4 2 2" xfId="44619" xr:uid="{00000000-0005-0000-0000-0000DCAE0000}"/>
    <cellStyle name="PSChar 4 2 4 3" xfId="44620" xr:uid="{00000000-0005-0000-0000-0000DDAE0000}"/>
    <cellStyle name="PSChar 4 2 5" xfId="44621" xr:uid="{00000000-0005-0000-0000-0000DEAE0000}"/>
    <cellStyle name="PSChar 4 3" xfId="44622" xr:uid="{00000000-0005-0000-0000-0000DFAE0000}"/>
    <cellStyle name="PSChar 4 3 2" xfId="44623" xr:uid="{00000000-0005-0000-0000-0000E0AE0000}"/>
    <cellStyle name="PSChar 4 3 2 2" xfId="44624" xr:uid="{00000000-0005-0000-0000-0000E1AE0000}"/>
    <cellStyle name="PSChar 4 3 3" xfId="44625" xr:uid="{00000000-0005-0000-0000-0000E2AE0000}"/>
    <cellStyle name="PSChar 4 4" xfId="44626" xr:uid="{00000000-0005-0000-0000-0000E3AE0000}"/>
    <cellStyle name="PSChar 4 4 2" xfId="44627" xr:uid="{00000000-0005-0000-0000-0000E4AE0000}"/>
    <cellStyle name="PSChar 4 4 2 2" xfId="44628" xr:uid="{00000000-0005-0000-0000-0000E5AE0000}"/>
    <cellStyle name="PSChar 4 4 3" xfId="44629" xr:uid="{00000000-0005-0000-0000-0000E6AE0000}"/>
    <cellStyle name="PSChar 4 5" xfId="44630" xr:uid="{00000000-0005-0000-0000-0000E7AE0000}"/>
    <cellStyle name="PSChar 4 5 2" xfId="44631" xr:uid="{00000000-0005-0000-0000-0000E8AE0000}"/>
    <cellStyle name="PSChar 4 5 2 2" xfId="44632" xr:uid="{00000000-0005-0000-0000-0000E9AE0000}"/>
    <cellStyle name="PSChar 4 5 3" xfId="44633" xr:uid="{00000000-0005-0000-0000-0000EAAE0000}"/>
    <cellStyle name="PSChar 4 6" xfId="44634" xr:uid="{00000000-0005-0000-0000-0000EBAE0000}"/>
    <cellStyle name="PSChar 5" xfId="44635" xr:uid="{00000000-0005-0000-0000-0000ECAE0000}"/>
    <cellStyle name="PSChar 5 2" xfId="44636" xr:uid="{00000000-0005-0000-0000-0000EDAE0000}"/>
    <cellStyle name="PSChar 5 2 2" xfId="44637" xr:uid="{00000000-0005-0000-0000-0000EEAE0000}"/>
    <cellStyle name="PSChar 5 3" xfId="44638" xr:uid="{00000000-0005-0000-0000-0000EFAE0000}"/>
    <cellStyle name="PSChar 5 3 2" xfId="44639" xr:uid="{00000000-0005-0000-0000-0000F0AE0000}"/>
    <cellStyle name="PSChar 5 3 2 2" xfId="44640" xr:uid="{00000000-0005-0000-0000-0000F1AE0000}"/>
    <cellStyle name="PSChar 5 3 3" xfId="44641" xr:uid="{00000000-0005-0000-0000-0000F2AE0000}"/>
    <cellStyle name="PSChar 5 4" xfId="44642" xr:uid="{00000000-0005-0000-0000-0000F3AE0000}"/>
    <cellStyle name="PSChar 5 4 2" xfId="44643" xr:uid="{00000000-0005-0000-0000-0000F4AE0000}"/>
    <cellStyle name="PSChar 5 4 2 2" xfId="44644" xr:uid="{00000000-0005-0000-0000-0000F5AE0000}"/>
    <cellStyle name="PSChar 5 4 3" xfId="44645" xr:uid="{00000000-0005-0000-0000-0000F6AE0000}"/>
    <cellStyle name="PSChar 5 5" xfId="44646" xr:uid="{00000000-0005-0000-0000-0000F7AE0000}"/>
    <cellStyle name="PSChar 6" xfId="44647" xr:uid="{00000000-0005-0000-0000-0000F8AE0000}"/>
    <cellStyle name="PSChar 6 2" xfId="44648" xr:uid="{00000000-0005-0000-0000-0000F9AE0000}"/>
    <cellStyle name="PSChar 6 2 2" xfId="44649" xr:uid="{00000000-0005-0000-0000-0000FAAE0000}"/>
    <cellStyle name="PSChar 6 3" xfId="44650" xr:uid="{00000000-0005-0000-0000-0000FBAE0000}"/>
    <cellStyle name="PSChar 7" xfId="44651" xr:uid="{00000000-0005-0000-0000-0000FCAE0000}"/>
    <cellStyle name="PSChar 7 2" xfId="44652" xr:uid="{00000000-0005-0000-0000-0000FDAE0000}"/>
    <cellStyle name="PSChar 7 2 2" xfId="44653" xr:uid="{00000000-0005-0000-0000-0000FEAE0000}"/>
    <cellStyle name="PSChar 7 3" xfId="44654" xr:uid="{00000000-0005-0000-0000-0000FFAE0000}"/>
    <cellStyle name="PSChar 8" xfId="44655" xr:uid="{00000000-0005-0000-0000-000000AF0000}"/>
    <cellStyle name="PSChar 8 2" xfId="44656" xr:uid="{00000000-0005-0000-0000-000001AF0000}"/>
    <cellStyle name="PSChar 8 2 2" xfId="44657" xr:uid="{00000000-0005-0000-0000-000002AF0000}"/>
    <cellStyle name="PSChar 8 3" xfId="44658" xr:uid="{00000000-0005-0000-0000-000003AF0000}"/>
    <cellStyle name="PSChar 9" xfId="44659" xr:uid="{00000000-0005-0000-0000-000004AF0000}"/>
    <cellStyle name="PSChar 9 2" xfId="44660" xr:uid="{00000000-0005-0000-0000-000005AF0000}"/>
    <cellStyle name="PSDate" xfId="44661" xr:uid="{00000000-0005-0000-0000-000006AF0000}"/>
    <cellStyle name="PSDate 2" xfId="44662" xr:uid="{00000000-0005-0000-0000-000007AF0000}"/>
    <cellStyle name="PSDate 2 2" xfId="44663" xr:uid="{00000000-0005-0000-0000-000008AF0000}"/>
    <cellStyle name="PSDate 2 3" xfId="44664" xr:uid="{00000000-0005-0000-0000-000009AF0000}"/>
    <cellStyle name="PSDate 2 3 2" xfId="44665" xr:uid="{00000000-0005-0000-0000-00000AAF0000}"/>
    <cellStyle name="PSDate 2 3 2 2" xfId="44666" xr:uid="{00000000-0005-0000-0000-00000BAF0000}"/>
    <cellStyle name="PSDate 2 3 3" xfId="44667" xr:uid="{00000000-0005-0000-0000-00000CAF0000}"/>
    <cellStyle name="PSDate 2 4" xfId="44668" xr:uid="{00000000-0005-0000-0000-00000DAF0000}"/>
    <cellStyle name="PSDate 2 4 2" xfId="44669" xr:uid="{00000000-0005-0000-0000-00000EAF0000}"/>
    <cellStyle name="PSDate 2 4 2 2" xfId="44670" xr:uid="{00000000-0005-0000-0000-00000FAF0000}"/>
    <cellStyle name="PSDate 2 4 3" xfId="44671" xr:uid="{00000000-0005-0000-0000-000010AF0000}"/>
    <cellStyle name="PSDate 3" xfId="44672" xr:uid="{00000000-0005-0000-0000-000011AF0000}"/>
    <cellStyle name="PSDate 4" xfId="44673" xr:uid="{00000000-0005-0000-0000-000012AF0000}"/>
    <cellStyle name="PSDate 4 2" xfId="44674" xr:uid="{00000000-0005-0000-0000-000013AF0000}"/>
    <cellStyle name="PSDate 4 2 2" xfId="44675" xr:uid="{00000000-0005-0000-0000-000014AF0000}"/>
    <cellStyle name="PSDate 4 3" xfId="44676" xr:uid="{00000000-0005-0000-0000-000015AF0000}"/>
    <cellStyle name="PSDate 5" xfId="44677" xr:uid="{00000000-0005-0000-0000-000016AF0000}"/>
    <cellStyle name="PSDate 5 2" xfId="44678" xr:uid="{00000000-0005-0000-0000-000017AF0000}"/>
    <cellStyle name="PSDate 5 2 2" xfId="44679" xr:uid="{00000000-0005-0000-0000-000018AF0000}"/>
    <cellStyle name="PSDate 5 3" xfId="44680" xr:uid="{00000000-0005-0000-0000-000019AF0000}"/>
    <cellStyle name="PSDec" xfId="44681" xr:uid="{00000000-0005-0000-0000-00001AAF0000}"/>
    <cellStyle name="PSDec 2" xfId="44682" xr:uid="{00000000-0005-0000-0000-00001BAF0000}"/>
    <cellStyle name="PSDec 2 2" xfId="44683" xr:uid="{00000000-0005-0000-0000-00001CAF0000}"/>
    <cellStyle name="PSDec 2 3" xfId="44684" xr:uid="{00000000-0005-0000-0000-00001DAF0000}"/>
    <cellStyle name="PSDec 2 3 2" xfId="44685" xr:uid="{00000000-0005-0000-0000-00001EAF0000}"/>
    <cellStyle name="PSDec 2 3 2 2" xfId="44686" xr:uid="{00000000-0005-0000-0000-00001FAF0000}"/>
    <cellStyle name="PSDec 2 3 3" xfId="44687" xr:uid="{00000000-0005-0000-0000-000020AF0000}"/>
    <cellStyle name="PSDec 2 4" xfId="44688" xr:uid="{00000000-0005-0000-0000-000021AF0000}"/>
    <cellStyle name="PSDec 2 4 2" xfId="44689" xr:uid="{00000000-0005-0000-0000-000022AF0000}"/>
    <cellStyle name="PSDec 2 4 2 2" xfId="44690" xr:uid="{00000000-0005-0000-0000-000023AF0000}"/>
    <cellStyle name="PSDec 2 4 3" xfId="44691" xr:uid="{00000000-0005-0000-0000-000024AF0000}"/>
    <cellStyle name="PSDec 3" xfId="44692" xr:uid="{00000000-0005-0000-0000-000025AF0000}"/>
    <cellStyle name="PSDec 4" xfId="44693" xr:uid="{00000000-0005-0000-0000-000026AF0000}"/>
    <cellStyle name="PSDec 4 2" xfId="44694" xr:uid="{00000000-0005-0000-0000-000027AF0000}"/>
    <cellStyle name="PSDec 4 2 2" xfId="44695" xr:uid="{00000000-0005-0000-0000-000028AF0000}"/>
    <cellStyle name="PSDec 4 3" xfId="44696" xr:uid="{00000000-0005-0000-0000-000029AF0000}"/>
    <cellStyle name="PSDec 5" xfId="44697" xr:uid="{00000000-0005-0000-0000-00002AAF0000}"/>
    <cellStyle name="PSDec 5 2" xfId="44698" xr:uid="{00000000-0005-0000-0000-00002BAF0000}"/>
    <cellStyle name="PSDec 5 2 2" xfId="44699" xr:uid="{00000000-0005-0000-0000-00002CAF0000}"/>
    <cellStyle name="PSDec 5 3" xfId="44700" xr:uid="{00000000-0005-0000-0000-00002DAF0000}"/>
    <cellStyle name="PSInt" xfId="44701" xr:uid="{00000000-0005-0000-0000-00002EAF0000}"/>
    <cellStyle name="PSInt 2" xfId="44702" xr:uid="{00000000-0005-0000-0000-00002FAF0000}"/>
    <cellStyle name="PSInt 2 2" xfId="44703" xr:uid="{00000000-0005-0000-0000-000030AF0000}"/>
    <cellStyle name="PSInt 2 3" xfId="44704" xr:uid="{00000000-0005-0000-0000-000031AF0000}"/>
    <cellStyle name="PSInt 2 3 2" xfId="44705" xr:uid="{00000000-0005-0000-0000-000032AF0000}"/>
    <cellStyle name="PSInt 2 3 2 2" xfId="44706" xr:uid="{00000000-0005-0000-0000-000033AF0000}"/>
    <cellStyle name="PSInt 2 3 3" xfId="44707" xr:uid="{00000000-0005-0000-0000-000034AF0000}"/>
    <cellStyle name="PSInt 2 4" xfId="44708" xr:uid="{00000000-0005-0000-0000-000035AF0000}"/>
    <cellStyle name="PSInt 2 4 2" xfId="44709" xr:uid="{00000000-0005-0000-0000-000036AF0000}"/>
    <cellStyle name="PSInt 2 4 2 2" xfId="44710" xr:uid="{00000000-0005-0000-0000-000037AF0000}"/>
    <cellStyle name="PSInt 2 4 3" xfId="44711" xr:uid="{00000000-0005-0000-0000-000038AF0000}"/>
    <cellStyle name="PSInt 3" xfId="44712" xr:uid="{00000000-0005-0000-0000-000039AF0000}"/>
    <cellStyle name="PSInt 4" xfId="44713" xr:uid="{00000000-0005-0000-0000-00003AAF0000}"/>
    <cellStyle name="PSInt 4 2" xfId="44714" xr:uid="{00000000-0005-0000-0000-00003BAF0000}"/>
    <cellStyle name="PSInt 4 2 2" xfId="44715" xr:uid="{00000000-0005-0000-0000-00003CAF0000}"/>
    <cellStyle name="PSInt 4 3" xfId="44716" xr:uid="{00000000-0005-0000-0000-00003DAF0000}"/>
    <cellStyle name="PSInt 5" xfId="44717" xr:uid="{00000000-0005-0000-0000-00003EAF0000}"/>
    <cellStyle name="PSInt 5 2" xfId="44718" xr:uid="{00000000-0005-0000-0000-00003FAF0000}"/>
    <cellStyle name="PSInt 5 2 2" xfId="44719" xr:uid="{00000000-0005-0000-0000-000040AF0000}"/>
    <cellStyle name="PSInt 5 3" xfId="44720" xr:uid="{00000000-0005-0000-0000-000041AF0000}"/>
    <cellStyle name="regstoresfromspecstores" xfId="44721" xr:uid="{00000000-0005-0000-0000-000042AF0000}"/>
    <cellStyle name="regstoresfromspecstores 10" xfId="44722" xr:uid="{00000000-0005-0000-0000-000043AF0000}"/>
    <cellStyle name="regstoresfromspecstores 2" xfId="44723" xr:uid="{00000000-0005-0000-0000-000044AF0000}"/>
    <cellStyle name="regstoresfromspecstores 2 2" xfId="44724" xr:uid="{00000000-0005-0000-0000-000045AF0000}"/>
    <cellStyle name="regstoresfromspecstores 2 2 2" xfId="44725" xr:uid="{00000000-0005-0000-0000-000046AF0000}"/>
    <cellStyle name="regstoresfromspecstores 2 2 2 2" xfId="44726" xr:uid="{00000000-0005-0000-0000-000047AF0000}"/>
    <cellStyle name="regstoresfromspecstores 2 2 3" xfId="44727" xr:uid="{00000000-0005-0000-0000-000048AF0000}"/>
    <cellStyle name="regstoresfromspecstores 2 2 3 2" xfId="44728" xr:uid="{00000000-0005-0000-0000-000049AF0000}"/>
    <cellStyle name="regstoresfromspecstores 2 2 3 2 2" xfId="44729" xr:uid="{00000000-0005-0000-0000-00004AAF0000}"/>
    <cellStyle name="regstoresfromspecstores 2 2 3 3" xfId="44730" xr:uid="{00000000-0005-0000-0000-00004BAF0000}"/>
    <cellStyle name="regstoresfromspecstores 2 2 4" xfId="44731" xr:uid="{00000000-0005-0000-0000-00004CAF0000}"/>
    <cellStyle name="regstoresfromspecstores 2 2 4 2" xfId="44732" xr:uid="{00000000-0005-0000-0000-00004DAF0000}"/>
    <cellStyle name="regstoresfromspecstores 2 2 4 2 2" xfId="44733" xr:uid="{00000000-0005-0000-0000-00004EAF0000}"/>
    <cellStyle name="regstoresfromspecstores 2 2 4 3" xfId="44734" xr:uid="{00000000-0005-0000-0000-00004FAF0000}"/>
    <cellStyle name="regstoresfromspecstores 2 2 5" xfId="44735" xr:uid="{00000000-0005-0000-0000-000050AF0000}"/>
    <cellStyle name="regstoresfromspecstores 2 3" xfId="44736" xr:uid="{00000000-0005-0000-0000-000051AF0000}"/>
    <cellStyle name="regstoresfromspecstores 2 3 2" xfId="44737" xr:uid="{00000000-0005-0000-0000-000052AF0000}"/>
    <cellStyle name="regstoresfromspecstores 2 3 2 2" xfId="44738" xr:uid="{00000000-0005-0000-0000-000053AF0000}"/>
    <cellStyle name="regstoresfromspecstores 2 3 2 2 2" xfId="44739" xr:uid="{00000000-0005-0000-0000-000054AF0000}"/>
    <cellStyle name="regstoresfromspecstores 2 3 2 3" xfId="44740" xr:uid="{00000000-0005-0000-0000-000055AF0000}"/>
    <cellStyle name="regstoresfromspecstores 2 3 2 3 2" xfId="44741" xr:uid="{00000000-0005-0000-0000-000056AF0000}"/>
    <cellStyle name="regstoresfromspecstores 2 3 2 3 2 2" xfId="44742" xr:uid="{00000000-0005-0000-0000-000057AF0000}"/>
    <cellStyle name="regstoresfromspecstores 2 3 2 3 3" xfId="44743" xr:uid="{00000000-0005-0000-0000-000058AF0000}"/>
    <cellStyle name="regstoresfromspecstores 2 3 2 4" xfId="44744" xr:uid="{00000000-0005-0000-0000-000059AF0000}"/>
    <cellStyle name="regstoresfromspecstores 2 3 3" xfId="44745" xr:uid="{00000000-0005-0000-0000-00005AAF0000}"/>
    <cellStyle name="regstoresfromspecstores 2 3 3 2" xfId="44746" xr:uid="{00000000-0005-0000-0000-00005BAF0000}"/>
    <cellStyle name="regstoresfromspecstores 2 3 3 2 2" xfId="44747" xr:uid="{00000000-0005-0000-0000-00005CAF0000}"/>
    <cellStyle name="regstoresfromspecstores 2 3 3 3" xfId="44748" xr:uid="{00000000-0005-0000-0000-00005DAF0000}"/>
    <cellStyle name="regstoresfromspecstores 2 3 4" xfId="44749" xr:uid="{00000000-0005-0000-0000-00005EAF0000}"/>
    <cellStyle name="regstoresfromspecstores 2 3 4 2" xfId="44750" xr:uid="{00000000-0005-0000-0000-00005FAF0000}"/>
    <cellStyle name="regstoresfromspecstores 2 3 4 2 2" xfId="44751" xr:uid="{00000000-0005-0000-0000-000060AF0000}"/>
    <cellStyle name="regstoresfromspecstores 2 3 4 3" xfId="44752" xr:uid="{00000000-0005-0000-0000-000061AF0000}"/>
    <cellStyle name="regstoresfromspecstores 2 3 5" xfId="44753" xr:uid="{00000000-0005-0000-0000-000062AF0000}"/>
    <cellStyle name="regstoresfromspecstores 2 3 5 2" xfId="44754" xr:uid="{00000000-0005-0000-0000-000063AF0000}"/>
    <cellStyle name="regstoresfromspecstores 2 3 5 2 2" xfId="44755" xr:uid="{00000000-0005-0000-0000-000064AF0000}"/>
    <cellStyle name="regstoresfromspecstores 2 3 5 3" xfId="44756" xr:uid="{00000000-0005-0000-0000-000065AF0000}"/>
    <cellStyle name="regstoresfromspecstores 2 3 6" xfId="44757" xr:uid="{00000000-0005-0000-0000-000066AF0000}"/>
    <cellStyle name="regstoresfromspecstores 2 4" xfId="44758" xr:uid="{00000000-0005-0000-0000-000067AF0000}"/>
    <cellStyle name="regstoresfromspecstores 2 4 2" xfId="44759" xr:uid="{00000000-0005-0000-0000-000068AF0000}"/>
    <cellStyle name="regstoresfromspecstores 2 4 2 2" xfId="44760" xr:uid="{00000000-0005-0000-0000-000069AF0000}"/>
    <cellStyle name="regstoresfromspecstores 2 4 3" xfId="44761" xr:uid="{00000000-0005-0000-0000-00006AAF0000}"/>
    <cellStyle name="regstoresfromspecstores 2 5" xfId="44762" xr:uid="{00000000-0005-0000-0000-00006BAF0000}"/>
    <cellStyle name="regstoresfromspecstores 2 5 2" xfId="44763" xr:uid="{00000000-0005-0000-0000-00006CAF0000}"/>
    <cellStyle name="regstoresfromspecstores 2 5 2 2" xfId="44764" xr:uid="{00000000-0005-0000-0000-00006DAF0000}"/>
    <cellStyle name="regstoresfromspecstores 2 5 3" xfId="44765" xr:uid="{00000000-0005-0000-0000-00006EAF0000}"/>
    <cellStyle name="regstoresfromspecstores 2 6" xfId="44766" xr:uid="{00000000-0005-0000-0000-00006FAF0000}"/>
    <cellStyle name="regstoresfromspecstores 2 6 2" xfId="44767" xr:uid="{00000000-0005-0000-0000-000070AF0000}"/>
    <cellStyle name="regstoresfromspecstores 2 6 2 2" xfId="44768" xr:uid="{00000000-0005-0000-0000-000071AF0000}"/>
    <cellStyle name="regstoresfromspecstores 2 6 3" xfId="44769" xr:uid="{00000000-0005-0000-0000-000072AF0000}"/>
    <cellStyle name="regstoresfromspecstores 2 7" xfId="44770" xr:uid="{00000000-0005-0000-0000-000073AF0000}"/>
    <cellStyle name="regstoresfromspecstores 3" xfId="44771" xr:uid="{00000000-0005-0000-0000-000074AF0000}"/>
    <cellStyle name="regstoresfromspecstores 3 2" xfId="44772" xr:uid="{00000000-0005-0000-0000-000075AF0000}"/>
    <cellStyle name="regstoresfromspecstores 3 2 2" xfId="44773" xr:uid="{00000000-0005-0000-0000-000076AF0000}"/>
    <cellStyle name="regstoresfromspecstores 3 2 2 2" xfId="44774" xr:uid="{00000000-0005-0000-0000-000077AF0000}"/>
    <cellStyle name="regstoresfromspecstores 3 2 3" xfId="44775" xr:uid="{00000000-0005-0000-0000-000078AF0000}"/>
    <cellStyle name="regstoresfromspecstores 3 2 3 2" xfId="44776" xr:uid="{00000000-0005-0000-0000-000079AF0000}"/>
    <cellStyle name="regstoresfromspecstores 3 2 3 2 2" xfId="44777" xr:uid="{00000000-0005-0000-0000-00007AAF0000}"/>
    <cellStyle name="regstoresfromspecstores 3 2 3 3" xfId="44778" xr:uid="{00000000-0005-0000-0000-00007BAF0000}"/>
    <cellStyle name="regstoresfromspecstores 3 2 4" xfId="44779" xr:uid="{00000000-0005-0000-0000-00007CAF0000}"/>
    <cellStyle name="regstoresfromspecstores 3 2 4 2" xfId="44780" xr:uid="{00000000-0005-0000-0000-00007DAF0000}"/>
    <cellStyle name="regstoresfromspecstores 3 2 4 2 2" xfId="44781" xr:uid="{00000000-0005-0000-0000-00007EAF0000}"/>
    <cellStyle name="regstoresfromspecstores 3 2 4 3" xfId="44782" xr:uid="{00000000-0005-0000-0000-00007FAF0000}"/>
    <cellStyle name="regstoresfromspecstores 3 2 5" xfId="44783" xr:uid="{00000000-0005-0000-0000-000080AF0000}"/>
    <cellStyle name="regstoresfromspecstores 3 3" xfId="44784" xr:uid="{00000000-0005-0000-0000-000081AF0000}"/>
    <cellStyle name="regstoresfromspecstores 3 3 2" xfId="44785" xr:uid="{00000000-0005-0000-0000-000082AF0000}"/>
    <cellStyle name="regstoresfromspecstores 3 3 2 2" xfId="44786" xr:uid="{00000000-0005-0000-0000-000083AF0000}"/>
    <cellStyle name="regstoresfromspecstores 3 3 3" xfId="44787" xr:uid="{00000000-0005-0000-0000-000084AF0000}"/>
    <cellStyle name="regstoresfromspecstores 3 4" xfId="44788" xr:uid="{00000000-0005-0000-0000-000085AF0000}"/>
    <cellStyle name="regstoresfromspecstores 3 4 2" xfId="44789" xr:uid="{00000000-0005-0000-0000-000086AF0000}"/>
    <cellStyle name="regstoresfromspecstores 3 4 2 2" xfId="44790" xr:uid="{00000000-0005-0000-0000-000087AF0000}"/>
    <cellStyle name="regstoresfromspecstores 3 4 3" xfId="44791" xr:uid="{00000000-0005-0000-0000-000088AF0000}"/>
    <cellStyle name="regstoresfromspecstores 3 5" xfId="44792" xr:uid="{00000000-0005-0000-0000-000089AF0000}"/>
    <cellStyle name="regstoresfromspecstores 3 5 2" xfId="44793" xr:uid="{00000000-0005-0000-0000-00008AAF0000}"/>
    <cellStyle name="regstoresfromspecstores 3 5 2 2" xfId="44794" xr:uid="{00000000-0005-0000-0000-00008BAF0000}"/>
    <cellStyle name="regstoresfromspecstores 3 5 3" xfId="44795" xr:uid="{00000000-0005-0000-0000-00008CAF0000}"/>
    <cellStyle name="regstoresfromspecstores 3 6" xfId="44796" xr:uid="{00000000-0005-0000-0000-00008DAF0000}"/>
    <cellStyle name="regstoresfromspecstores 4" xfId="44797" xr:uid="{00000000-0005-0000-0000-00008EAF0000}"/>
    <cellStyle name="regstoresfromspecstores 4 2" xfId="44798" xr:uid="{00000000-0005-0000-0000-00008FAF0000}"/>
    <cellStyle name="regstoresfromspecstores 4 2 2" xfId="44799" xr:uid="{00000000-0005-0000-0000-000090AF0000}"/>
    <cellStyle name="regstoresfromspecstores 4 2 2 2" xfId="44800" xr:uid="{00000000-0005-0000-0000-000091AF0000}"/>
    <cellStyle name="regstoresfromspecstores 4 2 3" xfId="44801" xr:uid="{00000000-0005-0000-0000-000092AF0000}"/>
    <cellStyle name="regstoresfromspecstores 4 2 3 2" xfId="44802" xr:uid="{00000000-0005-0000-0000-000093AF0000}"/>
    <cellStyle name="regstoresfromspecstores 4 2 3 2 2" xfId="44803" xr:uid="{00000000-0005-0000-0000-000094AF0000}"/>
    <cellStyle name="regstoresfromspecstores 4 2 3 3" xfId="44804" xr:uid="{00000000-0005-0000-0000-000095AF0000}"/>
    <cellStyle name="regstoresfromspecstores 4 2 4" xfId="44805" xr:uid="{00000000-0005-0000-0000-000096AF0000}"/>
    <cellStyle name="regstoresfromspecstores 4 2 4 2" xfId="44806" xr:uid="{00000000-0005-0000-0000-000097AF0000}"/>
    <cellStyle name="regstoresfromspecstores 4 2 4 2 2" xfId="44807" xr:uid="{00000000-0005-0000-0000-000098AF0000}"/>
    <cellStyle name="regstoresfromspecstores 4 2 4 3" xfId="44808" xr:uid="{00000000-0005-0000-0000-000099AF0000}"/>
    <cellStyle name="regstoresfromspecstores 4 2 5" xfId="44809" xr:uid="{00000000-0005-0000-0000-00009AAF0000}"/>
    <cellStyle name="regstoresfromspecstores 4 3" xfId="44810" xr:uid="{00000000-0005-0000-0000-00009BAF0000}"/>
    <cellStyle name="regstoresfromspecstores 4 3 2" xfId="44811" xr:uid="{00000000-0005-0000-0000-00009CAF0000}"/>
    <cellStyle name="regstoresfromspecstores 4 3 2 2" xfId="44812" xr:uid="{00000000-0005-0000-0000-00009DAF0000}"/>
    <cellStyle name="regstoresfromspecstores 4 3 3" xfId="44813" xr:uid="{00000000-0005-0000-0000-00009EAF0000}"/>
    <cellStyle name="regstoresfromspecstores 4 4" xfId="44814" xr:uid="{00000000-0005-0000-0000-00009FAF0000}"/>
    <cellStyle name="regstoresfromspecstores 4 4 2" xfId="44815" xr:uid="{00000000-0005-0000-0000-0000A0AF0000}"/>
    <cellStyle name="regstoresfromspecstores 4 4 2 2" xfId="44816" xr:uid="{00000000-0005-0000-0000-0000A1AF0000}"/>
    <cellStyle name="regstoresfromspecstores 4 4 3" xfId="44817" xr:uid="{00000000-0005-0000-0000-0000A2AF0000}"/>
    <cellStyle name="regstoresfromspecstores 4 5" xfId="44818" xr:uid="{00000000-0005-0000-0000-0000A3AF0000}"/>
    <cellStyle name="regstoresfromspecstores 4 5 2" xfId="44819" xr:uid="{00000000-0005-0000-0000-0000A4AF0000}"/>
    <cellStyle name="regstoresfromspecstores 4 5 2 2" xfId="44820" xr:uid="{00000000-0005-0000-0000-0000A5AF0000}"/>
    <cellStyle name="regstoresfromspecstores 4 5 3" xfId="44821" xr:uid="{00000000-0005-0000-0000-0000A6AF0000}"/>
    <cellStyle name="regstoresfromspecstores 4 6" xfId="44822" xr:uid="{00000000-0005-0000-0000-0000A7AF0000}"/>
    <cellStyle name="regstoresfromspecstores 5" xfId="44823" xr:uid="{00000000-0005-0000-0000-0000A8AF0000}"/>
    <cellStyle name="regstoresfromspecstores 5 2" xfId="44824" xr:uid="{00000000-0005-0000-0000-0000A9AF0000}"/>
    <cellStyle name="regstoresfromspecstores 5 2 2" xfId="44825" xr:uid="{00000000-0005-0000-0000-0000AAAF0000}"/>
    <cellStyle name="regstoresfromspecstores 5 3" xfId="44826" xr:uid="{00000000-0005-0000-0000-0000ABAF0000}"/>
    <cellStyle name="regstoresfromspecstores 5 3 2" xfId="44827" xr:uid="{00000000-0005-0000-0000-0000ACAF0000}"/>
    <cellStyle name="regstoresfromspecstores 5 3 2 2" xfId="44828" xr:uid="{00000000-0005-0000-0000-0000ADAF0000}"/>
    <cellStyle name="regstoresfromspecstores 5 3 3" xfId="44829" xr:uid="{00000000-0005-0000-0000-0000AEAF0000}"/>
    <cellStyle name="regstoresfromspecstores 5 4" xfId="44830" xr:uid="{00000000-0005-0000-0000-0000AFAF0000}"/>
    <cellStyle name="regstoresfromspecstores 5 4 2" xfId="44831" xr:uid="{00000000-0005-0000-0000-0000B0AF0000}"/>
    <cellStyle name="regstoresfromspecstores 5 4 2 2" xfId="44832" xr:uid="{00000000-0005-0000-0000-0000B1AF0000}"/>
    <cellStyle name="regstoresfromspecstores 5 4 3" xfId="44833" xr:uid="{00000000-0005-0000-0000-0000B2AF0000}"/>
    <cellStyle name="regstoresfromspecstores 5 5" xfId="44834" xr:uid="{00000000-0005-0000-0000-0000B3AF0000}"/>
    <cellStyle name="regstoresfromspecstores 6" xfId="44835" xr:uid="{00000000-0005-0000-0000-0000B4AF0000}"/>
    <cellStyle name="regstoresfromspecstores 6 2" xfId="44836" xr:uid="{00000000-0005-0000-0000-0000B5AF0000}"/>
    <cellStyle name="regstoresfromspecstores 6 2 2" xfId="44837" xr:uid="{00000000-0005-0000-0000-0000B6AF0000}"/>
    <cellStyle name="regstoresfromspecstores 6 3" xfId="44838" xr:uid="{00000000-0005-0000-0000-0000B7AF0000}"/>
    <cellStyle name="regstoresfromspecstores 7" xfId="44839" xr:uid="{00000000-0005-0000-0000-0000B8AF0000}"/>
    <cellStyle name="regstoresfromspecstores 7 2" xfId="44840" xr:uid="{00000000-0005-0000-0000-0000B9AF0000}"/>
    <cellStyle name="regstoresfromspecstores 7 2 2" xfId="44841" xr:uid="{00000000-0005-0000-0000-0000BAAF0000}"/>
    <cellStyle name="regstoresfromspecstores 7 3" xfId="44842" xr:uid="{00000000-0005-0000-0000-0000BBAF0000}"/>
    <cellStyle name="regstoresfromspecstores 8" xfId="44843" xr:uid="{00000000-0005-0000-0000-0000BCAF0000}"/>
    <cellStyle name="regstoresfromspecstores 8 2" xfId="44844" xr:uid="{00000000-0005-0000-0000-0000BDAF0000}"/>
    <cellStyle name="regstoresfromspecstores 8 2 2" xfId="44845" xr:uid="{00000000-0005-0000-0000-0000BEAF0000}"/>
    <cellStyle name="regstoresfromspecstores 8 3" xfId="44846" xr:uid="{00000000-0005-0000-0000-0000BFAF0000}"/>
    <cellStyle name="regstoresfromspecstores 9" xfId="44847" xr:uid="{00000000-0005-0000-0000-0000C0AF0000}"/>
    <cellStyle name="regstoresfromspecstores 9 2" xfId="44848" xr:uid="{00000000-0005-0000-0000-0000C1AF0000}"/>
    <cellStyle name="RevList" xfId="44849" xr:uid="{00000000-0005-0000-0000-0000C2AF0000}"/>
    <cellStyle name="RevList 2" xfId="44850" xr:uid="{00000000-0005-0000-0000-0000C3AF0000}"/>
    <cellStyle name="RevList 3" xfId="44851" xr:uid="{00000000-0005-0000-0000-0000C4AF0000}"/>
    <cellStyle name="RevList 3 2" xfId="44852" xr:uid="{00000000-0005-0000-0000-0000C5AF0000}"/>
    <cellStyle name="RevList 3 2 2" xfId="44853" xr:uid="{00000000-0005-0000-0000-0000C6AF0000}"/>
    <cellStyle name="RevList 3 3" xfId="44854" xr:uid="{00000000-0005-0000-0000-0000C7AF0000}"/>
    <cellStyle name="RevList 4" xfId="44855" xr:uid="{00000000-0005-0000-0000-0000C8AF0000}"/>
    <cellStyle name="RevList 4 2" xfId="44856" xr:uid="{00000000-0005-0000-0000-0000C9AF0000}"/>
    <cellStyle name="RevList 4 2 2" xfId="44857" xr:uid="{00000000-0005-0000-0000-0000CAAF0000}"/>
    <cellStyle name="RevList 4 3" xfId="44858" xr:uid="{00000000-0005-0000-0000-0000CBAF0000}"/>
    <cellStyle name="SAPBEXaggData" xfId="40" xr:uid="{00000000-0005-0000-0000-0000CCAF0000}"/>
    <cellStyle name="SAPBEXaggData 10" xfId="44859" xr:uid="{00000000-0005-0000-0000-0000CDAF0000}"/>
    <cellStyle name="SAPBEXaggData 10 2" xfId="44860" xr:uid="{00000000-0005-0000-0000-0000CEAF0000}"/>
    <cellStyle name="SAPBEXaggData 11" xfId="44861" xr:uid="{00000000-0005-0000-0000-0000CFAF0000}"/>
    <cellStyle name="SAPBEXaggData 11 2" xfId="44862" xr:uid="{00000000-0005-0000-0000-0000D0AF0000}"/>
    <cellStyle name="SAPBEXaggData 12" xfId="44863" xr:uid="{00000000-0005-0000-0000-0000D1AF0000}"/>
    <cellStyle name="SAPBEXaggData 12 2" xfId="44864" xr:uid="{00000000-0005-0000-0000-0000D2AF0000}"/>
    <cellStyle name="SAPBEXaggData 13" xfId="44865" xr:uid="{00000000-0005-0000-0000-0000D3AF0000}"/>
    <cellStyle name="SAPBEXaggData 14" xfId="44866" xr:uid="{00000000-0005-0000-0000-0000D4AF0000}"/>
    <cellStyle name="SAPBEXaggData 2" xfId="44867" xr:uid="{00000000-0005-0000-0000-0000D5AF0000}"/>
    <cellStyle name="SAPBEXaggData 2 2" xfId="44868" xr:uid="{00000000-0005-0000-0000-0000D6AF0000}"/>
    <cellStyle name="SAPBEXaggData 2 2 2" xfId="44869" xr:uid="{00000000-0005-0000-0000-0000D7AF0000}"/>
    <cellStyle name="SAPBEXaggData 2 2 2 2" xfId="44870" xr:uid="{00000000-0005-0000-0000-0000D8AF0000}"/>
    <cellStyle name="SAPBEXaggData 2 2 2 2 2" xfId="44871" xr:uid="{00000000-0005-0000-0000-0000D9AF0000}"/>
    <cellStyle name="SAPBEXaggData 2 2 2 2 2 2" xfId="44872" xr:uid="{00000000-0005-0000-0000-0000DAAF0000}"/>
    <cellStyle name="SAPBEXaggData 2 2 2 2 3" xfId="44873" xr:uid="{00000000-0005-0000-0000-0000DBAF0000}"/>
    <cellStyle name="SAPBEXaggData 2 2 2 3" xfId="44874" xr:uid="{00000000-0005-0000-0000-0000DCAF0000}"/>
    <cellStyle name="SAPBEXaggData 2 2 2 3 2" xfId="44875" xr:uid="{00000000-0005-0000-0000-0000DDAF0000}"/>
    <cellStyle name="SAPBEXaggData 2 2 2 4" xfId="44876" xr:uid="{00000000-0005-0000-0000-0000DEAF0000}"/>
    <cellStyle name="SAPBEXaggData 2 2 3" xfId="44877" xr:uid="{00000000-0005-0000-0000-0000DFAF0000}"/>
    <cellStyle name="SAPBEXaggData 2 2 3 2" xfId="44878" xr:uid="{00000000-0005-0000-0000-0000E0AF0000}"/>
    <cellStyle name="SAPBEXaggData 2 2 3 2 2" xfId="44879" xr:uid="{00000000-0005-0000-0000-0000E1AF0000}"/>
    <cellStyle name="SAPBEXaggData 2 2 3 3" xfId="44880" xr:uid="{00000000-0005-0000-0000-0000E2AF0000}"/>
    <cellStyle name="SAPBEXaggData 2 2 4" xfId="44881" xr:uid="{00000000-0005-0000-0000-0000E3AF0000}"/>
    <cellStyle name="SAPBEXaggData 2 2 4 2" xfId="44882" xr:uid="{00000000-0005-0000-0000-0000E4AF0000}"/>
    <cellStyle name="SAPBEXaggData 2 2 4 2 2" xfId="44883" xr:uid="{00000000-0005-0000-0000-0000E5AF0000}"/>
    <cellStyle name="SAPBEXaggData 2 2 4 3" xfId="44884" xr:uid="{00000000-0005-0000-0000-0000E6AF0000}"/>
    <cellStyle name="SAPBEXaggData 2 2 5" xfId="44885" xr:uid="{00000000-0005-0000-0000-0000E7AF0000}"/>
    <cellStyle name="SAPBEXaggData 2 2 5 2" xfId="44886" xr:uid="{00000000-0005-0000-0000-0000E8AF0000}"/>
    <cellStyle name="SAPBEXaggData 2 2 6" xfId="44887" xr:uid="{00000000-0005-0000-0000-0000E9AF0000}"/>
    <cellStyle name="SAPBEXaggData 2 3" xfId="44888" xr:uid="{00000000-0005-0000-0000-0000EAAF0000}"/>
    <cellStyle name="SAPBEXaggData 2 3 2" xfId="44889" xr:uid="{00000000-0005-0000-0000-0000EBAF0000}"/>
    <cellStyle name="SAPBEXaggData 2 4" xfId="44890" xr:uid="{00000000-0005-0000-0000-0000ECAF0000}"/>
    <cellStyle name="SAPBEXaggData 2 4 2" xfId="44891" xr:uid="{00000000-0005-0000-0000-0000EDAF0000}"/>
    <cellStyle name="SAPBEXaggData 2 4 2 2" xfId="44892" xr:uid="{00000000-0005-0000-0000-0000EEAF0000}"/>
    <cellStyle name="SAPBEXaggData 2 4 3" xfId="44893" xr:uid="{00000000-0005-0000-0000-0000EFAF0000}"/>
    <cellStyle name="SAPBEXaggData 2 5" xfId="44894" xr:uid="{00000000-0005-0000-0000-0000F0AF0000}"/>
    <cellStyle name="SAPBEXaggData 2 5 2" xfId="44895" xr:uid="{00000000-0005-0000-0000-0000F1AF0000}"/>
    <cellStyle name="SAPBEXaggData 2 5 2 2" xfId="44896" xr:uid="{00000000-0005-0000-0000-0000F2AF0000}"/>
    <cellStyle name="SAPBEXaggData 2 5 3" xfId="44897" xr:uid="{00000000-0005-0000-0000-0000F3AF0000}"/>
    <cellStyle name="SAPBEXaggData 2 6" xfId="44898" xr:uid="{00000000-0005-0000-0000-0000F4AF0000}"/>
    <cellStyle name="SAPBEXaggData 3" xfId="44899" xr:uid="{00000000-0005-0000-0000-0000F5AF0000}"/>
    <cellStyle name="SAPBEXaggData 3 2" xfId="44900" xr:uid="{00000000-0005-0000-0000-0000F6AF0000}"/>
    <cellStyle name="SAPBEXaggData 3 2 2" xfId="44901" xr:uid="{00000000-0005-0000-0000-0000F7AF0000}"/>
    <cellStyle name="SAPBEXaggData 3 3" xfId="44902" xr:uid="{00000000-0005-0000-0000-0000F8AF0000}"/>
    <cellStyle name="SAPBEXaggData 3 3 2" xfId="44903" xr:uid="{00000000-0005-0000-0000-0000F9AF0000}"/>
    <cellStyle name="SAPBEXaggData 3 3 2 2" xfId="44904" xr:uid="{00000000-0005-0000-0000-0000FAAF0000}"/>
    <cellStyle name="SAPBEXaggData 3 3 3" xfId="44905" xr:uid="{00000000-0005-0000-0000-0000FBAF0000}"/>
    <cellStyle name="SAPBEXaggData 3 4" xfId="44906" xr:uid="{00000000-0005-0000-0000-0000FCAF0000}"/>
    <cellStyle name="SAPBEXaggData 3 4 2" xfId="44907" xr:uid="{00000000-0005-0000-0000-0000FDAF0000}"/>
    <cellStyle name="SAPBEXaggData 3 4 2 2" xfId="44908" xr:uid="{00000000-0005-0000-0000-0000FEAF0000}"/>
    <cellStyle name="SAPBEXaggData 3 4 3" xfId="44909" xr:uid="{00000000-0005-0000-0000-0000FFAF0000}"/>
    <cellStyle name="SAPBEXaggData 3 5" xfId="44910" xr:uid="{00000000-0005-0000-0000-000000B00000}"/>
    <cellStyle name="SAPBEXaggData 4" xfId="44911" xr:uid="{00000000-0005-0000-0000-000001B00000}"/>
    <cellStyle name="SAPBEXaggData 4 2" xfId="44912" xr:uid="{00000000-0005-0000-0000-000002B00000}"/>
    <cellStyle name="SAPBEXaggData 4 2 2" xfId="44913" xr:uid="{00000000-0005-0000-0000-000003B00000}"/>
    <cellStyle name="SAPBEXaggData 4 2 2 2" xfId="44914" xr:uid="{00000000-0005-0000-0000-000004B00000}"/>
    <cellStyle name="SAPBEXaggData 4 2 3" xfId="44915" xr:uid="{00000000-0005-0000-0000-000005B00000}"/>
    <cellStyle name="SAPBEXaggData 4 2 3 2" xfId="44916" xr:uid="{00000000-0005-0000-0000-000006B00000}"/>
    <cellStyle name="SAPBEXaggData 4 2 3 2 2" xfId="44917" xr:uid="{00000000-0005-0000-0000-000007B00000}"/>
    <cellStyle name="SAPBEXaggData 4 2 3 3" xfId="44918" xr:uid="{00000000-0005-0000-0000-000008B00000}"/>
    <cellStyle name="SAPBEXaggData 4 2 4" xfId="44919" xr:uid="{00000000-0005-0000-0000-000009B00000}"/>
    <cellStyle name="SAPBEXaggData 4 3" xfId="44920" xr:uid="{00000000-0005-0000-0000-00000AB00000}"/>
    <cellStyle name="SAPBEXaggData 4 3 2" xfId="44921" xr:uid="{00000000-0005-0000-0000-00000BB00000}"/>
    <cellStyle name="SAPBEXaggData 4 3 2 2" xfId="44922" xr:uid="{00000000-0005-0000-0000-00000CB00000}"/>
    <cellStyle name="SAPBEXaggData 4 3 3" xfId="44923" xr:uid="{00000000-0005-0000-0000-00000DB00000}"/>
    <cellStyle name="SAPBEXaggData 4 4" xfId="44924" xr:uid="{00000000-0005-0000-0000-00000EB00000}"/>
    <cellStyle name="SAPBEXaggData 4 4 2" xfId="44925" xr:uid="{00000000-0005-0000-0000-00000FB00000}"/>
    <cellStyle name="SAPBEXaggData 4 4 2 2" xfId="44926" xr:uid="{00000000-0005-0000-0000-000010B00000}"/>
    <cellStyle name="SAPBEXaggData 4 4 3" xfId="44927" xr:uid="{00000000-0005-0000-0000-000011B00000}"/>
    <cellStyle name="SAPBEXaggData 4 5" xfId="44928" xr:uid="{00000000-0005-0000-0000-000012B00000}"/>
    <cellStyle name="SAPBEXaggData 4 5 2" xfId="44929" xr:uid="{00000000-0005-0000-0000-000013B00000}"/>
    <cellStyle name="SAPBEXaggData 4 5 2 2" xfId="44930" xr:uid="{00000000-0005-0000-0000-000014B00000}"/>
    <cellStyle name="SAPBEXaggData 4 5 3" xfId="44931" xr:uid="{00000000-0005-0000-0000-000015B00000}"/>
    <cellStyle name="SAPBEXaggData 4 6" xfId="44932" xr:uid="{00000000-0005-0000-0000-000016B00000}"/>
    <cellStyle name="SAPBEXaggData 5" xfId="44933" xr:uid="{00000000-0005-0000-0000-000017B00000}"/>
    <cellStyle name="SAPBEXaggData 5 2" xfId="44934" xr:uid="{00000000-0005-0000-0000-000018B00000}"/>
    <cellStyle name="SAPBEXaggData 5 2 2" xfId="44935" xr:uid="{00000000-0005-0000-0000-000019B00000}"/>
    <cellStyle name="SAPBEXaggData 5 3" xfId="44936" xr:uid="{00000000-0005-0000-0000-00001AB00000}"/>
    <cellStyle name="SAPBEXaggData 6" xfId="44937" xr:uid="{00000000-0005-0000-0000-00001BB00000}"/>
    <cellStyle name="SAPBEXaggData 6 2" xfId="44938" xr:uid="{00000000-0005-0000-0000-00001CB00000}"/>
    <cellStyle name="SAPBEXaggData 6 2 2" xfId="44939" xr:uid="{00000000-0005-0000-0000-00001DB00000}"/>
    <cellStyle name="SAPBEXaggData 6 3" xfId="44940" xr:uid="{00000000-0005-0000-0000-00001EB00000}"/>
    <cellStyle name="SAPBEXaggData 7" xfId="44941" xr:uid="{00000000-0005-0000-0000-00001FB00000}"/>
    <cellStyle name="SAPBEXaggData 7 2" xfId="44942" xr:uid="{00000000-0005-0000-0000-000020B00000}"/>
    <cellStyle name="SAPBEXaggData 7 2 2" xfId="44943" xr:uid="{00000000-0005-0000-0000-000021B00000}"/>
    <cellStyle name="SAPBEXaggData 7 3" xfId="44944" xr:uid="{00000000-0005-0000-0000-000022B00000}"/>
    <cellStyle name="SAPBEXaggData 8" xfId="44945" xr:uid="{00000000-0005-0000-0000-000023B00000}"/>
    <cellStyle name="SAPBEXaggData 8 2" xfId="44946" xr:uid="{00000000-0005-0000-0000-000024B00000}"/>
    <cellStyle name="SAPBEXaggData 9" xfId="44947" xr:uid="{00000000-0005-0000-0000-000025B00000}"/>
    <cellStyle name="SAPBEXaggData 9 2" xfId="44948" xr:uid="{00000000-0005-0000-0000-000026B00000}"/>
    <cellStyle name="SAPBEXaggDataEmph" xfId="41" xr:uid="{00000000-0005-0000-0000-000027B00000}"/>
    <cellStyle name="SAPBEXaggDataEmph 10" xfId="44949" xr:uid="{00000000-0005-0000-0000-000028B00000}"/>
    <cellStyle name="SAPBEXaggDataEmph 10 2" xfId="44950" xr:uid="{00000000-0005-0000-0000-000029B00000}"/>
    <cellStyle name="SAPBEXaggDataEmph 11" xfId="44951" xr:uid="{00000000-0005-0000-0000-00002AB00000}"/>
    <cellStyle name="SAPBEXaggDataEmph 11 2" xfId="44952" xr:uid="{00000000-0005-0000-0000-00002BB00000}"/>
    <cellStyle name="SAPBEXaggDataEmph 12" xfId="44953" xr:uid="{00000000-0005-0000-0000-00002CB00000}"/>
    <cellStyle name="SAPBEXaggDataEmph 13" xfId="44954" xr:uid="{00000000-0005-0000-0000-00002DB00000}"/>
    <cellStyle name="SAPBEXaggDataEmph 2" xfId="44955" xr:uid="{00000000-0005-0000-0000-00002EB00000}"/>
    <cellStyle name="SAPBEXaggDataEmph 2 2" xfId="44956" xr:uid="{00000000-0005-0000-0000-00002FB00000}"/>
    <cellStyle name="SAPBEXaggDataEmph 2 2 2" xfId="44957" xr:uid="{00000000-0005-0000-0000-000030B00000}"/>
    <cellStyle name="SAPBEXaggDataEmph 2 2 2 2" xfId="44958" xr:uid="{00000000-0005-0000-0000-000031B00000}"/>
    <cellStyle name="SAPBEXaggDataEmph 2 2 2 2 2" xfId="44959" xr:uid="{00000000-0005-0000-0000-000032B00000}"/>
    <cellStyle name="SAPBEXaggDataEmph 2 2 2 2 2 2" xfId="44960" xr:uid="{00000000-0005-0000-0000-000033B00000}"/>
    <cellStyle name="SAPBEXaggDataEmph 2 2 2 2 3" xfId="44961" xr:uid="{00000000-0005-0000-0000-000034B00000}"/>
    <cellStyle name="SAPBEXaggDataEmph 2 2 2 3" xfId="44962" xr:uid="{00000000-0005-0000-0000-000035B00000}"/>
    <cellStyle name="SAPBEXaggDataEmph 2 2 2 3 2" xfId="44963" xr:uid="{00000000-0005-0000-0000-000036B00000}"/>
    <cellStyle name="SAPBEXaggDataEmph 2 2 2 4" xfId="44964" xr:uid="{00000000-0005-0000-0000-000037B00000}"/>
    <cellStyle name="SAPBEXaggDataEmph 2 2 3" xfId="44965" xr:uid="{00000000-0005-0000-0000-000038B00000}"/>
    <cellStyle name="SAPBEXaggDataEmph 2 2 3 2" xfId="44966" xr:uid="{00000000-0005-0000-0000-000039B00000}"/>
    <cellStyle name="SAPBEXaggDataEmph 2 2 3 2 2" xfId="44967" xr:uid="{00000000-0005-0000-0000-00003AB00000}"/>
    <cellStyle name="SAPBEXaggDataEmph 2 2 3 3" xfId="44968" xr:uid="{00000000-0005-0000-0000-00003BB00000}"/>
    <cellStyle name="SAPBEXaggDataEmph 2 2 4" xfId="44969" xr:uid="{00000000-0005-0000-0000-00003CB00000}"/>
    <cellStyle name="SAPBEXaggDataEmph 2 2 4 2" xfId="44970" xr:uid="{00000000-0005-0000-0000-00003DB00000}"/>
    <cellStyle name="SAPBEXaggDataEmph 2 2 4 2 2" xfId="44971" xr:uid="{00000000-0005-0000-0000-00003EB00000}"/>
    <cellStyle name="SAPBEXaggDataEmph 2 2 4 3" xfId="44972" xr:uid="{00000000-0005-0000-0000-00003FB00000}"/>
    <cellStyle name="SAPBEXaggDataEmph 2 2 5" xfId="44973" xr:uid="{00000000-0005-0000-0000-000040B00000}"/>
    <cellStyle name="SAPBEXaggDataEmph 2 2 5 2" xfId="44974" xr:uid="{00000000-0005-0000-0000-000041B00000}"/>
    <cellStyle name="SAPBEXaggDataEmph 2 2 6" xfId="44975" xr:uid="{00000000-0005-0000-0000-000042B00000}"/>
    <cellStyle name="SAPBEXaggDataEmph 2 3" xfId="44976" xr:uid="{00000000-0005-0000-0000-000043B00000}"/>
    <cellStyle name="SAPBEXaggDataEmph 2 3 2" xfId="44977" xr:uid="{00000000-0005-0000-0000-000044B00000}"/>
    <cellStyle name="SAPBEXaggDataEmph 2 4" xfId="44978" xr:uid="{00000000-0005-0000-0000-000045B00000}"/>
    <cellStyle name="SAPBEXaggDataEmph 2 4 2" xfId="44979" xr:uid="{00000000-0005-0000-0000-000046B00000}"/>
    <cellStyle name="SAPBEXaggDataEmph 2 4 2 2" xfId="44980" xr:uid="{00000000-0005-0000-0000-000047B00000}"/>
    <cellStyle name="SAPBEXaggDataEmph 2 4 3" xfId="44981" xr:uid="{00000000-0005-0000-0000-000048B00000}"/>
    <cellStyle name="SAPBEXaggDataEmph 2 5" xfId="44982" xr:uid="{00000000-0005-0000-0000-000049B00000}"/>
    <cellStyle name="SAPBEXaggDataEmph 2 5 2" xfId="44983" xr:uid="{00000000-0005-0000-0000-00004AB00000}"/>
    <cellStyle name="SAPBEXaggDataEmph 2 5 2 2" xfId="44984" xr:uid="{00000000-0005-0000-0000-00004BB00000}"/>
    <cellStyle name="SAPBEXaggDataEmph 2 5 3" xfId="44985" xr:uid="{00000000-0005-0000-0000-00004CB00000}"/>
    <cellStyle name="SAPBEXaggDataEmph 2 6" xfId="44986" xr:uid="{00000000-0005-0000-0000-00004DB00000}"/>
    <cellStyle name="SAPBEXaggDataEmph 3" xfId="44987" xr:uid="{00000000-0005-0000-0000-00004EB00000}"/>
    <cellStyle name="SAPBEXaggDataEmph 3 2" xfId="44988" xr:uid="{00000000-0005-0000-0000-00004FB00000}"/>
    <cellStyle name="SAPBEXaggDataEmph 3 2 2" xfId="44989" xr:uid="{00000000-0005-0000-0000-000050B00000}"/>
    <cellStyle name="SAPBEXaggDataEmph 3 3" xfId="44990" xr:uid="{00000000-0005-0000-0000-000051B00000}"/>
    <cellStyle name="SAPBEXaggDataEmph 3 3 2" xfId="44991" xr:uid="{00000000-0005-0000-0000-000052B00000}"/>
    <cellStyle name="SAPBEXaggDataEmph 3 3 2 2" xfId="44992" xr:uid="{00000000-0005-0000-0000-000053B00000}"/>
    <cellStyle name="SAPBEXaggDataEmph 3 3 3" xfId="44993" xr:uid="{00000000-0005-0000-0000-000054B00000}"/>
    <cellStyle name="SAPBEXaggDataEmph 3 4" xfId="44994" xr:uid="{00000000-0005-0000-0000-000055B00000}"/>
    <cellStyle name="SAPBEXaggDataEmph 3 4 2" xfId="44995" xr:uid="{00000000-0005-0000-0000-000056B00000}"/>
    <cellStyle name="SAPBEXaggDataEmph 3 4 2 2" xfId="44996" xr:uid="{00000000-0005-0000-0000-000057B00000}"/>
    <cellStyle name="SAPBEXaggDataEmph 3 4 3" xfId="44997" xr:uid="{00000000-0005-0000-0000-000058B00000}"/>
    <cellStyle name="SAPBEXaggDataEmph 3 5" xfId="44998" xr:uid="{00000000-0005-0000-0000-000059B00000}"/>
    <cellStyle name="SAPBEXaggDataEmph 4" xfId="44999" xr:uid="{00000000-0005-0000-0000-00005AB00000}"/>
    <cellStyle name="SAPBEXaggDataEmph 4 2" xfId="45000" xr:uid="{00000000-0005-0000-0000-00005BB00000}"/>
    <cellStyle name="SAPBEXaggDataEmph 4 2 2" xfId="45001" xr:uid="{00000000-0005-0000-0000-00005CB00000}"/>
    <cellStyle name="SAPBEXaggDataEmph 4 2 2 2" xfId="45002" xr:uid="{00000000-0005-0000-0000-00005DB00000}"/>
    <cellStyle name="SAPBEXaggDataEmph 4 2 3" xfId="45003" xr:uid="{00000000-0005-0000-0000-00005EB00000}"/>
    <cellStyle name="SAPBEXaggDataEmph 4 2 3 2" xfId="45004" xr:uid="{00000000-0005-0000-0000-00005FB00000}"/>
    <cellStyle name="SAPBEXaggDataEmph 4 2 3 2 2" xfId="45005" xr:uid="{00000000-0005-0000-0000-000060B00000}"/>
    <cellStyle name="SAPBEXaggDataEmph 4 2 3 3" xfId="45006" xr:uid="{00000000-0005-0000-0000-000061B00000}"/>
    <cellStyle name="SAPBEXaggDataEmph 4 2 4" xfId="45007" xr:uid="{00000000-0005-0000-0000-000062B00000}"/>
    <cellStyle name="SAPBEXaggDataEmph 4 3" xfId="45008" xr:uid="{00000000-0005-0000-0000-000063B00000}"/>
    <cellStyle name="SAPBEXaggDataEmph 4 3 2" xfId="45009" xr:uid="{00000000-0005-0000-0000-000064B00000}"/>
    <cellStyle name="SAPBEXaggDataEmph 4 3 2 2" xfId="45010" xr:uid="{00000000-0005-0000-0000-000065B00000}"/>
    <cellStyle name="SAPBEXaggDataEmph 4 3 3" xfId="45011" xr:uid="{00000000-0005-0000-0000-000066B00000}"/>
    <cellStyle name="SAPBEXaggDataEmph 4 4" xfId="45012" xr:uid="{00000000-0005-0000-0000-000067B00000}"/>
    <cellStyle name="SAPBEXaggDataEmph 4 4 2" xfId="45013" xr:uid="{00000000-0005-0000-0000-000068B00000}"/>
    <cellStyle name="SAPBEXaggDataEmph 4 4 2 2" xfId="45014" xr:uid="{00000000-0005-0000-0000-000069B00000}"/>
    <cellStyle name="SAPBEXaggDataEmph 4 4 3" xfId="45015" xr:uid="{00000000-0005-0000-0000-00006AB00000}"/>
    <cellStyle name="SAPBEXaggDataEmph 4 5" xfId="45016" xr:uid="{00000000-0005-0000-0000-00006BB00000}"/>
    <cellStyle name="SAPBEXaggDataEmph 4 5 2" xfId="45017" xr:uid="{00000000-0005-0000-0000-00006CB00000}"/>
    <cellStyle name="SAPBEXaggDataEmph 4 5 2 2" xfId="45018" xr:uid="{00000000-0005-0000-0000-00006DB00000}"/>
    <cellStyle name="SAPBEXaggDataEmph 4 5 3" xfId="45019" xr:uid="{00000000-0005-0000-0000-00006EB00000}"/>
    <cellStyle name="SAPBEXaggDataEmph 4 6" xfId="45020" xr:uid="{00000000-0005-0000-0000-00006FB00000}"/>
    <cellStyle name="SAPBEXaggDataEmph 5" xfId="45021" xr:uid="{00000000-0005-0000-0000-000070B00000}"/>
    <cellStyle name="SAPBEXaggDataEmph 5 2" xfId="45022" xr:uid="{00000000-0005-0000-0000-000071B00000}"/>
    <cellStyle name="SAPBEXaggDataEmph 5 2 2" xfId="45023" xr:uid="{00000000-0005-0000-0000-000072B00000}"/>
    <cellStyle name="SAPBEXaggDataEmph 5 3" xfId="45024" xr:uid="{00000000-0005-0000-0000-000073B00000}"/>
    <cellStyle name="SAPBEXaggDataEmph 6" xfId="45025" xr:uid="{00000000-0005-0000-0000-000074B00000}"/>
    <cellStyle name="SAPBEXaggDataEmph 6 2" xfId="45026" xr:uid="{00000000-0005-0000-0000-000075B00000}"/>
    <cellStyle name="SAPBEXaggDataEmph 6 2 2" xfId="45027" xr:uid="{00000000-0005-0000-0000-000076B00000}"/>
    <cellStyle name="SAPBEXaggDataEmph 6 3" xfId="45028" xr:uid="{00000000-0005-0000-0000-000077B00000}"/>
    <cellStyle name="SAPBEXaggDataEmph 7" xfId="45029" xr:uid="{00000000-0005-0000-0000-000078B00000}"/>
    <cellStyle name="SAPBEXaggDataEmph 7 2" xfId="45030" xr:uid="{00000000-0005-0000-0000-000079B00000}"/>
    <cellStyle name="SAPBEXaggDataEmph 7 2 2" xfId="45031" xr:uid="{00000000-0005-0000-0000-00007AB00000}"/>
    <cellStyle name="SAPBEXaggDataEmph 7 3" xfId="45032" xr:uid="{00000000-0005-0000-0000-00007BB00000}"/>
    <cellStyle name="SAPBEXaggDataEmph 8" xfId="45033" xr:uid="{00000000-0005-0000-0000-00007CB00000}"/>
    <cellStyle name="SAPBEXaggDataEmph 8 2" xfId="45034" xr:uid="{00000000-0005-0000-0000-00007DB00000}"/>
    <cellStyle name="SAPBEXaggDataEmph 9" xfId="45035" xr:uid="{00000000-0005-0000-0000-00007EB00000}"/>
    <cellStyle name="SAPBEXaggDataEmph 9 2" xfId="45036" xr:uid="{00000000-0005-0000-0000-00007FB00000}"/>
    <cellStyle name="SAPBEXaggItem" xfId="42" xr:uid="{00000000-0005-0000-0000-000080B00000}"/>
    <cellStyle name="SAPBEXaggItem 10" xfId="45037" xr:uid="{00000000-0005-0000-0000-000081B00000}"/>
    <cellStyle name="SAPBEXaggItem 10 2" xfId="45038" xr:uid="{00000000-0005-0000-0000-000082B00000}"/>
    <cellStyle name="SAPBEXaggItem 11" xfId="45039" xr:uid="{00000000-0005-0000-0000-000083B00000}"/>
    <cellStyle name="SAPBEXaggItem 11 2" xfId="45040" xr:uid="{00000000-0005-0000-0000-000084B00000}"/>
    <cellStyle name="SAPBEXaggItem 12" xfId="45041" xr:uid="{00000000-0005-0000-0000-000085B00000}"/>
    <cellStyle name="SAPBEXaggItem 12 2" xfId="45042" xr:uid="{00000000-0005-0000-0000-000086B00000}"/>
    <cellStyle name="SAPBEXaggItem 13" xfId="45043" xr:uid="{00000000-0005-0000-0000-000087B00000}"/>
    <cellStyle name="SAPBEXaggItem 14" xfId="45044" xr:uid="{00000000-0005-0000-0000-000088B00000}"/>
    <cellStyle name="SAPBEXaggItem 2" xfId="45045" xr:uid="{00000000-0005-0000-0000-000089B00000}"/>
    <cellStyle name="SAPBEXaggItem 2 2" xfId="45046" xr:uid="{00000000-0005-0000-0000-00008AB00000}"/>
    <cellStyle name="SAPBEXaggItem 2 2 2" xfId="45047" xr:uid="{00000000-0005-0000-0000-00008BB00000}"/>
    <cellStyle name="SAPBEXaggItem 2 2 2 2" xfId="45048" xr:uid="{00000000-0005-0000-0000-00008CB00000}"/>
    <cellStyle name="SAPBEXaggItem 2 2 2 2 2" xfId="45049" xr:uid="{00000000-0005-0000-0000-00008DB00000}"/>
    <cellStyle name="SAPBEXaggItem 2 2 2 2 2 2" xfId="45050" xr:uid="{00000000-0005-0000-0000-00008EB00000}"/>
    <cellStyle name="SAPBEXaggItem 2 2 2 2 3" xfId="45051" xr:uid="{00000000-0005-0000-0000-00008FB00000}"/>
    <cellStyle name="SAPBEXaggItem 2 2 2 3" xfId="45052" xr:uid="{00000000-0005-0000-0000-000090B00000}"/>
    <cellStyle name="SAPBEXaggItem 2 2 2 3 2" xfId="45053" xr:uid="{00000000-0005-0000-0000-000091B00000}"/>
    <cellStyle name="SAPBEXaggItem 2 2 2 4" xfId="45054" xr:uid="{00000000-0005-0000-0000-000092B00000}"/>
    <cellStyle name="SAPBEXaggItem 2 2 3" xfId="45055" xr:uid="{00000000-0005-0000-0000-000093B00000}"/>
    <cellStyle name="SAPBEXaggItem 2 2 3 2" xfId="45056" xr:uid="{00000000-0005-0000-0000-000094B00000}"/>
    <cellStyle name="SAPBEXaggItem 2 2 3 2 2" xfId="45057" xr:uid="{00000000-0005-0000-0000-000095B00000}"/>
    <cellStyle name="SAPBEXaggItem 2 2 3 3" xfId="45058" xr:uid="{00000000-0005-0000-0000-000096B00000}"/>
    <cellStyle name="SAPBEXaggItem 2 2 4" xfId="45059" xr:uid="{00000000-0005-0000-0000-000097B00000}"/>
    <cellStyle name="SAPBEXaggItem 2 2 4 2" xfId="45060" xr:uid="{00000000-0005-0000-0000-000098B00000}"/>
    <cellStyle name="SAPBEXaggItem 2 2 4 2 2" xfId="45061" xr:uid="{00000000-0005-0000-0000-000099B00000}"/>
    <cellStyle name="SAPBEXaggItem 2 2 4 3" xfId="45062" xr:uid="{00000000-0005-0000-0000-00009AB00000}"/>
    <cellStyle name="SAPBEXaggItem 2 2 5" xfId="45063" xr:uid="{00000000-0005-0000-0000-00009BB00000}"/>
    <cellStyle name="SAPBEXaggItem 2 2 5 2" xfId="45064" xr:uid="{00000000-0005-0000-0000-00009CB00000}"/>
    <cellStyle name="SAPBEXaggItem 2 2 6" xfId="45065" xr:uid="{00000000-0005-0000-0000-00009DB00000}"/>
    <cellStyle name="SAPBEXaggItem 2 3" xfId="45066" xr:uid="{00000000-0005-0000-0000-00009EB00000}"/>
    <cellStyle name="SAPBEXaggItem 2 3 2" xfId="45067" xr:uid="{00000000-0005-0000-0000-00009FB00000}"/>
    <cellStyle name="SAPBEXaggItem 2 4" xfId="45068" xr:uid="{00000000-0005-0000-0000-0000A0B00000}"/>
    <cellStyle name="SAPBEXaggItem 2 4 2" xfId="45069" xr:uid="{00000000-0005-0000-0000-0000A1B00000}"/>
    <cellStyle name="SAPBEXaggItem 2 4 2 2" xfId="45070" xr:uid="{00000000-0005-0000-0000-0000A2B00000}"/>
    <cellStyle name="SAPBEXaggItem 2 4 3" xfId="45071" xr:uid="{00000000-0005-0000-0000-0000A3B00000}"/>
    <cellStyle name="SAPBEXaggItem 2 5" xfId="45072" xr:uid="{00000000-0005-0000-0000-0000A4B00000}"/>
    <cellStyle name="SAPBEXaggItem 2 5 2" xfId="45073" xr:uid="{00000000-0005-0000-0000-0000A5B00000}"/>
    <cellStyle name="SAPBEXaggItem 2 5 2 2" xfId="45074" xr:uid="{00000000-0005-0000-0000-0000A6B00000}"/>
    <cellStyle name="SAPBEXaggItem 2 5 3" xfId="45075" xr:uid="{00000000-0005-0000-0000-0000A7B00000}"/>
    <cellStyle name="SAPBEXaggItem 2 6" xfId="45076" xr:uid="{00000000-0005-0000-0000-0000A8B00000}"/>
    <cellStyle name="SAPBEXaggItem 3" xfId="45077" xr:uid="{00000000-0005-0000-0000-0000A9B00000}"/>
    <cellStyle name="SAPBEXaggItem 3 2" xfId="45078" xr:uid="{00000000-0005-0000-0000-0000AAB00000}"/>
    <cellStyle name="SAPBEXaggItem 3 2 2" xfId="45079" xr:uid="{00000000-0005-0000-0000-0000ABB00000}"/>
    <cellStyle name="SAPBEXaggItem 3 3" xfId="45080" xr:uid="{00000000-0005-0000-0000-0000ACB00000}"/>
    <cellStyle name="SAPBEXaggItem 3 3 2" xfId="45081" xr:uid="{00000000-0005-0000-0000-0000ADB00000}"/>
    <cellStyle name="SAPBEXaggItem 3 3 2 2" xfId="45082" xr:uid="{00000000-0005-0000-0000-0000AEB00000}"/>
    <cellStyle name="SAPBEXaggItem 3 3 3" xfId="45083" xr:uid="{00000000-0005-0000-0000-0000AFB00000}"/>
    <cellStyle name="SAPBEXaggItem 3 4" xfId="45084" xr:uid="{00000000-0005-0000-0000-0000B0B00000}"/>
    <cellStyle name="SAPBEXaggItem 3 4 2" xfId="45085" xr:uid="{00000000-0005-0000-0000-0000B1B00000}"/>
    <cellStyle name="SAPBEXaggItem 3 4 2 2" xfId="45086" xr:uid="{00000000-0005-0000-0000-0000B2B00000}"/>
    <cellStyle name="SAPBEXaggItem 3 4 3" xfId="45087" xr:uid="{00000000-0005-0000-0000-0000B3B00000}"/>
    <cellStyle name="SAPBEXaggItem 3 5" xfId="45088" xr:uid="{00000000-0005-0000-0000-0000B4B00000}"/>
    <cellStyle name="SAPBEXaggItem 4" xfId="45089" xr:uid="{00000000-0005-0000-0000-0000B5B00000}"/>
    <cellStyle name="SAPBEXaggItem 4 2" xfId="45090" xr:uid="{00000000-0005-0000-0000-0000B6B00000}"/>
    <cellStyle name="SAPBEXaggItem 4 2 2" xfId="45091" xr:uid="{00000000-0005-0000-0000-0000B7B00000}"/>
    <cellStyle name="SAPBEXaggItem 4 2 2 2" xfId="45092" xr:uid="{00000000-0005-0000-0000-0000B8B00000}"/>
    <cellStyle name="SAPBEXaggItem 4 2 3" xfId="45093" xr:uid="{00000000-0005-0000-0000-0000B9B00000}"/>
    <cellStyle name="SAPBEXaggItem 4 2 3 2" xfId="45094" xr:uid="{00000000-0005-0000-0000-0000BAB00000}"/>
    <cellStyle name="SAPBEXaggItem 4 2 3 2 2" xfId="45095" xr:uid="{00000000-0005-0000-0000-0000BBB00000}"/>
    <cellStyle name="SAPBEXaggItem 4 2 3 3" xfId="45096" xr:uid="{00000000-0005-0000-0000-0000BCB00000}"/>
    <cellStyle name="SAPBEXaggItem 4 2 4" xfId="45097" xr:uid="{00000000-0005-0000-0000-0000BDB00000}"/>
    <cellStyle name="SAPBEXaggItem 4 3" xfId="45098" xr:uid="{00000000-0005-0000-0000-0000BEB00000}"/>
    <cellStyle name="SAPBEXaggItem 4 3 2" xfId="45099" xr:uid="{00000000-0005-0000-0000-0000BFB00000}"/>
    <cellStyle name="SAPBEXaggItem 4 3 2 2" xfId="45100" xr:uid="{00000000-0005-0000-0000-0000C0B00000}"/>
    <cellStyle name="SAPBEXaggItem 4 3 3" xfId="45101" xr:uid="{00000000-0005-0000-0000-0000C1B00000}"/>
    <cellStyle name="SAPBEXaggItem 4 4" xfId="45102" xr:uid="{00000000-0005-0000-0000-0000C2B00000}"/>
    <cellStyle name="SAPBEXaggItem 4 4 2" xfId="45103" xr:uid="{00000000-0005-0000-0000-0000C3B00000}"/>
    <cellStyle name="SAPBEXaggItem 4 4 2 2" xfId="45104" xr:uid="{00000000-0005-0000-0000-0000C4B00000}"/>
    <cellStyle name="SAPBEXaggItem 4 4 3" xfId="45105" xr:uid="{00000000-0005-0000-0000-0000C5B00000}"/>
    <cellStyle name="SAPBEXaggItem 4 5" xfId="45106" xr:uid="{00000000-0005-0000-0000-0000C6B00000}"/>
    <cellStyle name="SAPBEXaggItem 4 5 2" xfId="45107" xr:uid="{00000000-0005-0000-0000-0000C7B00000}"/>
    <cellStyle name="SAPBEXaggItem 4 5 2 2" xfId="45108" xr:uid="{00000000-0005-0000-0000-0000C8B00000}"/>
    <cellStyle name="SAPBEXaggItem 4 5 3" xfId="45109" xr:uid="{00000000-0005-0000-0000-0000C9B00000}"/>
    <cellStyle name="SAPBEXaggItem 4 6" xfId="45110" xr:uid="{00000000-0005-0000-0000-0000CAB00000}"/>
    <cellStyle name="SAPBEXaggItem 5" xfId="45111" xr:uid="{00000000-0005-0000-0000-0000CBB00000}"/>
    <cellStyle name="SAPBEXaggItem 5 2" xfId="45112" xr:uid="{00000000-0005-0000-0000-0000CCB00000}"/>
    <cellStyle name="SAPBEXaggItem 5 2 2" xfId="45113" xr:uid="{00000000-0005-0000-0000-0000CDB00000}"/>
    <cellStyle name="SAPBEXaggItem 5 3" xfId="45114" xr:uid="{00000000-0005-0000-0000-0000CEB00000}"/>
    <cellStyle name="SAPBEXaggItem 6" xfId="45115" xr:uid="{00000000-0005-0000-0000-0000CFB00000}"/>
    <cellStyle name="SAPBEXaggItem 6 2" xfId="45116" xr:uid="{00000000-0005-0000-0000-0000D0B00000}"/>
    <cellStyle name="SAPBEXaggItem 6 2 2" xfId="45117" xr:uid="{00000000-0005-0000-0000-0000D1B00000}"/>
    <cellStyle name="SAPBEXaggItem 6 3" xfId="45118" xr:uid="{00000000-0005-0000-0000-0000D2B00000}"/>
    <cellStyle name="SAPBEXaggItem 7" xfId="45119" xr:uid="{00000000-0005-0000-0000-0000D3B00000}"/>
    <cellStyle name="SAPBEXaggItem 7 2" xfId="45120" xr:uid="{00000000-0005-0000-0000-0000D4B00000}"/>
    <cellStyle name="SAPBEXaggItem 7 2 2" xfId="45121" xr:uid="{00000000-0005-0000-0000-0000D5B00000}"/>
    <cellStyle name="SAPBEXaggItem 7 3" xfId="45122" xr:uid="{00000000-0005-0000-0000-0000D6B00000}"/>
    <cellStyle name="SAPBEXaggItem 8" xfId="45123" xr:uid="{00000000-0005-0000-0000-0000D7B00000}"/>
    <cellStyle name="SAPBEXaggItem 8 2" xfId="45124" xr:uid="{00000000-0005-0000-0000-0000D8B00000}"/>
    <cellStyle name="SAPBEXaggItem 9" xfId="45125" xr:uid="{00000000-0005-0000-0000-0000D9B00000}"/>
    <cellStyle name="SAPBEXaggItem 9 2" xfId="45126" xr:uid="{00000000-0005-0000-0000-0000DAB00000}"/>
    <cellStyle name="SAPBEXaggItemX" xfId="43" xr:uid="{00000000-0005-0000-0000-0000DBB00000}"/>
    <cellStyle name="SAPBEXaggItemX 10" xfId="45127" xr:uid="{00000000-0005-0000-0000-0000DCB00000}"/>
    <cellStyle name="SAPBEXaggItemX 10 2" xfId="45128" xr:uid="{00000000-0005-0000-0000-0000DDB00000}"/>
    <cellStyle name="SAPBEXaggItemX 10 2 2" xfId="45129" xr:uid="{00000000-0005-0000-0000-0000DEB00000}"/>
    <cellStyle name="SAPBEXaggItemX 10 3" xfId="45130" xr:uid="{00000000-0005-0000-0000-0000DFB00000}"/>
    <cellStyle name="SAPBEXaggItemX 11" xfId="45131" xr:uid="{00000000-0005-0000-0000-0000E0B00000}"/>
    <cellStyle name="SAPBEXaggItemX 11 2" xfId="45132" xr:uid="{00000000-0005-0000-0000-0000E1B00000}"/>
    <cellStyle name="SAPBEXaggItemX 12" xfId="45133" xr:uid="{00000000-0005-0000-0000-0000E2B00000}"/>
    <cellStyle name="SAPBEXaggItemX 12 2" xfId="45134" xr:uid="{00000000-0005-0000-0000-0000E3B00000}"/>
    <cellStyle name="SAPBEXaggItemX 12 2 2" xfId="45135" xr:uid="{00000000-0005-0000-0000-0000E4B00000}"/>
    <cellStyle name="SAPBEXaggItemX 12 3" xfId="45136" xr:uid="{00000000-0005-0000-0000-0000E5B00000}"/>
    <cellStyle name="SAPBEXaggItemX 12 3 2" xfId="45137" xr:uid="{00000000-0005-0000-0000-0000E6B00000}"/>
    <cellStyle name="SAPBEXaggItemX 12 4" xfId="45138" xr:uid="{00000000-0005-0000-0000-0000E7B00000}"/>
    <cellStyle name="SAPBEXaggItemX 13" xfId="45139" xr:uid="{00000000-0005-0000-0000-0000E8B00000}"/>
    <cellStyle name="SAPBEXaggItemX 13 2" xfId="45140" xr:uid="{00000000-0005-0000-0000-0000E9B00000}"/>
    <cellStyle name="SAPBEXaggItemX 14" xfId="45141" xr:uid="{00000000-0005-0000-0000-0000EAB00000}"/>
    <cellStyle name="SAPBEXaggItemX 14 2" xfId="45142" xr:uid="{00000000-0005-0000-0000-0000EBB00000}"/>
    <cellStyle name="SAPBEXaggItemX 15" xfId="45143" xr:uid="{00000000-0005-0000-0000-0000ECB00000}"/>
    <cellStyle name="SAPBEXaggItemX 15 2" xfId="45144" xr:uid="{00000000-0005-0000-0000-0000EDB00000}"/>
    <cellStyle name="SAPBEXaggItemX 16" xfId="45145" xr:uid="{00000000-0005-0000-0000-0000EEB00000}"/>
    <cellStyle name="SAPBEXaggItemX 17" xfId="45146" xr:uid="{00000000-0005-0000-0000-0000EFB00000}"/>
    <cellStyle name="SAPBEXaggItemX 2" xfId="45147" xr:uid="{00000000-0005-0000-0000-0000F0B00000}"/>
    <cellStyle name="SAPBEXaggItemX 2 2" xfId="45148" xr:uid="{00000000-0005-0000-0000-0000F1B00000}"/>
    <cellStyle name="SAPBEXaggItemX 2 2 2" xfId="45149" xr:uid="{00000000-0005-0000-0000-0000F2B00000}"/>
    <cellStyle name="SAPBEXaggItemX 2 2 2 2" xfId="45150" xr:uid="{00000000-0005-0000-0000-0000F3B00000}"/>
    <cellStyle name="SAPBEXaggItemX 2 2 2 2 2" xfId="45151" xr:uid="{00000000-0005-0000-0000-0000F4B00000}"/>
    <cellStyle name="SAPBEXaggItemX 2 2 2 3" xfId="45152" xr:uid="{00000000-0005-0000-0000-0000F5B00000}"/>
    <cellStyle name="SAPBEXaggItemX 2 2 3" xfId="45153" xr:uid="{00000000-0005-0000-0000-0000F6B00000}"/>
    <cellStyle name="SAPBEXaggItemX 2 2 3 2" xfId="45154" xr:uid="{00000000-0005-0000-0000-0000F7B00000}"/>
    <cellStyle name="SAPBEXaggItemX 2 2 3 2 2" xfId="45155" xr:uid="{00000000-0005-0000-0000-0000F8B00000}"/>
    <cellStyle name="SAPBEXaggItemX 2 2 3 3" xfId="45156" xr:uid="{00000000-0005-0000-0000-0000F9B00000}"/>
    <cellStyle name="SAPBEXaggItemX 2 2 4" xfId="45157" xr:uid="{00000000-0005-0000-0000-0000FAB00000}"/>
    <cellStyle name="SAPBEXaggItemX 2 2 4 2" xfId="45158" xr:uid="{00000000-0005-0000-0000-0000FBB00000}"/>
    <cellStyle name="SAPBEXaggItemX 2 2 4 2 2" xfId="45159" xr:uid="{00000000-0005-0000-0000-0000FCB00000}"/>
    <cellStyle name="SAPBEXaggItemX 2 2 4 3" xfId="45160" xr:uid="{00000000-0005-0000-0000-0000FDB00000}"/>
    <cellStyle name="SAPBEXaggItemX 2 2 5" xfId="45161" xr:uid="{00000000-0005-0000-0000-0000FEB00000}"/>
    <cellStyle name="SAPBEXaggItemX 2 2 5 2" xfId="45162" xr:uid="{00000000-0005-0000-0000-0000FFB00000}"/>
    <cellStyle name="SAPBEXaggItemX 2 2 6" xfId="45163" xr:uid="{00000000-0005-0000-0000-000000B10000}"/>
    <cellStyle name="SAPBEXaggItemX 2 3" xfId="45164" xr:uid="{00000000-0005-0000-0000-000001B10000}"/>
    <cellStyle name="SAPBEXaggItemX 2 3 2" xfId="45165" xr:uid="{00000000-0005-0000-0000-000002B10000}"/>
    <cellStyle name="SAPBEXaggItemX 2 3 2 2" xfId="45166" xr:uid="{00000000-0005-0000-0000-000003B10000}"/>
    <cellStyle name="SAPBEXaggItemX 2 3 2 2 2" xfId="45167" xr:uid="{00000000-0005-0000-0000-000004B10000}"/>
    <cellStyle name="SAPBEXaggItemX 2 3 2 2 2 2" xfId="45168" xr:uid="{00000000-0005-0000-0000-000005B10000}"/>
    <cellStyle name="SAPBEXaggItemX 2 3 2 2 3" xfId="45169" xr:uid="{00000000-0005-0000-0000-000006B10000}"/>
    <cellStyle name="SAPBEXaggItemX 2 3 2 3" xfId="45170" xr:uid="{00000000-0005-0000-0000-000007B10000}"/>
    <cellStyle name="SAPBEXaggItemX 2 3 2 3 2" xfId="45171" xr:uid="{00000000-0005-0000-0000-000008B10000}"/>
    <cellStyle name="SAPBEXaggItemX 2 3 2 3 2 2" xfId="45172" xr:uid="{00000000-0005-0000-0000-000009B10000}"/>
    <cellStyle name="SAPBEXaggItemX 2 3 2 3 3" xfId="45173" xr:uid="{00000000-0005-0000-0000-00000AB10000}"/>
    <cellStyle name="SAPBEXaggItemX 2 3 2 4" xfId="45174" xr:uid="{00000000-0005-0000-0000-00000BB10000}"/>
    <cellStyle name="SAPBEXaggItemX 2 3 2 4 2" xfId="45175" xr:uid="{00000000-0005-0000-0000-00000CB10000}"/>
    <cellStyle name="SAPBEXaggItemX 2 3 2 5" xfId="45176" xr:uid="{00000000-0005-0000-0000-00000DB10000}"/>
    <cellStyle name="SAPBEXaggItemX 2 3 3" xfId="45177" xr:uid="{00000000-0005-0000-0000-00000EB10000}"/>
    <cellStyle name="SAPBEXaggItemX 2 3 3 2" xfId="45178" xr:uid="{00000000-0005-0000-0000-00000FB10000}"/>
    <cellStyle name="SAPBEXaggItemX 2 3 3 2 2" xfId="45179" xr:uid="{00000000-0005-0000-0000-000010B10000}"/>
    <cellStyle name="SAPBEXaggItemX 2 3 3 2 2 2" xfId="45180" xr:uid="{00000000-0005-0000-0000-000011B10000}"/>
    <cellStyle name="SAPBEXaggItemX 2 3 3 2 3" xfId="45181" xr:uid="{00000000-0005-0000-0000-000012B10000}"/>
    <cellStyle name="SAPBEXaggItemX 2 3 3 3" xfId="45182" xr:uid="{00000000-0005-0000-0000-000013B10000}"/>
    <cellStyle name="SAPBEXaggItemX 2 3 3 3 2" xfId="45183" xr:uid="{00000000-0005-0000-0000-000014B10000}"/>
    <cellStyle name="SAPBEXaggItemX 2 3 3 4" xfId="45184" xr:uid="{00000000-0005-0000-0000-000015B10000}"/>
    <cellStyle name="SAPBEXaggItemX 2 3 4" xfId="45185" xr:uid="{00000000-0005-0000-0000-000016B10000}"/>
    <cellStyle name="SAPBEXaggItemX 2 3 4 2" xfId="45186" xr:uid="{00000000-0005-0000-0000-000017B10000}"/>
    <cellStyle name="SAPBEXaggItemX 2 3 4 2 2" xfId="45187" xr:uid="{00000000-0005-0000-0000-000018B10000}"/>
    <cellStyle name="SAPBEXaggItemX 2 3 4 3" xfId="45188" xr:uid="{00000000-0005-0000-0000-000019B10000}"/>
    <cellStyle name="SAPBEXaggItemX 2 3 5" xfId="45189" xr:uid="{00000000-0005-0000-0000-00001AB10000}"/>
    <cellStyle name="SAPBEXaggItemX 2 3 5 2" xfId="45190" xr:uid="{00000000-0005-0000-0000-00001BB10000}"/>
    <cellStyle name="SAPBEXaggItemX 2 3 5 2 2" xfId="45191" xr:uid="{00000000-0005-0000-0000-00001CB10000}"/>
    <cellStyle name="SAPBEXaggItemX 2 3 5 3" xfId="45192" xr:uid="{00000000-0005-0000-0000-00001DB10000}"/>
    <cellStyle name="SAPBEXaggItemX 2 3 6" xfId="45193" xr:uid="{00000000-0005-0000-0000-00001EB10000}"/>
    <cellStyle name="SAPBEXaggItemX 2 3 6 2" xfId="45194" xr:uid="{00000000-0005-0000-0000-00001FB10000}"/>
    <cellStyle name="SAPBEXaggItemX 2 3 7" xfId="45195" xr:uid="{00000000-0005-0000-0000-000020B10000}"/>
    <cellStyle name="SAPBEXaggItemX 2 4" xfId="45196" xr:uid="{00000000-0005-0000-0000-000021B10000}"/>
    <cellStyle name="SAPBEXaggItemX 2 4 2" xfId="45197" xr:uid="{00000000-0005-0000-0000-000022B10000}"/>
    <cellStyle name="SAPBEXaggItemX 2 4 2 2" xfId="45198" xr:uid="{00000000-0005-0000-0000-000023B10000}"/>
    <cellStyle name="SAPBEXaggItemX 2 4 2 2 2" xfId="45199" xr:uid="{00000000-0005-0000-0000-000024B10000}"/>
    <cellStyle name="SAPBEXaggItemX 2 4 2 2 2 2" xfId="45200" xr:uid="{00000000-0005-0000-0000-000025B10000}"/>
    <cellStyle name="SAPBEXaggItemX 2 4 2 2 3" xfId="45201" xr:uid="{00000000-0005-0000-0000-000026B10000}"/>
    <cellStyle name="SAPBEXaggItemX 2 4 2 3" xfId="45202" xr:uid="{00000000-0005-0000-0000-000027B10000}"/>
    <cellStyle name="SAPBEXaggItemX 2 4 2 3 2" xfId="45203" xr:uid="{00000000-0005-0000-0000-000028B10000}"/>
    <cellStyle name="SAPBEXaggItemX 2 4 2 3 2 2" xfId="45204" xr:uid="{00000000-0005-0000-0000-000029B10000}"/>
    <cellStyle name="SAPBEXaggItemX 2 4 2 3 3" xfId="45205" xr:uid="{00000000-0005-0000-0000-00002AB10000}"/>
    <cellStyle name="SAPBEXaggItemX 2 4 2 4" xfId="45206" xr:uid="{00000000-0005-0000-0000-00002BB10000}"/>
    <cellStyle name="SAPBEXaggItemX 2 4 2 4 2" xfId="45207" xr:uid="{00000000-0005-0000-0000-00002CB10000}"/>
    <cellStyle name="SAPBEXaggItemX 2 4 2 5" xfId="45208" xr:uid="{00000000-0005-0000-0000-00002DB10000}"/>
    <cellStyle name="SAPBEXaggItemX 2 4 3" xfId="45209" xr:uid="{00000000-0005-0000-0000-00002EB10000}"/>
    <cellStyle name="SAPBEXaggItemX 2 4 3 2" xfId="45210" xr:uid="{00000000-0005-0000-0000-00002FB10000}"/>
    <cellStyle name="SAPBEXaggItemX 2 4 3 2 2" xfId="45211" xr:uid="{00000000-0005-0000-0000-000030B10000}"/>
    <cellStyle name="SAPBEXaggItemX 2 4 3 2 2 2" xfId="45212" xr:uid="{00000000-0005-0000-0000-000031B10000}"/>
    <cellStyle name="SAPBEXaggItemX 2 4 3 2 3" xfId="45213" xr:uid="{00000000-0005-0000-0000-000032B10000}"/>
    <cellStyle name="SAPBEXaggItemX 2 4 3 3" xfId="45214" xr:uid="{00000000-0005-0000-0000-000033B10000}"/>
    <cellStyle name="SAPBEXaggItemX 2 4 3 3 2" xfId="45215" xr:uid="{00000000-0005-0000-0000-000034B10000}"/>
    <cellStyle name="SAPBEXaggItemX 2 4 3 4" xfId="45216" xr:uid="{00000000-0005-0000-0000-000035B10000}"/>
    <cellStyle name="SAPBEXaggItemX 2 4 4" xfId="45217" xr:uid="{00000000-0005-0000-0000-000036B10000}"/>
    <cellStyle name="SAPBEXaggItemX 2 4 4 2" xfId="45218" xr:uid="{00000000-0005-0000-0000-000037B10000}"/>
    <cellStyle name="SAPBEXaggItemX 2 4 4 2 2" xfId="45219" xr:uid="{00000000-0005-0000-0000-000038B10000}"/>
    <cellStyle name="SAPBEXaggItemX 2 4 4 3" xfId="45220" xr:uid="{00000000-0005-0000-0000-000039B10000}"/>
    <cellStyle name="SAPBEXaggItemX 2 4 5" xfId="45221" xr:uid="{00000000-0005-0000-0000-00003AB10000}"/>
    <cellStyle name="SAPBEXaggItemX 2 4 5 2" xfId="45222" xr:uid="{00000000-0005-0000-0000-00003BB10000}"/>
    <cellStyle name="SAPBEXaggItemX 2 4 6" xfId="45223" xr:uid="{00000000-0005-0000-0000-00003CB10000}"/>
    <cellStyle name="SAPBEXaggItemX 2 5" xfId="45224" xr:uid="{00000000-0005-0000-0000-00003DB10000}"/>
    <cellStyle name="SAPBEXaggItemX 2 5 2" xfId="45225" xr:uid="{00000000-0005-0000-0000-00003EB10000}"/>
    <cellStyle name="SAPBEXaggItemX 2 5 2 2" xfId="45226" xr:uid="{00000000-0005-0000-0000-00003FB10000}"/>
    <cellStyle name="SAPBEXaggItemX 2 5 2 2 2" xfId="45227" xr:uid="{00000000-0005-0000-0000-000040B10000}"/>
    <cellStyle name="SAPBEXaggItemX 2 5 2 3" xfId="45228" xr:uid="{00000000-0005-0000-0000-000041B10000}"/>
    <cellStyle name="SAPBEXaggItemX 2 5 3" xfId="45229" xr:uid="{00000000-0005-0000-0000-000042B10000}"/>
    <cellStyle name="SAPBEXaggItemX 2 5 3 2" xfId="45230" xr:uid="{00000000-0005-0000-0000-000043B10000}"/>
    <cellStyle name="SAPBEXaggItemX 2 5 4" xfId="45231" xr:uid="{00000000-0005-0000-0000-000044B10000}"/>
    <cellStyle name="SAPBEXaggItemX 2 6" xfId="45232" xr:uid="{00000000-0005-0000-0000-000045B10000}"/>
    <cellStyle name="SAPBEXaggItemX 2 6 2" xfId="45233" xr:uid="{00000000-0005-0000-0000-000046B10000}"/>
    <cellStyle name="SAPBEXaggItemX 2 6 2 2" xfId="45234" xr:uid="{00000000-0005-0000-0000-000047B10000}"/>
    <cellStyle name="SAPBEXaggItemX 2 6 3" xfId="45235" xr:uid="{00000000-0005-0000-0000-000048B10000}"/>
    <cellStyle name="SAPBEXaggItemX 2 7" xfId="45236" xr:uid="{00000000-0005-0000-0000-000049B10000}"/>
    <cellStyle name="SAPBEXaggItemX 2 7 2" xfId="45237" xr:uid="{00000000-0005-0000-0000-00004AB10000}"/>
    <cellStyle name="SAPBEXaggItemX 2 7 2 2" xfId="45238" xr:uid="{00000000-0005-0000-0000-00004BB10000}"/>
    <cellStyle name="SAPBEXaggItemX 2 7 3" xfId="45239" xr:uid="{00000000-0005-0000-0000-00004CB10000}"/>
    <cellStyle name="SAPBEXaggItemX 2 8" xfId="45240" xr:uid="{00000000-0005-0000-0000-00004DB10000}"/>
    <cellStyle name="SAPBEXaggItemX 2 8 2" xfId="45241" xr:uid="{00000000-0005-0000-0000-00004EB10000}"/>
    <cellStyle name="SAPBEXaggItemX 2 9" xfId="45242" xr:uid="{00000000-0005-0000-0000-00004FB10000}"/>
    <cellStyle name="SAPBEXaggItemX 3" xfId="45243" xr:uid="{00000000-0005-0000-0000-000050B10000}"/>
    <cellStyle name="SAPBEXaggItemX 3 2" xfId="45244" xr:uid="{00000000-0005-0000-0000-000051B10000}"/>
    <cellStyle name="SAPBEXaggItemX 3 2 2" xfId="45245" xr:uid="{00000000-0005-0000-0000-000052B10000}"/>
    <cellStyle name="SAPBEXaggItemX 3 2 2 2" xfId="45246" xr:uid="{00000000-0005-0000-0000-000053B10000}"/>
    <cellStyle name="SAPBEXaggItemX 3 2 2 2 2" xfId="45247" xr:uid="{00000000-0005-0000-0000-000054B10000}"/>
    <cellStyle name="SAPBEXaggItemX 3 2 2 3" xfId="45248" xr:uid="{00000000-0005-0000-0000-000055B10000}"/>
    <cellStyle name="SAPBEXaggItemX 3 2 3" xfId="45249" xr:uid="{00000000-0005-0000-0000-000056B10000}"/>
    <cellStyle name="SAPBEXaggItemX 3 2 3 2" xfId="45250" xr:uid="{00000000-0005-0000-0000-000057B10000}"/>
    <cellStyle name="SAPBEXaggItemX 3 2 3 2 2" xfId="45251" xr:uid="{00000000-0005-0000-0000-000058B10000}"/>
    <cellStyle name="SAPBEXaggItemX 3 2 3 3" xfId="45252" xr:uid="{00000000-0005-0000-0000-000059B10000}"/>
    <cellStyle name="SAPBEXaggItemX 3 2 4" xfId="45253" xr:uid="{00000000-0005-0000-0000-00005AB10000}"/>
    <cellStyle name="SAPBEXaggItemX 3 2 4 2" xfId="45254" xr:uid="{00000000-0005-0000-0000-00005BB10000}"/>
    <cellStyle name="SAPBEXaggItemX 3 2 4 2 2" xfId="45255" xr:uid="{00000000-0005-0000-0000-00005CB10000}"/>
    <cellStyle name="SAPBEXaggItemX 3 2 4 3" xfId="45256" xr:uid="{00000000-0005-0000-0000-00005DB10000}"/>
    <cellStyle name="SAPBEXaggItemX 3 2 5" xfId="45257" xr:uid="{00000000-0005-0000-0000-00005EB10000}"/>
    <cellStyle name="SAPBEXaggItemX 3 2 5 2" xfId="45258" xr:uid="{00000000-0005-0000-0000-00005FB10000}"/>
    <cellStyle name="SAPBEXaggItemX 3 2 6" xfId="45259" xr:uid="{00000000-0005-0000-0000-000060B10000}"/>
    <cellStyle name="SAPBEXaggItemX 3 3" xfId="45260" xr:uid="{00000000-0005-0000-0000-000061B10000}"/>
    <cellStyle name="SAPBEXaggItemX 3 3 2" xfId="45261" xr:uid="{00000000-0005-0000-0000-000062B10000}"/>
    <cellStyle name="SAPBEXaggItemX 3 3 2 2" xfId="45262" xr:uid="{00000000-0005-0000-0000-000063B10000}"/>
    <cellStyle name="SAPBEXaggItemX 3 3 2 2 2" xfId="45263" xr:uid="{00000000-0005-0000-0000-000064B10000}"/>
    <cellStyle name="SAPBEXaggItemX 3 3 2 3" xfId="45264" xr:uid="{00000000-0005-0000-0000-000065B10000}"/>
    <cellStyle name="SAPBEXaggItemX 3 3 3" xfId="45265" xr:uid="{00000000-0005-0000-0000-000066B10000}"/>
    <cellStyle name="SAPBEXaggItemX 3 3 3 2" xfId="45266" xr:uid="{00000000-0005-0000-0000-000067B10000}"/>
    <cellStyle name="SAPBEXaggItemX 3 3 4" xfId="45267" xr:uid="{00000000-0005-0000-0000-000068B10000}"/>
    <cellStyle name="SAPBEXaggItemX 3 4" xfId="45268" xr:uid="{00000000-0005-0000-0000-000069B10000}"/>
    <cellStyle name="SAPBEXaggItemX 3 4 2" xfId="45269" xr:uid="{00000000-0005-0000-0000-00006AB10000}"/>
    <cellStyle name="SAPBEXaggItemX 3 4 2 2" xfId="45270" xr:uid="{00000000-0005-0000-0000-00006BB10000}"/>
    <cellStyle name="SAPBEXaggItemX 3 4 3" xfId="45271" xr:uid="{00000000-0005-0000-0000-00006CB10000}"/>
    <cellStyle name="SAPBEXaggItemX 3 5" xfId="45272" xr:uid="{00000000-0005-0000-0000-00006DB10000}"/>
    <cellStyle name="SAPBEXaggItemX 3 5 2" xfId="45273" xr:uid="{00000000-0005-0000-0000-00006EB10000}"/>
    <cellStyle name="SAPBEXaggItemX 3 5 2 2" xfId="45274" xr:uid="{00000000-0005-0000-0000-00006FB10000}"/>
    <cellStyle name="SAPBEXaggItemX 3 5 3" xfId="45275" xr:uid="{00000000-0005-0000-0000-000070B10000}"/>
    <cellStyle name="SAPBEXaggItemX 3 6" xfId="45276" xr:uid="{00000000-0005-0000-0000-000071B10000}"/>
    <cellStyle name="SAPBEXaggItemX 3 6 2" xfId="45277" xr:uid="{00000000-0005-0000-0000-000072B10000}"/>
    <cellStyle name="SAPBEXaggItemX 3 7" xfId="45278" xr:uid="{00000000-0005-0000-0000-000073B10000}"/>
    <cellStyle name="SAPBEXaggItemX 4" xfId="45279" xr:uid="{00000000-0005-0000-0000-000074B10000}"/>
    <cellStyle name="SAPBEXaggItemX 4 2" xfId="45280" xr:uid="{00000000-0005-0000-0000-000075B10000}"/>
    <cellStyle name="SAPBEXaggItemX 4 2 2" xfId="45281" xr:uid="{00000000-0005-0000-0000-000076B10000}"/>
    <cellStyle name="SAPBEXaggItemX 4 2 2 2" xfId="45282" xr:uid="{00000000-0005-0000-0000-000077B10000}"/>
    <cellStyle name="SAPBEXaggItemX 4 2 2 2 2" xfId="45283" xr:uid="{00000000-0005-0000-0000-000078B10000}"/>
    <cellStyle name="SAPBEXaggItemX 4 2 2 3" xfId="45284" xr:uid="{00000000-0005-0000-0000-000079B10000}"/>
    <cellStyle name="SAPBEXaggItemX 4 2 3" xfId="45285" xr:uid="{00000000-0005-0000-0000-00007AB10000}"/>
    <cellStyle name="SAPBEXaggItemX 4 2 3 2" xfId="45286" xr:uid="{00000000-0005-0000-0000-00007BB10000}"/>
    <cellStyle name="SAPBEXaggItemX 4 2 3 2 2" xfId="45287" xr:uid="{00000000-0005-0000-0000-00007CB10000}"/>
    <cellStyle name="SAPBEXaggItemX 4 2 3 3" xfId="45288" xr:uid="{00000000-0005-0000-0000-00007DB10000}"/>
    <cellStyle name="SAPBEXaggItemX 4 2 4" xfId="45289" xr:uid="{00000000-0005-0000-0000-00007EB10000}"/>
    <cellStyle name="SAPBEXaggItemX 4 2 4 2" xfId="45290" xr:uid="{00000000-0005-0000-0000-00007FB10000}"/>
    <cellStyle name="SAPBEXaggItemX 4 2 4 2 2" xfId="45291" xr:uid="{00000000-0005-0000-0000-000080B10000}"/>
    <cellStyle name="SAPBEXaggItemX 4 2 4 3" xfId="45292" xr:uid="{00000000-0005-0000-0000-000081B10000}"/>
    <cellStyle name="SAPBEXaggItemX 4 2 5" xfId="45293" xr:uid="{00000000-0005-0000-0000-000082B10000}"/>
    <cellStyle name="SAPBEXaggItemX 4 2 5 2" xfId="45294" xr:uid="{00000000-0005-0000-0000-000083B10000}"/>
    <cellStyle name="SAPBEXaggItemX 4 2 6" xfId="45295" xr:uid="{00000000-0005-0000-0000-000084B10000}"/>
    <cellStyle name="SAPBEXaggItemX 4 3" xfId="45296" xr:uid="{00000000-0005-0000-0000-000085B10000}"/>
    <cellStyle name="SAPBEXaggItemX 4 3 2" xfId="45297" xr:uid="{00000000-0005-0000-0000-000086B10000}"/>
    <cellStyle name="SAPBEXaggItemX 4 3 2 2" xfId="45298" xr:uid="{00000000-0005-0000-0000-000087B10000}"/>
    <cellStyle name="SAPBEXaggItemX 4 3 2 2 2" xfId="45299" xr:uid="{00000000-0005-0000-0000-000088B10000}"/>
    <cellStyle name="SAPBEXaggItemX 4 3 2 2 2 2" xfId="45300" xr:uid="{00000000-0005-0000-0000-000089B10000}"/>
    <cellStyle name="SAPBEXaggItemX 4 3 2 2 3" xfId="45301" xr:uid="{00000000-0005-0000-0000-00008AB10000}"/>
    <cellStyle name="SAPBEXaggItemX 4 3 2 3" xfId="45302" xr:uid="{00000000-0005-0000-0000-00008BB10000}"/>
    <cellStyle name="SAPBEXaggItemX 4 3 2 3 2" xfId="45303" xr:uid="{00000000-0005-0000-0000-00008CB10000}"/>
    <cellStyle name="SAPBEXaggItemX 4 3 2 3 2 2" xfId="45304" xr:uid="{00000000-0005-0000-0000-00008DB10000}"/>
    <cellStyle name="SAPBEXaggItemX 4 3 2 3 3" xfId="45305" xr:uid="{00000000-0005-0000-0000-00008EB10000}"/>
    <cellStyle name="SAPBEXaggItemX 4 3 2 4" xfId="45306" xr:uid="{00000000-0005-0000-0000-00008FB10000}"/>
    <cellStyle name="SAPBEXaggItemX 4 3 2 4 2" xfId="45307" xr:uid="{00000000-0005-0000-0000-000090B10000}"/>
    <cellStyle name="SAPBEXaggItemX 4 3 2 5" xfId="45308" xr:uid="{00000000-0005-0000-0000-000091B10000}"/>
    <cellStyle name="SAPBEXaggItemX 4 3 3" xfId="45309" xr:uid="{00000000-0005-0000-0000-000092B10000}"/>
    <cellStyle name="SAPBEXaggItemX 4 3 3 2" xfId="45310" xr:uid="{00000000-0005-0000-0000-000093B10000}"/>
    <cellStyle name="SAPBEXaggItemX 4 3 3 2 2" xfId="45311" xr:uid="{00000000-0005-0000-0000-000094B10000}"/>
    <cellStyle name="SAPBEXaggItemX 4 3 3 2 2 2" xfId="45312" xr:uid="{00000000-0005-0000-0000-000095B10000}"/>
    <cellStyle name="SAPBEXaggItemX 4 3 3 2 3" xfId="45313" xr:uid="{00000000-0005-0000-0000-000096B10000}"/>
    <cellStyle name="SAPBEXaggItemX 4 3 3 3" xfId="45314" xr:uid="{00000000-0005-0000-0000-000097B10000}"/>
    <cellStyle name="SAPBEXaggItemX 4 3 3 3 2" xfId="45315" xr:uid="{00000000-0005-0000-0000-000098B10000}"/>
    <cellStyle name="SAPBEXaggItemX 4 3 3 4" xfId="45316" xr:uid="{00000000-0005-0000-0000-000099B10000}"/>
    <cellStyle name="SAPBEXaggItemX 4 3 4" xfId="45317" xr:uid="{00000000-0005-0000-0000-00009AB10000}"/>
    <cellStyle name="SAPBEXaggItemX 4 3 4 2" xfId="45318" xr:uid="{00000000-0005-0000-0000-00009BB10000}"/>
    <cellStyle name="SAPBEXaggItemX 4 3 4 2 2" xfId="45319" xr:uid="{00000000-0005-0000-0000-00009CB10000}"/>
    <cellStyle name="SAPBEXaggItemX 4 3 4 3" xfId="45320" xr:uid="{00000000-0005-0000-0000-00009DB10000}"/>
    <cellStyle name="SAPBEXaggItemX 4 3 5" xfId="45321" xr:uid="{00000000-0005-0000-0000-00009EB10000}"/>
    <cellStyle name="SAPBEXaggItemX 4 3 5 2" xfId="45322" xr:uid="{00000000-0005-0000-0000-00009FB10000}"/>
    <cellStyle name="SAPBEXaggItemX 4 3 5 2 2" xfId="45323" xr:uid="{00000000-0005-0000-0000-0000A0B10000}"/>
    <cellStyle name="SAPBEXaggItemX 4 3 5 3" xfId="45324" xr:uid="{00000000-0005-0000-0000-0000A1B10000}"/>
    <cellStyle name="SAPBEXaggItemX 4 3 6" xfId="45325" xr:uid="{00000000-0005-0000-0000-0000A2B10000}"/>
    <cellStyle name="SAPBEXaggItemX 4 3 6 2" xfId="45326" xr:uid="{00000000-0005-0000-0000-0000A3B10000}"/>
    <cellStyle name="SAPBEXaggItemX 4 3 7" xfId="45327" xr:uid="{00000000-0005-0000-0000-0000A4B10000}"/>
    <cellStyle name="SAPBEXaggItemX 4 4" xfId="45328" xr:uid="{00000000-0005-0000-0000-0000A5B10000}"/>
    <cellStyle name="SAPBEXaggItemX 4 4 2" xfId="45329" xr:uid="{00000000-0005-0000-0000-0000A6B10000}"/>
    <cellStyle name="SAPBEXaggItemX 4 4 2 2" xfId="45330" xr:uid="{00000000-0005-0000-0000-0000A7B10000}"/>
    <cellStyle name="SAPBEXaggItemX 4 4 2 2 2" xfId="45331" xr:uid="{00000000-0005-0000-0000-0000A8B10000}"/>
    <cellStyle name="SAPBEXaggItemX 4 4 2 3" xfId="45332" xr:uid="{00000000-0005-0000-0000-0000A9B10000}"/>
    <cellStyle name="SAPBEXaggItemX 4 4 3" xfId="45333" xr:uid="{00000000-0005-0000-0000-0000AAB10000}"/>
    <cellStyle name="SAPBEXaggItemX 4 4 3 2" xfId="45334" xr:uid="{00000000-0005-0000-0000-0000ABB10000}"/>
    <cellStyle name="SAPBEXaggItemX 4 4 4" xfId="45335" xr:uid="{00000000-0005-0000-0000-0000ACB10000}"/>
    <cellStyle name="SAPBEXaggItemX 4 5" xfId="45336" xr:uid="{00000000-0005-0000-0000-0000ADB10000}"/>
    <cellStyle name="SAPBEXaggItemX 4 5 2" xfId="45337" xr:uid="{00000000-0005-0000-0000-0000AEB10000}"/>
    <cellStyle name="SAPBEXaggItemX 4 5 2 2" xfId="45338" xr:uid="{00000000-0005-0000-0000-0000AFB10000}"/>
    <cellStyle name="SAPBEXaggItemX 4 5 3" xfId="45339" xr:uid="{00000000-0005-0000-0000-0000B0B10000}"/>
    <cellStyle name="SAPBEXaggItemX 4 6" xfId="45340" xr:uid="{00000000-0005-0000-0000-0000B1B10000}"/>
    <cellStyle name="SAPBEXaggItemX 4 6 2" xfId="45341" xr:uid="{00000000-0005-0000-0000-0000B2B10000}"/>
    <cellStyle name="SAPBEXaggItemX 4 6 2 2" xfId="45342" xr:uid="{00000000-0005-0000-0000-0000B3B10000}"/>
    <cellStyle name="SAPBEXaggItemX 4 6 3" xfId="45343" xr:uid="{00000000-0005-0000-0000-0000B4B10000}"/>
    <cellStyle name="SAPBEXaggItemX 4 7" xfId="45344" xr:uid="{00000000-0005-0000-0000-0000B5B10000}"/>
    <cellStyle name="SAPBEXaggItemX 4 7 2" xfId="45345" xr:uid="{00000000-0005-0000-0000-0000B6B10000}"/>
    <cellStyle name="SAPBEXaggItemX 4 8" xfId="45346" xr:uid="{00000000-0005-0000-0000-0000B7B10000}"/>
    <cellStyle name="SAPBEXaggItemX 5" xfId="45347" xr:uid="{00000000-0005-0000-0000-0000B8B10000}"/>
    <cellStyle name="SAPBEXaggItemX 5 2" xfId="45348" xr:uid="{00000000-0005-0000-0000-0000B9B10000}"/>
    <cellStyle name="SAPBEXaggItemX 5 2 2" xfId="45349" xr:uid="{00000000-0005-0000-0000-0000BAB10000}"/>
    <cellStyle name="SAPBEXaggItemX 5 2 2 2" xfId="45350" xr:uid="{00000000-0005-0000-0000-0000BBB10000}"/>
    <cellStyle name="SAPBEXaggItemX 5 2 3" xfId="45351" xr:uid="{00000000-0005-0000-0000-0000BCB10000}"/>
    <cellStyle name="SAPBEXaggItemX 5 3" xfId="45352" xr:uid="{00000000-0005-0000-0000-0000BDB10000}"/>
    <cellStyle name="SAPBEXaggItemX 5 3 2" xfId="45353" xr:uid="{00000000-0005-0000-0000-0000BEB10000}"/>
    <cellStyle name="SAPBEXaggItemX 5 3 2 2" xfId="45354" xr:uid="{00000000-0005-0000-0000-0000BFB10000}"/>
    <cellStyle name="SAPBEXaggItemX 5 3 3" xfId="45355" xr:uid="{00000000-0005-0000-0000-0000C0B10000}"/>
    <cellStyle name="SAPBEXaggItemX 5 4" xfId="45356" xr:uid="{00000000-0005-0000-0000-0000C1B10000}"/>
    <cellStyle name="SAPBEXaggItemX 5 4 2" xfId="45357" xr:uid="{00000000-0005-0000-0000-0000C2B10000}"/>
    <cellStyle name="SAPBEXaggItemX 5 4 2 2" xfId="45358" xr:uid="{00000000-0005-0000-0000-0000C3B10000}"/>
    <cellStyle name="SAPBEXaggItemX 5 4 3" xfId="45359" xr:uid="{00000000-0005-0000-0000-0000C4B10000}"/>
    <cellStyle name="SAPBEXaggItemX 5 5" xfId="45360" xr:uid="{00000000-0005-0000-0000-0000C5B10000}"/>
    <cellStyle name="SAPBEXaggItemX 5 5 2" xfId="45361" xr:uid="{00000000-0005-0000-0000-0000C6B10000}"/>
    <cellStyle name="SAPBEXaggItemX 5 6" xfId="45362" xr:uid="{00000000-0005-0000-0000-0000C7B10000}"/>
    <cellStyle name="SAPBEXaggItemX 6" xfId="45363" xr:uid="{00000000-0005-0000-0000-0000C8B10000}"/>
    <cellStyle name="SAPBEXaggItemX 6 2" xfId="45364" xr:uid="{00000000-0005-0000-0000-0000C9B10000}"/>
    <cellStyle name="SAPBEXaggItemX 6 2 2" xfId="45365" xr:uid="{00000000-0005-0000-0000-0000CAB10000}"/>
    <cellStyle name="SAPBEXaggItemX 6 3" xfId="45366" xr:uid="{00000000-0005-0000-0000-0000CBB10000}"/>
    <cellStyle name="SAPBEXaggItemX 6 3 2" xfId="45367" xr:uid="{00000000-0005-0000-0000-0000CCB10000}"/>
    <cellStyle name="SAPBEXaggItemX 6 3 2 2" xfId="45368" xr:uid="{00000000-0005-0000-0000-0000CDB10000}"/>
    <cellStyle name="SAPBEXaggItemX 6 3 3" xfId="45369" xr:uid="{00000000-0005-0000-0000-0000CEB10000}"/>
    <cellStyle name="SAPBEXaggItemX 6 4" xfId="45370" xr:uid="{00000000-0005-0000-0000-0000CFB10000}"/>
    <cellStyle name="SAPBEXaggItemX 6 4 2" xfId="45371" xr:uid="{00000000-0005-0000-0000-0000D0B10000}"/>
    <cellStyle name="SAPBEXaggItemX 6 4 2 2" xfId="45372" xr:uid="{00000000-0005-0000-0000-0000D1B10000}"/>
    <cellStyle name="SAPBEXaggItemX 6 4 3" xfId="45373" xr:uid="{00000000-0005-0000-0000-0000D2B10000}"/>
    <cellStyle name="SAPBEXaggItemX 6 5" xfId="45374" xr:uid="{00000000-0005-0000-0000-0000D3B10000}"/>
    <cellStyle name="SAPBEXaggItemX 7" xfId="45375" xr:uid="{00000000-0005-0000-0000-0000D4B10000}"/>
    <cellStyle name="SAPBEXaggItemX 7 2" xfId="45376" xr:uid="{00000000-0005-0000-0000-0000D5B10000}"/>
    <cellStyle name="SAPBEXaggItemX 7 2 2" xfId="45377" xr:uid="{00000000-0005-0000-0000-0000D6B10000}"/>
    <cellStyle name="SAPBEXaggItemX 7 2 2 2" xfId="45378" xr:uid="{00000000-0005-0000-0000-0000D7B10000}"/>
    <cellStyle name="SAPBEXaggItemX 7 2 3" xfId="45379" xr:uid="{00000000-0005-0000-0000-0000D8B10000}"/>
    <cellStyle name="SAPBEXaggItemX 7 2 3 2" xfId="45380" xr:uid="{00000000-0005-0000-0000-0000D9B10000}"/>
    <cellStyle name="SAPBEXaggItemX 7 2 3 2 2" xfId="45381" xr:uid="{00000000-0005-0000-0000-0000DAB10000}"/>
    <cellStyle name="SAPBEXaggItemX 7 2 3 3" xfId="45382" xr:uid="{00000000-0005-0000-0000-0000DBB10000}"/>
    <cellStyle name="SAPBEXaggItemX 7 2 4" xfId="45383" xr:uid="{00000000-0005-0000-0000-0000DCB10000}"/>
    <cellStyle name="SAPBEXaggItemX 7 3" xfId="45384" xr:uid="{00000000-0005-0000-0000-0000DDB10000}"/>
    <cellStyle name="SAPBEXaggItemX 7 3 2" xfId="45385" xr:uid="{00000000-0005-0000-0000-0000DEB10000}"/>
    <cellStyle name="SAPBEXaggItemX 7 3 2 2" xfId="45386" xr:uid="{00000000-0005-0000-0000-0000DFB10000}"/>
    <cellStyle name="SAPBEXaggItemX 7 3 3" xfId="45387" xr:uid="{00000000-0005-0000-0000-0000E0B10000}"/>
    <cellStyle name="SAPBEXaggItemX 7 4" xfId="45388" xr:uid="{00000000-0005-0000-0000-0000E1B10000}"/>
    <cellStyle name="SAPBEXaggItemX 7 4 2" xfId="45389" xr:uid="{00000000-0005-0000-0000-0000E2B10000}"/>
    <cellStyle name="SAPBEXaggItemX 7 4 2 2" xfId="45390" xr:uid="{00000000-0005-0000-0000-0000E3B10000}"/>
    <cellStyle name="SAPBEXaggItemX 7 4 3" xfId="45391" xr:uid="{00000000-0005-0000-0000-0000E4B10000}"/>
    <cellStyle name="SAPBEXaggItemX 7 5" xfId="45392" xr:uid="{00000000-0005-0000-0000-0000E5B10000}"/>
    <cellStyle name="SAPBEXaggItemX 7 5 2" xfId="45393" xr:uid="{00000000-0005-0000-0000-0000E6B10000}"/>
    <cellStyle name="SAPBEXaggItemX 7 5 2 2" xfId="45394" xr:uid="{00000000-0005-0000-0000-0000E7B10000}"/>
    <cellStyle name="SAPBEXaggItemX 7 5 3" xfId="45395" xr:uid="{00000000-0005-0000-0000-0000E8B10000}"/>
    <cellStyle name="SAPBEXaggItemX 7 6" xfId="45396" xr:uid="{00000000-0005-0000-0000-0000E9B10000}"/>
    <cellStyle name="SAPBEXaggItemX 8" xfId="45397" xr:uid="{00000000-0005-0000-0000-0000EAB10000}"/>
    <cellStyle name="SAPBEXaggItemX 8 2" xfId="45398" xr:uid="{00000000-0005-0000-0000-0000EBB10000}"/>
    <cellStyle name="SAPBEXaggItemX 8 2 2" xfId="45399" xr:uid="{00000000-0005-0000-0000-0000ECB10000}"/>
    <cellStyle name="SAPBEXaggItemX 8 3" xfId="45400" xr:uid="{00000000-0005-0000-0000-0000EDB10000}"/>
    <cellStyle name="SAPBEXaggItemX 9" xfId="45401" xr:uid="{00000000-0005-0000-0000-0000EEB10000}"/>
    <cellStyle name="SAPBEXaggItemX 9 2" xfId="45402" xr:uid="{00000000-0005-0000-0000-0000EFB10000}"/>
    <cellStyle name="SAPBEXaggItemX 9 2 2" xfId="45403" xr:uid="{00000000-0005-0000-0000-0000F0B10000}"/>
    <cellStyle name="SAPBEXaggItemX 9 3" xfId="45404" xr:uid="{00000000-0005-0000-0000-0000F1B10000}"/>
    <cellStyle name="SAPBEXchaText" xfId="44" xr:uid="{00000000-0005-0000-0000-0000F2B10000}"/>
    <cellStyle name="SAPBEXchaText 2" xfId="45405" xr:uid="{00000000-0005-0000-0000-0000F3B10000}"/>
    <cellStyle name="SAPBEXchaText 2 2" xfId="45406" xr:uid="{00000000-0005-0000-0000-0000F4B10000}"/>
    <cellStyle name="SAPBEXchaText 2 3" xfId="45407" xr:uid="{00000000-0005-0000-0000-0000F5B10000}"/>
    <cellStyle name="SAPBEXchaText 2 3 2" xfId="45408" xr:uid="{00000000-0005-0000-0000-0000F6B10000}"/>
    <cellStyle name="SAPBEXchaText 2 3 2 2" xfId="45409" xr:uid="{00000000-0005-0000-0000-0000F7B10000}"/>
    <cellStyle name="SAPBEXchaText 2 3 3" xfId="45410" xr:uid="{00000000-0005-0000-0000-0000F8B10000}"/>
    <cellStyle name="SAPBEXchaText 2 4" xfId="45411" xr:uid="{00000000-0005-0000-0000-0000F9B10000}"/>
    <cellStyle name="SAPBEXchaText 2 4 2" xfId="45412" xr:uid="{00000000-0005-0000-0000-0000FAB10000}"/>
    <cellStyle name="SAPBEXchaText 2 4 2 2" xfId="45413" xr:uid="{00000000-0005-0000-0000-0000FBB10000}"/>
    <cellStyle name="SAPBEXchaText 2 4 3" xfId="45414" xr:uid="{00000000-0005-0000-0000-0000FCB10000}"/>
    <cellStyle name="SAPBEXchaText 2 5" xfId="45415" xr:uid="{00000000-0005-0000-0000-0000FDB10000}"/>
    <cellStyle name="SAPBEXchaText 2 5 2" xfId="45416" xr:uid="{00000000-0005-0000-0000-0000FEB10000}"/>
    <cellStyle name="SAPBEXchaText 2 5 2 2" xfId="45417" xr:uid="{00000000-0005-0000-0000-0000FFB10000}"/>
    <cellStyle name="SAPBEXchaText 2 5 2 2 2" xfId="45418" xr:uid="{00000000-0005-0000-0000-000000B20000}"/>
    <cellStyle name="SAPBEXchaText 2 5 2 3" xfId="45419" xr:uid="{00000000-0005-0000-0000-000001B20000}"/>
    <cellStyle name="SAPBEXchaText 2 5 3" xfId="45420" xr:uid="{00000000-0005-0000-0000-000002B20000}"/>
    <cellStyle name="SAPBEXchaText 2 5 3 2" xfId="45421" xr:uid="{00000000-0005-0000-0000-000003B20000}"/>
    <cellStyle name="SAPBEXchaText 2 5 4" xfId="45422" xr:uid="{00000000-0005-0000-0000-000004B20000}"/>
    <cellStyle name="SAPBEXchaText 3" xfId="45423" xr:uid="{00000000-0005-0000-0000-000005B20000}"/>
    <cellStyle name="SAPBEXchaText 3 2" xfId="45424" xr:uid="{00000000-0005-0000-0000-000006B20000}"/>
    <cellStyle name="SAPBEXchaText 3 2 2" xfId="45425" xr:uid="{00000000-0005-0000-0000-000007B20000}"/>
    <cellStyle name="SAPBEXchaText 3 2 2 2" xfId="45426" xr:uid="{00000000-0005-0000-0000-000008B20000}"/>
    <cellStyle name="SAPBEXchaText 3 2 3" xfId="45427" xr:uid="{00000000-0005-0000-0000-000009B20000}"/>
    <cellStyle name="SAPBEXchaText 3 3" xfId="45428" xr:uid="{00000000-0005-0000-0000-00000AB20000}"/>
    <cellStyle name="SAPBEXchaText 3 3 2" xfId="45429" xr:uid="{00000000-0005-0000-0000-00000BB20000}"/>
    <cellStyle name="SAPBEXchaText 3 4" xfId="45430" xr:uid="{00000000-0005-0000-0000-00000CB20000}"/>
    <cellStyle name="SAPBEXchaText 4" xfId="45431" xr:uid="{00000000-0005-0000-0000-00000DB20000}"/>
    <cellStyle name="SAPBEXchaText 4 2" xfId="45432" xr:uid="{00000000-0005-0000-0000-00000EB20000}"/>
    <cellStyle name="SAPBEXchaText 4 2 2" xfId="45433" xr:uid="{00000000-0005-0000-0000-00000FB20000}"/>
    <cellStyle name="SAPBEXchaText 4 3" xfId="45434" xr:uid="{00000000-0005-0000-0000-000010B20000}"/>
    <cellStyle name="SAPBEXchaText 5" xfId="45435" xr:uid="{00000000-0005-0000-0000-000011B20000}"/>
    <cellStyle name="SAPBEXchaText 5 2" xfId="45436" xr:uid="{00000000-0005-0000-0000-000012B20000}"/>
    <cellStyle name="SAPBEXchaText 5 2 2" xfId="45437" xr:uid="{00000000-0005-0000-0000-000013B20000}"/>
    <cellStyle name="SAPBEXchaText 5 3" xfId="45438" xr:uid="{00000000-0005-0000-0000-000014B20000}"/>
    <cellStyle name="SAPBEXchaText 6" xfId="45439" xr:uid="{00000000-0005-0000-0000-000015B20000}"/>
    <cellStyle name="SAPBEXchaText 6 2" xfId="45440" xr:uid="{00000000-0005-0000-0000-000016B20000}"/>
    <cellStyle name="SAPBEXchaText 6 2 2" xfId="45441" xr:uid="{00000000-0005-0000-0000-000017B20000}"/>
    <cellStyle name="SAPBEXchaText 6 3" xfId="45442" xr:uid="{00000000-0005-0000-0000-000018B20000}"/>
    <cellStyle name="SAPBEXchaText 7" xfId="45443" xr:uid="{00000000-0005-0000-0000-000019B20000}"/>
    <cellStyle name="SAPBEXchaText 7 2" xfId="45444" xr:uid="{00000000-0005-0000-0000-00001AB20000}"/>
    <cellStyle name="SAPBEXchaText 8" xfId="45445" xr:uid="{00000000-0005-0000-0000-00001BB20000}"/>
    <cellStyle name="SAPBEXchaText 8 2" xfId="45446" xr:uid="{00000000-0005-0000-0000-00001CB20000}"/>
    <cellStyle name="SAPBEXchaText 9" xfId="45447" xr:uid="{00000000-0005-0000-0000-00001DB20000}"/>
    <cellStyle name="SAPBEXchaText_2010-2019 IP Run March 9, 2010" xfId="45448" xr:uid="{00000000-0005-0000-0000-00001EB20000}"/>
    <cellStyle name="SAPBEXexcBad7" xfId="45" xr:uid="{00000000-0005-0000-0000-00001FB20000}"/>
    <cellStyle name="SAPBEXexcBad7 10" xfId="45449" xr:uid="{00000000-0005-0000-0000-000020B20000}"/>
    <cellStyle name="SAPBEXexcBad7 10 2" xfId="45450" xr:uid="{00000000-0005-0000-0000-000021B20000}"/>
    <cellStyle name="SAPBEXexcBad7 11" xfId="45451" xr:uid="{00000000-0005-0000-0000-000022B20000}"/>
    <cellStyle name="SAPBEXexcBad7 11 2" xfId="45452" xr:uid="{00000000-0005-0000-0000-000023B20000}"/>
    <cellStyle name="SAPBEXexcBad7 12" xfId="45453" xr:uid="{00000000-0005-0000-0000-000024B20000}"/>
    <cellStyle name="SAPBEXexcBad7 12 2" xfId="45454" xr:uid="{00000000-0005-0000-0000-000025B20000}"/>
    <cellStyle name="SAPBEXexcBad7 13" xfId="45455" xr:uid="{00000000-0005-0000-0000-000026B20000}"/>
    <cellStyle name="SAPBEXexcBad7 14" xfId="45456" xr:uid="{00000000-0005-0000-0000-000027B20000}"/>
    <cellStyle name="SAPBEXexcBad7 2" xfId="45457" xr:uid="{00000000-0005-0000-0000-000028B20000}"/>
    <cellStyle name="SAPBEXexcBad7 2 2" xfId="45458" xr:uid="{00000000-0005-0000-0000-000029B20000}"/>
    <cellStyle name="SAPBEXexcBad7 2 2 2" xfId="45459" xr:uid="{00000000-0005-0000-0000-00002AB20000}"/>
    <cellStyle name="SAPBEXexcBad7 2 2 2 2" xfId="45460" xr:uid="{00000000-0005-0000-0000-00002BB20000}"/>
    <cellStyle name="SAPBEXexcBad7 2 2 2 2 2" xfId="45461" xr:uid="{00000000-0005-0000-0000-00002CB20000}"/>
    <cellStyle name="SAPBEXexcBad7 2 2 2 2 2 2" xfId="45462" xr:uid="{00000000-0005-0000-0000-00002DB20000}"/>
    <cellStyle name="SAPBEXexcBad7 2 2 2 2 3" xfId="45463" xr:uid="{00000000-0005-0000-0000-00002EB20000}"/>
    <cellStyle name="SAPBEXexcBad7 2 2 2 3" xfId="45464" xr:uid="{00000000-0005-0000-0000-00002FB20000}"/>
    <cellStyle name="SAPBEXexcBad7 2 2 2 3 2" xfId="45465" xr:uid="{00000000-0005-0000-0000-000030B20000}"/>
    <cellStyle name="SAPBEXexcBad7 2 2 2 4" xfId="45466" xr:uid="{00000000-0005-0000-0000-000031B20000}"/>
    <cellStyle name="SAPBEXexcBad7 2 2 3" xfId="45467" xr:uid="{00000000-0005-0000-0000-000032B20000}"/>
    <cellStyle name="SAPBEXexcBad7 2 2 3 2" xfId="45468" xr:uid="{00000000-0005-0000-0000-000033B20000}"/>
    <cellStyle name="SAPBEXexcBad7 2 2 3 2 2" xfId="45469" xr:uid="{00000000-0005-0000-0000-000034B20000}"/>
    <cellStyle name="SAPBEXexcBad7 2 2 3 3" xfId="45470" xr:uid="{00000000-0005-0000-0000-000035B20000}"/>
    <cellStyle name="SAPBEXexcBad7 2 2 4" xfId="45471" xr:uid="{00000000-0005-0000-0000-000036B20000}"/>
    <cellStyle name="SAPBEXexcBad7 2 2 4 2" xfId="45472" xr:uid="{00000000-0005-0000-0000-000037B20000}"/>
    <cellStyle name="SAPBEXexcBad7 2 2 4 2 2" xfId="45473" xr:uid="{00000000-0005-0000-0000-000038B20000}"/>
    <cellStyle name="SAPBEXexcBad7 2 2 4 3" xfId="45474" xr:uid="{00000000-0005-0000-0000-000039B20000}"/>
    <cellStyle name="SAPBEXexcBad7 2 2 5" xfId="45475" xr:uid="{00000000-0005-0000-0000-00003AB20000}"/>
    <cellStyle name="SAPBEXexcBad7 2 2 5 2" xfId="45476" xr:uid="{00000000-0005-0000-0000-00003BB20000}"/>
    <cellStyle name="SAPBEXexcBad7 2 2 6" xfId="45477" xr:uid="{00000000-0005-0000-0000-00003CB20000}"/>
    <cellStyle name="SAPBEXexcBad7 2 3" xfId="45478" xr:uid="{00000000-0005-0000-0000-00003DB20000}"/>
    <cellStyle name="SAPBEXexcBad7 2 3 2" xfId="45479" xr:uid="{00000000-0005-0000-0000-00003EB20000}"/>
    <cellStyle name="SAPBEXexcBad7 2 3 2 2" xfId="45480" xr:uid="{00000000-0005-0000-0000-00003FB20000}"/>
    <cellStyle name="SAPBEXexcBad7 2 3 3" xfId="45481" xr:uid="{00000000-0005-0000-0000-000040B20000}"/>
    <cellStyle name="SAPBEXexcBad7 2 4" xfId="45482" xr:uid="{00000000-0005-0000-0000-000041B20000}"/>
    <cellStyle name="SAPBEXexcBad7 2 4 2" xfId="45483" xr:uid="{00000000-0005-0000-0000-000042B20000}"/>
    <cellStyle name="SAPBEXexcBad7 2 4 2 2" xfId="45484" xr:uid="{00000000-0005-0000-0000-000043B20000}"/>
    <cellStyle name="SAPBEXexcBad7 2 4 3" xfId="45485" xr:uid="{00000000-0005-0000-0000-000044B20000}"/>
    <cellStyle name="SAPBEXexcBad7 2 5" xfId="45486" xr:uid="{00000000-0005-0000-0000-000045B20000}"/>
    <cellStyle name="SAPBEXexcBad7 2 5 2" xfId="45487" xr:uid="{00000000-0005-0000-0000-000046B20000}"/>
    <cellStyle name="SAPBEXexcBad7 2 5 2 2" xfId="45488" xr:uid="{00000000-0005-0000-0000-000047B20000}"/>
    <cellStyle name="SAPBEXexcBad7 2 5 3" xfId="45489" xr:uid="{00000000-0005-0000-0000-000048B20000}"/>
    <cellStyle name="SAPBEXexcBad7 2 6" xfId="45490" xr:uid="{00000000-0005-0000-0000-000049B20000}"/>
    <cellStyle name="SAPBEXexcBad7 2 6 2" xfId="45491" xr:uid="{00000000-0005-0000-0000-00004AB20000}"/>
    <cellStyle name="SAPBEXexcBad7 2 7" xfId="45492" xr:uid="{00000000-0005-0000-0000-00004BB20000}"/>
    <cellStyle name="SAPBEXexcBad7 3" xfId="45493" xr:uid="{00000000-0005-0000-0000-00004CB20000}"/>
    <cellStyle name="SAPBEXexcBad7 3 2" xfId="45494" xr:uid="{00000000-0005-0000-0000-00004DB20000}"/>
    <cellStyle name="SAPBEXexcBad7 3 2 2" xfId="45495" xr:uid="{00000000-0005-0000-0000-00004EB20000}"/>
    <cellStyle name="SAPBEXexcBad7 3 3" xfId="45496" xr:uid="{00000000-0005-0000-0000-00004FB20000}"/>
    <cellStyle name="SAPBEXexcBad7 3 3 2" xfId="45497" xr:uid="{00000000-0005-0000-0000-000050B20000}"/>
    <cellStyle name="SAPBEXexcBad7 3 3 2 2" xfId="45498" xr:uid="{00000000-0005-0000-0000-000051B20000}"/>
    <cellStyle name="SAPBEXexcBad7 3 3 3" xfId="45499" xr:uid="{00000000-0005-0000-0000-000052B20000}"/>
    <cellStyle name="SAPBEXexcBad7 3 4" xfId="45500" xr:uid="{00000000-0005-0000-0000-000053B20000}"/>
    <cellStyle name="SAPBEXexcBad7 3 4 2" xfId="45501" xr:uid="{00000000-0005-0000-0000-000054B20000}"/>
    <cellStyle name="SAPBEXexcBad7 3 4 2 2" xfId="45502" xr:uid="{00000000-0005-0000-0000-000055B20000}"/>
    <cellStyle name="SAPBEXexcBad7 3 4 3" xfId="45503" xr:uid="{00000000-0005-0000-0000-000056B20000}"/>
    <cellStyle name="SAPBEXexcBad7 3 5" xfId="45504" xr:uid="{00000000-0005-0000-0000-000057B20000}"/>
    <cellStyle name="SAPBEXexcBad7 4" xfId="45505" xr:uid="{00000000-0005-0000-0000-000058B20000}"/>
    <cellStyle name="SAPBEXexcBad7 4 2" xfId="45506" xr:uid="{00000000-0005-0000-0000-000059B20000}"/>
    <cellStyle name="SAPBEXexcBad7 4 2 2" xfId="45507" xr:uid="{00000000-0005-0000-0000-00005AB20000}"/>
    <cellStyle name="SAPBEXexcBad7 4 2 2 2" xfId="45508" xr:uid="{00000000-0005-0000-0000-00005BB20000}"/>
    <cellStyle name="SAPBEXexcBad7 4 2 3" xfId="45509" xr:uid="{00000000-0005-0000-0000-00005CB20000}"/>
    <cellStyle name="SAPBEXexcBad7 4 2 3 2" xfId="45510" xr:uid="{00000000-0005-0000-0000-00005DB20000}"/>
    <cellStyle name="SAPBEXexcBad7 4 2 3 2 2" xfId="45511" xr:uid="{00000000-0005-0000-0000-00005EB20000}"/>
    <cellStyle name="SAPBEXexcBad7 4 2 3 3" xfId="45512" xr:uid="{00000000-0005-0000-0000-00005FB20000}"/>
    <cellStyle name="SAPBEXexcBad7 4 2 4" xfId="45513" xr:uid="{00000000-0005-0000-0000-000060B20000}"/>
    <cellStyle name="SAPBEXexcBad7 4 3" xfId="45514" xr:uid="{00000000-0005-0000-0000-000061B20000}"/>
    <cellStyle name="SAPBEXexcBad7 4 3 2" xfId="45515" xr:uid="{00000000-0005-0000-0000-000062B20000}"/>
    <cellStyle name="SAPBEXexcBad7 4 3 2 2" xfId="45516" xr:uid="{00000000-0005-0000-0000-000063B20000}"/>
    <cellStyle name="SAPBEXexcBad7 4 3 3" xfId="45517" xr:uid="{00000000-0005-0000-0000-000064B20000}"/>
    <cellStyle name="SAPBEXexcBad7 4 4" xfId="45518" xr:uid="{00000000-0005-0000-0000-000065B20000}"/>
    <cellStyle name="SAPBEXexcBad7 4 4 2" xfId="45519" xr:uid="{00000000-0005-0000-0000-000066B20000}"/>
    <cellStyle name="SAPBEXexcBad7 4 4 2 2" xfId="45520" xr:uid="{00000000-0005-0000-0000-000067B20000}"/>
    <cellStyle name="SAPBEXexcBad7 4 4 3" xfId="45521" xr:uid="{00000000-0005-0000-0000-000068B20000}"/>
    <cellStyle name="SAPBEXexcBad7 4 5" xfId="45522" xr:uid="{00000000-0005-0000-0000-000069B20000}"/>
    <cellStyle name="SAPBEXexcBad7 4 5 2" xfId="45523" xr:uid="{00000000-0005-0000-0000-00006AB20000}"/>
    <cellStyle name="SAPBEXexcBad7 4 5 2 2" xfId="45524" xr:uid="{00000000-0005-0000-0000-00006BB20000}"/>
    <cellStyle name="SAPBEXexcBad7 4 5 3" xfId="45525" xr:uid="{00000000-0005-0000-0000-00006CB20000}"/>
    <cellStyle name="SAPBEXexcBad7 4 6" xfId="45526" xr:uid="{00000000-0005-0000-0000-00006DB20000}"/>
    <cellStyle name="SAPBEXexcBad7 5" xfId="45527" xr:uid="{00000000-0005-0000-0000-00006EB20000}"/>
    <cellStyle name="SAPBEXexcBad7 5 2" xfId="45528" xr:uid="{00000000-0005-0000-0000-00006FB20000}"/>
    <cellStyle name="SAPBEXexcBad7 5 2 2" xfId="45529" xr:uid="{00000000-0005-0000-0000-000070B20000}"/>
    <cellStyle name="SAPBEXexcBad7 5 3" xfId="45530" xr:uid="{00000000-0005-0000-0000-000071B20000}"/>
    <cellStyle name="SAPBEXexcBad7 6" xfId="45531" xr:uid="{00000000-0005-0000-0000-000072B20000}"/>
    <cellStyle name="SAPBEXexcBad7 6 2" xfId="45532" xr:uid="{00000000-0005-0000-0000-000073B20000}"/>
    <cellStyle name="SAPBEXexcBad7 6 2 2" xfId="45533" xr:uid="{00000000-0005-0000-0000-000074B20000}"/>
    <cellStyle name="SAPBEXexcBad7 6 3" xfId="45534" xr:uid="{00000000-0005-0000-0000-000075B20000}"/>
    <cellStyle name="SAPBEXexcBad7 7" xfId="45535" xr:uid="{00000000-0005-0000-0000-000076B20000}"/>
    <cellStyle name="SAPBEXexcBad7 7 2" xfId="45536" xr:uid="{00000000-0005-0000-0000-000077B20000}"/>
    <cellStyle name="SAPBEXexcBad7 7 2 2" xfId="45537" xr:uid="{00000000-0005-0000-0000-000078B20000}"/>
    <cellStyle name="SAPBEXexcBad7 7 3" xfId="45538" xr:uid="{00000000-0005-0000-0000-000079B20000}"/>
    <cellStyle name="SAPBEXexcBad7 8" xfId="45539" xr:uid="{00000000-0005-0000-0000-00007AB20000}"/>
    <cellStyle name="SAPBEXexcBad7 8 2" xfId="45540" xr:uid="{00000000-0005-0000-0000-00007BB20000}"/>
    <cellStyle name="SAPBEXexcBad7 9" xfId="45541" xr:uid="{00000000-0005-0000-0000-00007CB20000}"/>
    <cellStyle name="SAPBEXexcBad7 9 2" xfId="45542" xr:uid="{00000000-0005-0000-0000-00007DB20000}"/>
    <cellStyle name="SAPBEXexcBad8" xfId="46" xr:uid="{00000000-0005-0000-0000-00007EB20000}"/>
    <cellStyle name="SAPBEXexcBad8 10" xfId="45543" xr:uid="{00000000-0005-0000-0000-00007FB20000}"/>
    <cellStyle name="SAPBEXexcBad8 10 2" xfId="45544" xr:uid="{00000000-0005-0000-0000-000080B20000}"/>
    <cellStyle name="SAPBEXexcBad8 11" xfId="45545" xr:uid="{00000000-0005-0000-0000-000081B20000}"/>
    <cellStyle name="SAPBEXexcBad8 11 2" xfId="45546" xr:uid="{00000000-0005-0000-0000-000082B20000}"/>
    <cellStyle name="SAPBEXexcBad8 12" xfId="45547" xr:uid="{00000000-0005-0000-0000-000083B20000}"/>
    <cellStyle name="SAPBEXexcBad8 12 2" xfId="45548" xr:uid="{00000000-0005-0000-0000-000084B20000}"/>
    <cellStyle name="SAPBEXexcBad8 13" xfId="45549" xr:uid="{00000000-0005-0000-0000-000085B20000}"/>
    <cellStyle name="SAPBEXexcBad8 14" xfId="45550" xr:uid="{00000000-0005-0000-0000-000086B20000}"/>
    <cellStyle name="SAPBEXexcBad8 2" xfId="45551" xr:uid="{00000000-0005-0000-0000-000087B20000}"/>
    <cellStyle name="SAPBEXexcBad8 2 2" xfId="45552" xr:uid="{00000000-0005-0000-0000-000088B20000}"/>
    <cellStyle name="SAPBEXexcBad8 2 2 2" xfId="45553" xr:uid="{00000000-0005-0000-0000-000089B20000}"/>
    <cellStyle name="SAPBEXexcBad8 2 2 2 2" xfId="45554" xr:uid="{00000000-0005-0000-0000-00008AB20000}"/>
    <cellStyle name="SAPBEXexcBad8 2 2 2 2 2" xfId="45555" xr:uid="{00000000-0005-0000-0000-00008BB20000}"/>
    <cellStyle name="SAPBEXexcBad8 2 2 2 2 2 2" xfId="45556" xr:uid="{00000000-0005-0000-0000-00008CB20000}"/>
    <cellStyle name="SAPBEXexcBad8 2 2 2 2 3" xfId="45557" xr:uid="{00000000-0005-0000-0000-00008DB20000}"/>
    <cellStyle name="SAPBEXexcBad8 2 2 2 3" xfId="45558" xr:uid="{00000000-0005-0000-0000-00008EB20000}"/>
    <cellStyle name="SAPBEXexcBad8 2 2 2 3 2" xfId="45559" xr:uid="{00000000-0005-0000-0000-00008FB20000}"/>
    <cellStyle name="SAPBEXexcBad8 2 2 2 4" xfId="45560" xr:uid="{00000000-0005-0000-0000-000090B20000}"/>
    <cellStyle name="SAPBEXexcBad8 2 2 3" xfId="45561" xr:uid="{00000000-0005-0000-0000-000091B20000}"/>
    <cellStyle name="SAPBEXexcBad8 2 2 3 2" xfId="45562" xr:uid="{00000000-0005-0000-0000-000092B20000}"/>
    <cellStyle name="SAPBEXexcBad8 2 2 3 2 2" xfId="45563" xr:uid="{00000000-0005-0000-0000-000093B20000}"/>
    <cellStyle name="SAPBEXexcBad8 2 2 3 3" xfId="45564" xr:uid="{00000000-0005-0000-0000-000094B20000}"/>
    <cellStyle name="SAPBEXexcBad8 2 2 4" xfId="45565" xr:uid="{00000000-0005-0000-0000-000095B20000}"/>
    <cellStyle name="SAPBEXexcBad8 2 2 4 2" xfId="45566" xr:uid="{00000000-0005-0000-0000-000096B20000}"/>
    <cellStyle name="SAPBEXexcBad8 2 2 4 2 2" xfId="45567" xr:uid="{00000000-0005-0000-0000-000097B20000}"/>
    <cellStyle name="SAPBEXexcBad8 2 2 4 3" xfId="45568" xr:uid="{00000000-0005-0000-0000-000098B20000}"/>
    <cellStyle name="SAPBEXexcBad8 2 2 5" xfId="45569" xr:uid="{00000000-0005-0000-0000-000099B20000}"/>
    <cellStyle name="SAPBEXexcBad8 2 2 5 2" xfId="45570" xr:uid="{00000000-0005-0000-0000-00009AB20000}"/>
    <cellStyle name="SAPBEXexcBad8 2 2 6" xfId="45571" xr:uid="{00000000-0005-0000-0000-00009BB20000}"/>
    <cellStyle name="SAPBEXexcBad8 2 3" xfId="45572" xr:uid="{00000000-0005-0000-0000-00009CB20000}"/>
    <cellStyle name="SAPBEXexcBad8 2 3 2" xfId="45573" xr:uid="{00000000-0005-0000-0000-00009DB20000}"/>
    <cellStyle name="SAPBEXexcBad8 2 3 2 2" xfId="45574" xr:uid="{00000000-0005-0000-0000-00009EB20000}"/>
    <cellStyle name="SAPBEXexcBad8 2 3 3" xfId="45575" xr:uid="{00000000-0005-0000-0000-00009FB20000}"/>
    <cellStyle name="SAPBEXexcBad8 2 4" xfId="45576" xr:uid="{00000000-0005-0000-0000-0000A0B20000}"/>
    <cellStyle name="SAPBEXexcBad8 2 4 2" xfId="45577" xr:uid="{00000000-0005-0000-0000-0000A1B20000}"/>
    <cellStyle name="SAPBEXexcBad8 2 4 2 2" xfId="45578" xr:uid="{00000000-0005-0000-0000-0000A2B20000}"/>
    <cellStyle name="SAPBEXexcBad8 2 4 3" xfId="45579" xr:uid="{00000000-0005-0000-0000-0000A3B20000}"/>
    <cellStyle name="SAPBEXexcBad8 2 5" xfId="45580" xr:uid="{00000000-0005-0000-0000-0000A4B20000}"/>
    <cellStyle name="SAPBEXexcBad8 2 5 2" xfId="45581" xr:uid="{00000000-0005-0000-0000-0000A5B20000}"/>
    <cellStyle name="SAPBEXexcBad8 2 5 2 2" xfId="45582" xr:uid="{00000000-0005-0000-0000-0000A6B20000}"/>
    <cellStyle name="SAPBEXexcBad8 2 5 3" xfId="45583" xr:uid="{00000000-0005-0000-0000-0000A7B20000}"/>
    <cellStyle name="SAPBEXexcBad8 2 6" xfId="45584" xr:uid="{00000000-0005-0000-0000-0000A8B20000}"/>
    <cellStyle name="SAPBEXexcBad8 2 6 2" xfId="45585" xr:uid="{00000000-0005-0000-0000-0000A9B20000}"/>
    <cellStyle name="SAPBEXexcBad8 2 7" xfId="45586" xr:uid="{00000000-0005-0000-0000-0000AAB20000}"/>
    <cellStyle name="SAPBEXexcBad8 3" xfId="45587" xr:uid="{00000000-0005-0000-0000-0000ABB20000}"/>
    <cellStyle name="SAPBEXexcBad8 3 2" xfId="45588" xr:uid="{00000000-0005-0000-0000-0000ACB20000}"/>
    <cellStyle name="SAPBEXexcBad8 3 2 2" xfId="45589" xr:uid="{00000000-0005-0000-0000-0000ADB20000}"/>
    <cellStyle name="SAPBEXexcBad8 3 3" xfId="45590" xr:uid="{00000000-0005-0000-0000-0000AEB20000}"/>
    <cellStyle name="SAPBEXexcBad8 3 3 2" xfId="45591" xr:uid="{00000000-0005-0000-0000-0000AFB20000}"/>
    <cellStyle name="SAPBEXexcBad8 3 3 2 2" xfId="45592" xr:uid="{00000000-0005-0000-0000-0000B0B20000}"/>
    <cellStyle name="SAPBEXexcBad8 3 3 3" xfId="45593" xr:uid="{00000000-0005-0000-0000-0000B1B20000}"/>
    <cellStyle name="SAPBEXexcBad8 3 4" xfId="45594" xr:uid="{00000000-0005-0000-0000-0000B2B20000}"/>
    <cellStyle name="SAPBEXexcBad8 3 4 2" xfId="45595" xr:uid="{00000000-0005-0000-0000-0000B3B20000}"/>
    <cellStyle name="SAPBEXexcBad8 3 4 2 2" xfId="45596" xr:uid="{00000000-0005-0000-0000-0000B4B20000}"/>
    <cellStyle name="SAPBEXexcBad8 3 4 3" xfId="45597" xr:uid="{00000000-0005-0000-0000-0000B5B20000}"/>
    <cellStyle name="SAPBEXexcBad8 3 5" xfId="45598" xr:uid="{00000000-0005-0000-0000-0000B6B20000}"/>
    <cellStyle name="SAPBEXexcBad8 4" xfId="45599" xr:uid="{00000000-0005-0000-0000-0000B7B20000}"/>
    <cellStyle name="SAPBEXexcBad8 4 2" xfId="45600" xr:uid="{00000000-0005-0000-0000-0000B8B20000}"/>
    <cellStyle name="SAPBEXexcBad8 4 2 2" xfId="45601" xr:uid="{00000000-0005-0000-0000-0000B9B20000}"/>
    <cellStyle name="SAPBEXexcBad8 4 2 2 2" xfId="45602" xr:uid="{00000000-0005-0000-0000-0000BAB20000}"/>
    <cellStyle name="SAPBEXexcBad8 4 2 3" xfId="45603" xr:uid="{00000000-0005-0000-0000-0000BBB20000}"/>
    <cellStyle name="SAPBEXexcBad8 4 2 3 2" xfId="45604" xr:uid="{00000000-0005-0000-0000-0000BCB20000}"/>
    <cellStyle name="SAPBEXexcBad8 4 2 3 2 2" xfId="45605" xr:uid="{00000000-0005-0000-0000-0000BDB20000}"/>
    <cellStyle name="SAPBEXexcBad8 4 2 3 3" xfId="45606" xr:uid="{00000000-0005-0000-0000-0000BEB20000}"/>
    <cellStyle name="SAPBEXexcBad8 4 2 4" xfId="45607" xr:uid="{00000000-0005-0000-0000-0000BFB20000}"/>
    <cellStyle name="SAPBEXexcBad8 4 3" xfId="45608" xr:uid="{00000000-0005-0000-0000-0000C0B20000}"/>
    <cellStyle name="SAPBEXexcBad8 4 3 2" xfId="45609" xr:uid="{00000000-0005-0000-0000-0000C1B20000}"/>
    <cellStyle name="SAPBEXexcBad8 4 3 2 2" xfId="45610" xr:uid="{00000000-0005-0000-0000-0000C2B20000}"/>
    <cellStyle name="SAPBEXexcBad8 4 3 3" xfId="45611" xr:uid="{00000000-0005-0000-0000-0000C3B20000}"/>
    <cellStyle name="SAPBEXexcBad8 4 4" xfId="45612" xr:uid="{00000000-0005-0000-0000-0000C4B20000}"/>
    <cellStyle name="SAPBEXexcBad8 4 4 2" xfId="45613" xr:uid="{00000000-0005-0000-0000-0000C5B20000}"/>
    <cellStyle name="SAPBEXexcBad8 4 4 2 2" xfId="45614" xr:uid="{00000000-0005-0000-0000-0000C6B20000}"/>
    <cellStyle name="SAPBEXexcBad8 4 4 3" xfId="45615" xr:uid="{00000000-0005-0000-0000-0000C7B20000}"/>
    <cellStyle name="SAPBEXexcBad8 4 5" xfId="45616" xr:uid="{00000000-0005-0000-0000-0000C8B20000}"/>
    <cellStyle name="SAPBEXexcBad8 4 5 2" xfId="45617" xr:uid="{00000000-0005-0000-0000-0000C9B20000}"/>
    <cellStyle name="SAPBEXexcBad8 4 5 2 2" xfId="45618" xr:uid="{00000000-0005-0000-0000-0000CAB20000}"/>
    <cellStyle name="SAPBEXexcBad8 4 5 3" xfId="45619" xr:uid="{00000000-0005-0000-0000-0000CBB20000}"/>
    <cellStyle name="SAPBEXexcBad8 4 6" xfId="45620" xr:uid="{00000000-0005-0000-0000-0000CCB20000}"/>
    <cellStyle name="SAPBEXexcBad8 5" xfId="45621" xr:uid="{00000000-0005-0000-0000-0000CDB20000}"/>
    <cellStyle name="SAPBEXexcBad8 5 2" xfId="45622" xr:uid="{00000000-0005-0000-0000-0000CEB20000}"/>
    <cellStyle name="SAPBEXexcBad8 5 2 2" xfId="45623" xr:uid="{00000000-0005-0000-0000-0000CFB20000}"/>
    <cellStyle name="SAPBEXexcBad8 5 3" xfId="45624" xr:uid="{00000000-0005-0000-0000-0000D0B20000}"/>
    <cellStyle name="SAPBEXexcBad8 6" xfId="45625" xr:uid="{00000000-0005-0000-0000-0000D1B20000}"/>
    <cellStyle name="SAPBEXexcBad8 6 2" xfId="45626" xr:uid="{00000000-0005-0000-0000-0000D2B20000}"/>
    <cellStyle name="SAPBEXexcBad8 6 2 2" xfId="45627" xr:uid="{00000000-0005-0000-0000-0000D3B20000}"/>
    <cellStyle name="SAPBEXexcBad8 6 3" xfId="45628" xr:uid="{00000000-0005-0000-0000-0000D4B20000}"/>
    <cellStyle name="SAPBEXexcBad8 7" xfId="45629" xr:uid="{00000000-0005-0000-0000-0000D5B20000}"/>
    <cellStyle name="SAPBEXexcBad8 7 2" xfId="45630" xr:uid="{00000000-0005-0000-0000-0000D6B20000}"/>
    <cellStyle name="SAPBEXexcBad8 7 2 2" xfId="45631" xr:uid="{00000000-0005-0000-0000-0000D7B20000}"/>
    <cellStyle name="SAPBEXexcBad8 7 3" xfId="45632" xr:uid="{00000000-0005-0000-0000-0000D8B20000}"/>
    <cellStyle name="SAPBEXexcBad8 8" xfId="45633" xr:uid="{00000000-0005-0000-0000-0000D9B20000}"/>
    <cellStyle name="SAPBEXexcBad8 8 2" xfId="45634" xr:uid="{00000000-0005-0000-0000-0000DAB20000}"/>
    <cellStyle name="SAPBEXexcBad8 9" xfId="45635" xr:uid="{00000000-0005-0000-0000-0000DBB20000}"/>
    <cellStyle name="SAPBEXexcBad8 9 2" xfId="45636" xr:uid="{00000000-0005-0000-0000-0000DCB20000}"/>
    <cellStyle name="SAPBEXexcBad9" xfId="47" xr:uid="{00000000-0005-0000-0000-0000DDB20000}"/>
    <cellStyle name="SAPBEXexcBad9 10" xfId="45637" xr:uid="{00000000-0005-0000-0000-0000DEB20000}"/>
    <cellStyle name="SAPBEXexcBad9 10 2" xfId="45638" xr:uid="{00000000-0005-0000-0000-0000DFB20000}"/>
    <cellStyle name="SAPBEXexcBad9 11" xfId="45639" xr:uid="{00000000-0005-0000-0000-0000E0B20000}"/>
    <cellStyle name="SAPBEXexcBad9 11 2" xfId="45640" xr:uid="{00000000-0005-0000-0000-0000E1B20000}"/>
    <cellStyle name="SAPBEXexcBad9 12" xfId="45641" xr:uid="{00000000-0005-0000-0000-0000E2B20000}"/>
    <cellStyle name="SAPBEXexcBad9 12 2" xfId="45642" xr:uid="{00000000-0005-0000-0000-0000E3B20000}"/>
    <cellStyle name="SAPBEXexcBad9 13" xfId="45643" xr:uid="{00000000-0005-0000-0000-0000E4B20000}"/>
    <cellStyle name="SAPBEXexcBad9 2" xfId="45644" xr:uid="{00000000-0005-0000-0000-0000E5B20000}"/>
    <cellStyle name="SAPBEXexcBad9 2 2" xfId="45645" xr:uid="{00000000-0005-0000-0000-0000E6B20000}"/>
    <cellStyle name="SAPBEXexcBad9 2 2 2" xfId="45646" xr:uid="{00000000-0005-0000-0000-0000E7B20000}"/>
    <cellStyle name="SAPBEXexcBad9 2 2 2 2" xfId="45647" xr:uid="{00000000-0005-0000-0000-0000E8B20000}"/>
    <cellStyle name="SAPBEXexcBad9 2 2 2 2 2" xfId="45648" xr:uid="{00000000-0005-0000-0000-0000E9B20000}"/>
    <cellStyle name="SAPBEXexcBad9 2 2 2 2 2 2" xfId="45649" xr:uid="{00000000-0005-0000-0000-0000EAB20000}"/>
    <cellStyle name="SAPBEXexcBad9 2 2 2 2 3" xfId="45650" xr:uid="{00000000-0005-0000-0000-0000EBB20000}"/>
    <cellStyle name="SAPBEXexcBad9 2 2 2 3" xfId="45651" xr:uid="{00000000-0005-0000-0000-0000ECB20000}"/>
    <cellStyle name="SAPBEXexcBad9 2 2 2 3 2" xfId="45652" xr:uid="{00000000-0005-0000-0000-0000EDB20000}"/>
    <cellStyle name="SAPBEXexcBad9 2 2 2 4" xfId="45653" xr:uid="{00000000-0005-0000-0000-0000EEB20000}"/>
    <cellStyle name="SAPBEXexcBad9 2 2 3" xfId="45654" xr:uid="{00000000-0005-0000-0000-0000EFB20000}"/>
    <cellStyle name="SAPBEXexcBad9 2 2 3 2" xfId="45655" xr:uid="{00000000-0005-0000-0000-0000F0B20000}"/>
    <cellStyle name="SAPBEXexcBad9 2 2 3 2 2" xfId="45656" xr:uid="{00000000-0005-0000-0000-0000F1B20000}"/>
    <cellStyle name="SAPBEXexcBad9 2 2 3 3" xfId="45657" xr:uid="{00000000-0005-0000-0000-0000F2B20000}"/>
    <cellStyle name="SAPBEXexcBad9 2 2 4" xfId="45658" xr:uid="{00000000-0005-0000-0000-0000F3B20000}"/>
    <cellStyle name="SAPBEXexcBad9 2 2 4 2" xfId="45659" xr:uid="{00000000-0005-0000-0000-0000F4B20000}"/>
    <cellStyle name="SAPBEXexcBad9 2 2 4 2 2" xfId="45660" xr:uid="{00000000-0005-0000-0000-0000F5B20000}"/>
    <cellStyle name="SAPBEXexcBad9 2 2 4 3" xfId="45661" xr:uid="{00000000-0005-0000-0000-0000F6B20000}"/>
    <cellStyle name="SAPBEXexcBad9 2 2 5" xfId="45662" xr:uid="{00000000-0005-0000-0000-0000F7B20000}"/>
    <cellStyle name="SAPBEXexcBad9 2 2 5 2" xfId="45663" xr:uid="{00000000-0005-0000-0000-0000F8B20000}"/>
    <cellStyle name="SAPBEXexcBad9 2 2 6" xfId="45664" xr:uid="{00000000-0005-0000-0000-0000F9B20000}"/>
    <cellStyle name="SAPBEXexcBad9 2 3" xfId="45665" xr:uid="{00000000-0005-0000-0000-0000FAB20000}"/>
    <cellStyle name="SAPBEXexcBad9 2 3 2" xfId="45666" xr:uid="{00000000-0005-0000-0000-0000FBB20000}"/>
    <cellStyle name="SAPBEXexcBad9 2 3 2 2" xfId="45667" xr:uid="{00000000-0005-0000-0000-0000FCB20000}"/>
    <cellStyle name="SAPBEXexcBad9 2 3 3" xfId="45668" xr:uid="{00000000-0005-0000-0000-0000FDB20000}"/>
    <cellStyle name="SAPBEXexcBad9 2 4" xfId="45669" xr:uid="{00000000-0005-0000-0000-0000FEB20000}"/>
    <cellStyle name="SAPBEXexcBad9 2 4 2" xfId="45670" xr:uid="{00000000-0005-0000-0000-0000FFB20000}"/>
    <cellStyle name="SAPBEXexcBad9 2 4 2 2" xfId="45671" xr:uid="{00000000-0005-0000-0000-000000B30000}"/>
    <cellStyle name="SAPBEXexcBad9 2 4 3" xfId="45672" xr:uid="{00000000-0005-0000-0000-000001B30000}"/>
    <cellStyle name="SAPBEXexcBad9 2 5" xfId="45673" xr:uid="{00000000-0005-0000-0000-000002B30000}"/>
    <cellStyle name="SAPBEXexcBad9 2 5 2" xfId="45674" xr:uid="{00000000-0005-0000-0000-000003B30000}"/>
    <cellStyle name="SAPBEXexcBad9 2 5 2 2" xfId="45675" xr:uid="{00000000-0005-0000-0000-000004B30000}"/>
    <cellStyle name="SAPBEXexcBad9 2 5 3" xfId="45676" xr:uid="{00000000-0005-0000-0000-000005B30000}"/>
    <cellStyle name="SAPBEXexcBad9 2 6" xfId="45677" xr:uid="{00000000-0005-0000-0000-000006B30000}"/>
    <cellStyle name="SAPBEXexcBad9 2 6 2" xfId="45678" xr:uid="{00000000-0005-0000-0000-000007B30000}"/>
    <cellStyle name="SAPBEXexcBad9 2 7" xfId="45679" xr:uid="{00000000-0005-0000-0000-000008B30000}"/>
    <cellStyle name="SAPBEXexcBad9 3" xfId="45680" xr:uid="{00000000-0005-0000-0000-000009B30000}"/>
    <cellStyle name="SAPBEXexcBad9 3 2" xfId="45681" xr:uid="{00000000-0005-0000-0000-00000AB30000}"/>
    <cellStyle name="SAPBEXexcBad9 3 2 2" xfId="45682" xr:uid="{00000000-0005-0000-0000-00000BB30000}"/>
    <cellStyle name="SAPBEXexcBad9 3 3" xfId="45683" xr:uid="{00000000-0005-0000-0000-00000CB30000}"/>
    <cellStyle name="SAPBEXexcBad9 3 3 2" xfId="45684" xr:uid="{00000000-0005-0000-0000-00000DB30000}"/>
    <cellStyle name="SAPBEXexcBad9 3 3 2 2" xfId="45685" xr:uid="{00000000-0005-0000-0000-00000EB30000}"/>
    <cellStyle name="SAPBEXexcBad9 3 3 3" xfId="45686" xr:uid="{00000000-0005-0000-0000-00000FB30000}"/>
    <cellStyle name="SAPBEXexcBad9 3 4" xfId="45687" xr:uid="{00000000-0005-0000-0000-000010B30000}"/>
    <cellStyle name="SAPBEXexcBad9 3 4 2" xfId="45688" xr:uid="{00000000-0005-0000-0000-000011B30000}"/>
    <cellStyle name="SAPBEXexcBad9 3 4 2 2" xfId="45689" xr:uid="{00000000-0005-0000-0000-000012B30000}"/>
    <cellStyle name="SAPBEXexcBad9 3 4 3" xfId="45690" xr:uid="{00000000-0005-0000-0000-000013B30000}"/>
    <cellStyle name="SAPBEXexcBad9 3 5" xfId="45691" xr:uid="{00000000-0005-0000-0000-000014B30000}"/>
    <cellStyle name="SAPBEXexcBad9 4" xfId="45692" xr:uid="{00000000-0005-0000-0000-000015B30000}"/>
    <cellStyle name="SAPBEXexcBad9 4 2" xfId="45693" xr:uid="{00000000-0005-0000-0000-000016B30000}"/>
    <cellStyle name="SAPBEXexcBad9 4 2 2" xfId="45694" xr:uid="{00000000-0005-0000-0000-000017B30000}"/>
    <cellStyle name="SAPBEXexcBad9 4 2 2 2" xfId="45695" xr:uid="{00000000-0005-0000-0000-000018B30000}"/>
    <cellStyle name="SAPBEXexcBad9 4 2 3" xfId="45696" xr:uid="{00000000-0005-0000-0000-000019B30000}"/>
    <cellStyle name="SAPBEXexcBad9 4 2 3 2" xfId="45697" xr:uid="{00000000-0005-0000-0000-00001AB30000}"/>
    <cellStyle name="SAPBEXexcBad9 4 2 3 2 2" xfId="45698" xr:uid="{00000000-0005-0000-0000-00001BB30000}"/>
    <cellStyle name="SAPBEXexcBad9 4 2 3 3" xfId="45699" xr:uid="{00000000-0005-0000-0000-00001CB30000}"/>
    <cellStyle name="SAPBEXexcBad9 4 2 4" xfId="45700" xr:uid="{00000000-0005-0000-0000-00001DB30000}"/>
    <cellStyle name="SAPBEXexcBad9 4 3" xfId="45701" xr:uid="{00000000-0005-0000-0000-00001EB30000}"/>
    <cellStyle name="SAPBEXexcBad9 4 3 2" xfId="45702" xr:uid="{00000000-0005-0000-0000-00001FB30000}"/>
    <cellStyle name="SAPBEXexcBad9 4 3 2 2" xfId="45703" xr:uid="{00000000-0005-0000-0000-000020B30000}"/>
    <cellStyle name="SAPBEXexcBad9 4 3 3" xfId="45704" xr:uid="{00000000-0005-0000-0000-000021B30000}"/>
    <cellStyle name="SAPBEXexcBad9 4 4" xfId="45705" xr:uid="{00000000-0005-0000-0000-000022B30000}"/>
    <cellStyle name="SAPBEXexcBad9 4 4 2" xfId="45706" xr:uid="{00000000-0005-0000-0000-000023B30000}"/>
    <cellStyle name="SAPBEXexcBad9 4 4 2 2" xfId="45707" xr:uid="{00000000-0005-0000-0000-000024B30000}"/>
    <cellStyle name="SAPBEXexcBad9 4 4 3" xfId="45708" xr:uid="{00000000-0005-0000-0000-000025B30000}"/>
    <cellStyle name="SAPBEXexcBad9 4 5" xfId="45709" xr:uid="{00000000-0005-0000-0000-000026B30000}"/>
    <cellStyle name="SAPBEXexcBad9 4 5 2" xfId="45710" xr:uid="{00000000-0005-0000-0000-000027B30000}"/>
    <cellStyle name="SAPBEXexcBad9 4 5 2 2" xfId="45711" xr:uid="{00000000-0005-0000-0000-000028B30000}"/>
    <cellStyle name="SAPBEXexcBad9 4 5 3" xfId="45712" xr:uid="{00000000-0005-0000-0000-000029B30000}"/>
    <cellStyle name="SAPBEXexcBad9 4 6" xfId="45713" xr:uid="{00000000-0005-0000-0000-00002AB30000}"/>
    <cellStyle name="SAPBEXexcBad9 5" xfId="45714" xr:uid="{00000000-0005-0000-0000-00002BB30000}"/>
    <cellStyle name="SAPBEXexcBad9 5 2" xfId="45715" xr:uid="{00000000-0005-0000-0000-00002CB30000}"/>
    <cellStyle name="SAPBEXexcBad9 5 2 2" xfId="45716" xr:uid="{00000000-0005-0000-0000-00002DB30000}"/>
    <cellStyle name="SAPBEXexcBad9 5 3" xfId="45717" xr:uid="{00000000-0005-0000-0000-00002EB30000}"/>
    <cellStyle name="SAPBEXexcBad9 6" xfId="45718" xr:uid="{00000000-0005-0000-0000-00002FB30000}"/>
    <cellStyle name="SAPBEXexcBad9 6 2" xfId="45719" xr:uid="{00000000-0005-0000-0000-000030B30000}"/>
    <cellStyle name="SAPBEXexcBad9 6 2 2" xfId="45720" xr:uid="{00000000-0005-0000-0000-000031B30000}"/>
    <cellStyle name="SAPBEXexcBad9 6 3" xfId="45721" xr:uid="{00000000-0005-0000-0000-000032B30000}"/>
    <cellStyle name="SAPBEXexcBad9 7" xfId="45722" xr:uid="{00000000-0005-0000-0000-000033B30000}"/>
    <cellStyle name="SAPBEXexcBad9 7 2" xfId="45723" xr:uid="{00000000-0005-0000-0000-000034B30000}"/>
    <cellStyle name="SAPBEXexcBad9 7 2 2" xfId="45724" xr:uid="{00000000-0005-0000-0000-000035B30000}"/>
    <cellStyle name="SAPBEXexcBad9 7 3" xfId="45725" xr:uid="{00000000-0005-0000-0000-000036B30000}"/>
    <cellStyle name="SAPBEXexcBad9 8" xfId="45726" xr:uid="{00000000-0005-0000-0000-000037B30000}"/>
    <cellStyle name="SAPBEXexcBad9 8 2" xfId="45727" xr:uid="{00000000-0005-0000-0000-000038B30000}"/>
    <cellStyle name="SAPBEXexcBad9 9" xfId="45728" xr:uid="{00000000-0005-0000-0000-000039B30000}"/>
    <cellStyle name="SAPBEXexcBad9 9 2" xfId="45729" xr:uid="{00000000-0005-0000-0000-00003AB30000}"/>
    <cellStyle name="SAPBEXexcCritical4" xfId="48" xr:uid="{00000000-0005-0000-0000-00003BB30000}"/>
    <cellStyle name="SAPBEXexcCritical4 10" xfId="45730" xr:uid="{00000000-0005-0000-0000-00003CB30000}"/>
    <cellStyle name="SAPBEXexcCritical4 10 2" xfId="45731" xr:uid="{00000000-0005-0000-0000-00003DB30000}"/>
    <cellStyle name="SAPBEXexcCritical4 11" xfId="45732" xr:uid="{00000000-0005-0000-0000-00003EB30000}"/>
    <cellStyle name="SAPBEXexcCritical4 11 2" xfId="45733" xr:uid="{00000000-0005-0000-0000-00003FB30000}"/>
    <cellStyle name="SAPBEXexcCritical4 12" xfId="45734" xr:uid="{00000000-0005-0000-0000-000040B30000}"/>
    <cellStyle name="SAPBEXexcCritical4 12 2" xfId="45735" xr:uid="{00000000-0005-0000-0000-000041B30000}"/>
    <cellStyle name="SAPBEXexcCritical4 13" xfId="45736" xr:uid="{00000000-0005-0000-0000-000042B30000}"/>
    <cellStyle name="SAPBEXexcCritical4 14" xfId="45737" xr:uid="{00000000-0005-0000-0000-000043B30000}"/>
    <cellStyle name="SAPBEXexcCritical4 2" xfId="45738" xr:uid="{00000000-0005-0000-0000-000044B30000}"/>
    <cellStyle name="SAPBEXexcCritical4 2 2" xfId="45739" xr:uid="{00000000-0005-0000-0000-000045B30000}"/>
    <cellStyle name="SAPBEXexcCritical4 2 2 2" xfId="45740" xr:uid="{00000000-0005-0000-0000-000046B30000}"/>
    <cellStyle name="SAPBEXexcCritical4 2 2 2 2" xfId="45741" xr:uid="{00000000-0005-0000-0000-000047B30000}"/>
    <cellStyle name="SAPBEXexcCritical4 2 2 2 2 2" xfId="45742" xr:uid="{00000000-0005-0000-0000-000048B30000}"/>
    <cellStyle name="SAPBEXexcCritical4 2 2 2 2 2 2" xfId="45743" xr:uid="{00000000-0005-0000-0000-000049B30000}"/>
    <cellStyle name="SAPBEXexcCritical4 2 2 2 2 3" xfId="45744" xr:uid="{00000000-0005-0000-0000-00004AB30000}"/>
    <cellStyle name="SAPBEXexcCritical4 2 2 2 3" xfId="45745" xr:uid="{00000000-0005-0000-0000-00004BB30000}"/>
    <cellStyle name="SAPBEXexcCritical4 2 2 2 3 2" xfId="45746" xr:uid="{00000000-0005-0000-0000-00004CB30000}"/>
    <cellStyle name="SAPBEXexcCritical4 2 2 2 4" xfId="45747" xr:uid="{00000000-0005-0000-0000-00004DB30000}"/>
    <cellStyle name="SAPBEXexcCritical4 2 2 3" xfId="45748" xr:uid="{00000000-0005-0000-0000-00004EB30000}"/>
    <cellStyle name="SAPBEXexcCritical4 2 2 3 2" xfId="45749" xr:uid="{00000000-0005-0000-0000-00004FB30000}"/>
    <cellStyle name="SAPBEXexcCritical4 2 2 3 2 2" xfId="45750" xr:uid="{00000000-0005-0000-0000-000050B30000}"/>
    <cellStyle name="SAPBEXexcCritical4 2 2 3 3" xfId="45751" xr:uid="{00000000-0005-0000-0000-000051B30000}"/>
    <cellStyle name="SAPBEXexcCritical4 2 2 4" xfId="45752" xr:uid="{00000000-0005-0000-0000-000052B30000}"/>
    <cellStyle name="SAPBEXexcCritical4 2 2 4 2" xfId="45753" xr:uid="{00000000-0005-0000-0000-000053B30000}"/>
    <cellStyle name="SAPBEXexcCritical4 2 2 4 2 2" xfId="45754" xr:uid="{00000000-0005-0000-0000-000054B30000}"/>
    <cellStyle name="SAPBEXexcCritical4 2 2 4 3" xfId="45755" xr:uid="{00000000-0005-0000-0000-000055B30000}"/>
    <cellStyle name="SAPBEXexcCritical4 2 2 5" xfId="45756" xr:uid="{00000000-0005-0000-0000-000056B30000}"/>
    <cellStyle name="SAPBEXexcCritical4 2 2 5 2" xfId="45757" xr:uid="{00000000-0005-0000-0000-000057B30000}"/>
    <cellStyle name="SAPBEXexcCritical4 2 2 6" xfId="45758" xr:uid="{00000000-0005-0000-0000-000058B30000}"/>
    <cellStyle name="SAPBEXexcCritical4 2 3" xfId="45759" xr:uid="{00000000-0005-0000-0000-000059B30000}"/>
    <cellStyle name="SAPBEXexcCritical4 2 3 2" xfId="45760" xr:uid="{00000000-0005-0000-0000-00005AB30000}"/>
    <cellStyle name="SAPBEXexcCritical4 2 3 2 2" xfId="45761" xr:uid="{00000000-0005-0000-0000-00005BB30000}"/>
    <cellStyle name="SAPBEXexcCritical4 2 3 3" xfId="45762" xr:uid="{00000000-0005-0000-0000-00005CB30000}"/>
    <cellStyle name="SAPBEXexcCritical4 2 4" xfId="45763" xr:uid="{00000000-0005-0000-0000-00005DB30000}"/>
    <cellStyle name="SAPBEXexcCritical4 2 4 2" xfId="45764" xr:uid="{00000000-0005-0000-0000-00005EB30000}"/>
    <cellStyle name="SAPBEXexcCritical4 2 4 2 2" xfId="45765" xr:uid="{00000000-0005-0000-0000-00005FB30000}"/>
    <cellStyle name="SAPBEXexcCritical4 2 4 3" xfId="45766" xr:uid="{00000000-0005-0000-0000-000060B30000}"/>
    <cellStyle name="SAPBEXexcCritical4 2 5" xfId="45767" xr:uid="{00000000-0005-0000-0000-000061B30000}"/>
    <cellStyle name="SAPBEXexcCritical4 2 5 2" xfId="45768" xr:uid="{00000000-0005-0000-0000-000062B30000}"/>
    <cellStyle name="SAPBEXexcCritical4 2 5 2 2" xfId="45769" xr:uid="{00000000-0005-0000-0000-000063B30000}"/>
    <cellStyle name="SAPBEXexcCritical4 2 5 3" xfId="45770" xr:uid="{00000000-0005-0000-0000-000064B30000}"/>
    <cellStyle name="SAPBEXexcCritical4 2 6" xfId="45771" xr:uid="{00000000-0005-0000-0000-000065B30000}"/>
    <cellStyle name="SAPBEXexcCritical4 2 6 2" xfId="45772" xr:uid="{00000000-0005-0000-0000-000066B30000}"/>
    <cellStyle name="SAPBEXexcCritical4 2 7" xfId="45773" xr:uid="{00000000-0005-0000-0000-000067B30000}"/>
    <cellStyle name="SAPBEXexcCritical4 3" xfId="45774" xr:uid="{00000000-0005-0000-0000-000068B30000}"/>
    <cellStyle name="SAPBEXexcCritical4 3 2" xfId="45775" xr:uid="{00000000-0005-0000-0000-000069B30000}"/>
    <cellStyle name="SAPBEXexcCritical4 3 2 2" xfId="45776" xr:uid="{00000000-0005-0000-0000-00006AB30000}"/>
    <cellStyle name="SAPBEXexcCritical4 3 3" xfId="45777" xr:uid="{00000000-0005-0000-0000-00006BB30000}"/>
    <cellStyle name="SAPBEXexcCritical4 3 3 2" xfId="45778" xr:uid="{00000000-0005-0000-0000-00006CB30000}"/>
    <cellStyle name="SAPBEXexcCritical4 3 3 2 2" xfId="45779" xr:uid="{00000000-0005-0000-0000-00006DB30000}"/>
    <cellStyle name="SAPBEXexcCritical4 3 3 3" xfId="45780" xr:uid="{00000000-0005-0000-0000-00006EB30000}"/>
    <cellStyle name="SAPBEXexcCritical4 3 4" xfId="45781" xr:uid="{00000000-0005-0000-0000-00006FB30000}"/>
    <cellStyle name="SAPBEXexcCritical4 3 4 2" xfId="45782" xr:uid="{00000000-0005-0000-0000-000070B30000}"/>
    <cellStyle name="SAPBEXexcCritical4 3 4 2 2" xfId="45783" xr:uid="{00000000-0005-0000-0000-000071B30000}"/>
    <cellStyle name="SAPBEXexcCritical4 3 4 3" xfId="45784" xr:uid="{00000000-0005-0000-0000-000072B30000}"/>
    <cellStyle name="SAPBEXexcCritical4 3 5" xfId="45785" xr:uid="{00000000-0005-0000-0000-000073B30000}"/>
    <cellStyle name="SAPBEXexcCritical4 4" xfId="45786" xr:uid="{00000000-0005-0000-0000-000074B30000}"/>
    <cellStyle name="SAPBEXexcCritical4 4 2" xfId="45787" xr:uid="{00000000-0005-0000-0000-000075B30000}"/>
    <cellStyle name="SAPBEXexcCritical4 4 2 2" xfId="45788" xr:uid="{00000000-0005-0000-0000-000076B30000}"/>
    <cellStyle name="SAPBEXexcCritical4 4 2 2 2" xfId="45789" xr:uid="{00000000-0005-0000-0000-000077B30000}"/>
    <cellStyle name="SAPBEXexcCritical4 4 2 3" xfId="45790" xr:uid="{00000000-0005-0000-0000-000078B30000}"/>
    <cellStyle name="SAPBEXexcCritical4 4 2 3 2" xfId="45791" xr:uid="{00000000-0005-0000-0000-000079B30000}"/>
    <cellStyle name="SAPBEXexcCritical4 4 2 3 2 2" xfId="45792" xr:uid="{00000000-0005-0000-0000-00007AB30000}"/>
    <cellStyle name="SAPBEXexcCritical4 4 2 3 3" xfId="45793" xr:uid="{00000000-0005-0000-0000-00007BB30000}"/>
    <cellStyle name="SAPBEXexcCritical4 4 2 4" xfId="45794" xr:uid="{00000000-0005-0000-0000-00007CB30000}"/>
    <cellStyle name="SAPBEXexcCritical4 4 3" xfId="45795" xr:uid="{00000000-0005-0000-0000-00007DB30000}"/>
    <cellStyle name="SAPBEXexcCritical4 4 3 2" xfId="45796" xr:uid="{00000000-0005-0000-0000-00007EB30000}"/>
    <cellStyle name="SAPBEXexcCritical4 4 3 2 2" xfId="45797" xr:uid="{00000000-0005-0000-0000-00007FB30000}"/>
    <cellStyle name="SAPBEXexcCritical4 4 3 3" xfId="45798" xr:uid="{00000000-0005-0000-0000-000080B30000}"/>
    <cellStyle name="SAPBEXexcCritical4 4 4" xfId="45799" xr:uid="{00000000-0005-0000-0000-000081B30000}"/>
    <cellStyle name="SAPBEXexcCritical4 4 4 2" xfId="45800" xr:uid="{00000000-0005-0000-0000-000082B30000}"/>
    <cellStyle name="SAPBEXexcCritical4 4 4 2 2" xfId="45801" xr:uid="{00000000-0005-0000-0000-000083B30000}"/>
    <cellStyle name="SAPBEXexcCritical4 4 4 3" xfId="45802" xr:uid="{00000000-0005-0000-0000-000084B30000}"/>
    <cellStyle name="SAPBEXexcCritical4 4 5" xfId="45803" xr:uid="{00000000-0005-0000-0000-000085B30000}"/>
    <cellStyle name="SAPBEXexcCritical4 4 5 2" xfId="45804" xr:uid="{00000000-0005-0000-0000-000086B30000}"/>
    <cellStyle name="SAPBEXexcCritical4 4 5 2 2" xfId="45805" xr:uid="{00000000-0005-0000-0000-000087B30000}"/>
    <cellStyle name="SAPBEXexcCritical4 4 5 3" xfId="45806" xr:uid="{00000000-0005-0000-0000-000088B30000}"/>
    <cellStyle name="SAPBEXexcCritical4 4 6" xfId="45807" xr:uid="{00000000-0005-0000-0000-000089B30000}"/>
    <cellStyle name="SAPBEXexcCritical4 5" xfId="45808" xr:uid="{00000000-0005-0000-0000-00008AB30000}"/>
    <cellStyle name="SAPBEXexcCritical4 5 2" xfId="45809" xr:uid="{00000000-0005-0000-0000-00008BB30000}"/>
    <cellStyle name="SAPBEXexcCritical4 5 2 2" xfId="45810" xr:uid="{00000000-0005-0000-0000-00008CB30000}"/>
    <cellStyle name="SAPBEXexcCritical4 5 3" xfId="45811" xr:uid="{00000000-0005-0000-0000-00008DB30000}"/>
    <cellStyle name="SAPBEXexcCritical4 6" xfId="45812" xr:uid="{00000000-0005-0000-0000-00008EB30000}"/>
    <cellStyle name="SAPBEXexcCritical4 6 2" xfId="45813" xr:uid="{00000000-0005-0000-0000-00008FB30000}"/>
    <cellStyle name="SAPBEXexcCritical4 6 2 2" xfId="45814" xr:uid="{00000000-0005-0000-0000-000090B30000}"/>
    <cellStyle name="SAPBEXexcCritical4 6 3" xfId="45815" xr:uid="{00000000-0005-0000-0000-000091B30000}"/>
    <cellStyle name="SAPBEXexcCritical4 7" xfId="45816" xr:uid="{00000000-0005-0000-0000-000092B30000}"/>
    <cellStyle name="SAPBEXexcCritical4 7 2" xfId="45817" xr:uid="{00000000-0005-0000-0000-000093B30000}"/>
    <cellStyle name="SAPBEXexcCritical4 7 2 2" xfId="45818" xr:uid="{00000000-0005-0000-0000-000094B30000}"/>
    <cellStyle name="SAPBEXexcCritical4 7 3" xfId="45819" xr:uid="{00000000-0005-0000-0000-000095B30000}"/>
    <cellStyle name="SAPBEXexcCritical4 8" xfId="45820" xr:uid="{00000000-0005-0000-0000-000096B30000}"/>
    <cellStyle name="SAPBEXexcCritical4 8 2" xfId="45821" xr:uid="{00000000-0005-0000-0000-000097B30000}"/>
    <cellStyle name="SAPBEXexcCritical4 9" xfId="45822" xr:uid="{00000000-0005-0000-0000-000098B30000}"/>
    <cellStyle name="SAPBEXexcCritical4 9 2" xfId="45823" xr:uid="{00000000-0005-0000-0000-000099B30000}"/>
    <cellStyle name="SAPBEXexcCritical5" xfId="49" xr:uid="{00000000-0005-0000-0000-00009AB30000}"/>
    <cellStyle name="SAPBEXexcCritical5 10" xfId="45824" xr:uid="{00000000-0005-0000-0000-00009BB30000}"/>
    <cellStyle name="SAPBEXexcCritical5 10 2" xfId="45825" xr:uid="{00000000-0005-0000-0000-00009CB30000}"/>
    <cellStyle name="SAPBEXexcCritical5 11" xfId="45826" xr:uid="{00000000-0005-0000-0000-00009DB30000}"/>
    <cellStyle name="SAPBEXexcCritical5 11 2" xfId="45827" xr:uid="{00000000-0005-0000-0000-00009EB30000}"/>
    <cellStyle name="SAPBEXexcCritical5 12" xfId="45828" xr:uid="{00000000-0005-0000-0000-00009FB30000}"/>
    <cellStyle name="SAPBEXexcCritical5 12 2" xfId="45829" xr:uid="{00000000-0005-0000-0000-0000A0B30000}"/>
    <cellStyle name="SAPBEXexcCritical5 13" xfId="45830" xr:uid="{00000000-0005-0000-0000-0000A1B30000}"/>
    <cellStyle name="SAPBEXexcCritical5 14" xfId="45831" xr:uid="{00000000-0005-0000-0000-0000A2B30000}"/>
    <cellStyle name="SAPBEXexcCritical5 2" xfId="45832" xr:uid="{00000000-0005-0000-0000-0000A3B30000}"/>
    <cellStyle name="SAPBEXexcCritical5 2 2" xfId="45833" xr:uid="{00000000-0005-0000-0000-0000A4B30000}"/>
    <cellStyle name="SAPBEXexcCritical5 2 2 2" xfId="45834" xr:uid="{00000000-0005-0000-0000-0000A5B30000}"/>
    <cellStyle name="SAPBEXexcCritical5 2 2 2 2" xfId="45835" xr:uid="{00000000-0005-0000-0000-0000A6B30000}"/>
    <cellStyle name="SAPBEXexcCritical5 2 2 2 2 2" xfId="45836" xr:uid="{00000000-0005-0000-0000-0000A7B30000}"/>
    <cellStyle name="SAPBEXexcCritical5 2 2 2 2 2 2" xfId="45837" xr:uid="{00000000-0005-0000-0000-0000A8B30000}"/>
    <cellStyle name="SAPBEXexcCritical5 2 2 2 2 3" xfId="45838" xr:uid="{00000000-0005-0000-0000-0000A9B30000}"/>
    <cellStyle name="SAPBEXexcCritical5 2 2 2 3" xfId="45839" xr:uid="{00000000-0005-0000-0000-0000AAB30000}"/>
    <cellStyle name="SAPBEXexcCritical5 2 2 2 3 2" xfId="45840" xr:uid="{00000000-0005-0000-0000-0000ABB30000}"/>
    <cellStyle name="SAPBEXexcCritical5 2 2 2 4" xfId="45841" xr:uid="{00000000-0005-0000-0000-0000ACB30000}"/>
    <cellStyle name="SAPBEXexcCritical5 2 2 3" xfId="45842" xr:uid="{00000000-0005-0000-0000-0000ADB30000}"/>
    <cellStyle name="SAPBEXexcCritical5 2 2 3 2" xfId="45843" xr:uid="{00000000-0005-0000-0000-0000AEB30000}"/>
    <cellStyle name="SAPBEXexcCritical5 2 2 3 2 2" xfId="45844" xr:uid="{00000000-0005-0000-0000-0000AFB30000}"/>
    <cellStyle name="SAPBEXexcCritical5 2 2 3 3" xfId="45845" xr:uid="{00000000-0005-0000-0000-0000B0B30000}"/>
    <cellStyle name="SAPBEXexcCritical5 2 2 4" xfId="45846" xr:uid="{00000000-0005-0000-0000-0000B1B30000}"/>
    <cellStyle name="SAPBEXexcCritical5 2 2 4 2" xfId="45847" xr:uid="{00000000-0005-0000-0000-0000B2B30000}"/>
    <cellStyle name="SAPBEXexcCritical5 2 2 4 2 2" xfId="45848" xr:uid="{00000000-0005-0000-0000-0000B3B30000}"/>
    <cellStyle name="SAPBEXexcCritical5 2 2 4 3" xfId="45849" xr:uid="{00000000-0005-0000-0000-0000B4B30000}"/>
    <cellStyle name="SAPBEXexcCritical5 2 2 5" xfId="45850" xr:uid="{00000000-0005-0000-0000-0000B5B30000}"/>
    <cellStyle name="SAPBEXexcCritical5 2 2 5 2" xfId="45851" xr:uid="{00000000-0005-0000-0000-0000B6B30000}"/>
    <cellStyle name="SAPBEXexcCritical5 2 2 6" xfId="45852" xr:uid="{00000000-0005-0000-0000-0000B7B30000}"/>
    <cellStyle name="SAPBEXexcCritical5 2 3" xfId="45853" xr:uid="{00000000-0005-0000-0000-0000B8B30000}"/>
    <cellStyle name="SAPBEXexcCritical5 2 3 2" xfId="45854" xr:uid="{00000000-0005-0000-0000-0000B9B30000}"/>
    <cellStyle name="SAPBEXexcCritical5 2 3 2 2" xfId="45855" xr:uid="{00000000-0005-0000-0000-0000BAB30000}"/>
    <cellStyle name="SAPBEXexcCritical5 2 3 3" xfId="45856" xr:uid="{00000000-0005-0000-0000-0000BBB30000}"/>
    <cellStyle name="SAPBEXexcCritical5 2 4" xfId="45857" xr:uid="{00000000-0005-0000-0000-0000BCB30000}"/>
    <cellStyle name="SAPBEXexcCritical5 2 4 2" xfId="45858" xr:uid="{00000000-0005-0000-0000-0000BDB30000}"/>
    <cellStyle name="SAPBEXexcCritical5 2 4 2 2" xfId="45859" xr:uid="{00000000-0005-0000-0000-0000BEB30000}"/>
    <cellStyle name="SAPBEXexcCritical5 2 4 3" xfId="45860" xr:uid="{00000000-0005-0000-0000-0000BFB30000}"/>
    <cellStyle name="SAPBEXexcCritical5 2 5" xfId="45861" xr:uid="{00000000-0005-0000-0000-0000C0B30000}"/>
    <cellStyle name="SAPBEXexcCritical5 2 5 2" xfId="45862" xr:uid="{00000000-0005-0000-0000-0000C1B30000}"/>
    <cellStyle name="SAPBEXexcCritical5 2 5 2 2" xfId="45863" xr:uid="{00000000-0005-0000-0000-0000C2B30000}"/>
    <cellStyle name="SAPBEXexcCritical5 2 5 3" xfId="45864" xr:uid="{00000000-0005-0000-0000-0000C3B30000}"/>
    <cellStyle name="SAPBEXexcCritical5 2 6" xfId="45865" xr:uid="{00000000-0005-0000-0000-0000C4B30000}"/>
    <cellStyle name="SAPBEXexcCritical5 2 6 2" xfId="45866" xr:uid="{00000000-0005-0000-0000-0000C5B30000}"/>
    <cellStyle name="SAPBEXexcCritical5 2 7" xfId="45867" xr:uid="{00000000-0005-0000-0000-0000C6B30000}"/>
    <cellStyle name="SAPBEXexcCritical5 3" xfId="45868" xr:uid="{00000000-0005-0000-0000-0000C7B30000}"/>
    <cellStyle name="SAPBEXexcCritical5 3 2" xfId="45869" xr:uid="{00000000-0005-0000-0000-0000C8B30000}"/>
    <cellStyle name="SAPBEXexcCritical5 3 2 2" xfId="45870" xr:uid="{00000000-0005-0000-0000-0000C9B30000}"/>
    <cellStyle name="SAPBEXexcCritical5 3 3" xfId="45871" xr:uid="{00000000-0005-0000-0000-0000CAB30000}"/>
    <cellStyle name="SAPBEXexcCritical5 3 3 2" xfId="45872" xr:uid="{00000000-0005-0000-0000-0000CBB30000}"/>
    <cellStyle name="SAPBEXexcCritical5 3 3 2 2" xfId="45873" xr:uid="{00000000-0005-0000-0000-0000CCB30000}"/>
    <cellStyle name="SAPBEXexcCritical5 3 3 3" xfId="45874" xr:uid="{00000000-0005-0000-0000-0000CDB30000}"/>
    <cellStyle name="SAPBEXexcCritical5 3 4" xfId="45875" xr:uid="{00000000-0005-0000-0000-0000CEB30000}"/>
    <cellStyle name="SAPBEXexcCritical5 3 4 2" xfId="45876" xr:uid="{00000000-0005-0000-0000-0000CFB30000}"/>
    <cellStyle name="SAPBEXexcCritical5 3 4 2 2" xfId="45877" xr:uid="{00000000-0005-0000-0000-0000D0B30000}"/>
    <cellStyle name="SAPBEXexcCritical5 3 4 3" xfId="45878" xr:uid="{00000000-0005-0000-0000-0000D1B30000}"/>
    <cellStyle name="SAPBEXexcCritical5 3 5" xfId="45879" xr:uid="{00000000-0005-0000-0000-0000D2B30000}"/>
    <cellStyle name="SAPBEXexcCritical5 4" xfId="45880" xr:uid="{00000000-0005-0000-0000-0000D3B30000}"/>
    <cellStyle name="SAPBEXexcCritical5 4 2" xfId="45881" xr:uid="{00000000-0005-0000-0000-0000D4B30000}"/>
    <cellStyle name="SAPBEXexcCritical5 4 2 2" xfId="45882" xr:uid="{00000000-0005-0000-0000-0000D5B30000}"/>
    <cellStyle name="SAPBEXexcCritical5 4 2 2 2" xfId="45883" xr:uid="{00000000-0005-0000-0000-0000D6B30000}"/>
    <cellStyle name="SAPBEXexcCritical5 4 2 3" xfId="45884" xr:uid="{00000000-0005-0000-0000-0000D7B30000}"/>
    <cellStyle name="SAPBEXexcCritical5 4 2 3 2" xfId="45885" xr:uid="{00000000-0005-0000-0000-0000D8B30000}"/>
    <cellStyle name="SAPBEXexcCritical5 4 2 3 2 2" xfId="45886" xr:uid="{00000000-0005-0000-0000-0000D9B30000}"/>
    <cellStyle name="SAPBEXexcCritical5 4 2 3 3" xfId="45887" xr:uid="{00000000-0005-0000-0000-0000DAB30000}"/>
    <cellStyle name="SAPBEXexcCritical5 4 2 4" xfId="45888" xr:uid="{00000000-0005-0000-0000-0000DBB30000}"/>
    <cellStyle name="SAPBEXexcCritical5 4 3" xfId="45889" xr:uid="{00000000-0005-0000-0000-0000DCB30000}"/>
    <cellStyle name="SAPBEXexcCritical5 4 3 2" xfId="45890" xr:uid="{00000000-0005-0000-0000-0000DDB30000}"/>
    <cellStyle name="SAPBEXexcCritical5 4 3 2 2" xfId="45891" xr:uid="{00000000-0005-0000-0000-0000DEB30000}"/>
    <cellStyle name="SAPBEXexcCritical5 4 3 3" xfId="45892" xr:uid="{00000000-0005-0000-0000-0000DFB30000}"/>
    <cellStyle name="SAPBEXexcCritical5 4 4" xfId="45893" xr:uid="{00000000-0005-0000-0000-0000E0B30000}"/>
    <cellStyle name="SAPBEXexcCritical5 4 4 2" xfId="45894" xr:uid="{00000000-0005-0000-0000-0000E1B30000}"/>
    <cellStyle name="SAPBEXexcCritical5 4 4 2 2" xfId="45895" xr:uid="{00000000-0005-0000-0000-0000E2B30000}"/>
    <cellStyle name="SAPBEXexcCritical5 4 4 3" xfId="45896" xr:uid="{00000000-0005-0000-0000-0000E3B30000}"/>
    <cellStyle name="SAPBEXexcCritical5 4 5" xfId="45897" xr:uid="{00000000-0005-0000-0000-0000E4B30000}"/>
    <cellStyle name="SAPBEXexcCritical5 4 5 2" xfId="45898" xr:uid="{00000000-0005-0000-0000-0000E5B30000}"/>
    <cellStyle name="SAPBEXexcCritical5 4 5 2 2" xfId="45899" xr:uid="{00000000-0005-0000-0000-0000E6B30000}"/>
    <cellStyle name="SAPBEXexcCritical5 4 5 3" xfId="45900" xr:uid="{00000000-0005-0000-0000-0000E7B30000}"/>
    <cellStyle name="SAPBEXexcCritical5 4 6" xfId="45901" xr:uid="{00000000-0005-0000-0000-0000E8B30000}"/>
    <cellStyle name="SAPBEXexcCritical5 5" xfId="45902" xr:uid="{00000000-0005-0000-0000-0000E9B30000}"/>
    <cellStyle name="SAPBEXexcCritical5 5 2" xfId="45903" xr:uid="{00000000-0005-0000-0000-0000EAB30000}"/>
    <cellStyle name="SAPBEXexcCritical5 5 2 2" xfId="45904" xr:uid="{00000000-0005-0000-0000-0000EBB30000}"/>
    <cellStyle name="SAPBEXexcCritical5 5 3" xfId="45905" xr:uid="{00000000-0005-0000-0000-0000ECB30000}"/>
    <cellStyle name="SAPBEXexcCritical5 6" xfId="45906" xr:uid="{00000000-0005-0000-0000-0000EDB30000}"/>
    <cellStyle name="SAPBEXexcCritical5 6 2" xfId="45907" xr:uid="{00000000-0005-0000-0000-0000EEB30000}"/>
    <cellStyle name="SAPBEXexcCritical5 6 2 2" xfId="45908" xr:uid="{00000000-0005-0000-0000-0000EFB30000}"/>
    <cellStyle name="SAPBEXexcCritical5 6 3" xfId="45909" xr:uid="{00000000-0005-0000-0000-0000F0B30000}"/>
    <cellStyle name="SAPBEXexcCritical5 7" xfId="45910" xr:uid="{00000000-0005-0000-0000-0000F1B30000}"/>
    <cellStyle name="SAPBEXexcCritical5 7 2" xfId="45911" xr:uid="{00000000-0005-0000-0000-0000F2B30000}"/>
    <cellStyle name="SAPBEXexcCritical5 7 2 2" xfId="45912" xr:uid="{00000000-0005-0000-0000-0000F3B30000}"/>
    <cellStyle name="SAPBEXexcCritical5 7 3" xfId="45913" xr:uid="{00000000-0005-0000-0000-0000F4B30000}"/>
    <cellStyle name="SAPBEXexcCritical5 8" xfId="45914" xr:uid="{00000000-0005-0000-0000-0000F5B30000}"/>
    <cellStyle name="SAPBEXexcCritical5 8 2" xfId="45915" xr:uid="{00000000-0005-0000-0000-0000F6B30000}"/>
    <cellStyle name="SAPBEXexcCritical5 9" xfId="45916" xr:uid="{00000000-0005-0000-0000-0000F7B30000}"/>
    <cellStyle name="SAPBEXexcCritical5 9 2" xfId="45917" xr:uid="{00000000-0005-0000-0000-0000F8B30000}"/>
    <cellStyle name="SAPBEXexcCritical6" xfId="50" xr:uid="{00000000-0005-0000-0000-0000F9B30000}"/>
    <cellStyle name="SAPBEXexcCritical6 10" xfId="45918" xr:uid="{00000000-0005-0000-0000-0000FAB30000}"/>
    <cellStyle name="SAPBEXexcCritical6 10 2" xfId="45919" xr:uid="{00000000-0005-0000-0000-0000FBB30000}"/>
    <cellStyle name="SAPBEXexcCritical6 11" xfId="45920" xr:uid="{00000000-0005-0000-0000-0000FCB30000}"/>
    <cellStyle name="SAPBEXexcCritical6 11 2" xfId="45921" xr:uid="{00000000-0005-0000-0000-0000FDB30000}"/>
    <cellStyle name="SAPBEXexcCritical6 12" xfId="45922" xr:uid="{00000000-0005-0000-0000-0000FEB30000}"/>
    <cellStyle name="SAPBEXexcCritical6 12 2" xfId="45923" xr:uid="{00000000-0005-0000-0000-0000FFB30000}"/>
    <cellStyle name="SAPBEXexcCritical6 13" xfId="45924" xr:uid="{00000000-0005-0000-0000-000000B40000}"/>
    <cellStyle name="SAPBEXexcCritical6 14" xfId="45925" xr:uid="{00000000-0005-0000-0000-000001B40000}"/>
    <cellStyle name="SAPBEXexcCritical6 2" xfId="45926" xr:uid="{00000000-0005-0000-0000-000002B40000}"/>
    <cellStyle name="SAPBEXexcCritical6 2 2" xfId="45927" xr:uid="{00000000-0005-0000-0000-000003B40000}"/>
    <cellStyle name="SAPBEXexcCritical6 2 2 2" xfId="45928" xr:uid="{00000000-0005-0000-0000-000004B40000}"/>
    <cellStyle name="SAPBEXexcCritical6 2 2 2 2" xfId="45929" xr:uid="{00000000-0005-0000-0000-000005B40000}"/>
    <cellStyle name="SAPBEXexcCritical6 2 2 2 2 2" xfId="45930" xr:uid="{00000000-0005-0000-0000-000006B40000}"/>
    <cellStyle name="SAPBEXexcCritical6 2 2 2 2 2 2" xfId="45931" xr:uid="{00000000-0005-0000-0000-000007B40000}"/>
    <cellStyle name="SAPBEXexcCritical6 2 2 2 2 3" xfId="45932" xr:uid="{00000000-0005-0000-0000-000008B40000}"/>
    <cellStyle name="SAPBEXexcCritical6 2 2 2 3" xfId="45933" xr:uid="{00000000-0005-0000-0000-000009B40000}"/>
    <cellStyle name="SAPBEXexcCritical6 2 2 2 3 2" xfId="45934" xr:uid="{00000000-0005-0000-0000-00000AB40000}"/>
    <cellStyle name="SAPBEXexcCritical6 2 2 2 4" xfId="45935" xr:uid="{00000000-0005-0000-0000-00000BB40000}"/>
    <cellStyle name="SAPBEXexcCritical6 2 2 3" xfId="45936" xr:uid="{00000000-0005-0000-0000-00000CB40000}"/>
    <cellStyle name="SAPBEXexcCritical6 2 2 3 2" xfId="45937" xr:uid="{00000000-0005-0000-0000-00000DB40000}"/>
    <cellStyle name="SAPBEXexcCritical6 2 2 3 2 2" xfId="45938" xr:uid="{00000000-0005-0000-0000-00000EB40000}"/>
    <cellStyle name="SAPBEXexcCritical6 2 2 3 3" xfId="45939" xr:uid="{00000000-0005-0000-0000-00000FB40000}"/>
    <cellStyle name="SAPBEXexcCritical6 2 2 4" xfId="45940" xr:uid="{00000000-0005-0000-0000-000010B40000}"/>
    <cellStyle name="SAPBEXexcCritical6 2 2 4 2" xfId="45941" xr:uid="{00000000-0005-0000-0000-000011B40000}"/>
    <cellStyle name="SAPBEXexcCritical6 2 2 4 2 2" xfId="45942" xr:uid="{00000000-0005-0000-0000-000012B40000}"/>
    <cellStyle name="SAPBEXexcCritical6 2 2 4 3" xfId="45943" xr:uid="{00000000-0005-0000-0000-000013B40000}"/>
    <cellStyle name="SAPBEXexcCritical6 2 2 5" xfId="45944" xr:uid="{00000000-0005-0000-0000-000014B40000}"/>
    <cellStyle name="SAPBEXexcCritical6 2 2 5 2" xfId="45945" xr:uid="{00000000-0005-0000-0000-000015B40000}"/>
    <cellStyle name="SAPBEXexcCritical6 2 2 6" xfId="45946" xr:uid="{00000000-0005-0000-0000-000016B40000}"/>
    <cellStyle name="SAPBEXexcCritical6 2 3" xfId="45947" xr:uid="{00000000-0005-0000-0000-000017B40000}"/>
    <cellStyle name="SAPBEXexcCritical6 2 3 2" xfId="45948" xr:uid="{00000000-0005-0000-0000-000018B40000}"/>
    <cellStyle name="SAPBEXexcCritical6 2 3 2 2" xfId="45949" xr:uid="{00000000-0005-0000-0000-000019B40000}"/>
    <cellStyle name="SAPBEXexcCritical6 2 3 3" xfId="45950" xr:uid="{00000000-0005-0000-0000-00001AB40000}"/>
    <cellStyle name="SAPBEXexcCritical6 2 4" xfId="45951" xr:uid="{00000000-0005-0000-0000-00001BB40000}"/>
    <cellStyle name="SAPBEXexcCritical6 2 4 2" xfId="45952" xr:uid="{00000000-0005-0000-0000-00001CB40000}"/>
    <cellStyle name="SAPBEXexcCritical6 2 4 2 2" xfId="45953" xr:uid="{00000000-0005-0000-0000-00001DB40000}"/>
    <cellStyle name="SAPBEXexcCritical6 2 4 3" xfId="45954" xr:uid="{00000000-0005-0000-0000-00001EB40000}"/>
    <cellStyle name="SAPBEXexcCritical6 2 5" xfId="45955" xr:uid="{00000000-0005-0000-0000-00001FB40000}"/>
    <cellStyle name="SAPBEXexcCritical6 2 5 2" xfId="45956" xr:uid="{00000000-0005-0000-0000-000020B40000}"/>
    <cellStyle name="SAPBEXexcCritical6 2 5 2 2" xfId="45957" xr:uid="{00000000-0005-0000-0000-000021B40000}"/>
    <cellStyle name="SAPBEXexcCritical6 2 5 3" xfId="45958" xr:uid="{00000000-0005-0000-0000-000022B40000}"/>
    <cellStyle name="SAPBEXexcCritical6 2 6" xfId="45959" xr:uid="{00000000-0005-0000-0000-000023B40000}"/>
    <cellStyle name="SAPBEXexcCritical6 2 6 2" xfId="45960" xr:uid="{00000000-0005-0000-0000-000024B40000}"/>
    <cellStyle name="SAPBEXexcCritical6 2 7" xfId="45961" xr:uid="{00000000-0005-0000-0000-000025B40000}"/>
    <cellStyle name="SAPBEXexcCritical6 3" xfId="45962" xr:uid="{00000000-0005-0000-0000-000026B40000}"/>
    <cellStyle name="SAPBEXexcCritical6 3 2" xfId="45963" xr:uid="{00000000-0005-0000-0000-000027B40000}"/>
    <cellStyle name="SAPBEXexcCritical6 3 2 2" xfId="45964" xr:uid="{00000000-0005-0000-0000-000028B40000}"/>
    <cellStyle name="SAPBEXexcCritical6 3 3" xfId="45965" xr:uid="{00000000-0005-0000-0000-000029B40000}"/>
    <cellStyle name="SAPBEXexcCritical6 3 3 2" xfId="45966" xr:uid="{00000000-0005-0000-0000-00002AB40000}"/>
    <cellStyle name="SAPBEXexcCritical6 3 3 2 2" xfId="45967" xr:uid="{00000000-0005-0000-0000-00002BB40000}"/>
    <cellStyle name="SAPBEXexcCritical6 3 3 3" xfId="45968" xr:uid="{00000000-0005-0000-0000-00002CB40000}"/>
    <cellStyle name="SAPBEXexcCritical6 3 4" xfId="45969" xr:uid="{00000000-0005-0000-0000-00002DB40000}"/>
    <cellStyle name="SAPBEXexcCritical6 3 4 2" xfId="45970" xr:uid="{00000000-0005-0000-0000-00002EB40000}"/>
    <cellStyle name="SAPBEXexcCritical6 3 4 2 2" xfId="45971" xr:uid="{00000000-0005-0000-0000-00002FB40000}"/>
    <cellStyle name="SAPBEXexcCritical6 3 4 3" xfId="45972" xr:uid="{00000000-0005-0000-0000-000030B40000}"/>
    <cellStyle name="SAPBEXexcCritical6 3 5" xfId="45973" xr:uid="{00000000-0005-0000-0000-000031B40000}"/>
    <cellStyle name="SAPBEXexcCritical6 4" xfId="45974" xr:uid="{00000000-0005-0000-0000-000032B40000}"/>
    <cellStyle name="SAPBEXexcCritical6 4 2" xfId="45975" xr:uid="{00000000-0005-0000-0000-000033B40000}"/>
    <cellStyle name="SAPBEXexcCritical6 4 2 2" xfId="45976" xr:uid="{00000000-0005-0000-0000-000034B40000}"/>
    <cellStyle name="SAPBEXexcCritical6 4 2 2 2" xfId="45977" xr:uid="{00000000-0005-0000-0000-000035B40000}"/>
    <cellStyle name="SAPBEXexcCritical6 4 2 3" xfId="45978" xr:uid="{00000000-0005-0000-0000-000036B40000}"/>
    <cellStyle name="SAPBEXexcCritical6 4 2 3 2" xfId="45979" xr:uid="{00000000-0005-0000-0000-000037B40000}"/>
    <cellStyle name="SAPBEXexcCritical6 4 2 3 2 2" xfId="45980" xr:uid="{00000000-0005-0000-0000-000038B40000}"/>
    <cellStyle name="SAPBEXexcCritical6 4 2 3 3" xfId="45981" xr:uid="{00000000-0005-0000-0000-000039B40000}"/>
    <cellStyle name="SAPBEXexcCritical6 4 2 4" xfId="45982" xr:uid="{00000000-0005-0000-0000-00003AB40000}"/>
    <cellStyle name="SAPBEXexcCritical6 4 3" xfId="45983" xr:uid="{00000000-0005-0000-0000-00003BB40000}"/>
    <cellStyle name="SAPBEXexcCritical6 4 3 2" xfId="45984" xr:uid="{00000000-0005-0000-0000-00003CB40000}"/>
    <cellStyle name="SAPBEXexcCritical6 4 3 2 2" xfId="45985" xr:uid="{00000000-0005-0000-0000-00003DB40000}"/>
    <cellStyle name="SAPBEXexcCritical6 4 3 3" xfId="45986" xr:uid="{00000000-0005-0000-0000-00003EB40000}"/>
    <cellStyle name="SAPBEXexcCritical6 4 4" xfId="45987" xr:uid="{00000000-0005-0000-0000-00003FB40000}"/>
    <cellStyle name="SAPBEXexcCritical6 4 4 2" xfId="45988" xr:uid="{00000000-0005-0000-0000-000040B40000}"/>
    <cellStyle name="SAPBEXexcCritical6 4 4 2 2" xfId="45989" xr:uid="{00000000-0005-0000-0000-000041B40000}"/>
    <cellStyle name="SAPBEXexcCritical6 4 4 3" xfId="45990" xr:uid="{00000000-0005-0000-0000-000042B40000}"/>
    <cellStyle name="SAPBEXexcCritical6 4 5" xfId="45991" xr:uid="{00000000-0005-0000-0000-000043B40000}"/>
    <cellStyle name="SAPBEXexcCritical6 4 5 2" xfId="45992" xr:uid="{00000000-0005-0000-0000-000044B40000}"/>
    <cellStyle name="SAPBEXexcCritical6 4 5 2 2" xfId="45993" xr:uid="{00000000-0005-0000-0000-000045B40000}"/>
    <cellStyle name="SAPBEXexcCritical6 4 5 3" xfId="45994" xr:uid="{00000000-0005-0000-0000-000046B40000}"/>
    <cellStyle name="SAPBEXexcCritical6 4 6" xfId="45995" xr:uid="{00000000-0005-0000-0000-000047B40000}"/>
    <cellStyle name="SAPBEXexcCritical6 5" xfId="45996" xr:uid="{00000000-0005-0000-0000-000048B40000}"/>
    <cellStyle name="SAPBEXexcCritical6 5 2" xfId="45997" xr:uid="{00000000-0005-0000-0000-000049B40000}"/>
    <cellStyle name="SAPBEXexcCritical6 5 2 2" xfId="45998" xr:uid="{00000000-0005-0000-0000-00004AB40000}"/>
    <cellStyle name="SAPBEXexcCritical6 5 3" xfId="45999" xr:uid="{00000000-0005-0000-0000-00004BB40000}"/>
    <cellStyle name="SAPBEXexcCritical6 6" xfId="46000" xr:uid="{00000000-0005-0000-0000-00004CB40000}"/>
    <cellStyle name="SAPBEXexcCritical6 6 2" xfId="46001" xr:uid="{00000000-0005-0000-0000-00004DB40000}"/>
    <cellStyle name="SAPBEXexcCritical6 6 2 2" xfId="46002" xr:uid="{00000000-0005-0000-0000-00004EB40000}"/>
    <cellStyle name="SAPBEXexcCritical6 6 3" xfId="46003" xr:uid="{00000000-0005-0000-0000-00004FB40000}"/>
    <cellStyle name="SAPBEXexcCritical6 7" xfId="46004" xr:uid="{00000000-0005-0000-0000-000050B40000}"/>
    <cellStyle name="SAPBEXexcCritical6 7 2" xfId="46005" xr:uid="{00000000-0005-0000-0000-000051B40000}"/>
    <cellStyle name="SAPBEXexcCritical6 7 2 2" xfId="46006" xr:uid="{00000000-0005-0000-0000-000052B40000}"/>
    <cellStyle name="SAPBEXexcCritical6 7 3" xfId="46007" xr:uid="{00000000-0005-0000-0000-000053B40000}"/>
    <cellStyle name="SAPBEXexcCritical6 8" xfId="46008" xr:uid="{00000000-0005-0000-0000-000054B40000}"/>
    <cellStyle name="SAPBEXexcCritical6 8 2" xfId="46009" xr:uid="{00000000-0005-0000-0000-000055B40000}"/>
    <cellStyle name="SAPBEXexcCritical6 9" xfId="46010" xr:uid="{00000000-0005-0000-0000-000056B40000}"/>
    <cellStyle name="SAPBEXexcCritical6 9 2" xfId="46011" xr:uid="{00000000-0005-0000-0000-000057B40000}"/>
    <cellStyle name="SAPBEXexcGood1" xfId="51" xr:uid="{00000000-0005-0000-0000-000058B40000}"/>
    <cellStyle name="SAPBEXexcGood1 10" xfId="46012" xr:uid="{00000000-0005-0000-0000-000059B40000}"/>
    <cellStyle name="SAPBEXexcGood1 10 2" xfId="46013" xr:uid="{00000000-0005-0000-0000-00005AB40000}"/>
    <cellStyle name="SAPBEXexcGood1 11" xfId="46014" xr:uid="{00000000-0005-0000-0000-00005BB40000}"/>
    <cellStyle name="SAPBEXexcGood1 11 2" xfId="46015" xr:uid="{00000000-0005-0000-0000-00005CB40000}"/>
    <cellStyle name="SAPBEXexcGood1 12" xfId="46016" xr:uid="{00000000-0005-0000-0000-00005DB40000}"/>
    <cellStyle name="SAPBEXexcGood1 12 2" xfId="46017" xr:uid="{00000000-0005-0000-0000-00005EB40000}"/>
    <cellStyle name="SAPBEXexcGood1 13" xfId="46018" xr:uid="{00000000-0005-0000-0000-00005FB40000}"/>
    <cellStyle name="SAPBEXexcGood1 14" xfId="46019" xr:uid="{00000000-0005-0000-0000-000060B40000}"/>
    <cellStyle name="SAPBEXexcGood1 2" xfId="46020" xr:uid="{00000000-0005-0000-0000-000061B40000}"/>
    <cellStyle name="SAPBEXexcGood1 2 2" xfId="46021" xr:uid="{00000000-0005-0000-0000-000062B40000}"/>
    <cellStyle name="SAPBEXexcGood1 2 2 2" xfId="46022" xr:uid="{00000000-0005-0000-0000-000063B40000}"/>
    <cellStyle name="SAPBEXexcGood1 2 2 2 2" xfId="46023" xr:uid="{00000000-0005-0000-0000-000064B40000}"/>
    <cellStyle name="SAPBEXexcGood1 2 2 2 2 2" xfId="46024" xr:uid="{00000000-0005-0000-0000-000065B40000}"/>
    <cellStyle name="SAPBEXexcGood1 2 2 2 2 2 2" xfId="46025" xr:uid="{00000000-0005-0000-0000-000066B40000}"/>
    <cellStyle name="SAPBEXexcGood1 2 2 2 2 3" xfId="46026" xr:uid="{00000000-0005-0000-0000-000067B40000}"/>
    <cellStyle name="SAPBEXexcGood1 2 2 2 3" xfId="46027" xr:uid="{00000000-0005-0000-0000-000068B40000}"/>
    <cellStyle name="SAPBEXexcGood1 2 2 2 3 2" xfId="46028" xr:uid="{00000000-0005-0000-0000-000069B40000}"/>
    <cellStyle name="SAPBEXexcGood1 2 2 2 4" xfId="46029" xr:uid="{00000000-0005-0000-0000-00006AB40000}"/>
    <cellStyle name="SAPBEXexcGood1 2 2 3" xfId="46030" xr:uid="{00000000-0005-0000-0000-00006BB40000}"/>
    <cellStyle name="SAPBEXexcGood1 2 2 3 2" xfId="46031" xr:uid="{00000000-0005-0000-0000-00006CB40000}"/>
    <cellStyle name="SAPBEXexcGood1 2 2 3 2 2" xfId="46032" xr:uid="{00000000-0005-0000-0000-00006DB40000}"/>
    <cellStyle name="SAPBEXexcGood1 2 2 3 3" xfId="46033" xr:uid="{00000000-0005-0000-0000-00006EB40000}"/>
    <cellStyle name="SAPBEXexcGood1 2 2 4" xfId="46034" xr:uid="{00000000-0005-0000-0000-00006FB40000}"/>
    <cellStyle name="SAPBEXexcGood1 2 2 4 2" xfId="46035" xr:uid="{00000000-0005-0000-0000-000070B40000}"/>
    <cellStyle name="SAPBEXexcGood1 2 2 4 2 2" xfId="46036" xr:uid="{00000000-0005-0000-0000-000071B40000}"/>
    <cellStyle name="SAPBEXexcGood1 2 2 4 3" xfId="46037" xr:uid="{00000000-0005-0000-0000-000072B40000}"/>
    <cellStyle name="SAPBEXexcGood1 2 2 5" xfId="46038" xr:uid="{00000000-0005-0000-0000-000073B40000}"/>
    <cellStyle name="SAPBEXexcGood1 2 2 5 2" xfId="46039" xr:uid="{00000000-0005-0000-0000-000074B40000}"/>
    <cellStyle name="SAPBEXexcGood1 2 2 6" xfId="46040" xr:uid="{00000000-0005-0000-0000-000075B40000}"/>
    <cellStyle name="SAPBEXexcGood1 2 3" xfId="46041" xr:uid="{00000000-0005-0000-0000-000076B40000}"/>
    <cellStyle name="SAPBEXexcGood1 2 3 2" xfId="46042" xr:uid="{00000000-0005-0000-0000-000077B40000}"/>
    <cellStyle name="SAPBEXexcGood1 2 3 2 2" xfId="46043" xr:uid="{00000000-0005-0000-0000-000078B40000}"/>
    <cellStyle name="SAPBEXexcGood1 2 3 3" xfId="46044" xr:uid="{00000000-0005-0000-0000-000079B40000}"/>
    <cellStyle name="SAPBEXexcGood1 2 4" xfId="46045" xr:uid="{00000000-0005-0000-0000-00007AB40000}"/>
    <cellStyle name="SAPBEXexcGood1 2 4 2" xfId="46046" xr:uid="{00000000-0005-0000-0000-00007BB40000}"/>
    <cellStyle name="SAPBEXexcGood1 2 4 2 2" xfId="46047" xr:uid="{00000000-0005-0000-0000-00007CB40000}"/>
    <cellStyle name="SAPBEXexcGood1 2 4 3" xfId="46048" xr:uid="{00000000-0005-0000-0000-00007DB40000}"/>
    <cellStyle name="SAPBEXexcGood1 2 5" xfId="46049" xr:uid="{00000000-0005-0000-0000-00007EB40000}"/>
    <cellStyle name="SAPBEXexcGood1 2 5 2" xfId="46050" xr:uid="{00000000-0005-0000-0000-00007FB40000}"/>
    <cellStyle name="SAPBEXexcGood1 2 5 2 2" xfId="46051" xr:uid="{00000000-0005-0000-0000-000080B40000}"/>
    <cellStyle name="SAPBEXexcGood1 2 5 3" xfId="46052" xr:uid="{00000000-0005-0000-0000-000081B40000}"/>
    <cellStyle name="SAPBEXexcGood1 2 6" xfId="46053" xr:uid="{00000000-0005-0000-0000-000082B40000}"/>
    <cellStyle name="SAPBEXexcGood1 2 6 2" xfId="46054" xr:uid="{00000000-0005-0000-0000-000083B40000}"/>
    <cellStyle name="SAPBEXexcGood1 2 7" xfId="46055" xr:uid="{00000000-0005-0000-0000-000084B40000}"/>
    <cellStyle name="SAPBEXexcGood1 3" xfId="46056" xr:uid="{00000000-0005-0000-0000-000085B40000}"/>
    <cellStyle name="SAPBEXexcGood1 3 2" xfId="46057" xr:uid="{00000000-0005-0000-0000-000086B40000}"/>
    <cellStyle name="SAPBEXexcGood1 3 2 2" xfId="46058" xr:uid="{00000000-0005-0000-0000-000087B40000}"/>
    <cellStyle name="SAPBEXexcGood1 3 3" xfId="46059" xr:uid="{00000000-0005-0000-0000-000088B40000}"/>
    <cellStyle name="SAPBEXexcGood1 3 3 2" xfId="46060" xr:uid="{00000000-0005-0000-0000-000089B40000}"/>
    <cellStyle name="SAPBEXexcGood1 3 3 2 2" xfId="46061" xr:uid="{00000000-0005-0000-0000-00008AB40000}"/>
    <cellStyle name="SAPBEXexcGood1 3 3 3" xfId="46062" xr:uid="{00000000-0005-0000-0000-00008BB40000}"/>
    <cellStyle name="SAPBEXexcGood1 3 4" xfId="46063" xr:uid="{00000000-0005-0000-0000-00008CB40000}"/>
    <cellStyle name="SAPBEXexcGood1 3 4 2" xfId="46064" xr:uid="{00000000-0005-0000-0000-00008DB40000}"/>
    <cellStyle name="SAPBEXexcGood1 3 4 2 2" xfId="46065" xr:uid="{00000000-0005-0000-0000-00008EB40000}"/>
    <cellStyle name="SAPBEXexcGood1 3 4 3" xfId="46066" xr:uid="{00000000-0005-0000-0000-00008FB40000}"/>
    <cellStyle name="SAPBEXexcGood1 3 5" xfId="46067" xr:uid="{00000000-0005-0000-0000-000090B40000}"/>
    <cellStyle name="SAPBEXexcGood1 4" xfId="46068" xr:uid="{00000000-0005-0000-0000-000091B40000}"/>
    <cellStyle name="SAPBEXexcGood1 4 2" xfId="46069" xr:uid="{00000000-0005-0000-0000-000092B40000}"/>
    <cellStyle name="SAPBEXexcGood1 4 2 2" xfId="46070" xr:uid="{00000000-0005-0000-0000-000093B40000}"/>
    <cellStyle name="SAPBEXexcGood1 4 2 2 2" xfId="46071" xr:uid="{00000000-0005-0000-0000-000094B40000}"/>
    <cellStyle name="SAPBEXexcGood1 4 2 3" xfId="46072" xr:uid="{00000000-0005-0000-0000-000095B40000}"/>
    <cellStyle name="SAPBEXexcGood1 4 2 3 2" xfId="46073" xr:uid="{00000000-0005-0000-0000-000096B40000}"/>
    <cellStyle name="SAPBEXexcGood1 4 2 3 2 2" xfId="46074" xr:uid="{00000000-0005-0000-0000-000097B40000}"/>
    <cellStyle name="SAPBEXexcGood1 4 2 3 3" xfId="46075" xr:uid="{00000000-0005-0000-0000-000098B40000}"/>
    <cellStyle name="SAPBEXexcGood1 4 2 4" xfId="46076" xr:uid="{00000000-0005-0000-0000-000099B40000}"/>
    <cellStyle name="SAPBEXexcGood1 4 3" xfId="46077" xr:uid="{00000000-0005-0000-0000-00009AB40000}"/>
    <cellStyle name="SAPBEXexcGood1 4 3 2" xfId="46078" xr:uid="{00000000-0005-0000-0000-00009BB40000}"/>
    <cellStyle name="SAPBEXexcGood1 4 3 2 2" xfId="46079" xr:uid="{00000000-0005-0000-0000-00009CB40000}"/>
    <cellStyle name="SAPBEXexcGood1 4 3 3" xfId="46080" xr:uid="{00000000-0005-0000-0000-00009DB40000}"/>
    <cellStyle name="SAPBEXexcGood1 4 4" xfId="46081" xr:uid="{00000000-0005-0000-0000-00009EB40000}"/>
    <cellStyle name="SAPBEXexcGood1 4 4 2" xfId="46082" xr:uid="{00000000-0005-0000-0000-00009FB40000}"/>
    <cellStyle name="SAPBEXexcGood1 4 4 2 2" xfId="46083" xr:uid="{00000000-0005-0000-0000-0000A0B40000}"/>
    <cellStyle name="SAPBEXexcGood1 4 4 3" xfId="46084" xr:uid="{00000000-0005-0000-0000-0000A1B40000}"/>
    <cellStyle name="SAPBEXexcGood1 4 5" xfId="46085" xr:uid="{00000000-0005-0000-0000-0000A2B40000}"/>
    <cellStyle name="SAPBEXexcGood1 4 5 2" xfId="46086" xr:uid="{00000000-0005-0000-0000-0000A3B40000}"/>
    <cellStyle name="SAPBEXexcGood1 4 5 2 2" xfId="46087" xr:uid="{00000000-0005-0000-0000-0000A4B40000}"/>
    <cellStyle name="SAPBEXexcGood1 4 5 3" xfId="46088" xr:uid="{00000000-0005-0000-0000-0000A5B40000}"/>
    <cellStyle name="SAPBEXexcGood1 4 6" xfId="46089" xr:uid="{00000000-0005-0000-0000-0000A6B40000}"/>
    <cellStyle name="SAPBEXexcGood1 5" xfId="46090" xr:uid="{00000000-0005-0000-0000-0000A7B40000}"/>
    <cellStyle name="SAPBEXexcGood1 5 2" xfId="46091" xr:uid="{00000000-0005-0000-0000-0000A8B40000}"/>
    <cellStyle name="SAPBEXexcGood1 5 2 2" xfId="46092" xr:uid="{00000000-0005-0000-0000-0000A9B40000}"/>
    <cellStyle name="SAPBEXexcGood1 5 3" xfId="46093" xr:uid="{00000000-0005-0000-0000-0000AAB40000}"/>
    <cellStyle name="SAPBEXexcGood1 6" xfId="46094" xr:uid="{00000000-0005-0000-0000-0000ABB40000}"/>
    <cellStyle name="SAPBEXexcGood1 6 2" xfId="46095" xr:uid="{00000000-0005-0000-0000-0000ACB40000}"/>
    <cellStyle name="SAPBEXexcGood1 6 2 2" xfId="46096" xr:uid="{00000000-0005-0000-0000-0000ADB40000}"/>
    <cellStyle name="SAPBEXexcGood1 6 3" xfId="46097" xr:uid="{00000000-0005-0000-0000-0000AEB40000}"/>
    <cellStyle name="SAPBEXexcGood1 7" xfId="46098" xr:uid="{00000000-0005-0000-0000-0000AFB40000}"/>
    <cellStyle name="SAPBEXexcGood1 7 2" xfId="46099" xr:uid="{00000000-0005-0000-0000-0000B0B40000}"/>
    <cellStyle name="SAPBEXexcGood1 7 2 2" xfId="46100" xr:uid="{00000000-0005-0000-0000-0000B1B40000}"/>
    <cellStyle name="SAPBEXexcGood1 7 3" xfId="46101" xr:uid="{00000000-0005-0000-0000-0000B2B40000}"/>
    <cellStyle name="SAPBEXexcGood1 8" xfId="46102" xr:uid="{00000000-0005-0000-0000-0000B3B40000}"/>
    <cellStyle name="SAPBEXexcGood1 8 2" xfId="46103" xr:uid="{00000000-0005-0000-0000-0000B4B40000}"/>
    <cellStyle name="SAPBEXexcGood1 9" xfId="46104" xr:uid="{00000000-0005-0000-0000-0000B5B40000}"/>
    <cellStyle name="SAPBEXexcGood1 9 2" xfId="46105" xr:uid="{00000000-0005-0000-0000-0000B6B40000}"/>
    <cellStyle name="SAPBEXexcGood2" xfId="52" xr:uid="{00000000-0005-0000-0000-0000B7B40000}"/>
    <cellStyle name="SAPBEXexcGood2 10" xfId="46106" xr:uid="{00000000-0005-0000-0000-0000B8B40000}"/>
    <cellStyle name="SAPBEXexcGood2 10 2" xfId="46107" xr:uid="{00000000-0005-0000-0000-0000B9B40000}"/>
    <cellStyle name="SAPBEXexcGood2 11" xfId="46108" xr:uid="{00000000-0005-0000-0000-0000BAB40000}"/>
    <cellStyle name="SAPBEXexcGood2 11 2" xfId="46109" xr:uid="{00000000-0005-0000-0000-0000BBB40000}"/>
    <cellStyle name="SAPBEXexcGood2 12" xfId="46110" xr:uid="{00000000-0005-0000-0000-0000BCB40000}"/>
    <cellStyle name="SAPBEXexcGood2 12 2" xfId="46111" xr:uid="{00000000-0005-0000-0000-0000BDB40000}"/>
    <cellStyle name="SAPBEXexcGood2 13" xfId="46112" xr:uid="{00000000-0005-0000-0000-0000BEB40000}"/>
    <cellStyle name="SAPBEXexcGood2 14" xfId="46113" xr:uid="{00000000-0005-0000-0000-0000BFB40000}"/>
    <cellStyle name="SAPBEXexcGood2 2" xfId="46114" xr:uid="{00000000-0005-0000-0000-0000C0B40000}"/>
    <cellStyle name="SAPBEXexcGood2 2 2" xfId="46115" xr:uid="{00000000-0005-0000-0000-0000C1B40000}"/>
    <cellStyle name="SAPBEXexcGood2 2 2 2" xfId="46116" xr:uid="{00000000-0005-0000-0000-0000C2B40000}"/>
    <cellStyle name="SAPBEXexcGood2 2 2 2 2" xfId="46117" xr:uid="{00000000-0005-0000-0000-0000C3B40000}"/>
    <cellStyle name="SAPBEXexcGood2 2 2 2 2 2" xfId="46118" xr:uid="{00000000-0005-0000-0000-0000C4B40000}"/>
    <cellStyle name="SAPBEXexcGood2 2 2 2 2 2 2" xfId="46119" xr:uid="{00000000-0005-0000-0000-0000C5B40000}"/>
    <cellStyle name="SAPBEXexcGood2 2 2 2 2 3" xfId="46120" xr:uid="{00000000-0005-0000-0000-0000C6B40000}"/>
    <cellStyle name="SAPBEXexcGood2 2 2 2 3" xfId="46121" xr:uid="{00000000-0005-0000-0000-0000C7B40000}"/>
    <cellStyle name="SAPBEXexcGood2 2 2 2 3 2" xfId="46122" xr:uid="{00000000-0005-0000-0000-0000C8B40000}"/>
    <cellStyle name="SAPBEXexcGood2 2 2 2 4" xfId="46123" xr:uid="{00000000-0005-0000-0000-0000C9B40000}"/>
    <cellStyle name="SAPBEXexcGood2 2 2 3" xfId="46124" xr:uid="{00000000-0005-0000-0000-0000CAB40000}"/>
    <cellStyle name="SAPBEXexcGood2 2 2 3 2" xfId="46125" xr:uid="{00000000-0005-0000-0000-0000CBB40000}"/>
    <cellStyle name="SAPBEXexcGood2 2 2 3 2 2" xfId="46126" xr:uid="{00000000-0005-0000-0000-0000CCB40000}"/>
    <cellStyle name="SAPBEXexcGood2 2 2 3 3" xfId="46127" xr:uid="{00000000-0005-0000-0000-0000CDB40000}"/>
    <cellStyle name="SAPBEXexcGood2 2 2 4" xfId="46128" xr:uid="{00000000-0005-0000-0000-0000CEB40000}"/>
    <cellStyle name="SAPBEXexcGood2 2 2 4 2" xfId="46129" xr:uid="{00000000-0005-0000-0000-0000CFB40000}"/>
    <cellStyle name="SAPBEXexcGood2 2 2 4 2 2" xfId="46130" xr:uid="{00000000-0005-0000-0000-0000D0B40000}"/>
    <cellStyle name="SAPBEXexcGood2 2 2 4 3" xfId="46131" xr:uid="{00000000-0005-0000-0000-0000D1B40000}"/>
    <cellStyle name="SAPBEXexcGood2 2 2 5" xfId="46132" xr:uid="{00000000-0005-0000-0000-0000D2B40000}"/>
    <cellStyle name="SAPBEXexcGood2 2 2 5 2" xfId="46133" xr:uid="{00000000-0005-0000-0000-0000D3B40000}"/>
    <cellStyle name="SAPBEXexcGood2 2 2 6" xfId="46134" xr:uid="{00000000-0005-0000-0000-0000D4B40000}"/>
    <cellStyle name="SAPBEXexcGood2 2 3" xfId="46135" xr:uid="{00000000-0005-0000-0000-0000D5B40000}"/>
    <cellStyle name="SAPBEXexcGood2 2 3 2" xfId="46136" xr:uid="{00000000-0005-0000-0000-0000D6B40000}"/>
    <cellStyle name="SAPBEXexcGood2 2 3 2 2" xfId="46137" xr:uid="{00000000-0005-0000-0000-0000D7B40000}"/>
    <cellStyle name="SAPBEXexcGood2 2 3 3" xfId="46138" xr:uid="{00000000-0005-0000-0000-0000D8B40000}"/>
    <cellStyle name="SAPBEXexcGood2 2 4" xfId="46139" xr:uid="{00000000-0005-0000-0000-0000D9B40000}"/>
    <cellStyle name="SAPBEXexcGood2 2 4 2" xfId="46140" xr:uid="{00000000-0005-0000-0000-0000DAB40000}"/>
    <cellStyle name="SAPBEXexcGood2 2 4 2 2" xfId="46141" xr:uid="{00000000-0005-0000-0000-0000DBB40000}"/>
    <cellStyle name="SAPBEXexcGood2 2 4 3" xfId="46142" xr:uid="{00000000-0005-0000-0000-0000DCB40000}"/>
    <cellStyle name="SAPBEXexcGood2 2 5" xfId="46143" xr:uid="{00000000-0005-0000-0000-0000DDB40000}"/>
    <cellStyle name="SAPBEXexcGood2 2 5 2" xfId="46144" xr:uid="{00000000-0005-0000-0000-0000DEB40000}"/>
    <cellStyle name="SAPBEXexcGood2 2 5 2 2" xfId="46145" xr:uid="{00000000-0005-0000-0000-0000DFB40000}"/>
    <cellStyle name="SAPBEXexcGood2 2 5 3" xfId="46146" xr:uid="{00000000-0005-0000-0000-0000E0B40000}"/>
    <cellStyle name="SAPBEXexcGood2 2 6" xfId="46147" xr:uid="{00000000-0005-0000-0000-0000E1B40000}"/>
    <cellStyle name="SAPBEXexcGood2 2 6 2" xfId="46148" xr:uid="{00000000-0005-0000-0000-0000E2B40000}"/>
    <cellStyle name="SAPBEXexcGood2 2 7" xfId="46149" xr:uid="{00000000-0005-0000-0000-0000E3B40000}"/>
    <cellStyle name="SAPBEXexcGood2 3" xfId="46150" xr:uid="{00000000-0005-0000-0000-0000E4B40000}"/>
    <cellStyle name="SAPBEXexcGood2 3 2" xfId="46151" xr:uid="{00000000-0005-0000-0000-0000E5B40000}"/>
    <cellStyle name="SAPBEXexcGood2 3 2 2" xfId="46152" xr:uid="{00000000-0005-0000-0000-0000E6B40000}"/>
    <cellStyle name="SAPBEXexcGood2 3 3" xfId="46153" xr:uid="{00000000-0005-0000-0000-0000E7B40000}"/>
    <cellStyle name="SAPBEXexcGood2 3 3 2" xfId="46154" xr:uid="{00000000-0005-0000-0000-0000E8B40000}"/>
    <cellStyle name="SAPBEXexcGood2 3 3 2 2" xfId="46155" xr:uid="{00000000-0005-0000-0000-0000E9B40000}"/>
    <cellStyle name="SAPBEXexcGood2 3 3 3" xfId="46156" xr:uid="{00000000-0005-0000-0000-0000EAB40000}"/>
    <cellStyle name="SAPBEXexcGood2 3 4" xfId="46157" xr:uid="{00000000-0005-0000-0000-0000EBB40000}"/>
    <cellStyle name="SAPBEXexcGood2 3 4 2" xfId="46158" xr:uid="{00000000-0005-0000-0000-0000ECB40000}"/>
    <cellStyle name="SAPBEXexcGood2 3 4 2 2" xfId="46159" xr:uid="{00000000-0005-0000-0000-0000EDB40000}"/>
    <cellStyle name="SAPBEXexcGood2 3 4 3" xfId="46160" xr:uid="{00000000-0005-0000-0000-0000EEB40000}"/>
    <cellStyle name="SAPBEXexcGood2 3 5" xfId="46161" xr:uid="{00000000-0005-0000-0000-0000EFB40000}"/>
    <cellStyle name="SAPBEXexcGood2 4" xfId="46162" xr:uid="{00000000-0005-0000-0000-0000F0B40000}"/>
    <cellStyle name="SAPBEXexcGood2 4 2" xfId="46163" xr:uid="{00000000-0005-0000-0000-0000F1B40000}"/>
    <cellStyle name="SAPBEXexcGood2 4 2 2" xfId="46164" xr:uid="{00000000-0005-0000-0000-0000F2B40000}"/>
    <cellStyle name="SAPBEXexcGood2 4 2 2 2" xfId="46165" xr:uid="{00000000-0005-0000-0000-0000F3B40000}"/>
    <cellStyle name="SAPBEXexcGood2 4 2 3" xfId="46166" xr:uid="{00000000-0005-0000-0000-0000F4B40000}"/>
    <cellStyle name="SAPBEXexcGood2 4 2 3 2" xfId="46167" xr:uid="{00000000-0005-0000-0000-0000F5B40000}"/>
    <cellStyle name="SAPBEXexcGood2 4 2 3 2 2" xfId="46168" xr:uid="{00000000-0005-0000-0000-0000F6B40000}"/>
    <cellStyle name="SAPBEXexcGood2 4 2 3 3" xfId="46169" xr:uid="{00000000-0005-0000-0000-0000F7B40000}"/>
    <cellStyle name="SAPBEXexcGood2 4 2 4" xfId="46170" xr:uid="{00000000-0005-0000-0000-0000F8B40000}"/>
    <cellStyle name="SAPBEXexcGood2 4 3" xfId="46171" xr:uid="{00000000-0005-0000-0000-0000F9B40000}"/>
    <cellStyle name="SAPBEXexcGood2 4 3 2" xfId="46172" xr:uid="{00000000-0005-0000-0000-0000FAB40000}"/>
    <cellStyle name="SAPBEXexcGood2 4 3 2 2" xfId="46173" xr:uid="{00000000-0005-0000-0000-0000FBB40000}"/>
    <cellStyle name="SAPBEXexcGood2 4 3 3" xfId="46174" xr:uid="{00000000-0005-0000-0000-0000FCB40000}"/>
    <cellStyle name="SAPBEXexcGood2 4 4" xfId="46175" xr:uid="{00000000-0005-0000-0000-0000FDB40000}"/>
    <cellStyle name="SAPBEXexcGood2 4 4 2" xfId="46176" xr:uid="{00000000-0005-0000-0000-0000FEB40000}"/>
    <cellStyle name="SAPBEXexcGood2 4 4 2 2" xfId="46177" xr:uid="{00000000-0005-0000-0000-0000FFB40000}"/>
    <cellStyle name="SAPBEXexcGood2 4 4 3" xfId="46178" xr:uid="{00000000-0005-0000-0000-000000B50000}"/>
    <cellStyle name="SAPBEXexcGood2 4 5" xfId="46179" xr:uid="{00000000-0005-0000-0000-000001B50000}"/>
    <cellStyle name="SAPBEXexcGood2 4 5 2" xfId="46180" xr:uid="{00000000-0005-0000-0000-000002B50000}"/>
    <cellStyle name="SAPBEXexcGood2 4 5 2 2" xfId="46181" xr:uid="{00000000-0005-0000-0000-000003B50000}"/>
    <cellStyle name="SAPBEXexcGood2 4 5 3" xfId="46182" xr:uid="{00000000-0005-0000-0000-000004B50000}"/>
    <cellStyle name="SAPBEXexcGood2 4 6" xfId="46183" xr:uid="{00000000-0005-0000-0000-000005B50000}"/>
    <cellStyle name="SAPBEXexcGood2 5" xfId="46184" xr:uid="{00000000-0005-0000-0000-000006B50000}"/>
    <cellStyle name="SAPBEXexcGood2 5 2" xfId="46185" xr:uid="{00000000-0005-0000-0000-000007B50000}"/>
    <cellStyle name="SAPBEXexcGood2 5 2 2" xfId="46186" xr:uid="{00000000-0005-0000-0000-000008B50000}"/>
    <cellStyle name="SAPBEXexcGood2 5 3" xfId="46187" xr:uid="{00000000-0005-0000-0000-000009B50000}"/>
    <cellStyle name="SAPBEXexcGood2 6" xfId="46188" xr:uid="{00000000-0005-0000-0000-00000AB50000}"/>
    <cellStyle name="SAPBEXexcGood2 6 2" xfId="46189" xr:uid="{00000000-0005-0000-0000-00000BB50000}"/>
    <cellStyle name="SAPBEXexcGood2 6 2 2" xfId="46190" xr:uid="{00000000-0005-0000-0000-00000CB50000}"/>
    <cellStyle name="SAPBEXexcGood2 6 3" xfId="46191" xr:uid="{00000000-0005-0000-0000-00000DB50000}"/>
    <cellStyle name="SAPBEXexcGood2 7" xfId="46192" xr:uid="{00000000-0005-0000-0000-00000EB50000}"/>
    <cellStyle name="SAPBEXexcGood2 7 2" xfId="46193" xr:uid="{00000000-0005-0000-0000-00000FB50000}"/>
    <cellStyle name="SAPBEXexcGood2 7 2 2" xfId="46194" xr:uid="{00000000-0005-0000-0000-000010B50000}"/>
    <cellStyle name="SAPBEXexcGood2 7 3" xfId="46195" xr:uid="{00000000-0005-0000-0000-000011B50000}"/>
    <cellStyle name="SAPBEXexcGood2 8" xfId="46196" xr:uid="{00000000-0005-0000-0000-000012B50000}"/>
    <cellStyle name="SAPBEXexcGood2 8 2" xfId="46197" xr:uid="{00000000-0005-0000-0000-000013B50000}"/>
    <cellStyle name="SAPBEXexcGood2 9" xfId="46198" xr:uid="{00000000-0005-0000-0000-000014B50000}"/>
    <cellStyle name="SAPBEXexcGood2 9 2" xfId="46199" xr:uid="{00000000-0005-0000-0000-000015B50000}"/>
    <cellStyle name="SAPBEXexcGood3" xfId="53" xr:uid="{00000000-0005-0000-0000-000016B50000}"/>
    <cellStyle name="SAPBEXexcGood3 10" xfId="46200" xr:uid="{00000000-0005-0000-0000-000017B50000}"/>
    <cellStyle name="SAPBEXexcGood3 10 2" xfId="46201" xr:uid="{00000000-0005-0000-0000-000018B50000}"/>
    <cellStyle name="SAPBEXexcGood3 11" xfId="46202" xr:uid="{00000000-0005-0000-0000-000019B50000}"/>
    <cellStyle name="SAPBEXexcGood3 11 2" xfId="46203" xr:uid="{00000000-0005-0000-0000-00001AB50000}"/>
    <cellStyle name="SAPBEXexcGood3 12" xfId="46204" xr:uid="{00000000-0005-0000-0000-00001BB50000}"/>
    <cellStyle name="SAPBEXexcGood3 12 2" xfId="46205" xr:uid="{00000000-0005-0000-0000-00001CB50000}"/>
    <cellStyle name="SAPBEXexcGood3 13" xfId="46206" xr:uid="{00000000-0005-0000-0000-00001DB50000}"/>
    <cellStyle name="SAPBEXexcGood3 14" xfId="46207" xr:uid="{00000000-0005-0000-0000-00001EB50000}"/>
    <cellStyle name="SAPBEXexcGood3 2" xfId="46208" xr:uid="{00000000-0005-0000-0000-00001FB50000}"/>
    <cellStyle name="SAPBEXexcGood3 2 2" xfId="46209" xr:uid="{00000000-0005-0000-0000-000020B50000}"/>
    <cellStyle name="SAPBEXexcGood3 2 2 2" xfId="46210" xr:uid="{00000000-0005-0000-0000-000021B50000}"/>
    <cellStyle name="SAPBEXexcGood3 2 2 2 2" xfId="46211" xr:uid="{00000000-0005-0000-0000-000022B50000}"/>
    <cellStyle name="SAPBEXexcGood3 2 2 2 2 2" xfId="46212" xr:uid="{00000000-0005-0000-0000-000023B50000}"/>
    <cellStyle name="SAPBEXexcGood3 2 2 2 2 2 2" xfId="46213" xr:uid="{00000000-0005-0000-0000-000024B50000}"/>
    <cellStyle name="SAPBEXexcGood3 2 2 2 2 3" xfId="46214" xr:uid="{00000000-0005-0000-0000-000025B50000}"/>
    <cellStyle name="SAPBEXexcGood3 2 2 2 3" xfId="46215" xr:uid="{00000000-0005-0000-0000-000026B50000}"/>
    <cellStyle name="SAPBEXexcGood3 2 2 2 3 2" xfId="46216" xr:uid="{00000000-0005-0000-0000-000027B50000}"/>
    <cellStyle name="SAPBEXexcGood3 2 2 2 4" xfId="46217" xr:uid="{00000000-0005-0000-0000-000028B50000}"/>
    <cellStyle name="SAPBEXexcGood3 2 2 3" xfId="46218" xr:uid="{00000000-0005-0000-0000-000029B50000}"/>
    <cellStyle name="SAPBEXexcGood3 2 2 3 2" xfId="46219" xr:uid="{00000000-0005-0000-0000-00002AB50000}"/>
    <cellStyle name="SAPBEXexcGood3 2 2 3 2 2" xfId="46220" xr:uid="{00000000-0005-0000-0000-00002BB50000}"/>
    <cellStyle name="SAPBEXexcGood3 2 2 3 3" xfId="46221" xr:uid="{00000000-0005-0000-0000-00002CB50000}"/>
    <cellStyle name="SAPBEXexcGood3 2 2 4" xfId="46222" xr:uid="{00000000-0005-0000-0000-00002DB50000}"/>
    <cellStyle name="SAPBEXexcGood3 2 2 4 2" xfId="46223" xr:uid="{00000000-0005-0000-0000-00002EB50000}"/>
    <cellStyle name="SAPBEXexcGood3 2 2 4 2 2" xfId="46224" xr:uid="{00000000-0005-0000-0000-00002FB50000}"/>
    <cellStyle name="SAPBEXexcGood3 2 2 4 3" xfId="46225" xr:uid="{00000000-0005-0000-0000-000030B50000}"/>
    <cellStyle name="SAPBEXexcGood3 2 2 5" xfId="46226" xr:uid="{00000000-0005-0000-0000-000031B50000}"/>
    <cellStyle name="SAPBEXexcGood3 2 2 5 2" xfId="46227" xr:uid="{00000000-0005-0000-0000-000032B50000}"/>
    <cellStyle name="SAPBEXexcGood3 2 2 6" xfId="46228" xr:uid="{00000000-0005-0000-0000-000033B50000}"/>
    <cellStyle name="SAPBEXexcGood3 2 3" xfId="46229" xr:uid="{00000000-0005-0000-0000-000034B50000}"/>
    <cellStyle name="SAPBEXexcGood3 2 3 2" xfId="46230" xr:uid="{00000000-0005-0000-0000-000035B50000}"/>
    <cellStyle name="SAPBEXexcGood3 2 3 2 2" xfId="46231" xr:uid="{00000000-0005-0000-0000-000036B50000}"/>
    <cellStyle name="SAPBEXexcGood3 2 3 3" xfId="46232" xr:uid="{00000000-0005-0000-0000-000037B50000}"/>
    <cellStyle name="SAPBEXexcGood3 2 4" xfId="46233" xr:uid="{00000000-0005-0000-0000-000038B50000}"/>
    <cellStyle name="SAPBEXexcGood3 2 4 2" xfId="46234" xr:uid="{00000000-0005-0000-0000-000039B50000}"/>
    <cellStyle name="SAPBEXexcGood3 2 4 2 2" xfId="46235" xr:uid="{00000000-0005-0000-0000-00003AB50000}"/>
    <cellStyle name="SAPBEXexcGood3 2 4 3" xfId="46236" xr:uid="{00000000-0005-0000-0000-00003BB50000}"/>
    <cellStyle name="SAPBEXexcGood3 2 5" xfId="46237" xr:uid="{00000000-0005-0000-0000-00003CB50000}"/>
    <cellStyle name="SAPBEXexcGood3 2 5 2" xfId="46238" xr:uid="{00000000-0005-0000-0000-00003DB50000}"/>
    <cellStyle name="SAPBEXexcGood3 2 5 2 2" xfId="46239" xr:uid="{00000000-0005-0000-0000-00003EB50000}"/>
    <cellStyle name="SAPBEXexcGood3 2 5 3" xfId="46240" xr:uid="{00000000-0005-0000-0000-00003FB50000}"/>
    <cellStyle name="SAPBEXexcGood3 2 6" xfId="46241" xr:uid="{00000000-0005-0000-0000-000040B50000}"/>
    <cellStyle name="SAPBEXexcGood3 2 6 2" xfId="46242" xr:uid="{00000000-0005-0000-0000-000041B50000}"/>
    <cellStyle name="SAPBEXexcGood3 2 7" xfId="46243" xr:uid="{00000000-0005-0000-0000-000042B50000}"/>
    <cellStyle name="SAPBEXexcGood3 3" xfId="46244" xr:uid="{00000000-0005-0000-0000-000043B50000}"/>
    <cellStyle name="SAPBEXexcGood3 3 2" xfId="46245" xr:uid="{00000000-0005-0000-0000-000044B50000}"/>
    <cellStyle name="SAPBEXexcGood3 3 2 2" xfId="46246" xr:uid="{00000000-0005-0000-0000-000045B50000}"/>
    <cellStyle name="SAPBEXexcGood3 3 3" xfId="46247" xr:uid="{00000000-0005-0000-0000-000046B50000}"/>
    <cellStyle name="SAPBEXexcGood3 3 3 2" xfId="46248" xr:uid="{00000000-0005-0000-0000-000047B50000}"/>
    <cellStyle name="SAPBEXexcGood3 3 3 2 2" xfId="46249" xr:uid="{00000000-0005-0000-0000-000048B50000}"/>
    <cellStyle name="SAPBEXexcGood3 3 3 3" xfId="46250" xr:uid="{00000000-0005-0000-0000-000049B50000}"/>
    <cellStyle name="SAPBEXexcGood3 3 4" xfId="46251" xr:uid="{00000000-0005-0000-0000-00004AB50000}"/>
    <cellStyle name="SAPBEXexcGood3 3 4 2" xfId="46252" xr:uid="{00000000-0005-0000-0000-00004BB50000}"/>
    <cellStyle name="SAPBEXexcGood3 3 4 2 2" xfId="46253" xr:uid="{00000000-0005-0000-0000-00004CB50000}"/>
    <cellStyle name="SAPBEXexcGood3 3 4 3" xfId="46254" xr:uid="{00000000-0005-0000-0000-00004DB50000}"/>
    <cellStyle name="SAPBEXexcGood3 3 5" xfId="46255" xr:uid="{00000000-0005-0000-0000-00004EB50000}"/>
    <cellStyle name="SAPBEXexcGood3 4" xfId="46256" xr:uid="{00000000-0005-0000-0000-00004FB50000}"/>
    <cellStyle name="SAPBEXexcGood3 4 2" xfId="46257" xr:uid="{00000000-0005-0000-0000-000050B50000}"/>
    <cellStyle name="SAPBEXexcGood3 4 2 2" xfId="46258" xr:uid="{00000000-0005-0000-0000-000051B50000}"/>
    <cellStyle name="SAPBEXexcGood3 4 2 2 2" xfId="46259" xr:uid="{00000000-0005-0000-0000-000052B50000}"/>
    <cellStyle name="SAPBEXexcGood3 4 2 3" xfId="46260" xr:uid="{00000000-0005-0000-0000-000053B50000}"/>
    <cellStyle name="SAPBEXexcGood3 4 2 3 2" xfId="46261" xr:uid="{00000000-0005-0000-0000-000054B50000}"/>
    <cellStyle name="SAPBEXexcGood3 4 2 3 2 2" xfId="46262" xr:uid="{00000000-0005-0000-0000-000055B50000}"/>
    <cellStyle name="SAPBEXexcGood3 4 2 3 3" xfId="46263" xr:uid="{00000000-0005-0000-0000-000056B50000}"/>
    <cellStyle name="SAPBEXexcGood3 4 2 4" xfId="46264" xr:uid="{00000000-0005-0000-0000-000057B50000}"/>
    <cellStyle name="SAPBEXexcGood3 4 3" xfId="46265" xr:uid="{00000000-0005-0000-0000-000058B50000}"/>
    <cellStyle name="SAPBEXexcGood3 4 3 2" xfId="46266" xr:uid="{00000000-0005-0000-0000-000059B50000}"/>
    <cellStyle name="SAPBEXexcGood3 4 3 2 2" xfId="46267" xr:uid="{00000000-0005-0000-0000-00005AB50000}"/>
    <cellStyle name="SAPBEXexcGood3 4 3 3" xfId="46268" xr:uid="{00000000-0005-0000-0000-00005BB50000}"/>
    <cellStyle name="SAPBEXexcGood3 4 4" xfId="46269" xr:uid="{00000000-0005-0000-0000-00005CB50000}"/>
    <cellStyle name="SAPBEXexcGood3 4 4 2" xfId="46270" xr:uid="{00000000-0005-0000-0000-00005DB50000}"/>
    <cellStyle name="SAPBEXexcGood3 4 4 2 2" xfId="46271" xr:uid="{00000000-0005-0000-0000-00005EB50000}"/>
    <cellStyle name="SAPBEXexcGood3 4 4 3" xfId="46272" xr:uid="{00000000-0005-0000-0000-00005FB50000}"/>
    <cellStyle name="SAPBEXexcGood3 4 5" xfId="46273" xr:uid="{00000000-0005-0000-0000-000060B50000}"/>
    <cellStyle name="SAPBEXexcGood3 4 5 2" xfId="46274" xr:uid="{00000000-0005-0000-0000-000061B50000}"/>
    <cellStyle name="SAPBEXexcGood3 4 5 2 2" xfId="46275" xr:uid="{00000000-0005-0000-0000-000062B50000}"/>
    <cellStyle name="SAPBEXexcGood3 4 5 3" xfId="46276" xr:uid="{00000000-0005-0000-0000-000063B50000}"/>
    <cellStyle name="SAPBEXexcGood3 4 6" xfId="46277" xr:uid="{00000000-0005-0000-0000-000064B50000}"/>
    <cellStyle name="SAPBEXexcGood3 5" xfId="46278" xr:uid="{00000000-0005-0000-0000-000065B50000}"/>
    <cellStyle name="SAPBEXexcGood3 5 2" xfId="46279" xr:uid="{00000000-0005-0000-0000-000066B50000}"/>
    <cellStyle name="SAPBEXexcGood3 5 2 2" xfId="46280" xr:uid="{00000000-0005-0000-0000-000067B50000}"/>
    <cellStyle name="SAPBEXexcGood3 5 3" xfId="46281" xr:uid="{00000000-0005-0000-0000-000068B50000}"/>
    <cellStyle name="SAPBEXexcGood3 6" xfId="46282" xr:uid="{00000000-0005-0000-0000-000069B50000}"/>
    <cellStyle name="SAPBEXexcGood3 6 2" xfId="46283" xr:uid="{00000000-0005-0000-0000-00006AB50000}"/>
    <cellStyle name="SAPBEXexcGood3 6 2 2" xfId="46284" xr:uid="{00000000-0005-0000-0000-00006BB50000}"/>
    <cellStyle name="SAPBEXexcGood3 6 3" xfId="46285" xr:uid="{00000000-0005-0000-0000-00006CB50000}"/>
    <cellStyle name="SAPBEXexcGood3 7" xfId="46286" xr:uid="{00000000-0005-0000-0000-00006DB50000}"/>
    <cellStyle name="SAPBEXexcGood3 7 2" xfId="46287" xr:uid="{00000000-0005-0000-0000-00006EB50000}"/>
    <cellStyle name="SAPBEXexcGood3 7 2 2" xfId="46288" xr:uid="{00000000-0005-0000-0000-00006FB50000}"/>
    <cellStyle name="SAPBEXexcGood3 7 3" xfId="46289" xr:uid="{00000000-0005-0000-0000-000070B50000}"/>
    <cellStyle name="SAPBEXexcGood3 8" xfId="46290" xr:uid="{00000000-0005-0000-0000-000071B50000}"/>
    <cellStyle name="SAPBEXexcGood3 8 2" xfId="46291" xr:uid="{00000000-0005-0000-0000-000072B50000}"/>
    <cellStyle name="SAPBEXexcGood3 9" xfId="46292" xr:uid="{00000000-0005-0000-0000-000073B50000}"/>
    <cellStyle name="SAPBEXexcGood3 9 2" xfId="46293" xr:uid="{00000000-0005-0000-0000-000074B50000}"/>
    <cellStyle name="SAPBEXfilterDrill" xfId="54" xr:uid="{00000000-0005-0000-0000-000075B50000}"/>
    <cellStyle name="SAPBEXfilterDrill 10" xfId="46294" xr:uid="{00000000-0005-0000-0000-000076B50000}"/>
    <cellStyle name="SAPBEXfilterDrill 10 2" xfId="46295" xr:uid="{00000000-0005-0000-0000-000077B50000}"/>
    <cellStyle name="SAPBEXfilterDrill 11" xfId="46296" xr:uid="{00000000-0005-0000-0000-000078B50000}"/>
    <cellStyle name="SAPBEXfilterDrill 11 2" xfId="46297" xr:uid="{00000000-0005-0000-0000-000079B50000}"/>
    <cellStyle name="SAPBEXfilterDrill 12" xfId="46298" xr:uid="{00000000-0005-0000-0000-00007AB50000}"/>
    <cellStyle name="SAPBEXfilterDrill 12 2" xfId="46299" xr:uid="{00000000-0005-0000-0000-00007BB50000}"/>
    <cellStyle name="SAPBEXfilterDrill 13" xfId="46300" xr:uid="{00000000-0005-0000-0000-00007CB50000}"/>
    <cellStyle name="SAPBEXfilterDrill 2" xfId="46301" xr:uid="{00000000-0005-0000-0000-00007DB50000}"/>
    <cellStyle name="SAPBEXfilterDrill 2 2" xfId="46302" xr:uid="{00000000-0005-0000-0000-00007EB50000}"/>
    <cellStyle name="SAPBEXfilterDrill 2 2 2" xfId="46303" xr:uid="{00000000-0005-0000-0000-00007FB50000}"/>
    <cellStyle name="SAPBEXfilterDrill 2 2 2 2" xfId="46304" xr:uid="{00000000-0005-0000-0000-000080B50000}"/>
    <cellStyle name="SAPBEXfilterDrill 2 2 2 2 2" xfId="46305" xr:uid="{00000000-0005-0000-0000-000081B50000}"/>
    <cellStyle name="SAPBEXfilterDrill 2 2 2 2 2 2" xfId="46306" xr:uid="{00000000-0005-0000-0000-000082B50000}"/>
    <cellStyle name="SAPBEXfilterDrill 2 2 2 2 3" xfId="46307" xr:uid="{00000000-0005-0000-0000-000083B50000}"/>
    <cellStyle name="SAPBEXfilterDrill 2 2 2 3" xfId="46308" xr:uid="{00000000-0005-0000-0000-000084B50000}"/>
    <cellStyle name="SAPBEXfilterDrill 2 2 2 3 2" xfId="46309" xr:uid="{00000000-0005-0000-0000-000085B50000}"/>
    <cellStyle name="SAPBEXfilterDrill 2 2 2 4" xfId="46310" xr:uid="{00000000-0005-0000-0000-000086B50000}"/>
    <cellStyle name="SAPBEXfilterDrill 2 2 3" xfId="46311" xr:uid="{00000000-0005-0000-0000-000087B50000}"/>
    <cellStyle name="SAPBEXfilterDrill 2 2 3 2" xfId="46312" xr:uid="{00000000-0005-0000-0000-000088B50000}"/>
    <cellStyle name="SAPBEXfilterDrill 2 2 3 2 2" xfId="46313" xr:uid="{00000000-0005-0000-0000-000089B50000}"/>
    <cellStyle name="SAPBEXfilterDrill 2 2 3 3" xfId="46314" xr:uid="{00000000-0005-0000-0000-00008AB50000}"/>
    <cellStyle name="SAPBEXfilterDrill 2 2 4" xfId="46315" xr:uid="{00000000-0005-0000-0000-00008BB50000}"/>
    <cellStyle name="SAPBEXfilterDrill 2 2 4 2" xfId="46316" xr:uid="{00000000-0005-0000-0000-00008CB50000}"/>
    <cellStyle name="SAPBEXfilterDrill 2 2 4 2 2" xfId="46317" xr:uid="{00000000-0005-0000-0000-00008DB50000}"/>
    <cellStyle name="SAPBEXfilterDrill 2 2 4 3" xfId="46318" xr:uid="{00000000-0005-0000-0000-00008EB50000}"/>
    <cellStyle name="SAPBEXfilterDrill 2 2 5" xfId="46319" xr:uid="{00000000-0005-0000-0000-00008FB50000}"/>
    <cellStyle name="SAPBEXfilterDrill 2 2 5 2" xfId="46320" xr:uid="{00000000-0005-0000-0000-000090B50000}"/>
    <cellStyle name="SAPBEXfilterDrill 2 2 6" xfId="46321" xr:uid="{00000000-0005-0000-0000-000091B50000}"/>
    <cellStyle name="SAPBEXfilterDrill 2 3" xfId="46322" xr:uid="{00000000-0005-0000-0000-000092B50000}"/>
    <cellStyle name="SAPBEXfilterDrill 2 4" xfId="46323" xr:uid="{00000000-0005-0000-0000-000093B50000}"/>
    <cellStyle name="SAPBEXfilterDrill 2 4 2" xfId="46324" xr:uid="{00000000-0005-0000-0000-000094B50000}"/>
    <cellStyle name="SAPBEXfilterDrill 2 4 2 2" xfId="46325" xr:uid="{00000000-0005-0000-0000-000095B50000}"/>
    <cellStyle name="SAPBEXfilterDrill 2 4 3" xfId="46326" xr:uid="{00000000-0005-0000-0000-000096B50000}"/>
    <cellStyle name="SAPBEXfilterDrill 2 5" xfId="46327" xr:uid="{00000000-0005-0000-0000-000097B50000}"/>
    <cellStyle name="SAPBEXfilterDrill 2 5 2" xfId="46328" xr:uid="{00000000-0005-0000-0000-000098B50000}"/>
    <cellStyle name="SAPBEXfilterDrill 2 5 2 2" xfId="46329" xr:uid="{00000000-0005-0000-0000-000099B50000}"/>
    <cellStyle name="SAPBEXfilterDrill 2 5 3" xfId="46330" xr:uid="{00000000-0005-0000-0000-00009AB50000}"/>
    <cellStyle name="SAPBEXfilterDrill 3" xfId="46331" xr:uid="{00000000-0005-0000-0000-00009BB50000}"/>
    <cellStyle name="SAPBEXfilterDrill 3 2" xfId="46332" xr:uid="{00000000-0005-0000-0000-00009CB50000}"/>
    <cellStyle name="SAPBEXfilterDrill 3 2 2" xfId="46333" xr:uid="{00000000-0005-0000-0000-00009DB50000}"/>
    <cellStyle name="SAPBEXfilterDrill 3 3" xfId="46334" xr:uid="{00000000-0005-0000-0000-00009EB50000}"/>
    <cellStyle name="SAPBEXfilterDrill 3 3 2" xfId="46335" xr:uid="{00000000-0005-0000-0000-00009FB50000}"/>
    <cellStyle name="SAPBEXfilterDrill 3 3 2 2" xfId="46336" xr:uid="{00000000-0005-0000-0000-0000A0B50000}"/>
    <cellStyle name="SAPBEXfilterDrill 3 3 3" xfId="46337" xr:uid="{00000000-0005-0000-0000-0000A1B50000}"/>
    <cellStyle name="SAPBEXfilterDrill 3 4" xfId="46338" xr:uid="{00000000-0005-0000-0000-0000A2B50000}"/>
    <cellStyle name="SAPBEXfilterDrill 3 4 2" xfId="46339" xr:uid="{00000000-0005-0000-0000-0000A3B50000}"/>
    <cellStyle name="SAPBEXfilterDrill 3 4 2 2" xfId="46340" xr:uid="{00000000-0005-0000-0000-0000A4B50000}"/>
    <cellStyle name="SAPBEXfilterDrill 3 4 3" xfId="46341" xr:uid="{00000000-0005-0000-0000-0000A5B50000}"/>
    <cellStyle name="SAPBEXfilterDrill 3 5" xfId="46342" xr:uid="{00000000-0005-0000-0000-0000A6B50000}"/>
    <cellStyle name="SAPBEXfilterDrill 4" xfId="46343" xr:uid="{00000000-0005-0000-0000-0000A7B50000}"/>
    <cellStyle name="SAPBEXfilterDrill 4 2" xfId="46344" xr:uid="{00000000-0005-0000-0000-0000A8B50000}"/>
    <cellStyle name="SAPBEXfilterDrill 4 2 2" xfId="46345" xr:uid="{00000000-0005-0000-0000-0000A9B50000}"/>
    <cellStyle name="SAPBEXfilterDrill 4 2 2 2" xfId="46346" xr:uid="{00000000-0005-0000-0000-0000AAB50000}"/>
    <cellStyle name="SAPBEXfilterDrill 4 2 3" xfId="46347" xr:uid="{00000000-0005-0000-0000-0000ABB50000}"/>
    <cellStyle name="SAPBEXfilterDrill 4 2 3 2" xfId="46348" xr:uid="{00000000-0005-0000-0000-0000ACB50000}"/>
    <cellStyle name="SAPBEXfilterDrill 4 2 3 2 2" xfId="46349" xr:uid="{00000000-0005-0000-0000-0000ADB50000}"/>
    <cellStyle name="SAPBEXfilterDrill 4 2 3 3" xfId="46350" xr:uid="{00000000-0005-0000-0000-0000AEB50000}"/>
    <cellStyle name="SAPBEXfilterDrill 4 2 4" xfId="46351" xr:uid="{00000000-0005-0000-0000-0000AFB50000}"/>
    <cellStyle name="SAPBEXfilterDrill 4 3" xfId="46352" xr:uid="{00000000-0005-0000-0000-0000B0B50000}"/>
    <cellStyle name="SAPBEXfilterDrill 4 3 2" xfId="46353" xr:uid="{00000000-0005-0000-0000-0000B1B50000}"/>
    <cellStyle name="SAPBEXfilterDrill 4 3 2 2" xfId="46354" xr:uid="{00000000-0005-0000-0000-0000B2B50000}"/>
    <cellStyle name="SAPBEXfilterDrill 4 3 3" xfId="46355" xr:uid="{00000000-0005-0000-0000-0000B3B50000}"/>
    <cellStyle name="SAPBEXfilterDrill 4 4" xfId="46356" xr:uid="{00000000-0005-0000-0000-0000B4B50000}"/>
    <cellStyle name="SAPBEXfilterDrill 4 4 2" xfId="46357" xr:uid="{00000000-0005-0000-0000-0000B5B50000}"/>
    <cellStyle name="SAPBEXfilterDrill 4 4 2 2" xfId="46358" xr:uid="{00000000-0005-0000-0000-0000B6B50000}"/>
    <cellStyle name="SAPBEXfilterDrill 4 4 3" xfId="46359" xr:uid="{00000000-0005-0000-0000-0000B7B50000}"/>
    <cellStyle name="SAPBEXfilterDrill 4 5" xfId="46360" xr:uid="{00000000-0005-0000-0000-0000B8B50000}"/>
    <cellStyle name="SAPBEXfilterDrill 4 5 2" xfId="46361" xr:uid="{00000000-0005-0000-0000-0000B9B50000}"/>
    <cellStyle name="SAPBEXfilterDrill 4 5 2 2" xfId="46362" xr:uid="{00000000-0005-0000-0000-0000BAB50000}"/>
    <cellStyle name="SAPBEXfilterDrill 4 5 3" xfId="46363" xr:uid="{00000000-0005-0000-0000-0000BBB50000}"/>
    <cellStyle name="SAPBEXfilterDrill 4 6" xfId="46364" xr:uid="{00000000-0005-0000-0000-0000BCB50000}"/>
    <cellStyle name="SAPBEXfilterDrill 5" xfId="46365" xr:uid="{00000000-0005-0000-0000-0000BDB50000}"/>
    <cellStyle name="SAPBEXfilterDrill 5 2" xfId="46366" xr:uid="{00000000-0005-0000-0000-0000BEB50000}"/>
    <cellStyle name="SAPBEXfilterDrill 5 2 2" xfId="46367" xr:uid="{00000000-0005-0000-0000-0000BFB50000}"/>
    <cellStyle name="SAPBEXfilterDrill 5 3" xfId="46368" xr:uid="{00000000-0005-0000-0000-0000C0B50000}"/>
    <cellStyle name="SAPBEXfilterDrill 6" xfId="46369" xr:uid="{00000000-0005-0000-0000-0000C1B50000}"/>
    <cellStyle name="SAPBEXfilterDrill 6 2" xfId="46370" xr:uid="{00000000-0005-0000-0000-0000C2B50000}"/>
    <cellStyle name="SAPBEXfilterDrill 6 2 2" xfId="46371" xr:uid="{00000000-0005-0000-0000-0000C3B50000}"/>
    <cellStyle name="SAPBEXfilterDrill 6 3" xfId="46372" xr:uid="{00000000-0005-0000-0000-0000C4B50000}"/>
    <cellStyle name="SAPBEXfilterDrill 7" xfId="46373" xr:uid="{00000000-0005-0000-0000-0000C5B50000}"/>
    <cellStyle name="SAPBEXfilterDrill 7 2" xfId="46374" xr:uid="{00000000-0005-0000-0000-0000C6B50000}"/>
    <cellStyle name="SAPBEXfilterDrill 7 2 2" xfId="46375" xr:uid="{00000000-0005-0000-0000-0000C7B50000}"/>
    <cellStyle name="SAPBEXfilterDrill 7 3" xfId="46376" xr:uid="{00000000-0005-0000-0000-0000C8B50000}"/>
    <cellStyle name="SAPBEXfilterDrill 8" xfId="46377" xr:uid="{00000000-0005-0000-0000-0000C9B50000}"/>
    <cellStyle name="SAPBEXfilterDrill 8 2" xfId="46378" xr:uid="{00000000-0005-0000-0000-0000CAB50000}"/>
    <cellStyle name="SAPBEXfilterDrill 9" xfId="46379" xr:uid="{00000000-0005-0000-0000-0000CBB50000}"/>
    <cellStyle name="SAPBEXfilterDrill 9 2" xfId="46380" xr:uid="{00000000-0005-0000-0000-0000CCB50000}"/>
    <cellStyle name="SAPBEXfilterItem" xfId="55" xr:uid="{00000000-0005-0000-0000-0000CDB50000}"/>
    <cellStyle name="SAPBEXfilterItem 10" xfId="46381" xr:uid="{00000000-0005-0000-0000-0000CEB50000}"/>
    <cellStyle name="SAPBEXfilterItem 10 2" xfId="46382" xr:uid="{00000000-0005-0000-0000-0000CFB50000}"/>
    <cellStyle name="SAPBEXfilterItem 11" xfId="46383" xr:uid="{00000000-0005-0000-0000-0000D0B50000}"/>
    <cellStyle name="SAPBEXfilterItem 11 2" xfId="46384" xr:uid="{00000000-0005-0000-0000-0000D1B50000}"/>
    <cellStyle name="SAPBEXfilterItem 12" xfId="46385" xr:uid="{00000000-0005-0000-0000-0000D2B50000}"/>
    <cellStyle name="SAPBEXfilterItem 2" xfId="46386" xr:uid="{00000000-0005-0000-0000-0000D3B50000}"/>
    <cellStyle name="SAPBEXfilterItem 2 2" xfId="46387" xr:uid="{00000000-0005-0000-0000-0000D4B50000}"/>
    <cellStyle name="SAPBEXfilterItem 2 2 2" xfId="46388" xr:uid="{00000000-0005-0000-0000-0000D5B50000}"/>
    <cellStyle name="SAPBEXfilterItem 2 2 2 2" xfId="46389" xr:uid="{00000000-0005-0000-0000-0000D6B50000}"/>
    <cellStyle name="SAPBEXfilterItem 2 2 2 2 2" xfId="46390" xr:uid="{00000000-0005-0000-0000-0000D7B50000}"/>
    <cellStyle name="SAPBEXfilterItem 2 2 2 2 2 2" xfId="46391" xr:uid="{00000000-0005-0000-0000-0000D8B50000}"/>
    <cellStyle name="SAPBEXfilterItem 2 2 2 2 3" xfId="46392" xr:uid="{00000000-0005-0000-0000-0000D9B50000}"/>
    <cellStyle name="SAPBEXfilterItem 2 2 2 3" xfId="46393" xr:uid="{00000000-0005-0000-0000-0000DAB50000}"/>
    <cellStyle name="SAPBEXfilterItem 2 2 2 3 2" xfId="46394" xr:uid="{00000000-0005-0000-0000-0000DBB50000}"/>
    <cellStyle name="SAPBEXfilterItem 2 2 2 4" xfId="46395" xr:uid="{00000000-0005-0000-0000-0000DCB50000}"/>
    <cellStyle name="SAPBEXfilterItem 2 2 3" xfId="46396" xr:uid="{00000000-0005-0000-0000-0000DDB50000}"/>
    <cellStyle name="SAPBEXfilterItem 2 2 3 2" xfId="46397" xr:uid="{00000000-0005-0000-0000-0000DEB50000}"/>
    <cellStyle name="SAPBEXfilterItem 2 2 3 2 2" xfId="46398" xr:uid="{00000000-0005-0000-0000-0000DFB50000}"/>
    <cellStyle name="SAPBEXfilterItem 2 2 3 3" xfId="46399" xr:uid="{00000000-0005-0000-0000-0000E0B50000}"/>
    <cellStyle name="SAPBEXfilterItem 2 2 4" xfId="46400" xr:uid="{00000000-0005-0000-0000-0000E1B50000}"/>
    <cellStyle name="SAPBEXfilterItem 2 2 4 2" xfId="46401" xr:uid="{00000000-0005-0000-0000-0000E2B50000}"/>
    <cellStyle name="SAPBEXfilterItem 2 2 4 2 2" xfId="46402" xr:uid="{00000000-0005-0000-0000-0000E3B50000}"/>
    <cellStyle name="SAPBEXfilterItem 2 2 4 3" xfId="46403" xr:uid="{00000000-0005-0000-0000-0000E4B50000}"/>
    <cellStyle name="SAPBEXfilterItem 2 2 5" xfId="46404" xr:uid="{00000000-0005-0000-0000-0000E5B50000}"/>
    <cellStyle name="SAPBEXfilterItem 2 2 5 2" xfId="46405" xr:uid="{00000000-0005-0000-0000-0000E6B50000}"/>
    <cellStyle name="SAPBEXfilterItem 2 2 6" xfId="46406" xr:uid="{00000000-0005-0000-0000-0000E7B50000}"/>
    <cellStyle name="SAPBEXfilterItem 2 3" xfId="46407" xr:uid="{00000000-0005-0000-0000-0000E8B50000}"/>
    <cellStyle name="SAPBEXfilterItem 2 3 2" xfId="46408" xr:uid="{00000000-0005-0000-0000-0000E9B50000}"/>
    <cellStyle name="SAPBEXfilterItem 2 4" xfId="46409" xr:uid="{00000000-0005-0000-0000-0000EAB50000}"/>
    <cellStyle name="SAPBEXfilterItem 2 4 2" xfId="46410" xr:uid="{00000000-0005-0000-0000-0000EBB50000}"/>
    <cellStyle name="SAPBEXfilterItem 2 4 2 2" xfId="46411" xr:uid="{00000000-0005-0000-0000-0000ECB50000}"/>
    <cellStyle name="SAPBEXfilterItem 2 4 3" xfId="46412" xr:uid="{00000000-0005-0000-0000-0000EDB50000}"/>
    <cellStyle name="SAPBEXfilterItem 2 5" xfId="46413" xr:uid="{00000000-0005-0000-0000-0000EEB50000}"/>
    <cellStyle name="SAPBEXfilterItem 2 5 2" xfId="46414" xr:uid="{00000000-0005-0000-0000-0000EFB50000}"/>
    <cellStyle name="SAPBEXfilterItem 2 5 2 2" xfId="46415" xr:uid="{00000000-0005-0000-0000-0000F0B50000}"/>
    <cellStyle name="SAPBEXfilterItem 2 5 3" xfId="46416" xr:uid="{00000000-0005-0000-0000-0000F1B50000}"/>
    <cellStyle name="SAPBEXfilterItem 2 6" xfId="46417" xr:uid="{00000000-0005-0000-0000-0000F2B50000}"/>
    <cellStyle name="SAPBEXfilterItem 3" xfId="46418" xr:uid="{00000000-0005-0000-0000-0000F3B50000}"/>
    <cellStyle name="SAPBEXfilterItem 3 2" xfId="46419" xr:uid="{00000000-0005-0000-0000-0000F4B50000}"/>
    <cellStyle name="SAPBEXfilterItem 3 2 2" xfId="46420" xr:uid="{00000000-0005-0000-0000-0000F5B50000}"/>
    <cellStyle name="SAPBEXfilterItem 3 3" xfId="46421" xr:uid="{00000000-0005-0000-0000-0000F6B50000}"/>
    <cellStyle name="SAPBEXfilterItem 3 3 2" xfId="46422" xr:uid="{00000000-0005-0000-0000-0000F7B50000}"/>
    <cellStyle name="SAPBEXfilterItem 3 3 2 2" xfId="46423" xr:uid="{00000000-0005-0000-0000-0000F8B50000}"/>
    <cellStyle name="SAPBEXfilterItem 3 3 3" xfId="46424" xr:uid="{00000000-0005-0000-0000-0000F9B50000}"/>
    <cellStyle name="SAPBEXfilterItem 3 4" xfId="46425" xr:uid="{00000000-0005-0000-0000-0000FAB50000}"/>
    <cellStyle name="SAPBEXfilterItem 3 4 2" xfId="46426" xr:uid="{00000000-0005-0000-0000-0000FBB50000}"/>
    <cellStyle name="SAPBEXfilterItem 3 4 2 2" xfId="46427" xr:uid="{00000000-0005-0000-0000-0000FCB50000}"/>
    <cellStyle name="SAPBEXfilterItem 3 4 3" xfId="46428" xr:uid="{00000000-0005-0000-0000-0000FDB50000}"/>
    <cellStyle name="SAPBEXfilterItem 3 5" xfId="46429" xr:uid="{00000000-0005-0000-0000-0000FEB50000}"/>
    <cellStyle name="SAPBEXfilterItem 4" xfId="46430" xr:uid="{00000000-0005-0000-0000-0000FFB50000}"/>
    <cellStyle name="SAPBEXfilterItem 4 2" xfId="46431" xr:uid="{00000000-0005-0000-0000-000000B60000}"/>
    <cellStyle name="SAPBEXfilterItem 4 2 2" xfId="46432" xr:uid="{00000000-0005-0000-0000-000001B60000}"/>
    <cellStyle name="SAPBEXfilterItem 4 2 2 2" xfId="46433" xr:uid="{00000000-0005-0000-0000-000002B60000}"/>
    <cellStyle name="SAPBEXfilterItem 4 2 3" xfId="46434" xr:uid="{00000000-0005-0000-0000-000003B60000}"/>
    <cellStyle name="SAPBEXfilterItem 4 2 3 2" xfId="46435" xr:uid="{00000000-0005-0000-0000-000004B60000}"/>
    <cellStyle name="SAPBEXfilterItem 4 2 3 2 2" xfId="46436" xr:uid="{00000000-0005-0000-0000-000005B60000}"/>
    <cellStyle name="SAPBEXfilterItem 4 2 3 3" xfId="46437" xr:uid="{00000000-0005-0000-0000-000006B60000}"/>
    <cellStyle name="SAPBEXfilterItem 4 2 4" xfId="46438" xr:uid="{00000000-0005-0000-0000-000007B60000}"/>
    <cellStyle name="SAPBEXfilterItem 4 3" xfId="46439" xr:uid="{00000000-0005-0000-0000-000008B60000}"/>
    <cellStyle name="SAPBEXfilterItem 4 3 2" xfId="46440" xr:uid="{00000000-0005-0000-0000-000009B60000}"/>
    <cellStyle name="SAPBEXfilterItem 4 3 2 2" xfId="46441" xr:uid="{00000000-0005-0000-0000-00000AB60000}"/>
    <cellStyle name="SAPBEXfilterItem 4 3 3" xfId="46442" xr:uid="{00000000-0005-0000-0000-00000BB60000}"/>
    <cellStyle name="SAPBEXfilterItem 4 4" xfId="46443" xr:uid="{00000000-0005-0000-0000-00000CB60000}"/>
    <cellStyle name="SAPBEXfilterItem 4 4 2" xfId="46444" xr:uid="{00000000-0005-0000-0000-00000DB60000}"/>
    <cellStyle name="SAPBEXfilterItem 4 4 2 2" xfId="46445" xr:uid="{00000000-0005-0000-0000-00000EB60000}"/>
    <cellStyle name="SAPBEXfilterItem 4 4 3" xfId="46446" xr:uid="{00000000-0005-0000-0000-00000FB60000}"/>
    <cellStyle name="SAPBEXfilterItem 4 5" xfId="46447" xr:uid="{00000000-0005-0000-0000-000010B60000}"/>
    <cellStyle name="SAPBEXfilterItem 4 5 2" xfId="46448" xr:uid="{00000000-0005-0000-0000-000011B60000}"/>
    <cellStyle name="SAPBEXfilterItem 4 5 2 2" xfId="46449" xr:uid="{00000000-0005-0000-0000-000012B60000}"/>
    <cellStyle name="SAPBEXfilterItem 4 5 3" xfId="46450" xr:uid="{00000000-0005-0000-0000-000013B60000}"/>
    <cellStyle name="SAPBEXfilterItem 4 6" xfId="46451" xr:uid="{00000000-0005-0000-0000-000014B60000}"/>
    <cellStyle name="SAPBEXfilterItem 5" xfId="46452" xr:uid="{00000000-0005-0000-0000-000015B60000}"/>
    <cellStyle name="SAPBEXfilterItem 5 2" xfId="46453" xr:uid="{00000000-0005-0000-0000-000016B60000}"/>
    <cellStyle name="SAPBEXfilterItem 5 2 2" xfId="46454" xr:uid="{00000000-0005-0000-0000-000017B60000}"/>
    <cellStyle name="SAPBEXfilterItem 5 3" xfId="46455" xr:uid="{00000000-0005-0000-0000-000018B60000}"/>
    <cellStyle name="SAPBEXfilterItem 6" xfId="46456" xr:uid="{00000000-0005-0000-0000-000019B60000}"/>
    <cellStyle name="SAPBEXfilterItem 6 2" xfId="46457" xr:uid="{00000000-0005-0000-0000-00001AB60000}"/>
    <cellStyle name="SAPBEXfilterItem 6 2 2" xfId="46458" xr:uid="{00000000-0005-0000-0000-00001BB60000}"/>
    <cellStyle name="SAPBEXfilterItem 6 3" xfId="46459" xr:uid="{00000000-0005-0000-0000-00001CB60000}"/>
    <cellStyle name="SAPBEXfilterItem 7" xfId="46460" xr:uid="{00000000-0005-0000-0000-00001DB60000}"/>
    <cellStyle name="SAPBEXfilterItem 7 2" xfId="46461" xr:uid="{00000000-0005-0000-0000-00001EB60000}"/>
    <cellStyle name="SAPBEXfilterItem 7 2 2" xfId="46462" xr:uid="{00000000-0005-0000-0000-00001FB60000}"/>
    <cellStyle name="SAPBEXfilterItem 7 3" xfId="46463" xr:uid="{00000000-0005-0000-0000-000020B60000}"/>
    <cellStyle name="SAPBEXfilterItem 8" xfId="46464" xr:uid="{00000000-0005-0000-0000-000021B60000}"/>
    <cellStyle name="SAPBEXfilterItem 8 2" xfId="46465" xr:uid="{00000000-0005-0000-0000-000022B60000}"/>
    <cellStyle name="SAPBEXfilterItem 9" xfId="46466" xr:uid="{00000000-0005-0000-0000-000023B60000}"/>
    <cellStyle name="SAPBEXfilterItem 9 2" xfId="46467" xr:uid="{00000000-0005-0000-0000-000024B60000}"/>
    <cellStyle name="SAPBEXfilterText" xfId="56" xr:uid="{00000000-0005-0000-0000-000025B60000}"/>
    <cellStyle name="SAPBEXfilterText 10" xfId="46468" xr:uid="{00000000-0005-0000-0000-000026B60000}"/>
    <cellStyle name="SAPBEXfilterText 10 2" xfId="46469" xr:uid="{00000000-0005-0000-0000-000027B60000}"/>
    <cellStyle name="SAPBEXfilterText 11" xfId="46470" xr:uid="{00000000-0005-0000-0000-000028B60000}"/>
    <cellStyle name="SAPBEXfilterText 11 2" xfId="46471" xr:uid="{00000000-0005-0000-0000-000029B60000}"/>
    <cellStyle name="SAPBEXfilterText 12" xfId="46472" xr:uid="{00000000-0005-0000-0000-00002AB60000}"/>
    <cellStyle name="SAPBEXfilterText 2" xfId="46473" xr:uid="{00000000-0005-0000-0000-00002BB60000}"/>
    <cellStyle name="SAPBEXfilterText 2 2" xfId="46474" xr:uid="{00000000-0005-0000-0000-00002CB60000}"/>
    <cellStyle name="SAPBEXfilterText 2 2 2" xfId="46475" xr:uid="{00000000-0005-0000-0000-00002DB60000}"/>
    <cellStyle name="SAPBEXfilterText 2 2 2 2" xfId="46476" xr:uid="{00000000-0005-0000-0000-00002EB60000}"/>
    <cellStyle name="SAPBEXfilterText 2 2 2 2 2" xfId="46477" xr:uid="{00000000-0005-0000-0000-00002FB60000}"/>
    <cellStyle name="SAPBEXfilterText 2 2 2 2 2 2" xfId="46478" xr:uid="{00000000-0005-0000-0000-000030B60000}"/>
    <cellStyle name="SAPBEXfilterText 2 2 2 2 3" xfId="46479" xr:uid="{00000000-0005-0000-0000-000031B60000}"/>
    <cellStyle name="SAPBEXfilterText 2 2 2 3" xfId="46480" xr:uid="{00000000-0005-0000-0000-000032B60000}"/>
    <cellStyle name="SAPBEXfilterText 2 2 2 3 2" xfId="46481" xr:uid="{00000000-0005-0000-0000-000033B60000}"/>
    <cellStyle name="SAPBEXfilterText 2 2 2 4" xfId="46482" xr:uid="{00000000-0005-0000-0000-000034B60000}"/>
    <cellStyle name="SAPBEXfilterText 2 2 3" xfId="46483" xr:uid="{00000000-0005-0000-0000-000035B60000}"/>
    <cellStyle name="SAPBEXfilterText 2 2 3 2" xfId="46484" xr:uid="{00000000-0005-0000-0000-000036B60000}"/>
    <cellStyle name="SAPBEXfilterText 2 2 3 2 2" xfId="46485" xr:uid="{00000000-0005-0000-0000-000037B60000}"/>
    <cellStyle name="SAPBEXfilterText 2 2 3 3" xfId="46486" xr:uid="{00000000-0005-0000-0000-000038B60000}"/>
    <cellStyle name="SAPBEXfilterText 2 2 4" xfId="46487" xr:uid="{00000000-0005-0000-0000-000039B60000}"/>
    <cellStyle name="SAPBEXfilterText 2 2 4 2" xfId="46488" xr:uid="{00000000-0005-0000-0000-00003AB60000}"/>
    <cellStyle name="SAPBEXfilterText 2 2 4 2 2" xfId="46489" xr:uid="{00000000-0005-0000-0000-00003BB60000}"/>
    <cellStyle name="SAPBEXfilterText 2 2 4 3" xfId="46490" xr:uid="{00000000-0005-0000-0000-00003CB60000}"/>
    <cellStyle name="SAPBEXfilterText 2 2 5" xfId="46491" xr:uid="{00000000-0005-0000-0000-00003DB60000}"/>
    <cellStyle name="SAPBEXfilterText 2 2 5 2" xfId="46492" xr:uid="{00000000-0005-0000-0000-00003EB60000}"/>
    <cellStyle name="SAPBEXfilterText 2 2 6" xfId="46493" xr:uid="{00000000-0005-0000-0000-00003FB60000}"/>
    <cellStyle name="SAPBEXfilterText 2 3" xfId="46494" xr:uid="{00000000-0005-0000-0000-000040B60000}"/>
    <cellStyle name="SAPBEXfilterText 2 4" xfId="46495" xr:uid="{00000000-0005-0000-0000-000041B60000}"/>
    <cellStyle name="SAPBEXfilterText 2 4 2" xfId="46496" xr:uid="{00000000-0005-0000-0000-000042B60000}"/>
    <cellStyle name="SAPBEXfilterText 2 4 2 2" xfId="46497" xr:uid="{00000000-0005-0000-0000-000043B60000}"/>
    <cellStyle name="SAPBEXfilterText 2 4 3" xfId="46498" xr:uid="{00000000-0005-0000-0000-000044B60000}"/>
    <cellStyle name="SAPBEXfilterText 2 5" xfId="46499" xr:uid="{00000000-0005-0000-0000-000045B60000}"/>
    <cellStyle name="SAPBEXfilterText 2 5 2" xfId="46500" xr:uid="{00000000-0005-0000-0000-000046B60000}"/>
    <cellStyle name="SAPBEXfilterText 2 5 2 2" xfId="46501" xr:uid="{00000000-0005-0000-0000-000047B60000}"/>
    <cellStyle name="SAPBEXfilterText 2 5 3" xfId="46502" xr:uid="{00000000-0005-0000-0000-000048B60000}"/>
    <cellStyle name="SAPBEXfilterText 3" xfId="46503" xr:uid="{00000000-0005-0000-0000-000049B60000}"/>
    <cellStyle name="SAPBEXfilterText 3 2" xfId="46504" xr:uid="{00000000-0005-0000-0000-00004AB60000}"/>
    <cellStyle name="SAPBEXfilterText 3 2 2" xfId="46505" xr:uid="{00000000-0005-0000-0000-00004BB60000}"/>
    <cellStyle name="SAPBEXfilterText 3 3" xfId="46506" xr:uid="{00000000-0005-0000-0000-00004CB60000}"/>
    <cellStyle name="SAPBEXfilterText 3 3 2" xfId="46507" xr:uid="{00000000-0005-0000-0000-00004DB60000}"/>
    <cellStyle name="SAPBEXfilterText 3 3 2 2" xfId="46508" xr:uid="{00000000-0005-0000-0000-00004EB60000}"/>
    <cellStyle name="SAPBEXfilterText 3 3 3" xfId="46509" xr:uid="{00000000-0005-0000-0000-00004FB60000}"/>
    <cellStyle name="SAPBEXfilterText 3 4" xfId="46510" xr:uid="{00000000-0005-0000-0000-000050B60000}"/>
    <cellStyle name="SAPBEXfilterText 3 4 2" xfId="46511" xr:uid="{00000000-0005-0000-0000-000051B60000}"/>
    <cellStyle name="SAPBEXfilterText 3 4 2 2" xfId="46512" xr:uid="{00000000-0005-0000-0000-000052B60000}"/>
    <cellStyle name="SAPBEXfilterText 3 4 3" xfId="46513" xr:uid="{00000000-0005-0000-0000-000053B60000}"/>
    <cellStyle name="SAPBEXfilterText 3 5" xfId="46514" xr:uid="{00000000-0005-0000-0000-000054B60000}"/>
    <cellStyle name="SAPBEXfilterText 4" xfId="46515" xr:uid="{00000000-0005-0000-0000-000055B60000}"/>
    <cellStyle name="SAPBEXfilterText 4 2" xfId="46516" xr:uid="{00000000-0005-0000-0000-000056B60000}"/>
    <cellStyle name="SAPBEXfilterText 4 2 2" xfId="46517" xr:uid="{00000000-0005-0000-0000-000057B60000}"/>
    <cellStyle name="SAPBEXfilterText 4 2 2 2" xfId="46518" xr:uid="{00000000-0005-0000-0000-000058B60000}"/>
    <cellStyle name="SAPBEXfilterText 4 2 3" xfId="46519" xr:uid="{00000000-0005-0000-0000-000059B60000}"/>
    <cellStyle name="SAPBEXfilterText 4 2 3 2" xfId="46520" xr:uid="{00000000-0005-0000-0000-00005AB60000}"/>
    <cellStyle name="SAPBEXfilterText 4 2 3 2 2" xfId="46521" xr:uid="{00000000-0005-0000-0000-00005BB60000}"/>
    <cellStyle name="SAPBEXfilterText 4 2 3 3" xfId="46522" xr:uid="{00000000-0005-0000-0000-00005CB60000}"/>
    <cellStyle name="SAPBEXfilterText 4 2 4" xfId="46523" xr:uid="{00000000-0005-0000-0000-00005DB60000}"/>
    <cellStyle name="SAPBEXfilterText 4 3" xfId="46524" xr:uid="{00000000-0005-0000-0000-00005EB60000}"/>
    <cellStyle name="SAPBEXfilterText 4 3 2" xfId="46525" xr:uid="{00000000-0005-0000-0000-00005FB60000}"/>
    <cellStyle name="SAPBEXfilterText 4 3 2 2" xfId="46526" xr:uid="{00000000-0005-0000-0000-000060B60000}"/>
    <cellStyle name="SAPBEXfilterText 4 3 3" xfId="46527" xr:uid="{00000000-0005-0000-0000-000061B60000}"/>
    <cellStyle name="SAPBEXfilterText 4 4" xfId="46528" xr:uid="{00000000-0005-0000-0000-000062B60000}"/>
    <cellStyle name="SAPBEXfilterText 4 4 2" xfId="46529" xr:uid="{00000000-0005-0000-0000-000063B60000}"/>
    <cellStyle name="SAPBEXfilterText 4 4 2 2" xfId="46530" xr:uid="{00000000-0005-0000-0000-000064B60000}"/>
    <cellStyle name="SAPBEXfilterText 4 4 3" xfId="46531" xr:uid="{00000000-0005-0000-0000-000065B60000}"/>
    <cellStyle name="SAPBEXfilterText 4 5" xfId="46532" xr:uid="{00000000-0005-0000-0000-000066B60000}"/>
    <cellStyle name="SAPBEXfilterText 4 5 2" xfId="46533" xr:uid="{00000000-0005-0000-0000-000067B60000}"/>
    <cellStyle name="SAPBEXfilterText 4 5 2 2" xfId="46534" xr:uid="{00000000-0005-0000-0000-000068B60000}"/>
    <cellStyle name="SAPBEXfilterText 4 5 3" xfId="46535" xr:uid="{00000000-0005-0000-0000-000069B60000}"/>
    <cellStyle name="SAPBEXfilterText 4 6" xfId="46536" xr:uid="{00000000-0005-0000-0000-00006AB60000}"/>
    <cellStyle name="SAPBEXfilterText 5" xfId="46537" xr:uid="{00000000-0005-0000-0000-00006BB60000}"/>
    <cellStyle name="SAPBEXfilterText 5 2" xfId="46538" xr:uid="{00000000-0005-0000-0000-00006CB60000}"/>
    <cellStyle name="SAPBEXfilterText 5 2 2" xfId="46539" xr:uid="{00000000-0005-0000-0000-00006DB60000}"/>
    <cellStyle name="SAPBEXfilterText 5 3" xfId="46540" xr:uid="{00000000-0005-0000-0000-00006EB60000}"/>
    <cellStyle name="SAPBEXfilterText 6" xfId="46541" xr:uid="{00000000-0005-0000-0000-00006FB60000}"/>
    <cellStyle name="SAPBEXfilterText 6 2" xfId="46542" xr:uid="{00000000-0005-0000-0000-000070B60000}"/>
    <cellStyle name="SAPBEXfilterText 6 2 2" xfId="46543" xr:uid="{00000000-0005-0000-0000-000071B60000}"/>
    <cellStyle name="SAPBEXfilterText 6 3" xfId="46544" xr:uid="{00000000-0005-0000-0000-000072B60000}"/>
    <cellStyle name="SAPBEXfilterText 7" xfId="46545" xr:uid="{00000000-0005-0000-0000-000073B60000}"/>
    <cellStyle name="SAPBEXfilterText 7 2" xfId="46546" xr:uid="{00000000-0005-0000-0000-000074B60000}"/>
    <cellStyle name="SAPBEXfilterText 7 2 2" xfId="46547" xr:uid="{00000000-0005-0000-0000-000075B60000}"/>
    <cellStyle name="SAPBEXfilterText 7 3" xfId="46548" xr:uid="{00000000-0005-0000-0000-000076B60000}"/>
    <cellStyle name="SAPBEXfilterText 8" xfId="46549" xr:uid="{00000000-0005-0000-0000-000077B60000}"/>
    <cellStyle name="SAPBEXfilterText 8 2" xfId="46550" xr:uid="{00000000-0005-0000-0000-000078B60000}"/>
    <cellStyle name="SAPBEXfilterText 9" xfId="46551" xr:uid="{00000000-0005-0000-0000-000079B60000}"/>
    <cellStyle name="SAPBEXfilterText 9 2" xfId="46552" xr:uid="{00000000-0005-0000-0000-00007AB60000}"/>
    <cellStyle name="SAPBEXformats" xfId="57" xr:uid="{00000000-0005-0000-0000-00007BB60000}"/>
    <cellStyle name="SAPBEXformats 10" xfId="46553" xr:uid="{00000000-0005-0000-0000-00007CB60000}"/>
    <cellStyle name="SAPBEXformats 10 2" xfId="46554" xr:uid="{00000000-0005-0000-0000-00007DB60000}"/>
    <cellStyle name="SAPBEXformats 11" xfId="46555" xr:uid="{00000000-0005-0000-0000-00007EB60000}"/>
    <cellStyle name="SAPBEXformats 11 2" xfId="46556" xr:uid="{00000000-0005-0000-0000-00007FB60000}"/>
    <cellStyle name="SAPBEXformats 12" xfId="46557" xr:uid="{00000000-0005-0000-0000-000080B60000}"/>
    <cellStyle name="SAPBEXformats 12 2" xfId="46558" xr:uid="{00000000-0005-0000-0000-000081B60000}"/>
    <cellStyle name="SAPBEXformats 13" xfId="46559" xr:uid="{00000000-0005-0000-0000-000082B60000}"/>
    <cellStyle name="SAPBEXformats 14" xfId="46560" xr:uid="{00000000-0005-0000-0000-000083B60000}"/>
    <cellStyle name="SAPBEXformats 2" xfId="46561" xr:uid="{00000000-0005-0000-0000-000084B60000}"/>
    <cellStyle name="SAPBEXformats 2 2" xfId="46562" xr:uid="{00000000-0005-0000-0000-000085B60000}"/>
    <cellStyle name="SAPBEXformats 2 2 2" xfId="46563" xr:uid="{00000000-0005-0000-0000-000086B60000}"/>
    <cellStyle name="SAPBEXformats 2 2 2 2" xfId="46564" xr:uid="{00000000-0005-0000-0000-000087B60000}"/>
    <cellStyle name="SAPBEXformats 2 2 2 2 2" xfId="46565" xr:uid="{00000000-0005-0000-0000-000088B60000}"/>
    <cellStyle name="SAPBEXformats 2 2 2 2 2 2" xfId="46566" xr:uid="{00000000-0005-0000-0000-000089B60000}"/>
    <cellStyle name="SAPBEXformats 2 2 2 2 3" xfId="46567" xr:uid="{00000000-0005-0000-0000-00008AB60000}"/>
    <cellStyle name="SAPBEXformats 2 2 2 3" xfId="46568" xr:uid="{00000000-0005-0000-0000-00008BB60000}"/>
    <cellStyle name="SAPBEXformats 2 2 2 3 2" xfId="46569" xr:uid="{00000000-0005-0000-0000-00008CB60000}"/>
    <cellStyle name="SAPBEXformats 2 2 2 4" xfId="46570" xr:uid="{00000000-0005-0000-0000-00008DB60000}"/>
    <cellStyle name="SAPBEXformats 2 2 3" xfId="46571" xr:uid="{00000000-0005-0000-0000-00008EB60000}"/>
    <cellStyle name="SAPBEXformats 2 2 3 2" xfId="46572" xr:uid="{00000000-0005-0000-0000-00008FB60000}"/>
    <cellStyle name="SAPBEXformats 2 2 3 2 2" xfId="46573" xr:uid="{00000000-0005-0000-0000-000090B60000}"/>
    <cellStyle name="SAPBEXformats 2 2 3 3" xfId="46574" xr:uid="{00000000-0005-0000-0000-000091B60000}"/>
    <cellStyle name="SAPBEXformats 2 2 4" xfId="46575" xr:uid="{00000000-0005-0000-0000-000092B60000}"/>
    <cellStyle name="SAPBEXformats 2 2 4 2" xfId="46576" xr:uid="{00000000-0005-0000-0000-000093B60000}"/>
    <cellStyle name="SAPBEXformats 2 2 4 2 2" xfId="46577" xr:uid="{00000000-0005-0000-0000-000094B60000}"/>
    <cellStyle name="SAPBEXformats 2 2 4 3" xfId="46578" xr:uid="{00000000-0005-0000-0000-000095B60000}"/>
    <cellStyle name="SAPBEXformats 2 2 5" xfId="46579" xr:uid="{00000000-0005-0000-0000-000096B60000}"/>
    <cellStyle name="SAPBEXformats 2 2 5 2" xfId="46580" xr:uid="{00000000-0005-0000-0000-000097B60000}"/>
    <cellStyle name="SAPBEXformats 2 2 6" xfId="46581" xr:uid="{00000000-0005-0000-0000-000098B60000}"/>
    <cellStyle name="SAPBEXformats 2 3" xfId="46582" xr:uid="{00000000-0005-0000-0000-000099B60000}"/>
    <cellStyle name="SAPBEXformats 2 3 2" xfId="46583" xr:uid="{00000000-0005-0000-0000-00009AB60000}"/>
    <cellStyle name="SAPBEXformats 2 3 2 2" xfId="46584" xr:uid="{00000000-0005-0000-0000-00009BB60000}"/>
    <cellStyle name="SAPBEXformats 2 3 3" xfId="46585" xr:uid="{00000000-0005-0000-0000-00009CB60000}"/>
    <cellStyle name="SAPBEXformats 2 4" xfId="46586" xr:uid="{00000000-0005-0000-0000-00009DB60000}"/>
    <cellStyle name="SAPBEXformats 2 4 2" xfId="46587" xr:uid="{00000000-0005-0000-0000-00009EB60000}"/>
    <cellStyle name="SAPBEXformats 2 4 2 2" xfId="46588" xr:uid="{00000000-0005-0000-0000-00009FB60000}"/>
    <cellStyle name="SAPBEXformats 2 4 3" xfId="46589" xr:uid="{00000000-0005-0000-0000-0000A0B60000}"/>
    <cellStyle name="SAPBEXformats 2 5" xfId="46590" xr:uid="{00000000-0005-0000-0000-0000A1B60000}"/>
    <cellStyle name="SAPBEXformats 2 5 2" xfId="46591" xr:uid="{00000000-0005-0000-0000-0000A2B60000}"/>
    <cellStyle name="SAPBEXformats 2 5 2 2" xfId="46592" xr:uid="{00000000-0005-0000-0000-0000A3B60000}"/>
    <cellStyle name="SAPBEXformats 2 5 3" xfId="46593" xr:uid="{00000000-0005-0000-0000-0000A4B60000}"/>
    <cellStyle name="SAPBEXformats 2 6" xfId="46594" xr:uid="{00000000-0005-0000-0000-0000A5B60000}"/>
    <cellStyle name="SAPBEXformats 2 6 2" xfId="46595" xr:uid="{00000000-0005-0000-0000-0000A6B60000}"/>
    <cellStyle name="SAPBEXformats 2 7" xfId="46596" xr:uid="{00000000-0005-0000-0000-0000A7B60000}"/>
    <cellStyle name="SAPBEXformats 3" xfId="46597" xr:uid="{00000000-0005-0000-0000-0000A8B60000}"/>
    <cellStyle name="SAPBEXformats 3 2" xfId="46598" xr:uid="{00000000-0005-0000-0000-0000A9B60000}"/>
    <cellStyle name="SAPBEXformats 3 2 2" xfId="46599" xr:uid="{00000000-0005-0000-0000-0000AAB60000}"/>
    <cellStyle name="SAPBEXformats 3 3" xfId="46600" xr:uid="{00000000-0005-0000-0000-0000ABB60000}"/>
    <cellStyle name="SAPBEXformats 3 3 2" xfId="46601" xr:uid="{00000000-0005-0000-0000-0000ACB60000}"/>
    <cellStyle name="SAPBEXformats 3 3 2 2" xfId="46602" xr:uid="{00000000-0005-0000-0000-0000ADB60000}"/>
    <cellStyle name="SAPBEXformats 3 3 3" xfId="46603" xr:uid="{00000000-0005-0000-0000-0000AEB60000}"/>
    <cellStyle name="SAPBEXformats 3 4" xfId="46604" xr:uid="{00000000-0005-0000-0000-0000AFB60000}"/>
    <cellStyle name="SAPBEXformats 3 4 2" xfId="46605" xr:uid="{00000000-0005-0000-0000-0000B0B60000}"/>
    <cellStyle name="SAPBEXformats 3 4 2 2" xfId="46606" xr:uid="{00000000-0005-0000-0000-0000B1B60000}"/>
    <cellStyle name="SAPBEXformats 3 4 3" xfId="46607" xr:uid="{00000000-0005-0000-0000-0000B2B60000}"/>
    <cellStyle name="SAPBEXformats 3 5" xfId="46608" xr:uid="{00000000-0005-0000-0000-0000B3B60000}"/>
    <cellStyle name="SAPBEXformats 4" xfId="46609" xr:uid="{00000000-0005-0000-0000-0000B4B60000}"/>
    <cellStyle name="SAPBEXformats 4 2" xfId="46610" xr:uid="{00000000-0005-0000-0000-0000B5B60000}"/>
    <cellStyle name="SAPBEXformats 4 2 2" xfId="46611" xr:uid="{00000000-0005-0000-0000-0000B6B60000}"/>
    <cellStyle name="SAPBEXformats 4 2 2 2" xfId="46612" xr:uid="{00000000-0005-0000-0000-0000B7B60000}"/>
    <cellStyle name="SAPBEXformats 4 2 3" xfId="46613" xr:uid="{00000000-0005-0000-0000-0000B8B60000}"/>
    <cellStyle name="SAPBEXformats 4 2 3 2" xfId="46614" xr:uid="{00000000-0005-0000-0000-0000B9B60000}"/>
    <cellStyle name="SAPBEXformats 4 2 3 2 2" xfId="46615" xr:uid="{00000000-0005-0000-0000-0000BAB60000}"/>
    <cellStyle name="SAPBEXformats 4 2 3 3" xfId="46616" xr:uid="{00000000-0005-0000-0000-0000BBB60000}"/>
    <cellStyle name="SAPBEXformats 4 2 4" xfId="46617" xr:uid="{00000000-0005-0000-0000-0000BCB60000}"/>
    <cellStyle name="SAPBEXformats 4 3" xfId="46618" xr:uid="{00000000-0005-0000-0000-0000BDB60000}"/>
    <cellStyle name="SAPBEXformats 4 3 2" xfId="46619" xr:uid="{00000000-0005-0000-0000-0000BEB60000}"/>
    <cellStyle name="SAPBEXformats 4 3 2 2" xfId="46620" xr:uid="{00000000-0005-0000-0000-0000BFB60000}"/>
    <cellStyle name="SAPBEXformats 4 3 3" xfId="46621" xr:uid="{00000000-0005-0000-0000-0000C0B60000}"/>
    <cellStyle name="SAPBEXformats 4 4" xfId="46622" xr:uid="{00000000-0005-0000-0000-0000C1B60000}"/>
    <cellStyle name="SAPBEXformats 4 4 2" xfId="46623" xr:uid="{00000000-0005-0000-0000-0000C2B60000}"/>
    <cellStyle name="SAPBEXformats 4 4 2 2" xfId="46624" xr:uid="{00000000-0005-0000-0000-0000C3B60000}"/>
    <cellStyle name="SAPBEXformats 4 4 3" xfId="46625" xr:uid="{00000000-0005-0000-0000-0000C4B60000}"/>
    <cellStyle name="SAPBEXformats 4 5" xfId="46626" xr:uid="{00000000-0005-0000-0000-0000C5B60000}"/>
    <cellStyle name="SAPBEXformats 4 5 2" xfId="46627" xr:uid="{00000000-0005-0000-0000-0000C6B60000}"/>
    <cellStyle name="SAPBEXformats 4 5 2 2" xfId="46628" xr:uid="{00000000-0005-0000-0000-0000C7B60000}"/>
    <cellStyle name="SAPBEXformats 4 5 3" xfId="46629" xr:uid="{00000000-0005-0000-0000-0000C8B60000}"/>
    <cellStyle name="SAPBEXformats 4 6" xfId="46630" xr:uid="{00000000-0005-0000-0000-0000C9B60000}"/>
    <cellStyle name="SAPBEXformats 5" xfId="46631" xr:uid="{00000000-0005-0000-0000-0000CAB60000}"/>
    <cellStyle name="SAPBEXformats 5 2" xfId="46632" xr:uid="{00000000-0005-0000-0000-0000CBB60000}"/>
    <cellStyle name="SAPBEXformats 5 2 2" xfId="46633" xr:uid="{00000000-0005-0000-0000-0000CCB60000}"/>
    <cellStyle name="SAPBEXformats 5 3" xfId="46634" xr:uid="{00000000-0005-0000-0000-0000CDB60000}"/>
    <cellStyle name="SAPBEXformats 6" xfId="46635" xr:uid="{00000000-0005-0000-0000-0000CEB60000}"/>
    <cellStyle name="SAPBEXformats 6 2" xfId="46636" xr:uid="{00000000-0005-0000-0000-0000CFB60000}"/>
    <cellStyle name="SAPBEXformats 6 2 2" xfId="46637" xr:uid="{00000000-0005-0000-0000-0000D0B60000}"/>
    <cellStyle name="SAPBEXformats 6 3" xfId="46638" xr:uid="{00000000-0005-0000-0000-0000D1B60000}"/>
    <cellStyle name="SAPBEXformats 7" xfId="46639" xr:uid="{00000000-0005-0000-0000-0000D2B60000}"/>
    <cellStyle name="SAPBEXformats 7 2" xfId="46640" xr:uid="{00000000-0005-0000-0000-0000D3B60000}"/>
    <cellStyle name="SAPBEXformats 7 2 2" xfId="46641" xr:uid="{00000000-0005-0000-0000-0000D4B60000}"/>
    <cellStyle name="SAPBEXformats 7 3" xfId="46642" xr:uid="{00000000-0005-0000-0000-0000D5B60000}"/>
    <cellStyle name="SAPBEXformats 8" xfId="46643" xr:uid="{00000000-0005-0000-0000-0000D6B60000}"/>
    <cellStyle name="SAPBEXformats 8 2" xfId="46644" xr:uid="{00000000-0005-0000-0000-0000D7B60000}"/>
    <cellStyle name="SAPBEXformats 9" xfId="46645" xr:uid="{00000000-0005-0000-0000-0000D8B60000}"/>
    <cellStyle name="SAPBEXformats 9 2" xfId="46646" xr:uid="{00000000-0005-0000-0000-0000D9B60000}"/>
    <cellStyle name="SAPBEXheaderItem" xfId="58" xr:uid="{00000000-0005-0000-0000-0000DAB60000}"/>
    <cellStyle name="SAPBEXheaderItem 10" xfId="46647" xr:uid="{00000000-0005-0000-0000-0000DBB60000}"/>
    <cellStyle name="SAPBEXheaderItem 10 2" xfId="46648" xr:uid="{00000000-0005-0000-0000-0000DCB60000}"/>
    <cellStyle name="SAPBEXheaderItem 11" xfId="46649" xr:uid="{00000000-0005-0000-0000-0000DDB60000}"/>
    <cellStyle name="SAPBEXheaderItem 11 2" xfId="46650" xr:uid="{00000000-0005-0000-0000-0000DEB60000}"/>
    <cellStyle name="SAPBEXheaderItem 12" xfId="46651" xr:uid="{00000000-0005-0000-0000-0000DFB60000}"/>
    <cellStyle name="SAPBEXheaderItem 12 2" xfId="46652" xr:uid="{00000000-0005-0000-0000-0000E0B60000}"/>
    <cellStyle name="SAPBEXheaderItem 13" xfId="46653" xr:uid="{00000000-0005-0000-0000-0000E1B60000}"/>
    <cellStyle name="SAPBEXheaderItem 13 2" xfId="46654" xr:uid="{00000000-0005-0000-0000-0000E2B60000}"/>
    <cellStyle name="SAPBEXheaderItem 14" xfId="46655" xr:uid="{00000000-0005-0000-0000-0000E3B60000}"/>
    <cellStyle name="SAPBEXheaderItem 2" xfId="46656" xr:uid="{00000000-0005-0000-0000-0000E4B60000}"/>
    <cellStyle name="SAPBEXheaderItem 2 2" xfId="46657" xr:uid="{00000000-0005-0000-0000-0000E5B60000}"/>
    <cellStyle name="SAPBEXheaderItem 2 2 2" xfId="46658" xr:uid="{00000000-0005-0000-0000-0000E6B60000}"/>
    <cellStyle name="SAPBEXheaderItem 2 2 2 2" xfId="46659" xr:uid="{00000000-0005-0000-0000-0000E7B60000}"/>
    <cellStyle name="SAPBEXheaderItem 2 2 2 2 2" xfId="46660" xr:uid="{00000000-0005-0000-0000-0000E8B60000}"/>
    <cellStyle name="SAPBEXheaderItem 2 2 2 2 2 2" xfId="46661" xr:uid="{00000000-0005-0000-0000-0000E9B60000}"/>
    <cellStyle name="SAPBEXheaderItem 2 2 2 2 3" xfId="46662" xr:uid="{00000000-0005-0000-0000-0000EAB60000}"/>
    <cellStyle name="SAPBEXheaderItem 2 2 2 3" xfId="46663" xr:uid="{00000000-0005-0000-0000-0000EBB60000}"/>
    <cellStyle name="SAPBEXheaderItem 2 2 2 3 2" xfId="46664" xr:uid="{00000000-0005-0000-0000-0000ECB60000}"/>
    <cellStyle name="SAPBEXheaderItem 2 2 2 4" xfId="46665" xr:uid="{00000000-0005-0000-0000-0000EDB60000}"/>
    <cellStyle name="SAPBEXheaderItem 2 2 3" xfId="46666" xr:uid="{00000000-0005-0000-0000-0000EEB60000}"/>
    <cellStyle name="SAPBEXheaderItem 2 2 3 2" xfId="46667" xr:uid="{00000000-0005-0000-0000-0000EFB60000}"/>
    <cellStyle name="SAPBEXheaderItem 2 2 3 2 2" xfId="46668" xr:uid="{00000000-0005-0000-0000-0000F0B60000}"/>
    <cellStyle name="SAPBEXheaderItem 2 2 3 3" xfId="46669" xr:uid="{00000000-0005-0000-0000-0000F1B60000}"/>
    <cellStyle name="SAPBEXheaderItem 2 2 4" xfId="46670" xr:uid="{00000000-0005-0000-0000-0000F2B60000}"/>
    <cellStyle name="SAPBEXheaderItem 2 2 4 2" xfId="46671" xr:uid="{00000000-0005-0000-0000-0000F3B60000}"/>
    <cellStyle name="SAPBEXheaderItem 2 2 4 2 2" xfId="46672" xr:uid="{00000000-0005-0000-0000-0000F4B60000}"/>
    <cellStyle name="SAPBEXheaderItem 2 2 4 3" xfId="46673" xr:uid="{00000000-0005-0000-0000-0000F5B60000}"/>
    <cellStyle name="SAPBEXheaderItem 2 2 5" xfId="46674" xr:uid="{00000000-0005-0000-0000-0000F6B60000}"/>
    <cellStyle name="SAPBEXheaderItem 2 2 5 2" xfId="46675" xr:uid="{00000000-0005-0000-0000-0000F7B60000}"/>
    <cellStyle name="SAPBEXheaderItem 2 2 6" xfId="46676" xr:uid="{00000000-0005-0000-0000-0000F8B60000}"/>
    <cellStyle name="SAPBEXheaderItem 2 3" xfId="46677" xr:uid="{00000000-0005-0000-0000-0000F9B60000}"/>
    <cellStyle name="SAPBEXheaderItem 2 3 2" xfId="46678" xr:uid="{00000000-0005-0000-0000-0000FAB60000}"/>
    <cellStyle name="SAPBEXheaderItem 2 4" xfId="46679" xr:uid="{00000000-0005-0000-0000-0000FBB60000}"/>
    <cellStyle name="SAPBEXheaderItem 2 4 2" xfId="46680" xr:uid="{00000000-0005-0000-0000-0000FCB60000}"/>
    <cellStyle name="SAPBEXheaderItem 2 4 2 2" xfId="46681" xr:uid="{00000000-0005-0000-0000-0000FDB60000}"/>
    <cellStyle name="SAPBEXheaderItem 2 4 3" xfId="46682" xr:uid="{00000000-0005-0000-0000-0000FEB60000}"/>
    <cellStyle name="SAPBEXheaderItem 2 5" xfId="46683" xr:uid="{00000000-0005-0000-0000-0000FFB60000}"/>
    <cellStyle name="SAPBEXheaderItem 2 5 2" xfId="46684" xr:uid="{00000000-0005-0000-0000-000000B70000}"/>
    <cellStyle name="SAPBEXheaderItem 2 5 2 2" xfId="46685" xr:uid="{00000000-0005-0000-0000-000001B70000}"/>
    <cellStyle name="SAPBEXheaderItem 2 5 3" xfId="46686" xr:uid="{00000000-0005-0000-0000-000002B70000}"/>
    <cellStyle name="SAPBEXheaderItem 2 6" xfId="46687" xr:uid="{00000000-0005-0000-0000-000003B70000}"/>
    <cellStyle name="SAPBEXheaderItem 3" xfId="46688" xr:uid="{00000000-0005-0000-0000-000004B70000}"/>
    <cellStyle name="SAPBEXheaderItem 3 2" xfId="46689" xr:uid="{00000000-0005-0000-0000-000005B70000}"/>
    <cellStyle name="SAPBEXheaderItem 3 2 2" xfId="46690" xr:uid="{00000000-0005-0000-0000-000006B70000}"/>
    <cellStyle name="SAPBEXheaderItem 3 3" xfId="46691" xr:uid="{00000000-0005-0000-0000-000007B70000}"/>
    <cellStyle name="SAPBEXheaderItem 3 3 2" xfId="46692" xr:uid="{00000000-0005-0000-0000-000008B70000}"/>
    <cellStyle name="SAPBEXheaderItem 3 3 2 2" xfId="46693" xr:uid="{00000000-0005-0000-0000-000009B70000}"/>
    <cellStyle name="SAPBEXheaderItem 3 3 3" xfId="46694" xr:uid="{00000000-0005-0000-0000-00000AB70000}"/>
    <cellStyle name="SAPBEXheaderItem 3 4" xfId="46695" xr:uid="{00000000-0005-0000-0000-00000BB70000}"/>
    <cellStyle name="SAPBEXheaderItem 3 4 2" xfId="46696" xr:uid="{00000000-0005-0000-0000-00000CB70000}"/>
    <cellStyle name="SAPBEXheaderItem 3 4 2 2" xfId="46697" xr:uid="{00000000-0005-0000-0000-00000DB70000}"/>
    <cellStyle name="SAPBEXheaderItem 3 4 3" xfId="46698" xr:uid="{00000000-0005-0000-0000-00000EB70000}"/>
    <cellStyle name="SAPBEXheaderItem 3 5" xfId="46699" xr:uid="{00000000-0005-0000-0000-00000FB70000}"/>
    <cellStyle name="SAPBEXheaderItem 4" xfId="46700" xr:uid="{00000000-0005-0000-0000-000010B70000}"/>
    <cellStyle name="SAPBEXheaderItem 4 2" xfId="46701" xr:uid="{00000000-0005-0000-0000-000011B70000}"/>
    <cellStyle name="SAPBEXheaderItem 4 2 2" xfId="46702" xr:uid="{00000000-0005-0000-0000-000012B70000}"/>
    <cellStyle name="SAPBEXheaderItem 4 3" xfId="46703" xr:uid="{00000000-0005-0000-0000-000013B70000}"/>
    <cellStyle name="SAPBEXheaderItem 4 3 2" xfId="46704" xr:uid="{00000000-0005-0000-0000-000014B70000}"/>
    <cellStyle name="SAPBEXheaderItem 4 3 2 2" xfId="46705" xr:uid="{00000000-0005-0000-0000-000015B70000}"/>
    <cellStyle name="SAPBEXheaderItem 4 3 3" xfId="46706" xr:uid="{00000000-0005-0000-0000-000016B70000}"/>
    <cellStyle name="SAPBEXheaderItem 4 4" xfId="46707" xr:uid="{00000000-0005-0000-0000-000017B70000}"/>
    <cellStyle name="SAPBEXheaderItem 4 4 2" xfId="46708" xr:uid="{00000000-0005-0000-0000-000018B70000}"/>
    <cellStyle name="SAPBEXheaderItem 4 4 2 2" xfId="46709" xr:uid="{00000000-0005-0000-0000-000019B70000}"/>
    <cellStyle name="SAPBEXheaderItem 4 4 3" xfId="46710" xr:uid="{00000000-0005-0000-0000-00001AB70000}"/>
    <cellStyle name="SAPBEXheaderItem 4 5" xfId="46711" xr:uid="{00000000-0005-0000-0000-00001BB70000}"/>
    <cellStyle name="SAPBEXheaderItem 5" xfId="46712" xr:uid="{00000000-0005-0000-0000-00001CB70000}"/>
    <cellStyle name="SAPBEXheaderItem 5 2" xfId="46713" xr:uid="{00000000-0005-0000-0000-00001DB70000}"/>
    <cellStyle name="SAPBEXheaderItem 5 2 2" xfId="46714" xr:uid="{00000000-0005-0000-0000-00001EB70000}"/>
    <cellStyle name="SAPBEXheaderItem 5 2 2 2" xfId="46715" xr:uid="{00000000-0005-0000-0000-00001FB70000}"/>
    <cellStyle name="SAPBEXheaderItem 5 2 3" xfId="46716" xr:uid="{00000000-0005-0000-0000-000020B70000}"/>
    <cellStyle name="SAPBEXheaderItem 5 2 3 2" xfId="46717" xr:uid="{00000000-0005-0000-0000-000021B70000}"/>
    <cellStyle name="SAPBEXheaderItem 5 2 3 2 2" xfId="46718" xr:uid="{00000000-0005-0000-0000-000022B70000}"/>
    <cellStyle name="SAPBEXheaderItem 5 2 3 3" xfId="46719" xr:uid="{00000000-0005-0000-0000-000023B70000}"/>
    <cellStyle name="SAPBEXheaderItem 5 2 4" xfId="46720" xr:uid="{00000000-0005-0000-0000-000024B70000}"/>
    <cellStyle name="SAPBEXheaderItem 5 3" xfId="46721" xr:uid="{00000000-0005-0000-0000-000025B70000}"/>
    <cellStyle name="SAPBEXheaderItem 5 3 2" xfId="46722" xr:uid="{00000000-0005-0000-0000-000026B70000}"/>
    <cellStyle name="SAPBEXheaderItem 5 3 2 2" xfId="46723" xr:uid="{00000000-0005-0000-0000-000027B70000}"/>
    <cellStyle name="SAPBEXheaderItem 5 3 3" xfId="46724" xr:uid="{00000000-0005-0000-0000-000028B70000}"/>
    <cellStyle name="SAPBEXheaderItem 5 4" xfId="46725" xr:uid="{00000000-0005-0000-0000-000029B70000}"/>
    <cellStyle name="SAPBEXheaderItem 5 4 2" xfId="46726" xr:uid="{00000000-0005-0000-0000-00002AB70000}"/>
    <cellStyle name="SAPBEXheaderItem 5 4 2 2" xfId="46727" xr:uid="{00000000-0005-0000-0000-00002BB70000}"/>
    <cellStyle name="SAPBEXheaderItem 5 4 3" xfId="46728" xr:uid="{00000000-0005-0000-0000-00002CB70000}"/>
    <cellStyle name="SAPBEXheaderItem 5 5" xfId="46729" xr:uid="{00000000-0005-0000-0000-00002DB70000}"/>
    <cellStyle name="SAPBEXheaderItem 5 5 2" xfId="46730" xr:uid="{00000000-0005-0000-0000-00002EB70000}"/>
    <cellStyle name="SAPBEXheaderItem 5 5 2 2" xfId="46731" xr:uid="{00000000-0005-0000-0000-00002FB70000}"/>
    <cellStyle name="SAPBEXheaderItem 5 5 3" xfId="46732" xr:uid="{00000000-0005-0000-0000-000030B70000}"/>
    <cellStyle name="SAPBEXheaderItem 5 6" xfId="46733" xr:uid="{00000000-0005-0000-0000-000031B70000}"/>
    <cellStyle name="SAPBEXheaderItem 6" xfId="46734" xr:uid="{00000000-0005-0000-0000-000032B70000}"/>
    <cellStyle name="SAPBEXheaderItem 6 2" xfId="46735" xr:uid="{00000000-0005-0000-0000-000033B70000}"/>
    <cellStyle name="SAPBEXheaderItem 6 2 2" xfId="46736" xr:uid="{00000000-0005-0000-0000-000034B70000}"/>
    <cellStyle name="SAPBEXheaderItem 6 3" xfId="46737" xr:uid="{00000000-0005-0000-0000-000035B70000}"/>
    <cellStyle name="SAPBEXheaderItem 7" xfId="46738" xr:uid="{00000000-0005-0000-0000-000036B70000}"/>
    <cellStyle name="SAPBEXheaderItem 7 2" xfId="46739" xr:uid="{00000000-0005-0000-0000-000037B70000}"/>
    <cellStyle name="SAPBEXheaderItem 7 2 2" xfId="46740" xr:uid="{00000000-0005-0000-0000-000038B70000}"/>
    <cellStyle name="SAPBEXheaderItem 7 3" xfId="46741" xr:uid="{00000000-0005-0000-0000-000039B70000}"/>
    <cellStyle name="SAPBEXheaderItem 8" xfId="46742" xr:uid="{00000000-0005-0000-0000-00003AB70000}"/>
    <cellStyle name="SAPBEXheaderItem 8 2" xfId="46743" xr:uid="{00000000-0005-0000-0000-00003BB70000}"/>
    <cellStyle name="SAPBEXheaderItem 8 2 2" xfId="46744" xr:uid="{00000000-0005-0000-0000-00003CB70000}"/>
    <cellStyle name="SAPBEXheaderItem 8 3" xfId="46745" xr:uid="{00000000-0005-0000-0000-00003DB70000}"/>
    <cellStyle name="SAPBEXheaderItem 9" xfId="46746" xr:uid="{00000000-0005-0000-0000-00003EB70000}"/>
    <cellStyle name="SAPBEXheaderItem 9 2" xfId="46747" xr:uid="{00000000-0005-0000-0000-00003FB70000}"/>
    <cellStyle name="SAPBEXheaderText" xfId="59" xr:uid="{00000000-0005-0000-0000-000040B70000}"/>
    <cellStyle name="SAPBEXheaderText 10" xfId="46748" xr:uid="{00000000-0005-0000-0000-000041B70000}"/>
    <cellStyle name="SAPBEXheaderText 10 2" xfId="46749" xr:uid="{00000000-0005-0000-0000-000042B70000}"/>
    <cellStyle name="SAPBEXheaderText 11" xfId="46750" xr:uid="{00000000-0005-0000-0000-000043B70000}"/>
    <cellStyle name="SAPBEXheaderText 11 2" xfId="46751" xr:uid="{00000000-0005-0000-0000-000044B70000}"/>
    <cellStyle name="SAPBEXheaderText 12" xfId="46752" xr:uid="{00000000-0005-0000-0000-000045B70000}"/>
    <cellStyle name="SAPBEXheaderText 12 2" xfId="46753" xr:uid="{00000000-0005-0000-0000-000046B70000}"/>
    <cellStyle name="SAPBEXheaderText 13" xfId="46754" xr:uid="{00000000-0005-0000-0000-000047B70000}"/>
    <cellStyle name="SAPBEXheaderText 13 2" xfId="46755" xr:uid="{00000000-0005-0000-0000-000048B70000}"/>
    <cellStyle name="SAPBEXheaderText 14" xfId="46756" xr:uid="{00000000-0005-0000-0000-000049B70000}"/>
    <cellStyle name="SAPBEXheaderText 2" xfId="46757" xr:uid="{00000000-0005-0000-0000-00004AB70000}"/>
    <cellStyle name="SAPBEXheaderText 2 2" xfId="46758" xr:uid="{00000000-0005-0000-0000-00004BB70000}"/>
    <cellStyle name="SAPBEXheaderText 2 2 2" xfId="46759" xr:uid="{00000000-0005-0000-0000-00004CB70000}"/>
    <cellStyle name="SAPBEXheaderText 2 2 2 2" xfId="46760" xr:uid="{00000000-0005-0000-0000-00004DB70000}"/>
    <cellStyle name="SAPBEXheaderText 2 2 2 2 2" xfId="46761" xr:uid="{00000000-0005-0000-0000-00004EB70000}"/>
    <cellStyle name="SAPBEXheaderText 2 2 2 2 2 2" xfId="46762" xr:uid="{00000000-0005-0000-0000-00004FB70000}"/>
    <cellStyle name="SAPBEXheaderText 2 2 2 2 3" xfId="46763" xr:uid="{00000000-0005-0000-0000-000050B70000}"/>
    <cellStyle name="SAPBEXheaderText 2 2 2 3" xfId="46764" xr:uid="{00000000-0005-0000-0000-000051B70000}"/>
    <cellStyle name="SAPBEXheaderText 2 2 2 3 2" xfId="46765" xr:uid="{00000000-0005-0000-0000-000052B70000}"/>
    <cellStyle name="SAPBEXheaderText 2 2 2 4" xfId="46766" xr:uid="{00000000-0005-0000-0000-000053B70000}"/>
    <cellStyle name="SAPBEXheaderText 2 2 3" xfId="46767" xr:uid="{00000000-0005-0000-0000-000054B70000}"/>
    <cellStyle name="SAPBEXheaderText 2 2 3 2" xfId="46768" xr:uid="{00000000-0005-0000-0000-000055B70000}"/>
    <cellStyle name="SAPBEXheaderText 2 2 3 2 2" xfId="46769" xr:uid="{00000000-0005-0000-0000-000056B70000}"/>
    <cellStyle name="SAPBEXheaderText 2 2 3 3" xfId="46770" xr:uid="{00000000-0005-0000-0000-000057B70000}"/>
    <cellStyle name="SAPBEXheaderText 2 2 4" xfId="46771" xr:uid="{00000000-0005-0000-0000-000058B70000}"/>
    <cellStyle name="SAPBEXheaderText 2 2 4 2" xfId="46772" xr:uid="{00000000-0005-0000-0000-000059B70000}"/>
    <cellStyle name="SAPBEXheaderText 2 2 4 2 2" xfId="46773" xr:uid="{00000000-0005-0000-0000-00005AB70000}"/>
    <cellStyle name="SAPBEXheaderText 2 2 4 3" xfId="46774" xr:uid="{00000000-0005-0000-0000-00005BB70000}"/>
    <cellStyle name="SAPBEXheaderText 2 2 5" xfId="46775" xr:uid="{00000000-0005-0000-0000-00005CB70000}"/>
    <cellStyle name="SAPBEXheaderText 2 2 5 2" xfId="46776" xr:uid="{00000000-0005-0000-0000-00005DB70000}"/>
    <cellStyle name="SAPBEXheaderText 2 2 6" xfId="46777" xr:uid="{00000000-0005-0000-0000-00005EB70000}"/>
    <cellStyle name="SAPBEXheaderText 2 3" xfId="46778" xr:uid="{00000000-0005-0000-0000-00005FB70000}"/>
    <cellStyle name="SAPBEXheaderText 2 3 2" xfId="46779" xr:uid="{00000000-0005-0000-0000-000060B70000}"/>
    <cellStyle name="SAPBEXheaderText 2 4" xfId="46780" xr:uid="{00000000-0005-0000-0000-000061B70000}"/>
    <cellStyle name="SAPBEXheaderText 2 4 2" xfId="46781" xr:uid="{00000000-0005-0000-0000-000062B70000}"/>
    <cellStyle name="SAPBEXheaderText 2 4 2 2" xfId="46782" xr:uid="{00000000-0005-0000-0000-000063B70000}"/>
    <cellStyle name="SAPBEXheaderText 2 4 3" xfId="46783" xr:uid="{00000000-0005-0000-0000-000064B70000}"/>
    <cellStyle name="SAPBEXheaderText 2 5" xfId="46784" xr:uid="{00000000-0005-0000-0000-000065B70000}"/>
    <cellStyle name="SAPBEXheaderText 2 5 2" xfId="46785" xr:uid="{00000000-0005-0000-0000-000066B70000}"/>
    <cellStyle name="SAPBEXheaderText 2 5 2 2" xfId="46786" xr:uid="{00000000-0005-0000-0000-000067B70000}"/>
    <cellStyle name="SAPBEXheaderText 2 5 3" xfId="46787" xr:uid="{00000000-0005-0000-0000-000068B70000}"/>
    <cellStyle name="SAPBEXheaderText 2 6" xfId="46788" xr:uid="{00000000-0005-0000-0000-000069B70000}"/>
    <cellStyle name="SAPBEXheaderText 3" xfId="46789" xr:uid="{00000000-0005-0000-0000-00006AB70000}"/>
    <cellStyle name="SAPBEXheaderText 3 2" xfId="46790" xr:uid="{00000000-0005-0000-0000-00006BB70000}"/>
    <cellStyle name="SAPBEXheaderText 3 2 2" xfId="46791" xr:uid="{00000000-0005-0000-0000-00006CB70000}"/>
    <cellStyle name="SAPBEXheaderText 3 3" xfId="46792" xr:uid="{00000000-0005-0000-0000-00006DB70000}"/>
    <cellStyle name="SAPBEXheaderText 3 3 2" xfId="46793" xr:uid="{00000000-0005-0000-0000-00006EB70000}"/>
    <cellStyle name="SAPBEXheaderText 3 3 2 2" xfId="46794" xr:uid="{00000000-0005-0000-0000-00006FB70000}"/>
    <cellStyle name="SAPBEXheaderText 3 3 3" xfId="46795" xr:uid="{00000000-0005-0000-0000-000070B70000}"/>
    <cellStyle name="SAPBEXheaderText 3 4" xfId="46796" xr:uid="{00000000-0005-0000-0000-000071B70000}"/>
    <cellStyle name="SAPBEXheaderText 3 4 2" xfId="46797" xr:uid="{00000000-0005-0000-0000-000072B70000}"/>
    <cellStyle name="SAPBEXheaderText 3 4 2 2" xfId="46798" xr:uid="{00000000-0005-0000-0000-000073B70000}"/>
    <cellStyle name="SAPBEXheaderText 3 4 3" xfId="46799" xr:uid="{00000000-0005-0000-0000-000074B70000}"/>
    <cellStyle name="SAPBEXheaderText 3 5" xfId="46800" xr:uid="{00000000-0005-0000-0000-000075B70000}"/>
    <cellStyle name="SAPBEXheaderText 4" xfId="46801" xr:uid="{00000000-0005-0000-0000-000076B70000}"/>
    <cellStyle name="SAPBEXheaderText 4 2" xfId="46802" xr:uid="{00000000-0005-0000-0000-000077B70000}"/>
    <cellStyle name="SAPBEXheaderText 4 2 2" xfId="46803" xr:uid="{00000000-0005-0000-0000-000078B70000}"/>
    <cellStyle name="SAPBEXheaderText 4 3" xfId="46804" xr:uid="{00000000-0005-0000-0000-000079B70000}"/>
    <cellStyle name="SAPBEXheaderText 4 3 2" xfId="46805" xr:uid="{00000000-0005-0000-0000-00007AB70000}"/>
    <cellStyle name="SAPBEXheaderText 4 3 2 2" xfId="46806" xr:uid="{00000000-0005-0000-0000-00007BB70000}"/>
    <cellStyle name="SAPBEXheaderText 4 3 3" xfId="46807" xr:uid="{00000000-0005-0000-0000-00007CB70000}"/>
    <cellStyle name="SAPBEXheaderText 4 4" xfId="46808" xr:uid="{00000000-0005-0000-0000-00007DB70000}"/>
    <cellStyle name="SAPBEXheaderText 4 4 2" xfId="46809" xr:uid="{00000000-0005-0000-0000-00007EB70000}"/>
    <cellStyle name="SAPBEXheaderText 4 4 2 2" xfId="46810" xr:uid="{00000000-0005-0000-0000-00007FB70000}"/>
    <cellStyle name="SAPBEXheaderText 4 4 3" xfId="46811" xr:uid="{00000000-0005-0000-0000-000080B70000}"/>
    <cellStyle name="SAPBEXheaderText 4 5" xfId="46812" xr:uid="{00000000-0005-0000-0000-000081B70000}"/>
    <cellStyle name="SAPBEXheaderText 5" xfId="46813" xr:uid="{00000000-0005-0000-0000-000082B70000}"/>
    <cellStyle name="SAPBEXheaderText 5 2" xfId="46814" xr:uid="{00000000-0005-0000-0000-000083B70000}"/>
    <cellStyle name="SAPBEXheaderText 5 2 2" xfId="46815" xr:uid="{00000000-0005-0000-0000-000084B70000}"/>
    <cellStyle name="SAPBEXheaderText 5 2 2 2" xfId="46816" xr:uid="{00000000-0005-0000-0000-000085B70000}"/>
    <cellStyle name="SAPBEXheaderText 5 2 3" xfId="46817" xr:uid="{00000000-0005-0000-0000-000086B70000}"/>
    <cellStyle name="SAPBEXheaderText 5 2 3 2" xfId="46818" xr:uid="{00000000-0005-0000-0000-000087B70000}"/>
    <cellStyle name="SAPBEXheaderText 5 2 3 2 2" xfId="46819" xr:uid="{00000000-0005-0000-0000-000088B70000}"/>
    <cellStyle name="SAPBEXheaderText 5 2 3 3" xfId="46820" xr:uid="{00000000-0005-0000-0000-000089B70000}"/>
    <cellStyle name="SAPBEXheaderText 5 2 4" xfId="46821" xr:uid="{00000000-0005-0000-0000-00008AB70000}"/>
    <cellStyle name="SAPBEXheaderText 5 3" xfId="46822" xr:uid="{00000000-0005-0000-0000-00008BB70000}"/>
    <cellStyle name="SAPBEXheaderText 5 3 2" xfId="46823" xr:uid="{00000000-0005-0000-0000-00008CB70000}"/>
    <cellStyle name="SAPBEXheaderText 5 3 2 2" xfId="46824" xr:uid="{00000000-0005-0000-0000-00008DB70000}"/>
    <cellStyle name="SAPBEXheaderText 5 3 3" xfId="46825" xr:uid="{00000000-0005-0000-0000-00008EB70000}"/>
    <cellStyle name="SAPBEXheaderText 5 4" xfId="46826" xr:uid="{00000000-0005-0000-0000-00008FB70000}"/>
    <cellStyle name="SAPBEXheaderText 5 4 2" xfId="46827" xr:uid="{00000000-0005-0000-0000-000090B70000}"/>
    <cellStyle name="SAPBEXheaderText 5 4 2 2" xfId="46828" xr:uid="{00000000-0005-0000-0000-000091B70000}"/>
    <cellStyle name="SAPBEXheaderText 5 4 3" xfId="46829" xr:uid="{00000000-0005-0000-0000-000092B70000}"/>
    <cellStyle name="SAPBEXheaderText 5 5" xfId="46830" xr:uid="{00000000-0005-0000-0000-000093B70000}"/>
    <cellStyle name="SAPBEXheaderText 5 5 2" xfId="46831" xr:uid="{00000000-0005-0000-0000-000094B70000}"/>
    <cellStyle name="SAPBEXheaderText 5 5 2 2" xfId="46832" xr:uid="{00000000-0005-0000-0000-000095B70000}"/>
    <cellStyle name="SAPBEXheaderText 5 5 3" xfId="46833" xr:uid="{00000000-0005-0000-0000-000096B70000}"/>
    <cellStyle name="SAPBEXheaderText 5 6" xfId="46834" xr:uid="{00000000-0005-0000-0000-000097B70000}"/>
    <cellStyle name="SAPBEXheaderText 6" xfId="46835" xr:uid="{00000000-0005-0000-0000-000098B70000}"/>
    <cellStyle name="SAPBEXheaderText 6 2" xfId="46836" xr:uid="{00000000-0005-0000-0000-000099B70000}"/>
    <cellStyle name="SAPBEXheaderText 6 2 2" xfId="46837" xr:uid="{00000000-0005-0000-0000-00009AB70000}"/>
    <cellStyle name="SAPBEXheaderText 6 3" xfId="46838" xr:uid="{00000000-0005-0000-0000-00009BB70000}"/>
    <cellStyle name="SAPBEXheaderText 7" xfId="46839" xr:uid="{00000000-0005-0000-0000-00009CB70000}"/>
    <cellStyle name="SAPBEXheaderText 7 2" xfId="46840" xr:uid="{00000000-0005-0000-0000-00009DB70000}"/>
    <cellStyle name="SAPBEXheaderText 7 2 2" xfId="46841" xr:uid="{00000000-0005-0000-0000-00009EB70000}"/>
    <cellStyle name="SAPBEXheaderText 7 3" xfId="46842" xr:uid="{00000000-0005-0000-0000-00009FB70000}"/>
    <cellStyle name="SAPBEXheaderText 8" xfId="46843" xr:uid="{00000000-0005-0000-0000-0000A0B70000}"/>
    <cellStyle name="SAPBEXheaderText 8 2" xfId="46844" xr:uid="{00000000-0005-0000-0000-0000A1B70000}"/>
    <cellStyle name="SAPBEXheaderText 8 2 2" xfId="46845" xr:uid="{00000000-0005-0000-0000-0000A2B70000}"/>
    <cellStyle name="SAPBEXheaderText 8 3" xfId="46846" xr:uid="{00000000-0005-0000-0000-0000A3B70000}"/>
    <cellStyle name="SAPBEXheaderText 9" xfId="46847" xr:uid="{00000000-0005-0000-0000-0000A4B70000}"/>
    <cellStyle name="SAPBEXheaderText 9 2" xfId="46848" xr:uid="{00000000-0005-0000-0000-0000A5B70000}"/>
    <cellStyle name="SAPBEXHLevel0" xfId="60" xr:uid="{00000000-0005-0000-0000-0000A6B70000}"/>
    <cellStyle name="SAPBEXHLevel0 10" xfId="46849" xr:uid="{00000000-0005-0000-0000-0000A7B70000}"/>
    <cellStyle name="SAPBEXHLevel0 10 2" xfId="46850" xr:uid="{00000000-0005-0000-0000-0000A8B70000}"/>
    <cellStyle name="SAPBEXHLevel0 10 2 2" xfId="46851" xr:uid="{00000000-0005-0000-0000-0000A9B70000}"/>
    <cellStyle name="SAPBEXHLevel0 10 3" xfId="46852" xr:uid="{00000000-0005-0000-0000-0000AAB70000}"/>
    <cellStyle name="SAPBEXHLevel0 11" xfId="46853" xr:uid="{00000000-0005-0000-0000-0000ABB70000}"/>
    <cellStyle name="SAPBEXHLevel0 11 2" xfId="46854" xr:uid="{00000000-0005-0000-0000-0000ACB70000}"/>
    <cellStyle name="SAPBEXHLevel0 12" xfId="46855" xr:uid="{00000000-0005-0000-0000-0000ADB70000}"/>
    <cellStyle name="SAPBEXHLevel0 12 2" xfId="46856" xr:uid="{00000000-0005-0000-0000-0000AEB70000}"/>
    <cellStyle name="SAPBEXHLevel0 12 2 2" xfId="46857" xr:uid="{00000000-0005-0000-0000-0000AFB70000}"/>
    <cellStyle name="SAPBEXHLevel0 12 3" xfId="46858" xr:uid="{00000000-0005-0000-0000-0000B0B70000}"/>
    <cellStyle name="SAPBEXHLevel0 12 3 2" xfId="46859" xr:uid="{00000000-0005-0000-0000-0000B1B70000}"/>
    <cellStyle name="SAPBEXHLevel0 12 4" xfId="46860" xr:uid="{00000000-0005-0000-0000-0000B2B70000}"/>
    <cellStyle name="SAPBEXHLevel0 13" xfId="46861" xr:uid="{00000000-0005-0000-0000-0000B3B70000}"/>
    <cellStyle name="SAPBEXHLevel0 13 2" xfId="46862" xr:uid="{00000000-0005-0000-0000-0000B4B70000}"/>
    <cellStyle name="SAPBEXHLevel0 14" xfId="46863" xr:uid="{00000000-0005-0000-0000-0000B5B70000}"/>
    <cellStyle name="SAPBEXHLevel0 14 2" xfId="46864" xr:uid="{00000000-0005-0000-0000-0000B6B70000}"/>
    <cellStyle name="SAPBEXHLevel0 14 3" xfId="46865" xr:uid="{00000000-0005-0000-0000-0000B7B70000}"/>
    <cellStyle name="SAPBEXHLevel0 15" xfId="46866" xr:uid="{00000000-0005-0000-0000-0000B8B70000}"/>
    <cellStyle name="SAPBEXHLevel0 15 2" xfId="46867" xr:uid="{00000000-0005-0000-0000-0000B9B70000}"/>
    <cellStyle name="SAPBEXHLevel0 16" xfId="46868" xr:uid="{00000000-0005-0000-0000-0000BAB70000}"/>
    <cellStyle name="SAPBEXHLevel0 16 2" xfId="46869" xr:uid="{00000000-0005-0000-0000-0000BBB70000}"/>
    <cellStyle name="SAPBEXHLevel0 17" xfId="46870" xr:uid="{00000000-0005-0000-0000-0000BCB70000}"/>
    <cellStyle name="SAPBEXHLevel0 18" xfId="46871" xr:uid="{00000000-0005-0000-0000-0000BDB70000}"/>
    <cellStyle name="SAPBEXHLevel0 2" xfId="84" xr:uid="{00000000-0005-0000-0000-0000BEB70000}"/>
    <cellStyle name="SAPBEXHLevel0 2 10" xfId="46872" xr:uid="{00000000-0005-0000-0000-0000BFB70000}"/>
    <cellStyle name="SAPBEXHLevel0 2 2" xfId="46873" xr:uid="{00000000-0005-0000-0000-0000C0B70000}"/>
    <cellStyle name="SAPBEXHLevel0 2 2 2" xfId="46874" xr:uid="{00000000-0005-0000-0000-0000C1B70000}"/>
    <cellStyle name="SAPBEXHLevel0 2 2 2 2" xfId="46875" xr:uid="{00000000-0005-0000-0000-0000C2B70000}"/>
    <cellStyle name="SAPBEXHLevel0 2 2 2 2 2" xfId="46876" xr:uid="{00000000-0005-0000-0000-0000C3B70000}"/>
    <cellStyle name="SAPBEXHLevel0 2 2 2 3" xfId="46877" xr:uid="{00000000-0005-0000-0000-0000C4B70000}"/>
    <cellStyle name="SAPBEXHLevel0 2 2 3" xfId="46878" xr:uid="{00000000-0005-0000-0000-0000C5B70000}"/>
    <cellStyle name="SAPBEXHLevel0 2 2 3 2" xfId="46879" xr:uid="{00000000-0005-0000-0000-0000C6B70000}"/>
    <cellStyle name="SAPBEXHLevel0 2 2 3 2 2" xfId="46880" xr:uid="{00000000-0005-0000-0000-0000C7B70000}"/>
    <cellStyle name="SAPBEXHLevel0 2 2 3 3" xfId="46881" xr:uid="{00000000-0005-0000-0000-0000C8B70000}"/>
    <cellStyle name="SAPBEXHLevel0 2 2 4" xfId="46882" xr:uid="{00000000-0005-0000-0000-0000C9B70000}"/>
    <cellStyle name="SAPBEXHLevel0 2 2 4 2" xfId="46883" xr:uid="{00000000-0005-0000-0000-0000CAB70000}"/>
    <cellStyle name="SAPBEXHLevel0 2 2 4 2 2" xfId="46884" xr:uid="{00000000-0005-0000-0000-0000CBB70000}"/>
    <cellStyle name="SAPBEXHLevel0 2 2 4 3" xfId="46885" xr:uid="{00000000-0005-0000-0000-0000CCB70000}"/>
    <cellStyle name="SAPBEXHLevel0 2 2 5" xfId="46886" xr:uid="{00000000-0005-0000-0000-0000CDB70000}"/>
    <cellStyle name="SAPBEXHLevel0 2 2 5 2" xfId="46887" xr:uid="{00000000-0005-0000-0000-0000CEB70000}"/>
    <cellStyle name="SAPBEXHLevel0 2 2 6" xfId="46888" xr:uid="{00000000-0005-0000-0000-0000CFB70000}"/>
    <cellStyle name="SAPBEXHLevel0 2 3" xfId="46889" xr:uid="{00000000-0005-0000-0000-0000D0B70000}"/>
    <cellStyle name="SAPBEXHLevel0 2 3 2" xfId="46890" xr:uid="{00000000-0005-0000-0000-0000D1B70000}"/>
    <cellStyle name="SAPBEXHLevel0 2 3 2 2" xfId="46891" xr:uid="{00000000-0005-0000-0000-0000D2B70000}"/>
    <cellStyle name="SAPBEXHLevel0 2 3 2 2 2" xfId="46892" xr:uid="{00000000-0005-0000-0000-0000D3B70000}"/>
    <cellStyle name="SAPBEXHLevel0 2 3 2 2 2 2" xfId="46893" xr:uid="{00000000-0005-0000-0000-0000D4B70000}"/>
    <cellStyle name="SAPBEXHLevel0 2 3 2 2 3" xfId="46894" xr:uid="{00000000-0005-0000-0000-0000D5B70000}"/>
    <cellStyle name="SAPBEXHLevel0 2 3 2 3" xfId="46895" xr:uid="{00000000-0005-0000-0000-0000D6B70000}"/>
    <cellStyle name="SAPBEXHLevel0 2 3 2 3 2" xfId="46896" xr:uid="{00000000-0005-0000-0000-0000D7B70000}"/>
    <cellStyle name="SAPBEXHLevel0 2 3 2 3 2 2" xfId="46897" xr:uid="{00000000-0005-0000-0000-0000D8B70000}"/>
    <cellStyle name="SAPBEXHLevel0 2 3 2 3 3" xfId="46898" xr:uid="{00000000-0005-0000-0000-0000D9B70000}"/>
    <cellStyle name="SAPBEXHLevel0 2 3 2 4" xfId="46899" xr:uid="{00000000-0005-0000-0000-0000DAB70000}"/>
    <cellStyle name="SAPBEXHLevel0 2 3 2 4 2" xfId="46900" xr:uid="{00000000-0005-0000-0000-0000DBB70000}"/>
    <cellStyle name="SAPBEXHLevel0 2 3 2 5" xfId="46901" xr:uid="{00000000-0005-0000-0000-0000DCB70000}"/>
    <cellStyle name="SAPBEXHLevel0 2 3 3" xfId="46902" xr:uid="{00000000-0005-0000-0000-0000DDB70000}"/>
    <cellStyle name="SAPBEXHLevel0 2 3 3 2" xfId="46903" xr:uid="{00000000-0005-0000-0000-0000DEB70000}"/>
    <cellStyle name="SAPBEXHLevel0 2 3 3 2 2" xfId="46904" xr:uid="{00000000-0005-0000-0000-0000DFB70000}"/>
    <cellStyle name="SAPBEXHLevel0 2 3 3 2 2 2" xfId="46905" xr:uid="{00000000-0005-0000-0000-0000E0B70000}"/>
    <cellStyle name="SAPBEXHLevel0 2 3 3 2 3" xfId="46906" xr:uid="{00000000-0005-0000-0000-0000E1B70000}"/>
    <cellStyle name="SAPBEXHLevel0 2 3 3 3" xfId="46907" xr:uid="{00000000-0005-0000-0000-0000E2B70000}"/>
    <cellStyle name="SAPBEXHLevel0 2 3 3 3 2" xfId="46908" xr:uid="{00000000-0005-0000-0000-0000E3B70000}"/>
    <cellStyle name="SAPBEXHLevel0 2 3 3 4" xfId="46909" xr:uid="{00000000-0005-0000-0000-0000E4B70000}"/>
    <cellStyle name="SAPBEXHLevel0 2 3 4" xfId="46910" xr:uid="{00000000-0005-0000-0000-0000E5B70000}"/>
    <cellStyle name="SAPBEXHLevel0 2 3 4 2" xfId="46911" xr:uid="{00000000-0005-0000-0000-0000E6B70000}"/>
    <cellStyle name="SAPBEXHLevel0 2 3 4 2 2" xfId="46912" xr:uid="{00000000-0005-0000-0000-0000E7B70000}"/>
    <cellStyle name="SAPBEXHLevel0 2 3 4 3" xfId="46913" xr:uid="{00000000-0005-0000-0000-0000E8B70000}"/>
    <cellStyle name="SAPBEXHLevel0 2 3 5" xfId="46914" xr:uid="{00000000-0005-0000-0000-0000E9B70000}"/>
    <cellStyle name="SAPBEXHLevel0 2 3 5 2" xfId="46915" xr:uid="{00000000-0005-0000-0000-0000EAB70000}"/>
    <cellStyle name="SAPBEXHLevel0 2 3 5 2 2" xfId="46916" xr:uid="{00000000-0005-0000-0000-0000EBB70000}"/>
    <cellStyle name="SAPBEXHLevel0 2 3 5 3" xfId="46917" xr:uid="{00000000-0005-0000-0000-0000ECB70000}"/>
    <cellStyle name="SAPBEXHLevel0 2 3 6" xfId="46918" xr:uid="{00000000-0005-0000-0000-0000EDB70000}"/>
    <cellStyle name="SAPBEXHLevel0 2 3 6 2" xfId="46919" xr:uid="{00000000-0005-0000-0000-0000EEB70000}"/>
    <cellStyle name="SAPBEXHLevel0 2 3 7" xfId="46920" xr:uid="{00000000-0005-0000-0000-0000EFB70000}"/>
    <cellStyle name="SAPBEXHLevel0 2 4" xfId="46921" xr:uid="{00000000-0005-0000-0000-0000F0B70000}"/>
    <cellStyle name="SAPBEXHLevel0 2 4 2" xfId="46922" xr:uid="{00000000-0005-0000-0000-0000F1B70000}"/>
    <cellStyle name="SAPBEXHLevel0 2 4 2 2" xfId="46923" xr:uid="{00000000-0005-0000-0000-0000F2B70000}"/>
    <cellStyle name="SAPBEXHLevel0 2 4 2 2 2" xfId="46924" xr:uid="{00000000-0005-0000-0000-0000F3B70000}"/>
    <cellStyle name="SAPBEXHLevel0 2 4 2 2 2 2" xfId="46925" xr:uid="{00000000-0005-0000-0000-0000F4B70000}"/>
    <cellStyle name="SAPBEXHLevel0 2 4 2 2 2 2 2" xfId="46926" xr:uid="{00000000-0005-0000-0000-0000F5B70000}"/>
    <cellStyle name="SAPBEXHLevel0 2 4 2 2 2 2 2 2" xfId="46927" xr:uid="{00000000-0005-0000-0000-0000F6B70000}"/>
    <cellStyle name="SAPBEXHLevel0 2 4 2 2 2 2 3" xfId="46928" xr:uid="{00000000-0005-0000-0000-0000F7B70000}"/>
    <cellStyle name="SAPBEXHLevel0 2 4 2 2 2 3" xfId="46929" xr:uid="{00000000-0005-0000-0000-0000F8B70000}"/>
    <cellStyle name="SAPBEXHLevel0 2 4 2 2 2 3 2" xfId="46930" xr:uid="{00000000-0005-0000-0000-0000F9B70000}"/>
    <cellStyle name="SAPBEXHLevel0 2 4 2 2 2 4" xfId="46931" xr:uid="{00000000-0005-0000-0000-0000FAB70000}"/>
    <cellStyle name="SAPBEXHLevel0 2 4 2 2 3" xfId="46932" xr:uid="{00000000-0005-0000-0000-0000FBB70000}"/>
    <cellStyle name="SAPBEXHLevel0 2 4 2 2 3 2" xfId="46933" xr:uid="{00000000-0005-0000-0000-0000FCB70000}"/>
    <cellStyle name="SAPBEXHLevel0 2 4 2 2 3 2 2" xfId="46934" xr:uid="{00000000-0005-0000-0000-0000FDB70000}"/>
    <cellStyle name="SAPBEXHLevel0 2 4 2 2 3 3" xfId="46935" xr:uid="{00000000-0005-0000-0000-0000FEB70000}"/>
    <cellStyle name="SAPBEXHLevel0 2 4 2 2 4" xfId="46936" xr:uid="{00000000-0005-0000-0000-0000FFB70000}"/>
    <cellStyle name="SAPBEXHLevel0 2 4 2 2 4 2" xfId="46937" xr:uid="{00000000-0005-0000-0000-000000B80000}"/>
    <cellStyle name="SAPBEXHLevel0 2 4 2 2 5" xfId="46938" xr:uid="{00000000-0005-0000-0000-000001B80000}"/>
    <cellStyle name="SAPBEXHLevel0 2 4 2 3" xfId="46939" xr:uid="{00000000-0005-0000-0000-000002B80000}"/>
    <cellStyle name="SAPBEXHLevel0 2 4 2 3 2" xfId="46940" xr:uid="{00000000-0005-0000-0000-000003B80000}"/>
    <cellStyle name="SAPBEXHLevel0 2 4 2 3 2 2" xfId="46941" xr:uid="{00000000-0005-0000-0000-000004B80000}"/>
    <cellStyle name="SAPBEXHLevel0 2 4 2 3 3" xfId="46942" xr:uid="{00000000-0005-0000-0000-000005B80000}"/>
    <cellStyle name="SAPBEXHLevel0 2 4 2 4" xfId="46943" xr:uid="{00000000-0005-0000-0000-000006B80000}"/>
    <cellStyle name="SAPBEXHLevel0 2 4 2 4 2" xfId="46944" xr:uid="{00000000-0005-0000-0000-000007B80000}"/>
    <cellStyle name="SAPBEXHLevel0 2 4 2 4 2 2" xfId="46945" xr:uid="{00000000-0005-0000-0000-000008B80000}"/>
    <cellStyle name="SAPBEXHLevel0 2 4 2 4 2 2 2" xfId="46946" xr:uid="{00000000-0005-0000-0000-000009B80000}"/>
    <cellStyle name="SAPBEXHLevel0 2 4 2 4 2 3" xfId="46947" xr:uid="{00000000-0005-0000-0000-00000AB80000}"/>
    <cellStyle name="SAPBEXHLevel0 2 4 2 4 3" xfId="46948" xr:uid="{00000000-0005-0000-0000-00000BB80000}"/>
    <cellStyle name="SAPBEXHLevel0 2 4 2 4 3 2" xfId="46949" xr:uid="{00000000-0005-0000-0000-00000CB80000}"/>
    <cellStyle name="SAPBEXHLevel0 2 4 2 4 4" xfId="46950" xr:uid="{00000000-0005-0000-0000-00000DB80000}"/>
    <cellStyle name="SAPBEXHLevel0 2 4 2 5" xfId="46951" xr:uid="{00000000-0005-0000-0000-00000EB80000}"/>
    <cellStyle name="SAPBEXHLevel0 2 4 2 5 2" xfId="46952" xr:uid="{00000000-0005-0000-0000-00000FB80000}"/>
    <cellStyle name="SAPBEXHLevel0 2 4 2 5 2 2" xfId="46953" xr:uid="{00000000-0005-0000-0000-000010B80000}"/>
    <cellStyle name="SAPBEXHLevel0 2 4 2 5 3" xfId="46954" xr:uid="{00000000-0005-0000-0000-000011B80000}"/>
    <cellStyle name="SAPBEXHLevel0 2 4 2 6" xfId="46955" xr:uid="{00000000-0005-0000-0000-000012B80000}"/>
    <cellStyle name="SAPBEXHLevel0 2 4 2 6 2" xfId="46956" xr:uid="{00000000-0005-0000-0000-000013B80000}"/>
    <cellStyle name="SAPBEXHLevel0 2 4 2 7" xfId="46957" xr:uid="{00000000-0005-0000-0000-000014B80000}"/>
    <cellStyle name="SAPBEXHLevel0 2 4 3" xfId="46958" xr:uid="{00000000-0005-0000-0000-000015B80000}"/>
    <cellStyle name="SAPBEXHLevel0 2 4 3 2" xfId="46959" xr:uid="{00000000-0005-0000-0000-000016B80000}"/>
    <cellStyle name="SAPBEXHLevel0 2 4 3 2 2" xfId="46960" xr:uid="{00000000-0005-0000-0000-000017B80000}"/>
    <cellStyle name="SAPBEXHLevel0 2 4 3 2 2 2" xfId="46961" xr:uid="{00000000-0005-0000-0000-000018B80000}"/>
    <cellStyle name="SAPBEXHLevel0 2 4 3 2 2 2 2" xfId="46962" xr:uid="{00000000-0005-0000-0000-000019B80000}"/>
    <cellStyle name="SAPBEXHLevel0 2 4 3 2 2 2 2 2" xfId="46963" xr:uid="{00000000-0005-0000-0000-00001AB80000}"/>
    <cellStyle name="SAPBEXHLevel0 2 4 3 2 2 2 3" xfId="46964" xr:uid="{00000000-0005-0000-0000-00001BB80000}"/>
    <cellStyle name="SAPBEXHLevel0 2 4 3 2 2 3" xfId="46965" xr:uid="{00000000-0005-0000-0000-00001CB80000}"/>
    <cellStyle name="SAPBEXHLevel0 2 4 3 2 2 3 2" xfId="46966" xr:uid="{00000000-0005-0000-0000-00001DB80000}"/>
    <cellStyle name="SAPBEXHLevel0 2 4 3 2 2 4" xfId="46967" xr:uid="{00000000-0005-0000-0000-00001EB80000}"/>
    <cellStyle name="SAPBEXHLevel0 2 4 3 2 3" xfId="46968" xr:uid="{00000000-0005-0000-0000-00001FB80000}"/>
    <cellStyle name="SAPBEXHLevel0 2 4 3 2 3 2" xfId="46969" xr:uid="{00000000-0005-0000-0000-000020B80000}"/>
    <cellStyle name="SAPBEXHLevel0 2 4 3 2 3 2 2" xfId="46970" xr:uid="{00000000-0005-0000-0000-000021B80000}"/>
    <cellStyle name="SAPBEXHLevel0 2 4 3 2 3 3" xfId="46971" xr:uid="{00000000-0005-0000-0000-000022B80000}"/>
    <cellStyle name="SAPBEXHLevel0 2 4 3 2 4" xfId="46972" xr:uid="{00000000-0005-0000-0000-000023B80000}"/>
    <cellStyle name="SAPBEXHLevel0 2 4 3 2 4 2" xfId="46973" xr:uid="{00000000-0005-0000-0000-000024B80000}"/>
    <cellStyle name="SAPBEXHLevel0 2 4 3 2 5" xfId="46974" xr:uid="{00000000-0005-0000-0000-000025B80000}"/>
    <cellStyle name="SAPBEXHLevel0 2 4 3 3" xfId="46975" xr:uid="{00000000-0005-0000-0000-000026B80000}"/>
    <cellStyle name="SAPBEXHLevel0 2 4 3 3 2" xfId="46976" xr:uid="{00000000-0005-0000-0000-000027B80000}"/>
    <cellStyle name="SAPBEXHLevel0 2 4 3 3 2 2" xfId="46977" xr:uid="{00000000-0005-0000-0000-000028B80000}"/>
    <cellStyle name="SAPBEXHLevel0 2 4 3 3 2 2 2" xfId="46978" xr:uid="{00000000-0005-0000-0000-000029B80000}"/>
    <cellStyle name="SAPBEXHLevel0 2 4 3 3 2 3" xfId="46979" xr:uid="{00000000-0005-0000-0000-00002AB80000}"/>
    <cellStyle name="SAPBEXHLevel0 2 4 3 3 3" xfId="46980" xr:uid="{00000000-0005-0000-0000-00002BB80000}"/>
    <cellStyle name="SAPBEXHLevel0 2 4 3 3 3 2" xfId="46981" xr:uid="{00000000-0005-0000-0000-00002CB80000}"/>
    <cellStyle name="SAPBEXHLevel0 2 4 3 3 4" xfId="46982" xr:uid="{00000000-0005-0000-0000-00002DB80000}"/>
    <cellStyle name="SAPBEXHLevel0 2 4 3 4" xfId="46983" xr:uid="{00000000-0005-0000-0000-00002EB80000}"/>
    <cellStyle name="SAPBEXHLevel0 2 4 3 4 2" xfId="46984" xr:uid="{00000000-0005-0000-0000-00002FB80000}"/>
    <cellStyle name="SAPBEXHLevel0 2 4 3 4 2 2" xfId="46985" xr:uid="{00000000-0005-0000-0000-000030B80000}"/>
    <cellStyle name="SAPBEXHLevel0 2 4 3 4 3" xfId="46986" xr:uid="{00000000-0005-0000-0000-000031B80000}"/>
    <cellStyle name="SAPBEXHLevel0 2 4 3 5" xfId="46987" xr:uid="{00000000-0005-0000-0000-000032B80000}"/>
    <cellStyle name="SAPBEXHLevel0 2 4 3 5 2" xfId="46988" xr:uid="{00000000-0005-0000-0000-000033B80000}"/>
    <cellStyle name="SAPBEXHLevel0 2 4 3 6" xfId="46989" xr:uid="{00000000-0005-0000-0000-000034B80000}"/>
    <cellStyle name="SAPBEXHLevel0 2 4 4" xfId="46990" xr:uid="{00000000-0005-0000-0000-000035B80000}"/>
    <cellStyle name="SAPBEXHLevel0 2 4 4 2" xfId="46991" xr:uid="{00000000-0005-0000-0000-000036B80000}"/>
    <cellStyle name="SAPBEXHLevel0 2 4 4 2 2" xfId="46992" xr:uid="{00000000-0005-0000-0000-000037B80000}"/>
    <cellStyle name="SAPBEXHLevel0 2 4 4 3" xfId="46993" xr:uid="{00000000-0005-0000-0000-000038B80000}"/>
    <cellStyle name="SAPBEXHLevel0 2 4 5" xfId="46994" xr:uid="{00000000-0005-0000-0000-000039B80000}"/>
    <cellStyle name="SAPBEXHLevel0 2 4 5 2" xfId="46995" xr:uid="{00000000-0005-0000-0000-00003AB80000}"/>
    <cellStyle name="SAPBEXHLevel0 2 4 5 2 2" xfId="46996" xr:uid="{00000000-0005-0000-0000-00003BB80000}"/>
    <cellStyle name="SAPBEXHLevel0 2 4 5 2 2 2" xfId="46997" xr:uid="{00000000-0005-0000-0000-00003CB80000}"/>
    <cellStyle name="SAPBEXHLevel0 2 4 5 2 3" xfId="46998" xr:uid="{00000000-0005-0000-0000-00003DB80000}"/>
    <cellStyle name="SAPBEXHLevel0 2 4 5 3" xfId="46999" xr:uid="{00000000-0005-0000-0000-00003EB80000}"/>
    <cellStyle name="SAPBEXHLevel0 2 4 5 3 2" xfId="47000" xr:uid="{00000000-0005-0000-0000-00003FB80000}"/>
    <cellStyle name="SAPBEXHLevel0 2 4 5 4" xfId="47001" xr:uid="{00000000-0005-0000-0000-000040B80000}"/>
    <cellStyle name="SAPBEXHLevel0 2 4 6" xfId="47002" xr:uid="{00000000-0005-0000-0000-000041B80000}"/>
    <cellStyle name="SAPBEXHLevel0 2 4 6 2" xfId="47003" xr:uid="{00000000-0005-0000-0000-000042B80000}"/>
    <cellStyle name="SAPBEXHLevel0 2 4 6 2 2" xfId="47004" xr:uid="{00000000-0005-0000-0000-000043B80000}"/>
    <cellStyle name="SAPBEXHLevel0 2 4 6 3" xfId="47005" xr:uid="{00000000-0005-0000-0000-000044B80000}"/>
    <cellStyle name="SAPBEXHLevel0 2 4 7" xfId="47006" xr:uid="{00000000-0005-0000-0000-000045B80000}"/>
    <cellStyle name="SAPBEXHLevel0 2 4 7 2" xfId="47007" xr:uid="{00000000-0005-0000-0000-000046B80000}"/>
    <cellStyle name="SAPBEXHLevel0 2 4 8" xfId="47008" xr:uid="{00000000-0005-0000-0000-000047B80000}"/>
    <cellStyle name="SAPBEXHLevel0 2 5" xfId="47009" xr:uid="{00000000-0005-0000-0000-000048B80000}"/>
    <cellStyle name="SAPBEXHLevel0 2 5 2" xfId="47010" xr:uid="{00000000-0005-0000-0000-000049B80000}"/>
    <cellStyle name="SAPBEXHLevel0 2 5 2 2" xfId="47011" xr:uid="{00000000-0005-0000-0000-00004AB80000}"/>
    <cellStyle name="SAPBEXHLevel0 2 5 2 2 2" xfId="47012" xr:uid="{00000000-0005-0000-0000-00004BB80000}"/>
    <cellStyle name="SAPBEXHLevel0 2 5 2 3" xfId="47013" xr:uid="{00000000-0005-0000-0000-00004CB80000}"/>
    <cellStyle name="SAPBEXHLevel0 2 5 3" xfId="47014" xr:uid="{00000000-0005-0000-0000-00004DB80000}"/>
    <cellStyle name="SAPBEXHLevel0 2 5 3 2" xfId="47015" xr:uid="{00000000-0005-0000-0000-00004EB80000}"/>
    <cellStyle name="SAPBEXHLevel0 2 5 4" xfId="47016" xr:uid="{00000000-0005-0000-0000-00004FB80000}"/>
    <cellStyle name="SAPBEXHLevel0 2 6" xfId="47017" xr:uid="{00000000-0005-0000-0000-000050B80000}"/>
    <cellStyle name="SAPBEXHLevel0 2 6 2" xfId="47018" xr:uid="{00000000-0005-0000-0000-000051B80000}"/>
    <cellStyle name="SAPBEXHLevel0 2 6 2 2" xfId="47019" xr:uid="{00000000-0005-0000-0000-000052B80000}"/>
    <cellStyle name="SAPBEXHLevel0 2 6 3" xfId="47020" xr:uid="{00000000-0005-0000-0000-000053B80000}"/>
    <cellStyle name="SAPBEXHLevel0 2 7" xfId="47021" xr:uid="{00000000-0005-0000-0000-000054B80000}"/>
    <cellStyle name="SAPBEXHLevel0 2 7 2" xfId="47022" xr:uid="{00000000-0005-0000-0000-000055B80000}"/>
    <cellStyle name="SAPBEXHLevel0 2 7 2 2" xfId="47023" xr:uid="{00000000-0005-0000-0000-000056B80000}"/>
    <cellStyle name="SAPBEXHLevel0 2 7 3" xfId="47024" xr:uid="{00000000-0005-0000-0000-000057B80000}"/>
    <cellStyle name="SAPBEXHLevel0 2 8" xfId="47025" xr:uid="{00000000-0005-0000-0000-000058B80000}"/>
    <cellStyle name="SAPBEXHLevel0 2 8 2" xfId="47026" xr:uid="{00000000-0005-0000-0000-000059B80000}"/>
    <cellStyle name="SAPBEXHLevel0 2 8 2 2" xfId="47027" xr:uid="{00000000-0005-0000-0000-00005AB80000}"/>
    <cellStyle name="SAPBEXHLevel0 2 8 2 2 2" xfId="47028" xr:uid="{00000000-0005-0000-0000-00005BB80000}"/>
    <cellStyle name="SAPBEXHLevel0 2 8 2 2 2 2" xfId="47029" xr:uid="{00000000-0005-0000-0000-00005CB80000}"/>
    <cellStyle name="SAPBEXHLevel0 2 8 2 2 3" xfId="47030" xr:uid="{00000000-0005-0000-0000-00005DB80000}"/>
    <cellStyle name="SAPBEXHLevel0 2 8 2 3" xfId="47031" xr:uid="{00000000-0005-0000-0000-00005EB80000}"/>
    <cellStyle name="SAPBEXHLevel0 2 8 2 3 2" xfId="47032" xr:uid="{00000000-0005-0000-0000-00005FB80000}"/>
    <cellStyle name="SAPBEXHLevel0 2 8 2 4" xfId="47033" xr:uid="{00000000-0005-0000-0000-000060B80000}"/>
    <cellStyle name="SAPBEXHLevel0 2 8 3" xfId="47034" xr:uid="{00000000-0005-0000-0000-000061B80000}"/>
    <cellStyle name="SAPBEXHLevel0 2 8 3 2" xfId="47035" xr:uid="{00000000-0005-0000-0000-000062B80000}"/>
    <cellStyle name="SAPBEXHLevel0 2 8 3 2 2" xfId="47036" xr:uid="{00000000-0005-0000-0000-000063B80000}"/>
    <cellStyle name="SAPBEXHLevel0 2 8 3 3" xfId="47037" xr:uid="{00000000-0005-0000-0000-000064B80000}"/>
    <cellStyle name="SAPBEXHLevel0 2 8 4" xfId="47038" xr:uid="{00000000-0005-0000-0000-000065B80000}"/>
    <cellStyle name="SAPBEXHLevel0 2 8 4 2" xfId="47039" xr:uid="{00000000-0005-0000-0000-000066B80000}"/>
    <cellStyle name="SAPBEXHLevel0 2 8 5" xfId="47040" xr:uid="{00000000-0005-0000-0000-000067B80000}"/>
    <cellStyle name="SAPBEXHLevel0 2 9" xfId="47041" xr:uid="{00000000-0005-0000-0000-000068B80000}"/>
    <cellStyle name="SAPBEXHLevel0 2 9 2" xfId="47042" xr:uid="{00000000-0005-0000-0000-000069B80000}"/>
    <cellStyle name="SAPBEXHLevel0 3" xfId="47043" xr:uid="{00000000-0005-0000-0000-00006AB80000}"/>
    <cellStyle name="SAPBEXHLevel0 3 2" xfId="47044" xr:uid="{00000000-0005-0000-0000-00006BB80000}"/>
    <cellStyle name="SAPBEXHLevel0 3 2 2" xfId="47045" xr:uid="{00000000-0005-0000-0000-00006CB80000}"/>
    <cellStyle name="SAPBEXHLevel0 3 2 2 2" xfId="47046" xr:uid="{00000000-0005-0000-0000-00006DB80000}"/>
    <cellStyle name="SAPBEXHLevel0 3 2 2 2 2" xfId="47047" xr:uid="{00000000-0005-0000-0000-00006EB80000}"/>
    <cellStyle name="SAPBEXHLevel0 3 2 2 3" xfId="47048" xr:uid="{00000000-0005-0000-0000-00006FB80000}"/>
    <cellStyle name="SAPBEXHLevel0 3 2 3" xfId="47049" xr:uid="{00000000-0005-0000-0000-000070B80000}"/>
    <cellStyle name="SAPBEXHLevel0 3 2 3 2" xfId="47050" xr:uid="{00000000-0005-0000-0000-000071B80000}"/>
    <cellStyle name="SAPBEXHLevel0 3 2 3 2 2" xfId="47051" xr:uid="{00000000-0005-0000-0000-000072B80000}"/>
    <cellStyle name="SAPBEXHLevel0 3 2 3 3" xfId="47052" xr:uid="{00000000-0005-0000-0000-000073B80000}"/>
    <cellStyle name="SAPBEXHLevel0 3 2 4" xfId="47053" xr:uid="{00000000-0005-0000-0000-000074B80000}"/>
    <cellStyle name="SAPBEXHLevel0 3 2 4 2" xfId="47054" xr:uid="{00000000-0005-0000-0000-000075B80000}"/>
    <cellStyle name="SAPBEXHLevel0 3 2 4 2 2" xfId="47055" xr:uid="{00000000-0005-0000-0000-000076B80000}"/>
    <cellStyle name="SAPBEXHLevel0 3 2 4 3" xfId="47056" xr:uid="{00000000-0005-0000-0000-000077B80000}"/>
    <cellStyle name="SAPBEXHLevel0 3 2 5" xfId="47057" xr:uid="{00000000-0005-0000-0000-000078B80000}"/>
    <cellStyle name="SAPBEXHLevel0 3 2 5 2" xfId="47058" xr:uid="{00000000-0005-0000-0000-000079B80000}"/>
    <cellStyle name="SAPBEXHLevel0 3 2 6" xfId="47059" xr:uid="{00000000-0005-0000-0000-00007AB80000}"/>
    <cellStyle name="SAPBEXHLevel0 3 3" xfId="47060" xr:uid="{00000000-0005-0000-0000-00007BB80000}"/>
    <cellStyle name="SAPBEXHLevel0 3 3 2" xfId="47061" xr:uid="{00000000-0005-0000-0000-00007CB80000}"/>
    <cellStyle name="SAPBEXHLevel0 3 3 2 2" xfId="47062" xr:uid="{00000000-0005-0000-0000-00007DB80000}"/>
    <cellStyle name="SAPBEXHLevel0 3 3 2 2 2" xfId="47063" xr:uid="{00000000-0005-0000-0000-00007EB80000}"/>
    <cellStyle name="SAPBEXHLevel0 3 3 2 3" xfId="47064" xr:uid="{00000000-0005-0000-0000-00007FB80000}"/>
    <cellStyle name="SAPBEXHLevel0 3 3 3" xfId="47065" xr:uid="{00000000-0005-0000-0000-000080B80000}"/>
    <cellStyle name="SAPBEXHLevel0 3 3 3 2" xfId="47066" xr:uid="{00000000-0005-0000-0000-000081B80000}"/>
    <cellStyle name="SAPBEXHLevel0 3 3 4" xfId="47067" xr:uid="{00000000-0005-0000-0000-000082B80000}"/>
    <cellStyle name="SAPBEXHLevel0 3 4" xfId="47068" xr:uid="{00000000-0005-0000-0000-000083B80000}"/>
    <cellStyle name="SAPBEXHLevel0 3 4 2" xfId="47069" xr:uid="{00000000-0005-0000-0000-000084B80000}"/>
    <cellStyle name="SAPBEXHLevel0 3 4 2 2" xfId="47070" xr:uid="{00000000-0005-0000-0000-000085B80000}"/>
    <cellStyle name="SAPBEXHLevel0 3 4 3" xfId="47071" xr:uid="{00000000-0005-0000-0000-000086B80000}"/>
    <cellStyle name="SAPBEXHLevel0 3 5" xfId="47072" xr:uid="{00000000-0005-0000-0000-000087B80000}"/>
    <cellStyle name="SAPBEXHLevel0 3 5 2" xfId="47073" xr:uid="{00000000-0005-0000-0000-000088B80000}"/>
    <cellStyle name="SAPBEXHLevel0 3 5 2 2" xfId="47074" xr:uid="{00000000-0005-0000-0000-000089B80000}"/>
    <cellStyle name="SAPBEXHLevel0 3 5 3" xfId="47075" xr:uid="{00000000-0005-0000-0000-00008AB80000}"/>
    <cellStyle name="SAPBEXHLevel0 3 6" xfId="47076" xr:uid="{00000000-0005-0000-0000-00008BB80000}"/>
    <cellStyle name="SAPBEXHLevel0 3 6 2" xfId="47077" xr:uid="{00000000-0005-0000-0000-00008CB80000}"/>
    <cellStyle name="SAPBEXHLevel0 3 6 2 2" xfId="47078" xr:uid="{00000000-0005-0000-0000-00008DB80000}"/>
    <cellStyle name="SAPBEXHLevel0 3 6 2 2 2" xfId="47079" xr:uid="{00000000-0005-0000-0000-00008EB80000}"/>
    <cellStyle name="SAPBEXHLevel0 3 6 2 2 2 2" xfId="47080" xr:uid="{00000000-0005-0000-0000-00008FB80000}"/>
    <cellStyle name="SAPBEXHLevel0 3 6 2 2 3" xfId="47081" xr:uid="{00000000-0005-0000-0000-000090B80000}"/>
    <cellStyle name="SAPBEXHLevel0 3 6 2 3" xfId="47082" xr:uid="{00000000-0005-0000-0000-000091B80000}"/>
    <cellStyle name="SAPBEXHLevel0 3 6 2 3 2" xfId="47083" xr:uid="{00000000-0005-0000-0000-000092B80000}"/>
    <cellStyle name="SAPBEXHLevel0 3 6 2 4" xfId="47084" xr:uid="{00000000-0005-0000-0000-000093B80000}"/>
    <cellStyle name="SAPBEXHLevel0 3 6 3" xfId="47085" xr:uid="{00000000-0005-0000-0000-000094B80000}"/>
    <cellStyle name="SAPBEXHLevel0 3 6 3 2" xfId="47086" xr:uid="{00000000-0005-0000-0000-000095B80000}"/>
    <cellStyle name="SAPBEXHLevel0 3 6 3 2 2" xfId="47087" xr:uid="{00000000-0005-0000-0000-000096B80000}"/>
    <cellStyle name="SAPBEXHLevel0 3 6 3 3" xfId="47088" xr:uid="{00000000-0005-0000-0000-000097B80000}"/>
    <cellStyle name="SAPBEXHLevel0 3 6 4" xfId="47089" xr:uid="{00000000-0005-0000-0000-000098B80000}"/>
    <cellStyle name="SAPBEXHLevel0 3 6 4 2" xfId="47090" xr:uid="{00000000-0005-0000-0000-000099B80000}"/>
    <cellStyle name="SAPBEXHLevel0 3 6 5" xfId="47091" xr:uid="{00000000-0005-0000-0000-00009AB80000}"/>
    <cellStyle name="SAPBEXHLevel0 3 7" xfId="47092" xr:uid="{00000000-0005-0000-0000-00009BB80000}"/>
    <cellStyle name="SAPBEXHLevel0 3 7 2" xfId="47093" xr:uid="{00000000-0005-0000-0000-00009CB80000}"/>
    <cellStyle name="SAPBEXHLevel0 3 8" xfId="47094" xr:uid="{00000000-0005-0000-0000-00009DB80000}"/>
    <cellStyle name="SAPBEXHLevel0 4" xfId="47095" xr:uid="{00000000-0005-0000-0000-00009EB80000}"/>
    <cellStyle name="SAPBEXHLevel0 4 2" xfId="47096" xr:uid="{00000000-0005-0000-0000-00009FB80000}"/>
    <cellStyle name="SAPBEXHLevel0 4 2 2" xfId="47097" xr:uid="{00000000-0005-0000-0000-0000A0B80000}"/>
    <cellStyle name="SAPBEXHLevel0 4 2 2 2" xfId="47098" xr:uid="{00000000-0005-0000-0000-0000A1B80000}"/>
    <cellStyle name="SAPBEXHLevel0 4 2 2 2 2" xfId="47099" xr:uid="{00000000-0005-0000-0000-0000A2B80000}"/>
    <cellStyle name="SAPBEXHLevel0 4 2 2 3" xfId="47100" xr:uid="{00000000-0005-0000-0000-0000A3B80000}"/>
    <cellStyle name="SAPBEXHLevel0 4 2 3" xfId="47101" xr:uid="{00000000-0005-0000-0000-0000A4B80000}"/>
    <cellStyle name="SAPBEXHLevel0 4 2 3 2" xfId="47102" xr:uid="{00000000-0005-0000-0000-0000A5B80000}"/>
    <cellStyle name="SAPBEXHLevel0 4 2 3 2 2" xfId="47103" xr:uid="{00000000-0005-0000-0000-0000A6B80000}"/>
    <cellStyle name="SAPBEXHLevel0 4 2 3 3" xfId="47104" xr:uid="{00000000-0005-0000-0000-0000A7B80000}"/>
    <cellStyle name="SAPBEXHLevel0 4 2 4" xfId="47105" xr:uid="{00000000-0005-0000-0000-0000A8B80000}"/>
    <cellStyle name="SAPBEXHLevel0 4 2 4 2" xfId="47106" xr:uid="{00000000-0005-0000-0000-0000A9B80000}"/>
    <cellStyle name="SAPBEXHLevel0 4 2 4 2 2" xfId="47107" xr:uid="{00000000-0005-0000-0000-0000AAB80000}"/>
    <cellStyle name="SAPBEXHLevel0 4 2 4 3" xfId="47108" xr:uid="{00000000-0005-0000-0000-0000ABB80000}"/>
    <cellStyle name="SAPBEXHLevel0 4 2 5" xfId="47109" xr:uid="{00000000-0005-0000-0000-0000ACB80000}"/>
    <cellStyle name="SAPBEXHLevel0 4 2 5 2" xfId="47110" xr:uid="{00000000-0005-0000-0000-0000ADB80000}"/>
    <cellStyle name="SAPBEXHLevel0 4 2 6" xfId="47111" xr:uid="{00000000-0005-0000-0000-0000AEB80000}"/>
    <cellStyle name="SAPBEXHLevel0 4 3" xfId="47112" xr:uid="{00000000-0005-0000-0000-0000AFB80000}"/>
    <cellStyle name="SAPBEXHLevel0 4 3 2" xfId="47113" xr:uid="{00000000-0005-0000-0000-0000B0B80000}"/>
    <cellStyle name="SAPBEXHLevel0 4 3 2 2" xfId="47114" xr:uid="{00000000-0005-0000-0000-0000B1B80000}"/>
    <cellStyle name="SAPBEXHLevel0 4 3 2 2 2" xfId="47115" xr:uid="{00000000-0005-0000-0000-0000B2B80000}"/>
    <cellStyle name="SAPBEXHLevel0 4 3 2 2 2 2" xfId="47116" xr:uid="{00000000-0005-0000-0000-0000B3B80000}"/>
    <cellStyle name="SAPBEXHLevel0 4 3 2 2 3" xfId="47117" xr:uid="{00000000-0005-0000-0000-0000B4B80000}"/>
    <cellStyle name="SAPBEXHLevel0 4 3 2 3" xfId="47118" xr:uid="{00000000-0005-0000-0000-0000B5B80000}"/>
    <cellStyle name="SAPBEXHLevel0 4 3 2 3 2" xfId="47119" xr:uid="{00000000-0005-0000-0000-0000B6B80000}"/>
    <cellStyle name="SAPBEXHLevel0 4 3 2 3 2 2" xfId="47120" xr:uid="{00000000-0005-0000-0000-0000B7B80000}"/>
    <cellStyle name="SAPBEXHLevel0 4 3 2 3 3" xfId="47121" xr:uid="{00000000-0005-0000-0000-0000B8B80000}"/>
    <cellStyle name="SAPBEXHLevel0 4 3 2 4" xfId="47122" xr:uid="{00000000-0005-0000-0000-0000B9B80000}"/>
    <cellStyle name="SAPBEXHLevel0 4 3 2 4 2" xfId="47123" xr:uid="{00000000-0005-0000-0000-0000BAB80000}"/>
    <cellStyle name="SAPBEXHLevel0 4 3 2 5" xfId="47124" xr:uid="{00000000-0005-0000-0000-0000BBB80000}"/>
    <cellStyle name="SAPBEXHLevel0 4 3 3" xfId="47125" xr:uid="{00000000-0005-0000-0000-0000BCB80000}"/>
    <cellStyle name="SAPBEXHLevel0 4 3 3 2" xfId="47126" xr:uid="{00000000-0005-0000-0000-0000BDB80000}"/>
    <cellStyle name="SAPBEXHLevel0 4 3 3 2 2" xfId="47127" xr:uid="{00000000-0005-0000-0000-0000BEB80000}"/>
    <cellStyle name="SAPBEXHLevel0 4 3 3 2 2 2" xfId="47128" xr:uid="{00000000-0005-0000-0000-0000BFB80000}"/>
    <cellStyle name="SAPBEXHLevel0 4 3 3 2 3" xfId="47129" xr:uid="{00000000-0005-0000-0000-0000C0B80000}"/>
    <cellStyle name="SAPBEXHLevel0 4 3 3 3" xfId="47130" xr:uid="{00000000-0005-0000-0000-0000C1B80000}"/>
    <cellStyle name="SAPBEXHLevel0 4 3 3 3 2" xfId="47131" xr:uid="{00000000-0005-0000-0000-0000C2B80000}"/>
    <cellStyle name="SAPBEXHLevel0 4 3 3 4" xfId="47132" xr:uid="{00000000-0005-0000-0000-0000C3B80000}"/>
    <cellStyle name="SAPBEXHLevel0 4 3 4" xfId="47133" xr:uid="{00000000-0005-0000-0000-0000C4B80000}"/>
    <cellStyle name="SAPBEXHLevel0 4 3 4 2" xfId="47134" xr:uid="{00000000-0005-0000-0000-0000C5B80000}"/>
    <cellStyle name="SAPBEXHLevel0 4 3 4 2 2" xfId="47135" xr:uid="{00000000-0005-0000-0000-0000C6B80000}"/>
    <cellStyle name="SAPBEXHLevel0 4 3 4 3" xfId="47136" xr:uid="{00000000-0005-0000-0000-0000C7B80000}"/>
    <cellStyle name="SAPBEXHLevel0 4 3 5" xfId="47137" xr:uid="{00000000-0005-0000-0000-0000C8B80000}"/>
    <cellStyle name="SAPBEXHLevel0 4 3 5 2" xfId="47138" xr:uid="{00000000-0005-0000-0000-0000C9B80000}"/>
    <cellStyle name="SAPBEXHLevel0 4 3 5 2 2" xfId="47139" xr:uid="{00000000-0005-0000-0000-0000CAB80000}"/>
    <cellStyle name="SAPBEXHLevel0 4 3 5 3" xfId="47140" xr:uid="{00000000-0005-0000-0000-0000CBB80000}"/>
    <cellStyle name="SAPBEXHLevel0 4 3 6" xfId="47141" xr:uid="{00000000-0005-0000-0000-0000CCB80000}"/>
    <cellStyle name="SAPBEXHLevel0 4 3 6 2" xfId="47142" xr:uid="{00000000-0005-0000-0000-0000CDB80000}"/>
    <cellStyle name="SAPBEXHLevel0 4 3 7" xfId="47143" xr:uid="{00000000-0005-0000-0000-0000CEB80000}"/>
    <cellStyle name="SAPBEXHLevel0 4 4" xfId="47144" xr:uid="{00000000-0005-0000-0000-0000CFB80000}"/>
    <cellStyle name="SAPBEXHLevel0 4 4 2" xfId="47145" xr:uid="{00000000-0005-0000-0000-0000D0B80000}"/>
    <cellStyle name="SAPBEXHLevel0 4 4 2 2" xfId="47146" xr:uid="{00000000-0005-0000-0000-0000D1B80000}"/>
    <cellStyle name="SAPBEXHLevel0 4 4 2 2 2" xfId="47147" xr:uid="{00000000-0005-0000-0000-0000D2B80000}"/>
    <cellStyle name="SAPBEXHLevel0 4 4 2 3" xfId="47148" xr:uid="{00000000-0005-0000-0000-0000D3B80000}"/>
    <cellStyle name="SAPBEXHLevel0 4 4 3" xfId="47149" xr:uid="{00000000-0005-0000-0000-0000D4B80000}"/>
    <cellStyle name="SAPBEXHLevel0 4 4 3 2" xfId="47150" xr:uid="{00000000-0005-0000-0000-0000D5B80000}"/>
    <cellStyle name="SAPBEXHLevel0 4 4 4" xfId="47151" xr:uid="{00000000-0005-0000-0000-0000D6B80000}"/>
    <cellStyle name="SAPBEXHLevel0 4 5" xfId="47152" xr:uid="{00000000-0005-0000-0000-0000D7B80000}"/>
    <cellStyle name="SAPBEXHLevel0 4 5 2" xfId="47153" xr:uid="{00000000-0005-0000-0000-0000D8B80000}"/>
    <cellStyle name="SAPBEXHLevel0 4 5 2 2" xfId="47154" xr:uid="{00000000-0005-0000-0000-0000D9B80000}"/>
    <cellStyle name="SAPBEXHLevel0 4 5 3" xfId="47155" xr:uid="{00000000-0005-0000-0000-0000DAB80000}"/>
    <cellStyle name="SAPBEXHLevel0 4 6" xfId="47156" xr:uid="{00000000-0005-0000-0000-0000DBB80000}"/>
    <cellStyle name="SAPBEXHLevel0 4 6 2" xfId="47157" xr:uid="{00000000-0005-0000-0000-0000DCB80000}"/>
    <cellStyle name="SAPBEXHLevel0 4 6 2 2" xfId="47158" xr:uid="{00000000-0005-0000-0000-0000DDB80000}"/>
    <cellStyle name="SAPBEXHLevel0 4 6 3" xfId="47159" xr:uid="{00000000-0005-0000-0000-0000DEB80000}"/>
    <cellStyle name="SAPBEXHLevel0 4 7" xfId="47160" xr:uid="{00000000-0005-0000-0000-0000DFB80000}"/>
    <cellStyle name="SAPBEXHLevel0 4 7 2" xfId="47161" xr:uid="{00000000-0005-0000-0000-0000E0B80000}"/>
    <cellStyle name="SAPBEXHLevel0 4 8" xfId="47162" xr:uid="{00000000-0005-0000-0000-0000E1B80000}"/>
    <cellStyle name="SAPBEXHLevel0 5" xfId="47163" xr:uid="{00000000-0005-0000-0000-0000E2B80000}"/>
    <cellStyle name="SAPBEXHLevel0 5 2" xfId="47164" xr:uid="{00000000-0005-0000-0000-0000E3B80000}"/>
    <cellStyle name="SAPBEXHLevel0 5 2 2" xfId="47165" xr:uid="{00000000-0005-0000-0000-0000E4B80000}"/>
    <cellStyle name="SAPBEXHLevel0 5 2 2 2" xfId="47166" xr:uid="{00000000-0005-0000-0000-0000E5B80000}"/>
    <cellStyle name="SAPBEXHLevel0 5 2 3" xfId="47167" xr:uid="{00000000-0005-0000-0000-0000E6B80000}"/>
    <cellStyle name="SAPBEXHLevel0 5 3" xfId="47168" xr:uid="{00000000-0005-0000-0000-0000E7B80000}"/>
    <cellStyle name="SAPBEXHLevel0 5 3 2" xfId="47169" xr:uid="{00000000-0005-0000-0000-0000E8B80000}"/>
    <cellStyle name="SAPBEXHLevel0 5 3 2 2" xfId="47170" xr:uid="{00000000-0005-0000-0000-0000E9B80000}"/>
    <cellStyle name="SAPBEXHLevel0 5 3 3" xfId="47171" xr:uid="{00000000-0005-0000-0000-0000EAB80000}"/>
    <cellStyle name="SAPBEXHLevel0 5 4" xfId="47172" xr:uid="{00000000-0005-0000-0000-0000EBB80000}"/>
    <cellStyle name="SAPBEXHLevel0 5 4 2" xfId="47173" xr:uid="{00000000-0005-0000-0000-0000ECB80000}"/>
    <cellStyle name="SAPBEXHLevel0 5 4 2 2" xfId="47174" xr:uid="{00000000-0005-0000-0000-0000EDB80000}"/>
    <cellStyle name="SAPBEXHLevel0 5 4 3" xfId="47175" xr:uid="{00000000-0005-0000-0000-0000EEB80000}"/>
    <cellStyle name="SAPBEXHLevel0 5 5" xfId="47176" xr:uid="{00000000-0005-0000-0000-0000EFB80000}"/>
    <cellStyle name="SAPBEXHLevel0 5 5 2" xfId="47177" xr:uid="{00000000-0005-0000-0000-0000F0B80000}"/>
    <cellStyle name="SAPBEXHLevel0 5 6" xfId="47178" xr:uid="{00000000-0005-0000-0000-0000F1B80000}"/>
    <cellStyle name="SAPBEXHLevel0 6" xfId="47179" xr:uid="{00000000-0005-0000-0000-0000F2B80000}"/>
    <cellStyle name="SAPBEXHLevel0 6 2" xfId="47180" xr:uid="{00000000-0005-0000-0000-0000F3B80000}"/>
    <cellStyle name="SAPBEXHLevel0 6 2 2" xfId="47181" xr:uid="{00000000-0005-0000-0000-0000F4B80000}"/>
    <cellStyle name="SAPBEXHLevel0 6 3" xfId="47182" xr:uid="{00000000-0005-0000-0000-0000F5B80000}"/>
    <cellStyle name="SAPBEXHLevel0 6 3 2" xfId="47183" xr:uid="{00000000-0005-0000-0000-0000F6B80000}"/>
    <cellStyle name="SAPBEXHLevel0 6 3 2 2" xfId="47184" xr:uid="{00000000-0005-0000-0000-0000F7B80000}"/>
    <cellStyle name="SAPBEXHLevel0 6 3 3" xfId="47185" xr:uid="{00000000-0005-0000-0000-0000F8B80000}"/>
    <cellStyle name="SAPBEXHLevel0 6 4" xfId="47186" xr:uid="{00000000-0005-0000-0000-0000F9B80000}"/>
    <cellStyle name="SAPBEXHLevel0 6 4 2" xfId="47187" xr:uid="{00000000-0005-0000-0000-0000FAB80000}"/>
    <cellStyle name="SAPBEXHLevel0 6 4 2 2" xfId="47188" xr:uid="{00000000-0005-0000-0000-0000FBB80000}"/>
    <cellStyle name="SAPBEXHLevel0 6 4 3" xfId="47189" xr:uid="{00000000-0005-0000-0000-0000FCB80000}"/>
    <cellStyle name="SAPBEXHLevel0 6 5" xfId="47190" xr:uid="{00000000-0005-0000-0000-0000FDB80000}"/>
    <cellStyle name="SAPBEXHLevel0 7" xfId="47191" xr:uid="{00000000-0005-0000-0000-0000FEB80000}"/>
    <cellStyle name="SAPBEXHLevel0 7 2" xfId="47192" xr:uid="{00000000-0005-0000-0000-0000FFB80000}"/>
    <cellStyle name="SAPBEXHLevel0 7 2 2" xfId="47193" xr:uid="{00000000-0005-0000-0000-000000B90000}"/>
    <cellStyle name="SAPBEXHLevel0 7 2 2 2" xfId="47194" xr:uid="{00000000-0005-0000-0000-000001B90000}"/>
    <cellStyle name="SAPBEXHLevel0 7 2 3" xfId="47195" xr:uid="{00000000-0005-0000-0000-000002B90000}"/>
    <cellStyle name="SAPBEXHLevel0 7 2 3 2" xfId="47196" xr:uid="{00000000-0005-0000-0000-000003B90000}"/>
    <cellStyle name="SAPBEXHLevel0 7 2 3 2 2" xfId="47197" xr:uid="{00000000-0005-0000-0000-000004B90000}"/>
    <cellStyle name="SAPBEXHLevel0 7 2 3 3" xfId="47198" xr:uid="{00000000-0005-0000-0000-000005B90000}"/>
    <cellStyle name="SAPBEXHLevel0 7 2 4" xfId="47199" xr:uid="{00000000-0005-0000-0000-000006B90000}"/>
    <cellStyle name="SAPBEXHLevel0 7 3" xfId="47200" xr:uid="{00000000-0005-0000-0000-000007B90000}"/>
    <cellStyle name="SAPBEXHLevel0 7 3 2" xfId="47201" xr:uid="{00000000-0005-0000-0000-000008B90000}"/>
    <cellStyle name="SAPBEXHLevel0 7 3 2 2" xfId="47202" xr:uid="{00000000-0005-0000-0000-000009B90000}"/>
    <cellStyle name="SAPBEXHLevel0 7 3 3" xfId="47203" xr:uid="{00000000-0005-0000-0000-00000AB90000}"/>
    <cellStyle name="SAPBEXHLevel0 7 4" xfId="47204" xr:uid="{00000000-0005-0000-0000-00000BB90000}"/>
    <cellStyle name="SAPBEXHLevel0 7 4 2" xfId="47205" xr:uid="{00000000-0005-0000-0000-00000CB90000}"/>
    <cellStyle name="SAPBEXHLevel0 7 4 2 2" xfId="47206" xr:uid="{00000000-0005-0000-0000-00000DB90000}"/>
    <cellStyle name="SAPBEXHLevel0 7 4 3" xfId="47207" xr:uid="{00000000-0005-0000-0000-00000EB90000}"/>
    <cellStyle name="SAPBEXHLevel0 7 5" xfId="47208" xr:uid="{00000000-0005-0000-0000-00000FB90000}"/>
    <cellStyle name="SAPBEXHLevel0 7 5 2" xfId="47209" xr:uid="{00000000-0005-0000-0000-000010B90000}"/>
    <cellStyle name="SAPBEXHLevel0 7 5 2 2" xfId="47210" xr:uid="{00000000-0005-0000-0000-000011B90000}"/>
    <cellStyle name="SAPBEXHLevel0 7 5 3" xfId="47211" xr:uid="{00000000-0005-0000-0000-000012B90000}"/>
    <cellStyle name="SAPBEXHLevel0 7 6" xfId="47212" xr:uid="{00000000-0005-0000-0000-000013B90000}"/>
    <cellStyle name="SAPBEXHLevel0 8" xfId="47213" xr:uid="{00000000-0005-0000-0000-000014B90000}"/>
    <cellStyle name="SAPBEXHLevel0 8 2" xfId="47214" xr:uid="{00000000-0005-0000-0000-000015B90000}"/>
    <cellStyle name="SAPBEXHLevel0 8 2 2" xfId="47215" xr:uid="{00000000-0005-0000-0000-000016B90000}"/>
    <cellStyle name="SAPBEXHLevel0 8 3" xfId="47216" xr:uid="{00000000-0005-0000-0000-000017B90000}"/>
    <cellStyle name="SAPBEXHLevel0 9" xfId="47217" xr:uid="{00000000-0005-0000-0000-000018B90000}"/>
    <cellStyle name="SAPBEXHLevel0 9 2" xfId="47218" xr:uid="{00000000-0005-0000-0000-000019B90000}"/>
    <cellStyle name="SAPBEXHLevel0 9 2 2" xfId="47219" xr:uid="{00000000-0005-0000-0000-00001AB90000}"/>
    <cellStyle name="SAPBEXHLevel0 9 3" xfId="47220" xr:uid="{00000000-0005-0000-0000-00001BB90000}"/>
    <cellStyle name="SAPBEXHLevel0X" xfId="61" xr:uid="{00000000-0005-0000-0000-00001CB90000}"/>
    <cellStyle name="SAPBEXHLevel0X 10" xfId="47221" xr:uid="{00000000-0005-0000-0000-00001DB90000}"/>
    <cellStyle name="SAPBEXHLevel0X 10 2" xfId="47222" xr:uid="{00000000-0005-0000-0000-00001EB90000}"/>
    <cellStyle name="SAPBEXHLevel0X 10 2 2" xfId="47223" xr:uid="{00000000-0005-0000-0000-00001FB90000}"/>
    <cellStyle name="SAPBEXHLevel0X 10 2 2 2" xfId="47224" xr:uid="{00000000-0005-0000-0000-000020B90000}"/>
    <cellStyle name="SAPBEXHLevel0X 10 2 3" xfId="47225" xr:uid="{00000000-0005-0000-0000-000021B90000}"/>
    <cellStyle name="SAPBEXHLevel0X 10 3" xfId="47226" xr:uid="{00000000-0005-0000-0000-000022B90000}"/>
    <cellStyle name="SAPBEXHLevel0X 10 3 2" xfId="47227" xr:uid="{00000000-0005-0000-0000-000023B90000}"/>
    <cellStyle name="SAPBEXHLevel0X 10 4" xfId="47228" xr:uid="{00000000-0005-0000-0000-000024B90000}"/>
    <cellStyle name="SAPBEXHLevel0X 11" xfId="47229" xr:uid="{00000000-0005-0000-0000-000025B90000}"/>
    <cellStyle name="SAPBEXHLevel0X 11 2" xfId="47230" xr:uid="{00000000-0005-0000-0000-000026B90000}"/>
    <cellStyle name="SAPBEXHLevel0X 11 2 2" xfId="47231" xr:uid="{00000000-0005-0000-0000-000027B90000}"/>
    <cellStyle name="SAPBEXHLevel0X 11 3" xfId="47232" xr:uid="{00000000-0005-0000-0000-000028B90000}"/>
    <cellStyle name="SAPBEXHLevel0X 12" xfId="47233" xr:uid="{00000000-0005-0000-0000-000029B90000}"/>
    <cellStyle name="SAPBEXHLevel0X 12 2" xfId="47234" xr:uid="{00000000-0005-0000-0000-00002AB90000}"/>
    <cellStyle name="SAPBEXHLevel0X 12 2 2" xfId="47235" xr:uid="{00000000-0005-0000-0000-00002BB90000}"/>
    <cellStyle name="SAPBEXHLevel0X 12 3" xfId="47236" xr:uid="{00000000-0005-0000-0000-00002CB90000}"/>
    <cellStyle name="SAPBEXHLevel0X 13" xfId="47237" xr:uid="{00000000-0005-0000-0000-00002DB90000}"/>
    <cellStyle name="SAPBEXHLevel0X 13 2" xfId="47238" xr:uid="{00000000-0005-0000-0000-00002EB90000}"/>
    <cellStyle name="SAPBEXHLevel0X 13 2 2" xfId="47239" xr:uid="{00000000-0005-0000-0000-00002FB90000}"/>
    <cellStyle name="SAPBEXHLevel0X 13 3" xfId="47240" xr:uid="{00000000-0005-0000-0000-000030B90000}"/>
    <cellStyle name="SAPBEXHLevel0X 14" xfId="47241" xr:uid="{00000000-0005-0000-0000-000031B90000}"/>
    <cellStyle name="SAPBEXHLevel0X 14 2" xfId="47242" xr:uid="{00000000-0005-0000-0000-000032B90000}"/>
    <cellStyle name="SAPBEXHLevel0X 14 2 2" xfId="47243" xr:uid="{00000000-0005-0000-0000-000033B90000}"/>
    <cellStyle name="SAPBEXHLevel0X 14 3" xfId="47244" xr:uid="{00000000-0005-0000-0000-000034B90000}"/>
    <cellStyle name="SAPBEXHLevel0X 15" xfId="47245" xr:uid="{00000000-0005-0000-0000-000035B90000}"/>
    <cellStyle name="SAPBEXHLevel0X 15 2" xfId="47246" xr:uid="{00000000-0005-0000-0000-000036B90000}"/>
    <cellStyle name="SAPBEXHLevel0X 15 2 2" xfId="47247" xr:uid="{00000000-0005-0000-0000-000037B90000}"/>
    <cellStyle name="SAPBEXHLevel0X 15 2 2 2" xfId="47248" xr:uid="{00000000-0005-0000-0000-000038B90000}"/>
    <cellStyle name="SAPBEXHLevel0X 15 2 3" xfId="47249" xr:uid="{00000000-0005-0000-0000-000039B90000}"/>
    <cellStyle name="SAPBEXHLevel0X 15 3" xfId="47250" xr:uid="{00000000-0005-0000-0000-00003AB90000}"/>
    <cellStyle name="SAPBEXHLevel0X 15 3 2" xfId="47251" xr:uid="{00000000-0005-0000-0000-00003BB90000}"/>
    <cellStyle name="SAPBEXHLevel0X 15 4" xfId="47252" xr:uid="{00000000-0005-0000-0000-00003CB90000}"/>
    <cellStyle name="SAPBEXHLevel0X 16" xfId="47253" xr:uid="{00000000-0005-0000-0000-00003DB90000}"/>
    <cellStyle name="SAPBEXHLevel0X 16 2" xfId="47254" xr:uid="{00000000-0005-0000-0000-00003EB90000}"/>
    <cellStyle name="SAPBEXHLevel0X 16 3" xfId="47255" xr:uid="{00000000-0005-0000-0000-00003FB90000}"/>
    <cellStyle name="SAPBEXHLevel0X 17" xfId="47256" xr:uid="{00000000-0005-0000-0000-000040B90000}"/>
    <cellStyle name="SAPBEXHLevel0X 17 2" xfId="47257" xr:uid="{00000000-0005-0000-0000-000041B90000}"/>
    <cellStyle name="SAPBEXHLevel0X 17 3" xfId="47258" xr:uid="{00000000-0005-0000-0000-000042B90000}"/>
    <cellStyle name="SAPBEXHLevel0X 18" xfId="47259" xr:uid="{00000000-0005-0000-0000-000043B90000}"/>
    <cellStyle name="SAPBEXHLevel0X 18 2" xfId="47260" xr:uid="{00000000-0005-0000-0000-000044B90000}"/>
    <cellStyle name="SAPBEXHLevel0X 19" xfId="47261" xr:uid="{00000000-0005-0000-0000-000045B90000}"/>
    <cellStyle name="SAPBEXHLevel0X 2" xfId="85" xr:uid="{00000000-0005-0000-0000-000046B90000}"/>
    <cellStyle name="SAPBEXHLevel0X 2 2" xfId="47262" xr:uid="{00000000-0005-0000-0000-000047B90000}"/>
    <cellStyle name="SAPBEXHLevel0X 2 2 2" xfId="47263" xr:uid="{00000000-0005-0000-0000-000048B90000}"/>
    <cellStyle name="SAPBEXHLevel0X 2 2 2 2" xfId="47264" xr:uid="{00000000-0005-0000-0000-000049B90000}"/>
    <cellStyle name="SAPBEXHLevel0X 2 2 2 2 2" xfId="47265" xr:uid="{00000000-0005-0000-0000-00004AB90000}"/>
    <cellStyle name="SAPBEXHLevel0X 2 2 2 3" xfId="47266" xr:uid="{00000000-0005-0000-0000-00004BB90000}"/>
    <cellStyle name="SAPBEXHLevel0X 2 2 3" xfId="47267" xr:uid="{00000000-0005-0000-0000-00004CB90000}"/>
    <cellStyle name="SAPBEXHLevel0X 2 2 3 2" xfId="47268" xr:uid="{00000000-0005-0000-0000-00004DB90000}"/>
    <cellStyle name="SAPBEXHLevel0X 2 2 3 2 2" xfId="47269" xr:uid="{00000000-0005-0000-0000-00004EB90000}"/>
    <cellStyle name="SAPBEXHLevel0X 2 2 3 3" xfId="47270" xr:uid="{00000000-0005-0000-0000-00004FB90000}"/>
    <cellStyle name="SAPBEXHLevel0X 2 2 4" xfId="47271" xr:uid="{00000000-0005-0000-0000-000050B90000}"/>
    <cellStyle name="SAPBEXHLevel0X 2 2 4 2" xfId="47272" xr:uid="{00000000-0005-0000-0000-000051B90000}"/>
    <cellStyle name="SAPBEXHLevel0X 2 2 4 2 2" xfId="47273" xr:uid="{00000000-0005-0000-0000-000052B90000}"/>
    <cellStyle name="SAPBEXHLevel0X 2 2 4 3" xfId="47274" xr:uid="{00000000-0005-0000-0000-000053B90000}"/>
    <cellStyle name="SAPBEXHLevel0X 2 2 5" xfId="47275" xr:uid="{00000000-0005-0000-0000-000054B90000}"/>
    <cellStyle name="SAPBEXHLevel0X 2 2 5 2" xfId="47276" xr:uid="{00000000-0005-0000-0000-000055B90000}"/>
    <cellStyle name="SAPBEXHLevel0X 2 2 6" xfId="47277" xr:uid="{00000000-0005-0000-0000-000056B90000}"/>
    <cellStyle name="SAPBEXHLevel0X 2 3" xfId="47278" xr:uid="{00000000-0005-0000-0000-000057B90000}"/>
    <cellStyle name="SAPBEXHLevel0X 2 3 2" xfId="47279" xr:uid="{00000000-0005-0000-0000-000058B90000}"/>
    <cellStyle name="SAPBEXHLevel0X 2 3 2 2" xfId="47280" xr:uid="{00000000-0005-0000-0000-000059B90000}"/>
    <cellStyle name="SAPBEXHLevel0X 2 3 2 2 2" xfId="47281" xr:uid="{00000000-0005-0000-0000-00005AB90000}"/>
    <cellStyle name="SAPBEXHLevel0X 2 3 2 2 2 2" xfId="47282" xr:uid="{00000000-0005-0000-0000-00005BB90000}"/>
    <cellStyle name="SAPBEXHLevel0X 2 3 2 2 3" xfId="47283" xr:uid="{00000000-0005-0000-0000-00005CB90000}"/>
    <cellStyle name="SAPBEXHLevel0X 2 3 2 3" xfId="47284" xr:uid="{00000000-0005-0000-0000-00005DB90000}"/>
    <cellStyle name="SAPBEXHLevel0X 2 3 2 3 2" xfId="47285" xr:uid="{00000000-0005-0000-0000-00005EB90000}"/>
    <cellStyle name="SAPBEXHLevel0X 2 3 2 3 2 2" xfId="47286" xr:uid="{00000000-0005-0000-0000-00005FB90000}"/>
    <cellStyle name="SAPBEXHLevel0X 2 3 2 3 3" xfId="47287" xr:uid="{00000000-0005-0000-0000-000060B90000}"/>
    <cellStyle name="SAPBEXHLevel0X 2 3 2 4" xfId="47288" xr:uid="{00000000-0005-0000-0000-000061B90000}"/>
    <cellStyle name="SAPBEXHLevel0X 2 3 2 4 2" xfId="47289" xr:uid="{00000000-0005-0000-0000-000062B90000}"/>
    <cellStyle name="SAPBEXHLevel0X 2 3 2 5" xfId="47290" xr:uid="{00000000-0005-0000-0000-000063B90000}"/>
    <cellStyle name="SAPBEXHLevel0X 2 3 3" xfId="47291" xr:uid="{00000000-0005-0000-0000-000064B90000}"/>
    <cellStyle name="SAPBEXHLevel0X 2 3 3 2" xfId="47292" xr:uid="{00000000-0005-0000-0000-000065B90000}"/>
    <cellStyle name="SAPBEXHLevel0X 2 3 3 2 2" xfId="47293" xr:uid="{00000000-0005-0000-0000-000066B90000}"/>
    <cellStyle name="SAPBEXHLevel0X 2 3 3 2 2 2" xfId="47294" xr:uid="{00000000-0005-0000-0000-000067B90000}"/>
    <cellStyle name="SAPBEXHLevel0X 2 3 3 2 3" xfId="47295" xr:uid="{00000000-0005-0000-0000-000068B90000}"/>
    <cellStyle name="SAPBEXHLevel0X 2 3 3 3" xfId="47296" xr:uid="{00000000-0005-0000-0000-000069B90000}"/>
    <cellStyle name="SAPBEXHLevel0X 2 3 3 3 2" xfId="47297" xr:uid="{00000000-0005-0000-0000-00006AB90000}"/>
    <cellStyle name="SAPBEXHLevel0X 2 3 3 4" xfId="47298" xr:uid="{00000000-0005-0000-0000-00006BB90000}"/>
    <cellStyle name="SAPBEXHLevel0X 2 3 4" xfId="47299" xr:uid="{00000000-0005-0000-0000-00006CB90000}"/>
    <cellStyle name="SAPBEXHLevel0X 2 3 4 2" xfId="47300" xr:uid="{00000000-0005-0000-0000-00006DB90000}"/>
    <cellStyle name="SAPBEXHLevel0X 2 3 4 2 2" xfId="47301" xr:uid="{00000000-0005-0000-0000-00006EB90000}"/>
    <cellStyle name="SAPBEXHLevel0X 2 3 4 3" xfId="47302" xr:uid="{00000000-0005-0000-0000-00006FB90000}"/>
    <cellStyle name="SAPBEXHLevel0X 2 3 5" xfId="47303" xr:uid="{00000000-0005-0000-0000-000070B90000}"/>
    <cellStyle name="SAPBEXHLevel0X 2 3 5 2" xfId="47304" xr:uid="{00000000-0005-0000-0000-000071B90000}"/>
    <cellStyle name="SAPBEXHLevel0X 2 3 5 2 2" xfId="47305" xr:uid="{00000000-0005-0000-0000-000072B90000}"/>
    <cellStyle name="SAPBEXHLevel0X 2 3 5 3" xfId="47306" xr:uid="{00000000-0005-0000-0000-000073B90000}"/>
    <cellStyle name="SAPBEXHLevel0X 2 3 6" xfId="47307" xr:uid="{00000000-0005-0000-0000-000074B90000}"/>
    <cellStyle name="SAPBEXHLevel0X 2 3 6 2" xfId="47308" xr:uid="{00000000-0005-0000-0000-000075B90000}"/>
    <cellStyle name="SAPBEXHLevel0X 2 3 7" xfId="47309" xr:uid="{00000000-0005-0000-0000-000076B90000}"/>
    <cellStyle name="SAPBEXHLevel0X 2 4" xfId="47310" xr:uid="{00000000-0005-0000-0000-000077B90000}"/>
    <cellStyle name="SAPBEXHLevel0X 2 4 2" xfId="47311" xr:uid="{00000000-0005-0000-0000-000078B90000}"/>
    <cellStyle name="SAPBEXHLevel0X 2 4 2 2" xfId="47312" xr:uid="{00000000-0005-0000-0000-000079B90000}"/>
    <cellStyle name="SAPBEXHLevel0X 2 4 2 2 2" xfId="47313" xr:uid="{00000000-0005-0000-0000-00007AB90000}"/>
    <cellStyle name="SAPBEXHLevel0X 2 4 2 3" xfId="47314" xr:uid="{00000000-0005-0000-0000-00007BB90000}"/>
    <cellStyle name="SAPBEXHLevel0X 2 4 3" xfId="47315" xr:uid="{00000000-0005-0000-0000-00007CB90000}"/>
    <cellStyle name="SAPBEXHLevel0X 2 4 3 2" xfId="47316" xr:uid="{00000000-0005-0000-0000-00007DB90000}"/>
    <cellStyle name="SAPBEXHLevel0X 2 4 4" xfId="47317" xr:uid="{00000000-0005-0000-0000-00007EB90000}"/>
    <cellStyle name="SAPBEXHLevel0X 2 5" xfId="47318" xr:uid="{00000000-0005-0000-0000-00007FB90000}"/>
    <cellStyle name="SAPBEXHLevel0X 2 5 2" xfId="47319" xr:uid="{00000000-0005-0000-0000-000080B90000}"/>
    <cellStyle name="SAPBEXHLevel0X 2 5 2 2" xfId="47320" xr:uid="{00000000-0005-0000-0000-000081B90000}"/>
    <cellStyle name="SAPBEXHLevel0X 2 5 3" xfId="47321" xr:uid="{00000000-0005-0000-0000-000082B90000}"/>
    <cellStyle name="SAPBEXHLevel0X 2 6" xfId="47322" xr:uid="{00000000-0005-0000-0000-000083B90000}"/>
    <cellStyle name="SAPBEXHLevel0X 2 6 2" xfId="47323" xr:uid="{00000000-0005-0000-0000-000084B90000}"/>
    <cellStyle name="SAPBEXHLevel0X 2 6 2 2" xfId="47324" xr:uid="{00000000-0005-0000-0000-000085B90000}"/>
    <cellStyle name="SAPBEXHLevel0X 2 6 3" xfId="47325" xr:uid="{00000000-0005-0000-0000-000086B90000}"/>
    <cellStyle name="SAPBEXHLevel0X 2 7" xfId="47326" xr:uid="{00000000-0005-0000-0000-000087B90000}"/>
    <cellStyle name="SAPBEXHLevel0X 2 7 2" xfId="47327" xr:uid="{00000000-0005-0000-0000-000088B90000}"/>
    <cellStyle name="SAPBEXHLevel0X 2 8" xfId="47328" xr:uid="{00000000-0005-0000-0000-000089B90000}"/>
    <cellStyle name="SAPBEXHLevel0X 20" xfId="47329" xr:uid="{00000000-0005-0000-0000-00008AB90000}"/>
    <cellStyle name="SAPBEXHLevel0X 21" xfId="47330" xr:uid="{00000000-0005-0000-0000-00008BB90000}"/>
    <cellStyle name="SAPBEXHLevel0X 22" xfId="47331" xr:uid="{00000000-0005-0000-0000-00008CB90000}"/>
    <cellStyle name="SAPBEXHLevel0X 3" xfId="47332" xr:uid="{00000000-0005-0000-0000-00008DB90000}"/>
    <cellStyle name="SAPBEXHLevel0X 3 2" xfId="47333" xr:uid="{00000000-0005-0000-0000-00008EB90000}"/>
    <cellStyle name="SAPBEXHLevel0X 3 2 2" xfId="47334" xr:uid="{00000000-0005-0000-0000-00008FB90000}"/>
    <cellStyle name="SAPBEXHLevel0X 3 2 2 2" xfId="47335" xr:uid="{00000000-0005-0000-0000-000090B90000}"/>
    <cellStyle name="SAPBEXHLevel0X 3 2 2 2 2" xfId="47336" xr:uid="{00000000-0005-0000-0000-000091B90000}"/>
    <cellStyle name="SAPBEXHLevel0X 3 2 2 3" xfId="47337" xr:uid="{00000000-0005-0000-0000-000092B90000}"/>
    <cellStyle name="SAPBEXHLevel0X 3 2 3" xfId="47338" xr:uid="{00000000-0005-0000-0000-000093B90000}"/>
    <cellStyle name="SAPBEXHLevel0X 3 2 3 2" xfId="47339" xr:uid="{00000000-0005-0000-0000-000094B90000}"/>
    <cellStyle name="SAPBEXHLevel0X 3 2 3 2 2" xfId="47340" xr:uid="{00000000-0005-0000-0000-000095B90000}"/>
    <cellStyle name="SAPBEXHLevel0X 3 2 3 3" xfId="47341" xr:uid="{00000000-0005-0000-0000-000096B90000}"/>
    <cellStyle name="SAPBEXHLevel0X 3 2 4" xfId="47342" xr:uid="{00000000-0005-0000-0000-000097B90000}"/>
    <cellStyle name="SAPBEXHLevel0X 3 2 4 2" xfId="47343" xr:uid="{00000000-0005-0000-0000-000098B90000}"/>
    <cellStyle name="SAPBEXHLevel0X 3 2 4 2 2" xfId="47344" xr:uid="{00000000-0005-0000-0000-000099B90000}"/>
    <cellStyle name="SAPBEXHLevel0X 3 2 4 3" xfId="47345" xr:uid="{00000000-0005-0000-0000-00009AB90000}"/>
    <cellStyle name="SAPBEXHLevel0X 3 2 5" xfId="47346" xr:uid="{00000000-0005-0000-0000-00009BB90000}"/>
    <cellStyle name="SAPBEXHLevel0X 3 2 5 2" xfId="47347" xr:uid="{00000000-0005-0000-0000-00009CB90000}"/>
    <cellStyle name="SAPBEXHLevel0X 3 2 6" xfId="47348" xr:uid="{00000000-0005-0000-0000-00009DB90000}"/>
    <cellStyle name="SAPBEXHLevel0X 3 3" xfId="47349" xr:uid="{00000000-0005-0000-0000-00009EB90000}"/>
    <cellStyle name="SAPBEXHLevel0X 3 3 2" xfId="47350" xr:uid="{00000000-0005-0000-0000-00009FB90000}"/>
    <cellStyle name="SAPBEXHLevel0X 3 3 2 2" xfId="47351" xr:uid="{00000000-0005-0000-0000-0000A0B90000}"/>
    <cellStyle name="SAPBEXHLevel0X 3 3 2 2 2" xfId="47352" xr:uid="{00000000-0005-0000-0000-0000A1B90000}"/>
    <cellStyle name="SAPBEXHLevel0X 3 3 2 3" xfId="47353" xr:uid="{00000000-0005-0000-0000-0000A2B90000}"/>
    <cellStyle name="SAPBEXHLevel0X 3 3 3" xfId="47354" xr:uid="{00000000-0005-0000-0000-0000A3B90000}"/>
    <cellStyle name="SAPBEXHLevel0X 3 3 3 2" xfId="47355" xr:uid="{00000000-0005-0000-0000-0000A4B90000}"/>
    <cellStyle name="SAPBEXHLevel0X 3 3 4" xfId="47356" xr:uid="{00000000-0005-0000-0000-0000A5B90000}"/>
    <cellStyle name="SAPBEXHLevel0X 3 4" xfId="47357" xr:uid="{00000000-0005-0000-0000-0000A6B90000}"/>
    <cellStyle name="SAPBEXHLevel0X 3 4 2" xfId="47358" xr:uid="{00000000-0005-0000-0000-0000A7B90000}"/>
    <cellStyle name="SAPBEXHLevel0X 3 4 2 2" xfId="47359" xr:uid="{00000000-0005-0000-0000-0000A8B90000}"/>
    <cellStyle name="SAPBEXHLevel0X 3 4 3" xfId="47360" xr:uid="{00000000-0005-0000-0000-0000A9B90000}"/>
    <cellStyle name="SAPBEXHLevel0X 3 5" xfId="47361" xr:uid="{00000000-0005-0000-0000-0000AAB90000}"/>
    <cellStyle name="SAPBEXHLevel0X 3 5 2" xfId="47362" xr:uid="{00000000-0005-0000-0000-0000ABB90000}"/>
    <cellStyle name="SAPBEXHLevel0X 3 5 2 2" xfId="47363" xr:uid="{00000000-0005-0000-0000-0000ACB90000}"/>
    <cellStyle name="SAPBEXHLevel0X 3 5 3" xfId="47364" xr:uid="{00000000-0005-0000-0000-0000ADB90000}"/>
    <cellStyle name="SAPBEXHLevel0X 3 6" xfId="47365" xr:uid="{00000000-0005-0000-0000-0000AEB90000}"/>
    <cellStyle name="SAPBEXHLevel0X 3 6 2" xfId="47366" xr:uid="{00000000-0005-0000-0000-0000AFB90000}"/>
    <cellStyle name="SAPBEXHLevel0X 3 7" xfId="47367" xr:uid="{00000000-0005-0000-0000-0000B0B90000}"/>
    <cellStyle name="SAPBEXHLevel0X 4" xfId="47368" xr:uid="{00000000-0005-0000-0000-0000B1B90000}"/>
    <cellStyle name="SAPBEXHLevel0X 4 2" xfId="47369" xr:uid="{00000000-0005-0000-0000-0000B2B90000}"/>
    <cellStyle name="SAPBEXHLevel0X 4 2 2" xfId="47370" xr:uid="{00000000-0005-0000-0000-0000B3B90000}"/>
    <cellStyle name="SAPBEXHLevel0X 4 2 2 2" xfId="47371" xr:uid="{00000000-0005-0000-0000-0000B4B90000}"/>
    <cellStyle name="SAPBEXHLevel0X 4 2 2 2 2" xfId="47372" xr:uid="{00000000-0005-0000-0000-0000B5B90000}"/>
    <cellStyle name="SAPBEXHLevel0X 4 2 2 3" xfId="47373" xr:uid="{00000000-0005-0000-0000-0000B6B90000}"/>
    <cellStyle name="SAPBEXHLevel0X 4 2 3" xfId="47374" xr:uid="{00000000-0005-0000-0000-0000B7B90000}"/>
    <cellStyle name="SAPBEXHLevel0X 4 2 3 2" xfId="47375" xr:uid="{00000000-0005-0000-0000-0000B8B90000}"/>
    <cellStyle name="SAPBEXHLevel0X 4 2 3 2 2" xfId="47376" xr:uid="{00000000-0005-0000-0000-0000B9B90000}"/>
    <cellStyle name="SAPBEXHLevel0X 4 2 3 3" xfId="47377" xr:uid="{00000000-0005-0000-0000-0000BAB90000}"/>
    <cellStyle name="SAPBEXHLevel0X 4 2 4" xfId="47378" xr:uid="{00000000-0005-0000-0000-0000BBB90000}"/>
    <cellStyle name="SAPBEXHLevel0X 4 2 4 2" xfId="47379" xr:uid="{00000000-0005-0000-0000-0000BCB90000}"/>
    <cellStyle name="SAPBEXHLevel0X 4 2 4 2 2" xfId="47380" xr:uid="{00000000-0005-0000-0000-0000BDB90000}"/>
    <cellStyle name="SAPBEXHLevel0X 4 2 4 3" xfId="47381" xr:uid="{00000000-0005-0000-0000-0000BEB90000}"/>
    <cellStyle name="SAPBEXHLevel0X 4 2 5" xfId="47382" xr:uid="{00000000-0005-0000-0000-0000BFB90000}"/>
    <cellStyle name="SAPBEXHLevel0X 4 2 5 2" xfId="47383" xr:uid="{00000000-0005-0000-0000-0000C0B90000}"/>
    <cellStyle name="SAPBEXHLevel0X 4 2 6" xfId="47384" xr:uid="{00000000-0005-0000-0000-0000C1B90000}"/>
    <cellStyle name="SAPBEXHLevel0X 4 3" xfId="47385" xr:uid="{00000000-0005-0000-0000-0000C2B90000}"/>
    <cellStyle name="SAPBEXHLevel0X 4 3 2" xfId="47386" xr:uid="{00000000-0005-0000-0000-0000C3B90000}"/>
    <cellStyle name="SAPBEXHLevel0X 4 3 2 2" xfId="47387" xr:uid="{00000000-0005-0000-0000-0000C4B90000}"/>
    <cellStyle name="SAPBEXHLevel0X 4 3 2 2 2" xfId="47388" xr:uid="{00000000-0005-0000-0000-0000C5B90000}"/>
    <cellStyle name="SAPBEXHLevel0X 4 3 2 2 2 2" xfId="47389" xr:uid="{00000000-0005-0000-0000-0000C6B90000}"/>
    <cellStyle name="SAPBEXHLevel0X 4 3 2 2 3" xfId="47390" xr:uid="{00000000-0005-0000-0000-0000C7B90000}"/>
    <cellStyle name="SAPBEXHLevel0X 4 3 2 3" xfId="47391" xr:uid="{00000000-0005-0000-0000-0000C8B90000}"/>
    <cellStyle name="SAPBEXHLevel0X 4 3 2 3 2" xfId="47392" xr:uid="{00000000-0005-0000-0000-0000C9B90000}"/>
    <cellStyle name="SAPBEXHLevel0X 4 3 2 3 2 2" xfId="47393" xr:uid="{00000000-0005-0000-0000-0000CAB90000}"/>
    <cellStyle name="SAPBEXHLevel0X 4 3 2 3 3" xfId="47394" xr:uid="{00000000-0005-0000-0000-0000CBB90000}"/>
    <cellStyle name="SAPBEXHLevel0X 4 3 2 4" xfId="47395" xr:uid="{00000000-0005-0000-0000-0000CCB90000}"/>
    <cellStyle name="SAPBEXHLevel0X 4 3 2 4 2" xfId="47396" xr:uid="{00000000-0005-0000-0000-0000CDB90000}"/>
    <cellStyle name="SAPBEXHLevel0X 4 3 2 5" xfId="47397" xr:uid="{00000000-0005-0000-0000-0000CEB90000}"/>
    <cellStyle name="SAPBEXHLevel0X 4 3 3" xfId="47398" xr:uid="{00000000-0005-0000-0000-0000CFB90000}"/>
    <cellStyle name="SAPBEXHLevel0X 4 3 3 2" xfId="47399" xr:uid="{00000000-0005-0000-0000-0000D0B90000}"/>
    <cellStyle name="SAPBEXHLevel0X 4 3 3 2 2" xfId="47400" xr:uid="{00000000-0005-0000-0000-0000D1B90000}"/>
    <cellStyle name="SAPBEXHLevel0X 4 3 3 2 2 2" xfId="47401" xr:uid="{00000000-0005-0000-0000-0000D2B90000}"/>
    <cellStyle name="SAPBEXHLevel0X 4 3 3 2 3" xfId="47402" xr:uid="{00000000-0005-0000-0000-0000D3B90000}"/>
    <cellStyle name="SAPBEXHLevel0X 4 3 3 3" xfId="47403" xr:uid="{00000000-0005-0000-0000-0000D4B90000}"/>
    <cellStyle name="SAPBEXHLevel0X 4 3 3 3 2" xfId="47404" xr:uid="{00000000-0005-0000-0000-0000D5B90000}"/>
    <cellStyle name="SAPBEXHLevel0X 4 3 3 4" xfId="47405" xr:uid="{00000000-0005-0000-0000-0000D6B90000}"/>
    <cellStyle name="SAPBEXHLevel0X 4 3 4" xfId="47406" xr:uid="{00000000-0005-0000-0000-0000D7B90000}"/>
    <cellStyle name="SAPBEXHLevel0X 4 3 4 2" xfId="47407" xr:uid="{00000000-0005-0000-0000-0000D8B90000}"/>
    <cellStyle name="SAPBEXHLevel0X 4 3 4 2 2" xfId="47408" xr:uid="{00000000-0005-0000-0000-0000D9B90000}"/>
    <cellStyle name="SAPBEXHLevel0X 4 3 4 3" xfId="47409" xr:uid="{00000000-0005-0000-0000-0000DAB90000}"/>
    <cellStyle name="SAPBEXHLevel0X 4 3 5" xfId="47410" xr:uid="{00000000-0005-0000-0000-0000DBB90000}"/>
    <cellStyle name="SAPBEXHLevel0X 4 3 5 2" xfId="47411" xr:uid="{00000000-0005-0000-0000-0000DCB90000}"/>
    <cellStyle name="SAPBEXHLevel0X 4 3 5 2 2" xfId="47412" xr:uid="{00000000-0005-0000-0000-0000DDB90000}"/>
    <cellStyle name="SAPBEXHLevel0X 4 3 5 3" xfId="47413" xr:uid="{00000000-0005-0000-0000-0000DEB90000}"/>
    <cellStyle name="SAPBEXHLevel0X 4 3 6" xfId="47414" xr:uid="{00000000-0005-0000-0000-0000DFB90000}"/>
    <cellStyle name="SAPBEXHLevel0X 4 3 6 2" xfId="47415" xr:uid="{00000000-0005-0000-0000-0000E0B90000}"/>
    <cellStyle name="SAPBEXHLevel0X 4 3 7" xfId="47416" xr:uid="{00000000-0005-0000-0000-0000E1B90000}"/>
    <cellStyle name="SAPBEXHLevel0X 4 4" xfId="47417" xr:uid="{00000000-0005-0000-0000-0000E2B90000}"/>
    <cellStyle name="SAPBEXHLevel0X 4 4 2" xfId="47418" xr:uid="{00000000-0005-0000-0000-0000E3B90000}"/>
    <cellStyle name="SAPBEXHLevel0X 4 4 2 2" xfId="47419" xr:uid="{00000000-0005-0000-0000-0000E4B90000}"/>
    <cellStyle name="SAPBEXHLevel0X 4 4 2 2 2" xfId="47420" xr:uid="{00000000-0005-0000-0000-0000E5B90000}"/>
    <cellStyle name="SAPBEXHLevel0X 4 4 2 3" xfId="47421" xr:uid="{00000000-0005-0000-0000-0000E6B90000}"/>
    <cellStyle name="SAPBEXHLevel0X 4 4 3" xfId="47422" xr:uid="{00000000-0005-0000-0000-0000E7B90000}"/>
    <cellStyle name="SAPBEXHLevel0X 4 4 3 2" xfId="47423" xr:uid="{00000000-0005-0000-0000-0000E8B90000}"/>
    <cellStyle name="SAPBEXHLevel0X 4 4 4" xfId="47424" xr:uid="{00000000-0005-0000-0000-0000E9B90000}"/>
    <cellStyle name="SAPBEXHLevel0X 4 5" xfId="47425" xr:uid="{00000000-0005-0000-0000-0000EAB90000}"/>
    <cellStyle name="SAPBEXHLevel0X 4 5 2" xfId="47426" xr:uid="{00000000-0005-0000-0000-0000EBB90000}"/>
    <cellStyle name="SAPBEXHLevel0X 4 5 2 2" xfId="47427" xr:uid="{00000000-0005-0000-0000-0000ECB90000}"/>
    <cellStyle name="SAPBEXHLevel0X 4 5 3" xfId="47428" xr:uid="{00000000-0005-0000-0000-0000EDB90000}"/>
    <cellStyle name="SAPBEXHLevel0X 4 6" xfId="47429" xr:uid="{00000000-0005-0000-0000-0000EEB90000}"/>
    <cellStyle name="SAPBEXHLevel0X 4 6 2" xfId="47430" xr:uid="{00000000-0005-0000-0000-0000EFB90000}"/>
    <cellStyle name="SAPBEXHLevel0X 4 6 2 2" xfId="47431" xr:uid="{00000000-0005-0000-0000-0000F0B90000}"/>
    <cellStyle name="SAPBEXHLevel0X 4 6 3" xfId="47432" xr:uid="{00000000-0005-0000-0000-0000F1B90000}"/>
    <cellStyle name="SAPBEXHLevel0X 4 7" xfId="47433" xr:uid="{00000000-0005-0000-0000-0000F2B90000}"/>
    <cellStyle name="SAPBEXHLevel0X 4 7 2" xfId="47434" xr:uid="{00000000-0005-0000-0000-0000F3B90000}"/>
    <cellStyle name="SAPBEXHLevel0X 4 8" xfId="47435" xr:uid="{00000000-0005-0000-0000-0000F4B90000}"/>
    <cellStyle name="SAPBEXHLevel0X 5" xfId="47436" xr:uid="{00000000-0005-0000-0000-0000F5B90000}"/>
    <cellStyle name="SAPBEXHLevel0X 5 2" xfId="47437" xr:uid="{00000000-0005-0000-0000-0000F6B90000}"/>
    <cellStyle name="SAPBEXHLevel0X 5 2 2" xfId="47438" xr:uid="{00000000-0005-0000-0000-0000F7B90000}"/>
    <cellStyle name="SAPBEXHLevel0X 5 2 2 2" xfId="47439" xr:uid="{00000000-0005-0000-0000-0000F8B90000}"/>
    <cellStyle name="SAPBEXHLevel0X 5 2 3" xfId="47440" xr:uid="{00000000-0005-0000-0000-0000F9B90000}"/>
    <cellStyle name="SAPBEXHLevel0X 5 3" xfId="47441" xr:uid="{00000000-0005-0000-0000-0000FAB90000}"/>
    <cellStyle name="SAPBEXHLevel0X 5 3 2" xfId="47442" xr:uid="{00000000-0005-0000-0000-0000FBB90000}"/>
    <cellStyle name="SAPBEXHLevel0X 5 3 2 2" xfId="47443" xr:uid="{00000000-0005-0000-0000-0000FCB90000}"/>
    <cellStyle name="SAPBEXHLevel0X 5 3 3" xfId="47444" xr:uid="{00000000-0005-0000-0000-0000FDB90000}"/>
    <cellStyle name="SAPBEXHLevel0X 5 4" xfId="47445" xr:uid="{00000000-0005-0000-0000-0000FEB90000}"/>
    <cellStyle name="SAPBEXHLevel0X 5 4 2" xfId="47446" xr:uid="{00000000-0005-0000-0000-0000FFB90000}"/>
    <cellStyle name="SAPBEXHLevel0X 5 4 2 2" xfId="47447" xr:uid="{00000000-0005-0000-0000-000000BA0000}"/>
    <cellStyle name="SAPBEXHLevel0X 5 4 3" xfId="47448" xr:uid="{00000000-0005-0000-0000-000001BA0000}"/>
    <cellStyle name="SAPBEXHLevel0X 5 5" xfId="47449" xr:uid="{00000000-0005-0000-0000-000002BA0000}"/>
    <cellStyle name="SAPBEXHLevel0X 5 5 2" xfId="47450" xr:uid="{00000000-0005-0000-0000-000003BA0000}"/>
    <cellStyle name="SAPBEXHLevel0X 5 6" xfId="47451" xr:uid="{00000000-0005-0000-0000-000004BA0000}"/>
    <cellStyle name="SAPBEXHLevel0X 6" xfId="47452" xr:uid="{00000000-0005-0000-0000-000005BA0000}"/>
    <cellStyle name="SAPBEXHLevel0X 6 2" xfId="47453" xr:uid="{00000000-0005-0000-0000-000006BA0000}"/>
    <cellStyle name="SAPBEXHLevel0X 6 2 2" xfId="47454" xr:uid="{00000000-0005-0000-0000-000007BA0000}"/>
    <cellStyle name="SAPBEXHLevel0X 6 2 2 2" xfId="47455" xr:uid="{00000000-0005-0000-0000-000008BA0000}"/>
    <cellStyle name="SAPBEXHLevel0X 6 2 3" xfId="47456" xr:uid="{00000000-0005-0000-0000-000009BA0000}"/>
    <cellStyle name="SAPBEXHLevel0X 6 3" xfId="47457" xr:uid="{00000000-0005-0000-0000-00000ABA0000}"/>
    <cellStyle name="SAPBEXHLevel0X 6 3 2" xfId="47458" xr:uid="{00000000-0005-0000-0000-00000BBA0000}"/>
    <cellStyle name="SAPBEXHLevel0X 6 3 2 2" xfId="47459" xr:uid="{00000000-0005-0000-0000-00000CBA0000}"/>
    <cellStyle name="SAPBEXHLevel0X 6 3 3" xfId="47460" xr:uid="{00000000-0005-0000-0000-00000DBA0000}"/>
    <cellStyle name="SAPBEXHLevel0X 6 4" xfId="47461" xr:uid="{00000000-0005-0000-0000-00000EBA0000}"/>
    <cellStyle name="SAPBEXHLevel0X 6 4 2" xfId="47462" xr:uid="{00000000-0005-0000-0000-00000FBA0000}"/>
    <cellStyle name="SAPBEXHLevel0X 6 4 2 2" xfId="47463" xr:uid="{00000000-0005-0000-0000-000010BA0000}"/>
    <cellStyle name="SAPBEXHLevel0X 6 4 3" xfId="47464" xr:uid="{00000000-0005-0000-0000-000011BA0000}"/>
    <cellStyle name="SAPBEXHLevel0X 6 5" xfId="47465" xr:uid="{00000000-0005-0000-0000-000012BA0000}"/>
    <cellStyle name="SAPBEXHLevel0X 6 5 2" xfId="47466" xr:uid="{00000000-0005-0000-0000-000013BA0000}"/>
    <cellStyle name="SAPBEXHLevel0X 6 6" xfId="47467" xr:uid="{00000000-0005-0000-0000-000014BA0000}"/>
    <cellStyle name="SAPBEXHLevel0X 7" xfId="47468" xr:uid="{00000000-0005-0000-0000-000015BA0000}"/>
    <cellStyle name="SAPBEXHLevel0X 7 2" xfId="47469" xr:uid="{00000000-0005-0000-0000-000016BA0000}"/>
    <cellStyle name="SAPBEXHLevel0X 7 2 2" xfId="47470" xr:uid="{00000000-0005-0000-0000-000017BA0000}"/>
    <cellStyle name="SAPBEXHLevel0X 7 2 2 2" xfId="47471" xr:uid="{00000000-0005-0000-0000-000018BA0000}"/>
    <cellStyle name="SAPBEXHLevel0X 7 2 2 2 2" xfId="47472" xr:uid="{00000000-0005-0000-0000-000019BA0000}"/>
    <cellStyle name="SAPBEXHLevel0X 7 2 2 3" xfId="47473" xr:uid="{00000000-0005-0000-0000-00001ABA0000}"/>
    <cellStyle name="SAPBEXHLevel0X 7 2 3" xfId="47474" xr:uid="{00000000-0005-0000-0000-00001BBA0000}"/>
    <cellStyle name="SAPBEXHLevel0X 7 2 3 2" xfId="47475" xr:uid="{00000000-0005-0000-0000-00001CBA0000}"/>
    <cellStyle name="SAPBEXHLevel0X 7 2 3 2 2" xfId="47476" xr:uid="{00000000-0005-0000-0000-00001DBA0000}"/>
    <cellStyle name="SAPBEXHLevel0X 7 2 3 3" xfId="47477" xr:uid="{00000000-0005-0000-0000-00001EBA0000}"/>
    <cellStyle name="SAPBEXHLevel0X 7 2 4" xfId="47478" xr:uid="{00000000-0005-0000-0000-00001FBA0000}"/>
    <cellStyle name="SAPBEXHLevel0X 7 2 4 2" xfId="47479" xr:uid="{00000000-0005-0000-0000-000020BA0000}"/>
    <cellStyle name="SAPBEXHLevel0X 7 2 5" xfId="47480" xr:uid="{00000000-0005-0000-0000-000021BA0000}"/>
    <cellStyle name="SAPBEXHLevel0X 7 3" xfId="47481" xr:uid="{00000000-0005-0000-0000-000022BA0000}"/>
    <cellStyle name="SAPBEXHLevel0X 7 3 2" xfId="47482" xr:uid="{00000000-0005-0000-0000-000023BA0000}"/>
    <cellStyle name="SAPBEXHLevel0X 7 3 2 2" xfId="47483" xr:uid="{00000000-0005-0000-0000-000024BA0000}"/>
    <cellStyle name="SAPBEXHLevel0X 7 3 2 2 2" xfId="47484" xr:uid="{00000000-0005-0000-0000-000025BA0000}"/>
    <cellStyle name="SAPBEXHLevel0X 7 3 2 3" xfId="47485" xr:uid="{00000000-0005-0000-0000-000026BA0000}"/>
    <cellStyle name="SAPBEXHLevel0X 7 3 3" xfId="47486" xr:uid="{00000000-0005-0000-0000-000027BA0000}"/>
    <cellStyle name="SAPBEXHLevel0X 7 3 3 2" xfId="47487" xr:uid="{00000000-0005-0000-0000-000028BA0000}"/>
    <cellStyle name="SAPBEXHLevel0X 7 3 4" xfId="47488" xr:uid="{00000000-0005-0000-0000-000029BA0000}"/>
    <cellStyle name="SAPBEXHLevel0X 7 4" xfId="47489" xr:uid="{00000000-0005-0000-0000-00002ABA0000}"/>
    <cellStyle name="SAPBEXHLevel0X 7 4 2" xfId="47490" xr:uid="{00000000-0005-0000-0000-00002BBA0000}"/>
    <cellStyle name="SAPBEXHLevel0X 7 4 2 2" xfId="47491" xr:uid="{00000000-0005-0000-0000-00002CBA0000}"/>
    <cellStyle name="SAPBEXHLevel0X 7 4 3" xfId="47492" xr:uid="{00000000-0005-0000-0000-00002DBA0000}"/>
    <cellStyle name="SAPBEXHLevel0X 7 5" xfId="47493" xr:uid="{00000000-0005-0000-0000-00002EBA0000}"/>
    <cellStyle name="SAPBEXHLevel0X 7 5 2" xfId="47494" xr:uid="{00000000-0005-0000-0000-00002FBA0000}"/>
    <cellStyle name="SAPBEXHLevel0X 7 5 2 2" xfId="47495" xr:uid="{00000000-0005-0000-0000-000030BA0000}"/>
    <cellStyle name="SAPBEXHLevel0X 7 5 3" xfId="47496" xr:uid="{00000000-0005-0000-0000-000031BA0000}"/>
    <cellStyle name="SAPBEXHLevel0X 7 6" xfId="47497" xr:uid="{00000000-0005-0000-0000-000032BA0000}"/>
    <cellStyle name="SAPBEXHLevel0X 7 6 2" xfId="47498" xr:uid="{00000000-0005-0000-0000-000033BA0000}"/>
    <cellStyle name="SAPBEXHLevel0X 7 7" xfId="47499" xr:uid="{00000000-0005-0000-0000-000034BA0000}"/>
    <cellStyle name="SAPBEXHLevel0X 8" xfId="47500" xr:uid="{00000000-0005-0000-0000-000035BA0000}"/>
    <cellStyle name="SAPBEXHLevel0X 8 2" xfId="47501" xr:uid="{00000000-0005-0000-0000-000036BA0000}"/>
    <cellStyle name="SAPBEXHLevel0X 8 2 2" xfId="47502" xr:uid="{00000000-0005-0000-0000-000037BA0000}"/>
    <cellStyle name="SAPBEXHLevel0X 8 2 2 2" xfId="47503" xr:uid="{00000000-0005-0000-0000-000038BA0000}"/>
    <cellStyle name="SAPBEXHLevel0X 8 2 3" xfId="47504" xr:uid="{00000000-0005-0000-0000-000039BA0000}"/>
    <cellStyle name="SAPBEXHLevel0X 8 3" xfId="47505" xr:uid="{00000000-0005-0000-0000-00003ABA0000}"/>
    <cellStyle name="SAPBEXHLevel0X 8 3 2" xfId="47506" xr:uid="{00000000-0005-0000-0000-00003BBA0000}"/>
    <cellStyle name="SAPBEXHLevel0X 8 3 2 2" xfId="47507" xr:uid="{00000000-0005-0000-0000-00003CBA0000}"/>
    <cellStyle name="SAPBEXHLevel0X 8 3 3" xfId="47508" xr:uid="{00000000-0005-0000-0000-00003DBA0000}"/>
    <cellStyle name="SAPBEXHLevel0X 8 4" xfId="47509" xr:uid="{00000000-0005-0000-0000-00003EBA0000}"/>
    <cellStyle name="SAPBEXHLevel0X 8 4 2" xfId="47510" xr:uid="{00000000-0005-0000-0000-00003FBA0000}"/>
    <cellStyle name="SAPBEXHLevel0X 8 5" xfId="47511" xr:uid="{00000000-0005-0000-0000-000040BA0000}"/>
    <cellStyle name="SAPBEXHLevel0X 9" xfId="47512" xr:uid="{00000000-0005-0000-0000-000041BA0000}"/>
    <cellStyle name="SAPBEXHLevel0X 9 2" xfId="47513" xr:uid="{00000000-0005-0000-0000-000042BA0000}"/>
    <cellStyle name="SAPBEXHLevel0X 9 2 2" xfId="47514" xr:uid="{00000000-0005-0000-0000-000043BA0000}"/>
    <cellStyle name="SAPBEXHLevel0X 9 2 2 2" xfId="47515" xr:uid="{00000000-0005-0000-0000-000044BA0000}"/>
    <cellStyle name="SAPBEXHLevel0X 9 2 2 2 2" xfId="47516" xr:uid="{00000000-0005-0000-0000-000045BA0000}"/>
    <cellStyle name="SAPBEXHLevel0X 9 2 2 3" xfId="47517" xr:uid="{00000000-0005-0000-0000-000046BA0000}"/>
    <cellStyle name="SAPBEXHLevel0X 9 2 3" xfId="47518" xr:uid="{00000000-0005-0000-0000-000047BA0000}"/>
    <cellStyle name="SAPBEXHLevel0X 9 2 3 2" xfId="47519" xr:uid="{00000000-0005-0000-0000-000048BA0000}"/>
    <cellStyle name="SAPBEXHLevel0X 9 2 4" xfId="47520" xr:uid="{00000000-0005-0000-0000-000049BA0000}"/>
    <cellStyle name="SAPBEXHLevel0X 9 3" xfId="47521" xr:uid="{00000000-0005-0000-0000-00004ABA0000}"/>
    <cellStyle name="SAPBEXHLevel0X 9 3 2" xfId="47522" xr:uid="{00000000-0005-0000-0000-00004BBA0000}"/>
    <cellStyle name="SAPBEXHLevel0X 9 3 2 2" xfId="47523" xr:uid="{00000000-0005-0000-0000-00004CBA0000}"/>
    <cellStyle name="SAPBEXHLevel0X 9 3 2 2 2" xfId="47524" xr:uid="{00000000-0005-0000-0000-00004DBA0000}"/>
    <cellStyle name="SAPBEXHLevel0X 9 3 2 2 2 2" xfId="47525" xr:uid="{00000000-0005-0000-0000-00004EBA0000}"/>
    <cellStyle name="SAPBEXHLevel0X 9 3 2 2 3" xfId="47526" xr:uid="{00000000-0005-0000-0000-00004FBA0000}"/>
    <cellStyle name="SAPBEXHLevel0X 9 3 2 3" xfId="47527" xr:uid="{00000000-0005-0000-0000-000050BA0000}"/>
    <cellStyle name="SAPBEXHLevel0X 9 3 2 3 2" xfId="47528" xr:uid="{00000000-0005-0000-0000-000051BA0000}"/>
    <cellStyle name="SAPBEXHLevel0X 9 3 2 4" xfId="47529" xr:uid="{00000000-0005-0000-0000-000052BA0000}"/>
    <cellStyle name="SAPBEXHLevel0X 9 3 3" xfId="47530" xr:uid="{00000000-0005-0000-0000-000053BA0000}"/>
    <cellStyle name="SAPBEXHLevel0X 9 3 3 2" xfId="47531" xr:uid="{00000000-0005-0000-0000-000054BA0000}"/>
    <cellStyle name="SAPBEXHLevel0X 9 3 3 2 2" xfId="47532" xr:uid="{00000000-0005-0000-0000-000055BA0000}"/>
    <cellStyle name="SAPBEXHLevel0X 9 3 3 3" xfId="47533" xr:uid="{00000000-0005-0000-0000-000056BA0000}"/>
    <cellStyle name="SAPBEXHLevel0X 9 3 4" xfId="47534" xr:uid="{00000000-0005-0000-0000-000057BA0000}"/>
    <cellStyle name="SAPBEXHLevel0X 9 3 4 2" xfId="47535" xr:uid="{00000000-0005-0000-0000-000058BA0000}"/>
    <cellStyle name="SAPBEXHLevel0X 9 3 5" xfId="47536" xr:uid="{00000000-0005-0000-0000-000059BA0000}"/>
    <cellStyle name="SAPBEXHLevel0X 9 4" xfId="47537" xr:uid="{00000000-0005-0000-0000-00005ABA0000}"/>
    <cellStyle name="SAPBEXHLevel0X 9 4 2" xfId="47538" xr:uid="{00000000-0005-0000-0000-00005BBA0000}"/>
    <cellStyle name="SAPBEXHLevel0X 9 4 2 2" xfId="47539" xr:uid="{00000000-0005-0000-0000-00005CBA0000}"/>
    <cellStyle name="SAPBEXHLevel0X 9 4 3" xfId="47540" xr:uid="{00000000-0005-0000-0000-00005DBA0000}"/>
    <cellStyle name="SAPBEXHLevel0X 9 5" xfId="47541" xr:uid="{00000000-0005-0000-0000-00005EBA0000}"/>
    <cellStyle name="SAPBEXHLevel0X 9 5 2" xfId="47542" xr:uid="{00000000-0005-0000-0000-00005FBA0000}"/>
    <cellStyle name="SAPBEXHLevel0X 9 5 2 2" xfId="47543" xr:uid="{00000000-0005-0000-0000-000060BA0000}"/>
    <cellStyle name="SAPBEXHLevel0X 9 5 3" xfId="47544" xr:uid="{00000000-0005-0000-0000-000061BA0000}"/>
    <cellStyle name="SAPBEXHLevel0X 9 6" xfId="47545" xr:uid="{00000000-0005-0000-0000-000062BA0000}"/>
    <cellStyle name="SAPBEXHLevel0X 9 6 2" xfId="47546" xr:uid="{00000000-0005-0000-0000-000063BA0000}"/>
    <cellStyle name="SAPBEXHLevel0X 9 7" xfId="47547" xr:uid="{00000000-0005-0000-0000-000064BA0000}"/>
    <cellStyle name="SAPBEXHLevel1" xfId="62" xr:uid="{00000000-0005-0000-0000-000065BA0000}"/>
    <cellStyle name="SAPBEXHLevel1 10" xfId="47548" xr:uid="{00000000-0005-0000-0000-000066BA0000}"/>
    <cellStyle name="SAPBEXHLevel1 10 2" xfId="47549" xr:uid="{00000000-0005-0000-0000-000067BA0000}"/>
    <cellStyle name="SAPBEXHLevel1 10 2 2" xfId="47550" xr:uid="{00000000-0005-0000-0000-000068BA0000}"/>
    <cellStyle name="SAPBEXHLevel1 10 3" xfId="47551" xr:uid="{00000000-0005-0000-0000-000069BA0000}"/>
    <cellStyle name="SAPBEXHLevel1 11" xfId="47552" xr:uid="{00000000-0005-0000-0000-00006ABA0000}"/>
    <cellStyle name="SAPBEXHLevel1 11 2" xfId="47553" xr:uid="{00000000-0005-0000-0000-00006BBA0000}"/>
    <cellStyle name="SAPBEXHLevel1 12" xfId="47554" xr:uid="{00000000-0005-0000-0000-00006CBA0000}"/>
    <cellStyle name="SAPBEXHLevel1 12 2" xfId="47555" xr:uid="{00000000-0005-0000-0000-00006DBA0000}"/>
    <cellStyle name="SAPBEXHLevel1 12 2 2" xfId="47556" xr:uid="{00000000-0005-0000-0000-00006EBA0000}"/>
    <cellStyle name="SAPBEXHLevel1 12 3" xfId="47557" xr:uid="{00000000-0005-0000-0000-00006FBA0000}"/>
    <cellStyle name="SAPBEXHLevel1 12 3 2" xfId="47558" xr:uid="{00000000-0005-0000-0000-000070BA0000}"/>
    <cellStyle name="SAPBEXHLevel1 12 4" xfId="47559" xr:uid="{00000000-0005-0000-0000-000071BA0000}"/>
    <cellStyle name="SAPBEXHLevel1 13" xfId="47560" xr:uid="{00000000-0005-0000-0000-000072BA0000}"/>
    <cellStyle name="SAPBEXHLevel1 13 2" xfId="47561" xr:uid="{00000000-0005-0000-0000-000073BA0000}"/>
    <cellStyle name="SAPBEXHLevel1 14" xfId="47562" xr:uid="{00000000-0005-0000-0000-000074BA0000}"/>
    <cellStyle name="SAPBEXHLevel1 14 2" xfId="47563" xr:uid="{00000000-0005-0000-0000-000075BA0000}"/>
    <cellStyle name="SAPBEXHLevel1 14 3" xfId="47564" xr:uid="{00000000-0005-0000-0000-000076BA0000}"/>
    <cellStyle name="SAPBEXHLevel1 15" xfId="47565" xr:uid="{00000000-0005-0000-0000-000077BA0000}"/>
    <cellStyle name="SAPBEXHLevel1 15 2" xfId="47566" xr:uid="{00000000-0005-0000-0000-000078BA0000}"/>
    <cellStyle name="SAPBEXHLevel1 16" xfId="47567" xr:uid="{00000000-0005-0000-0000-000079BA0000}"/>
    <cellStyle name="SAPBEXHLevel1 16 2" xfId="47568" xr:uid="{00000000-0005-0000-0000-00007ABA0000}"/>
    <cellStyle name="SAPBEXHLevel1 17" xfId="47569" xr:uid="{00000000-0005-0000-0000-00007BBA0000}"/>
    <cellStyle name="SAPBEXHLevel1 18" xfId="47570" xr:uid="{00000000-0005-0000-0000-00007CBA0000}"/>
    <cellStyle name="SAPBEXHLevel1 2" xfId="86" xr:uid="{00000000-0005-0000-0000-00007DBA0000}"/>
    <cellStyle name="SAPBEXHLevel1 2 10" xfId="47571" xr:uid="{00000000-0005-0000-0000-00007EBA0000}"/>
    <cellStyle name="SAPBEXHLevel1 2 2" xfId="47572" xr:uid="{00000000-0005-0000-0000-00007FBA0000}"/>
    <cellStyle name="SAPBEXHLevel1 2 2 2" xfId="47573" xr:uid="{00000000-0005-0000-0000-000080BA0000}"/>
    <cellStyle name="SAPBEXHLevel1 2 2 2 2" xfId="47574" xr:uid="{00000000-0005-0000-0000-000081BA0000}"/>
    <cellStyle name="SAPBEXHLevel1 2 2 2 2 2" xfId="47575" xr:uid="{00000000-0005-0000-0000-000082BA0000}"/>
    <cellStyle name="SAPBEXHLevel1 2 2 2 3" xfId="47576" xr:uid="{00000000-0005-0000-0000-000083BA0000}"/>
    <cellStyle name="SAPBEXHLevel1 2 2 3" xfId="47577" xr:uid="{00000000-0005-0000-0000-000084BA0000}"/>
    <cellStyle name="SAPBEXHLevel1 2 2 3 2" xfId="47578" xr:uid="{00000000-0005-0000-0000-000085BA0000}"/>
    <cellStyle name="SAPBEXHLevel1 2 2 3 2 2" xfId="47579" xr:uid="{00000000-0005-0000-0000-000086BA0000}"/>
    <cellStyle name="SAPBEXHLevel1 2 2 3 3" xfId="47580" xr:uid="{00000000-0005-0000-0000-000087BA0000}"/>
    <cellStyle name="SAPBEXHLevel1 2 2 4" xfId="47581" xr:uid="{00000000-0005-0000-0000-000088BA0000}"/>
    <cellStyle name="SAPBEXHLevel1 2 2 4 2" xfId="47582" xr:uid="{00000000-0005-0000-0000-000089BA0000}"/>
    <cellStyle name="SAPBEXHLevel1 2 2 4 2 2" xfId="47583" xr:uid="{00000000-0005-0000-0000-00008ABA0000}"/>
    <cellStyle name="SAPBEXHLevel1 2 2 4 3" xfId="47584" xr:uid="{00000000-0005-0000-0000-00008BBA0000}"/>
    <cellStyle name="SAPBEXHLevel1 2 2 5" xfId="47585" xr:uid="{00000000-0005-0000-0000-00008CBA0000}"/>
    <cellStyle name="SAPBEXHLevel1 2 2 5 2" xfId="47586" xr:uid="{00000000-0005-0000-0000-00008DBA0000}"/>
    <cellStyle name="SAPBEXHLevel1 2 2 6" xfId="47587" xr:uid="{00000000-0005-0000-0000-00008EBA0000}"/>
    <cellStyle name="SAPBEXHLevel1 2 3" xfId="47588" xr:uid="{00000000-0005-0000-0000-00008FBA0000}"/>
    <cellStyle name="SAPBEXHLevel1 2 3 2" xfId="47589" xr:uid="{00000000-0005-0000-0000-000090BA0000}"/>
    <cellStyle name="SAPBEXHLevel1 2 3 2 2" xfId="47590" xr:uid="{00000000-0005-0000-0000-000091BA0000}"/>
    <cellStyle name="SAPBEXHLevel1 2 3 2 2 2" xfId="47591" xr:uid="{00000000-0005-0000-0000-000092BA0000}"/>
    <cellStyle name="SAPBEXHLevel1 2 3 2 2 2 2" xfId="47592" xr:uid="{00000000-0005-0000-0000-000093BA0000}"/>
    <cellStyle name="SAPBEXHLevel1 2 3 2 2 3" xfId="47593" xr:uid="{00000000-0005-0000-0000-000094BA0000}"/>
    <cellStyle name="SAPBEXHLevel1 2 3 2 3" xfId="47594" xr:uid="{00000000-0005-0000-0000-000095BA0000}"/>
    <cellStyle name="SAPBEXHLevel1 2 3 2 3 2" xfId="47595" xr:uid="{00000000-0005-0000-0000-000096BA0000}"/>
    <cellStyle name="SAPBEXHLevel1 2 3 2 3 2 2" xfId="47596" xr:uid="{00000000-0005-0000-0000-000097BA0000}"/>
    <cellStyle name="SAPBEXHLevel1 2 3 2 3 3" xfId="47597" xr:uid="{00000000-0005-0000-0000-000098BA0000}"/>
    <cellStyle name="SAPBEXHLevel1 2 3 2 4" xfId="47598" xr:uid="{00000000-0005-0000-0000-000099BA0000}"/>
    <cellStyle name="SAPBEXHLevel1 2 3 2 4 2" xfId="47599" xr:uid="{00000000-0005-0000-0000-00009ABA0000}"/>
    <cellStyle name="SAPBEXHLevel1 2 3 2 5" xfId="47600" xr:uid="{00000000-0005-0000-0000-00009BBA0000}"/>
    <cellStyle name="SAPBEXHLevel1 2 3 3" xfId="47601" xr:uid="{00000000-0005-0000-0000-00009CBA0000}"/>
    <cellStyle name="SAPBEXHLevel1 2 3 3 2" xfId="47602" xr:uid="{00000000-0005-0000-0000-00009DBA0000}"/>
    <cellStyle name="SAPBEXHLevel1 2 3 3 2 2" xfId="47603" xr:uid="{00000000-0005-0000-0000-00009EBA0000}"/>
    <cellStyle name="SAPBEXHLevel1 2 3 3 2 2 2" xfId="47604" xr:uid="{00000000-0005-0000-0000-00009FBA0000}"/>
    <cellStyle name="SAPBEXHLevel1 2 3 3 2 3" xfId="47605" xr:uid="{00000000-0005-0000-0000-0000A0BA0000}"/>
    <cellStyle name="SAPBEXHLevel1 2 3 3 3" xfId="47606" xr:uid="{00000000-0005-0000-0000-0000A1BA0000}"/>
    <cellStyle name="SAPBEXHLevel1 2 3 3 3 2" xfId="47607" xr:uid="{00000000-0005-0000-0000-0000A2BA0000}"/>
    <cellStyle name="SAPBEXHLevel1 2 3 3 4" xfId="47608" xr:uid="{00000000-0005-0000-0000-0000A3BA0000}"/>
    <cellStyle name="SAPBEXHLevel1 2 3 4" xfId="47609" xr:uid="{00000000-0005-0000-0000-0000A4BA0000}"/>
    <cellStyle name="SAPBEXHLevel1 2 3 4 2" xfId="47610" xr:uid="{00000000-0005-0000-0000-0000A5BA0000}"/>
    <cellStyle name="SAPBEXHLevel1 2 3 4 2 2" xfId="47611" xr:uid="{00000000-0005-0000-0000-0000A6BA0000}"/>
    <cellStyle name="SAPBEXHLevel1 2 3 4 3" xfId="47612" xr:uid="{00000000-0005-0000-0000-0000A7BA0000}"/>
    <cellStyle name="SAPBEXHLevel1 2 3 5" xfId="47613" xr:uid="{00000000-0005-0000-0000-0000A8BA0000}"/>
    <cellStyle name="SAPBEXHLevel1 2 3 5 2" xfId="47614" xr:uid="{00000000-0005-0000-0000-0000A9BA0000}"/>
    <cellStyle name="SAPBEXHLevel1 2 3 5 2 2" xfId="47615" xr:uid="{00000000-0005-0000-0000-0000AABA0000}"/>
    <cellStyle name="SAPBEXHLevel1 2 3 5 3" xfId="47616" xr:uid="{00000000-0005-0000-0000-0000ABBA0000}"/>
    <cellStyle name="SAPBEXHLevel1 2 3 6" xfId="47617" xr:uid="{00000000-0005-0000-0000-0000ACBA0000}"/>
    <cellStyle name="SAPBEXHLevel1 2 3 6 2" xfId="47618" xr:uid="{00000000-0005-0000-0000-0000ADBA0000}"/>
    <cellStyle name="SAPBEXHLevel1 2 3 7" xfId="47619" xr:uid="{00000000-0005-0000-0000-0000AEBA0000}"/>
    <cellStyle name="SAPBEXHLevel1 2 4" xfId="47620" xr:uid="{00000000-0005-0000-0000-0000AFBA0000}"/>
    <cellStyle name="SAPBEXHLevel1 2 4 2" xfId="47621" xr:uid="{00000000-0005-0000-0000-0000B0BA0000}"/>
    <cellStyle name="SAPBEXHLevel1 2 4 2 2" xfId="47622" xr:uid="{00000000-0005-0000-0000-0000B1BA0000}"/>
    <cellStyle name="SAPBEXHLevel1 2 4 2 2 2" xfId="47623" xr:uid="{00000000-0005-0000-0000-0000B2BA0000}"/>
    <cellStyle name="SAPBEXHLevel1 2 4 2 2 2 2" xfId="47624" xr:uid="{00000000-0005-0000-0000-0000B3BA0000}"/>
    <cellStyle name="SAPBEXHLevel1 2 4 2 2 2 2 2" xfId="47625" xr:uid="{00000000-0005-0000-0000-0000B4BA0000}"/>
    <cellStyle name="SAPBEXHLevel1 2 4 2 2 2 2 2 2" xfId="47626" xr:uid="{00000000-0005-0000-0000-0000B5BA0000}"/>
    <cellStyle name="SAPBEXHLevel1 2 4 2 2 2 2 3" xfId="47627" xr:uid="{00000000-0005-0000-0000-0000B6BA0000}"/>
    <cellStyle name="SAPBEXHLevel1 2 4 2 2 2 3" xfId="47628" xr:uid="{00000000-0005-0000-0000-0000B7BA0000}"/>
    <cellStyle name="SAPBEXHLevel1 2 4 2 2 2 3 2" xfId="47629" xr:uid="{00000000-0005-0000-0000-0000B8BA0000}"/>
    <cellStyle name="SAPBEXHLevel1 2 4 2 2 2 4" xfId="47630" xr:uid="{00000000-0005-0000-0000-0000B9BA0000}"/>
    <cellStyle name="SAPBEXHLevel1 2 4 2 2 3" xfId="47631" xr:uid="{00000000-0005-0000-0000-0000BABA0000}"/>
    <cellStyle name="SAPBEXHLevel1 2 4 2 2 3 2" xfId="47632" xr:uid="{00000000-0005-0000-0000-0000BBBA0000}"/>
    <cellStyle name="SAPBEXHLevel1 2 4 2 2 3 2 2" xfId="47633" xr:uid="{00000000-0005-0000-0000-0000BCBA0000}"/>
    <cellStyle name="SAPBEXHLevel1 2 4 2 2 3 3" xfId="47634" xr:uid="{00000000-0005-0000-0000-0000BDBA0000}"/>
    <cellStyle name="SAPBEXHLevel1 2 4 2 2 4" xfId="47635" xr:uid="{00000000-0005-0000-0000-0000BEBA0000}"/>
    <cellStyle name="SAPBEXHLevel1 2 4 2 2 4 2" xfId="47636" xr:uid="{00000000-0005-0000-0000-0000BFBA0000}"/>
    <cellStyle name="SAPBEXHLevel1 2 4 2 2 5" xfId="47637" xr:uid="{00000000-0005-0000-0000-0000C0BA0000}"/>
    <cellStyle name="SAPBEXHLevel1 2 4 2 3" xfId="47638" xr:uid="{00000000-0005-0000-0000-0000C1BA0000}"/>
    <cellStyle name="SAPBEXHLevel1 2 4 2 3 2" xfId="47639" xr:uid="{00000000-0005-0000-0000-0000C2BA0000}"/>
    <cellStyle name="SAPBEXHLevel1 2 4 2 3 2 2" xfId="47640" xr:uid="{00000000-0005-0000-0000-0000C3BA0000}"/>
    <cellStyle name="SAPBEXHLevel1 2 4 2 3 3" xfId="47641" xr:uid="{00000000-0005-0000-0000-0000C4BA0000}"/>
    <cellStyle name="SAPBEXHLevel1 2 4 2 4" xfId="47642" xr:uid="{00000000-0005-0000-0000-0000C5BA0000}"/>
    <cellStyle name="SAPBEXHLevel1 2 4 2 4 2" xfId="47643" xr:uid="{00000000-0005-0000-0000-0000C6BA0000}"/>
    <cellStyle name="SAPBEXHLevel1 2 4 2 4 2 2" xfId="47644" xr:uid="{00000000-0005-0000-0000-0000C7BA0000}"/>
    <cellStyle name="SAPBEXHLevel1 2 4 2 4 2 2 2" xfId="47645" xr:uid="{00000000-0005-0000-0000-0000C8BA0000}"/>
    <cellStyle name="SAPBEXHLevel1 2 4 2 4 2 3" xfId="47646" xr:uid="{00000000-0005-0000-0000-0000C9BA0000}"/>
    <cellStyle name="SAPBEXHLevel1 2 4 2 4 3" xfId="47647" xr:uid="{00000000-0005-0000-0000-0000CABA0000}"/>
    <cellStyle name="SAPBEXHLevel1 2 4 2 4 3 2" xfId="47648" xr:uid="{00000000-0005-0000-0000-0000CBBA0000}"/>
    <cellStyle name="SAPBEXHLevel1 2 4 2 4 4" xfId="47649" xr:uid="{00000000-0005-0000-0000-0000CCBA0000}"/>
    <cellStyle name="SAPBEXHLevel1 2 4 2 5" xfId="47650" xr:uid="{00000000-0005-0000-0000-0000CDBA0000}"/>
    <cellStyle name="SAPBEXHLevel1 2 4 2 5 2" xfId="47651" xr:uid="{00000000-0005-0000-0000-0000CEBA0000}"/>
    <cellStyle name="SAPBEXHLevel1 2 4 2 5 2 2" xfId="47652" xr:uid="{00000000-0005-0000-0000-0000CFBA0000}"/>
    <cellStyle name="SAPBEXHLevel1 2 4 2 5 3" xfId="47653" xr:uid="{00000000-0005-0000-0000-0000D0BA0000}"/>
    <cellStyle name="SAPBEXHLevel1 2 4 2 6" xfId="47654" xr:uid="{00000000-0005-0000-0000-0000D1BA0000}"/>
    <cellStyle name="SAPBEXHLevel1 2 4 2 6 2" xfId="47655" xr:uid="{00000000-0005-0000-0000-0000D2BA0000}"/>
    <cellStyle name="SAPBEXHLevel1 2 4 2 7" xfId="47656" xr:uid="{00000000-0005-0000-0000-0000D3BA0000}"/>
    <cellStyle name="SAPBEXHLevel1 2 4 3" xfId="47657" xr:uid="{00000000-0005-0000-0000-0000D4BA0000}"/>
    <cellStyle name="SAPBEXHLevel1 2 4 3 2" xfId="47658" xr:uid="{00000000-0005-0000-0000-0000D5BA0000}"/>
    <cellStyle name="SAPBEXHLevel1 2 4 3 2 2" xfId="47659" xr:uid="{00000000-0005-0000-0000-0000D6BA0000}"/>
    <cellStyle name="SAPBEXHLevel1 2 4 3 2 2 2" xfId="47660" xr:uid="{00000000-0005-0000-0000-0000D7BA0000}"/>
    <cellStyle name="SAPBEXHLevel1 2 4 3 2 2 2 2" xfId="47661" xr:uid="{00000000-0005-0000-0000-0000D8BA0000}"/>
    <cellStyle name="SAPBEXHLevel1 2 4 3 2 2 2 2 2" xfId="47662" xr:uid="{00000000-0005-0000-0000-0000D9BA0000}"/>
    <cellStyle name="SAPBEXHLevel1 2 4 3 2 2 2 3" xfId="47663" xr:uid="{00000000-0005-0000-0000-0000DABA0000}"/>
    <cellStyle name="SAPBEXHLevel1 2 4 3 2 2 3" xfId="47664" xr:uid="{00000000-0005-0000-0000-0000DBBA0000}"/>
    <cellStyle name="SAPBEXHLevel1 2 4 3 2 2 3 2" xfId="47665" xr:uid="{00000000-0005-0000-0000-0000DCBA0000}"/>
    <cellStyle name="SAPBEXHLevel1 2 4 3 2 2 4" xfId="47666" xr:uid="{00000000-0005-0000-0000-0000DDBA0000}"/>
    <cellStyle name="SAPBEXHLevel1 2 4 3 2 3" xfId="47667" xr:uid="{00000000-0005-0000-0000-0000DEBA0000}"/>
    <cellStyle name="SAPBEXHLevel1 2 4 3 2 3 2" xfId="47668" xr:uid="{00000000-0005-0000-0000-0000DFBA0000}"/>
    <cellStyle name="SAPBEXHLevel1 2 4 3 2 3 2 2" xfId="47669" xr:uid="{00000000-0005-0000-0000-0000E0BA0000}"/>
    <cellStyle name="SAPBEXHLevel1 2 4 3 2 3 3" xfId="47670" xr:uid="{00000000-0005-0000-0000-0000E1BA0000}"/>
    <cellStyle name="SAPBEXHLevel1 2 4 3 2 4" xfId="47671" xr:uid="{00000000-0005-0000-0000-0000E2BA0000}"/>
    <cellStyle name="SAPBEXHLevel1 2 4 3 2 4 2" xfId="47672" xr:uid="{00000000-0005-0000-0000-0000E3BA0000}"/>
    <cellStyle name="SAPBEXHLevel1 2 4 3 2 5" xfId="47673" xr:uid="{00000000-0005-0000-0000-0000E4BA0000}"/>
    <cellStyle name="SAPBEXHLevel1 2 4 3 3" xfId="47674" xr:uid="{00000000-0005-0000-0000-0000E5BA0000}"/>
    <cellStyle name="SAPBEXHLevel1 2 4 3 3 2" xfId="47675" xr:uid="{00000000-0005-0000-0000-0000E6BA0000}"/>
    <cellStyle name="SAPBEXHLevel1 2 4 3 3 2 2" xfId="47676" xr:uid="{00000000-0005-0000-0000-0000E7BA0000}"/>
    <cellStyle name="SAPBEXHLevel1 2 4 3 3 2 2 2" xfId="47677" xr:uid="{00000000-0005-0000-0000-0000E8BA0000}"/>
    <cellStyle name="SAPBEXHLevel1 2 4 3 3 2 3" xfId="47678" xr:uid="{00000000-0005-0000-0000-0000E9BA0000}"/>
    <cellStyle name="SAPBEXHLevel1 2 4 3 3 3" xfId="47679" xr:uid="{00000000-0005-0000-0000-0000EABA0000}"/>
    <cellStyle name="SAPBEXHLevel1 2 4 3 3 3 2" xfId="47680" xr:uid="{00000000-0005-0000-0000-0000EBBA0000}"/>
    <cellStyle name="SAPBEXHLevel1 2 4 3 3 4" xfId="47681" xr:uid="{00000000-0005-0000-0000-0000ECBA0000}"/>
    <cellStyle name="SAPBEXHLevel1 2 4 3 4" xfId="47682" xr:uid="{00000000-0005-0000-0000-0000EDBA0000}"/>
    <cellStyle name="SAPBEXHLevel1 2 4 3 4 2" xfId="47683" xr:uid="{00000000-0005-0000-0000-0000EEBA0000}"/>
    <cellStyle name="SAPBEXHLevel1 2 4 3 4 2 2" xfId="47684" xr:uid="{00000000-0005-0000-0000-0000EFBA0000}"/>
    <cellStyle name="SAPBEXHLevel1 2 4 3 4 3" xfId="47685" xr:uid="{00000000-0005-0000-0000-0000F0BA0000}"/>
    <cellStyle name="SAPBEXHLevel1 2 4 3 5" xfId="47686" xr:uid="{00000000-0005-0000-0000-0000F1BA0000}"/>
    <cellStyle name="SAPBEXHLevel1 2 4 3 5 2" xfId="47687" xr:uid="{00000000-0005-0000-0000-0000F2BA0000}"/>
    <cellStyle name="SAPBEXHLevel1 2 4 3 6" xfId="47688" xr:uid="{00000000-0005-0000-0000-0000F3BA0000}"/>
    <cellStyle name="SAPBEXHLevel1 2 4 4" xfId="47689" xr:uid="{00000000-0005-0000-0000-0000F4BA0000}"/>
    <cellStyle name="SAPBEXHLevel1 2 4 4 2" xfId="47690" xr:uid="{00000000-0005-0000-0000-0000F5BA0000}"/>
    <cellStyle name="SAPBEXHLevel1 2 4 4 2 2" xfId="47691" xr:uid="{00000000-0005-0000-0000-0000F6BA0000}"/>
    <cellStyle name="SAPBEXHLevel1 2 4 4 3" xfId="47692" xr:uid="{00000000-0005-0000-0000-0000F7BA0000}"/>
    <cellStyle name="SAPBEXHLevel1 2 4 5" xfId="47693" xr:uid="{00000000-0005-0000-0000-0000F8BA0000}"/>
    <cellStyle name="SAPBEXHLevel1 2 4 5 2" xfId="47694" xr:uid="{00000000-0005-0000-0000-0000F9BA0000}"/>
    <cellStyle name="SAPBEXHLevel1 2 4 5 2 2" xfId="47695" xr:uid="{00000000-0005-0000-0000-0000FABA0000}"/>
    <cellStyle name="SAPBEXHLevel1 2 4 5 2 2 2" xfId="47696" xr:uid="{00000000-0005-0000-0000-0000FBBA0000}"/>
    <cellStyle name="SAPBEXHLevel1 2 4 5 2 3" xfId="47697" xr:uid="{00000000-0005-0000-0000-0000FCBA0000}"/>
    <cellStyle name="SAPBEXHLevel1 2 4 5 3" xfId="47698" xr:uid="{00000000-0005-0000-0000-0000FDBA0000}"/>
    <cellStyle name="SAPBEXHLevel1 2 4 5 3 2" xfId="47699" xr:uid="{00000000-0005-0000-0000-0000FEBA0000}"/>
    <cellStyle name="SAPBEXHLevel1 2 4 5 4" xfId="47700" xr:uid="{00000000-0005-0000-0000-0000FFBA0000}"/>
    <cellStyle name="SAPBEXHLevel1 2 4 6" xfId="47701" xr:uid="{00000000-0005-0000-0000-000000BB0000}"/>
    <cellStyle name="SAPBEXHLevel1 2 4 6 2" xfId="47702" xr:uid="{00000000-0005-0000-0000-000001BB0000}"/>
    <cellStyle name="SAPBEXHLevel1 2 4 6 2 2" xfId="47703" xr:uid="{00000000-0005-0000-0000-000002BB0000}"/>
    <cellStyle name="SAPBEXHLevel1 2 4 6 3" xfId="47704" xr:uid="{00000000-0005-0000-0000-000003BB0000}"/>
    <cellStyle name="SAPBEXHLevel1 2 4 7" xfId="47705" xr:uid="{00000000-0005-0000-0000-000004BB0000}"/>
    <cellStyle name="SAPBEXHLevel1 2 4 7 2" xfId="47706" xr:uid="{00000000-0005-0000-0000-000005BB0000}"/>
    <cellStyle name="SAPBEXHLevel1 2 4 8" xfId="47707" xr:uid="{00000000-0005-0000-0000-000006BB0000}"/>
    <cellStyle name="SAPBEXHLevel1 2 5" xfId="47708" xr:uid="{00000000-0005-0000-0000-000007BB0000}"/>
    <cellStyle name="SAPBEXHLevel1 2 5 2" xfId="47709" xr:uid="{00000000-0005-0000-0000-000008BB0000}"/>
    <cellStyle name="SAPBEXHLevel1 2 5 2 2" xfId="47710" xr:uid="{00000000-0005-0000-0000-000009BB0000}"/>
    <cellStyle name="SAPBEXHLevel1 2 5 2 2 2" xfId="47711" xr:uid="{00000000-0005-0000-0000-00000ABB0000}"/>
    <cellStyle name="SAPBEXHLevel1 2 5 2 3" xfId="47712" xr:uid="{00000000-0005-0000-0000-00000BBB0000}"/>
    <cellStyle name="SAPBEXHLevel1 2 5 3" xfId="47713" xr:uid="{00000000-0005-0000-0000-00000CBB0000}"/>
    <cellStyle name="SAPBEXHLevel1 2 5 3 2" xfId="47714" xr:uid="{00000000-0005-0000-0000-00000DBB0000}"/>
    <cellStyle name="SAPBEXHLevel1 2 5 4" xfId="47715" xr:uid="{00000000-0005-0000-0000-00000EBB0000}"/>
    <cellStyle name="SAPBEXHLevel1 2 6" xfId="47716" xr:uid="{00000000-0005-0000-0000-00000FBB0000}"/>
    <cellStyle name="SAPBEXHLevel1 2 6 2" xfId="47717" xr:uid="{00000000-0005-0000-0000-000010BB0000}"/>
    <cellStyle name="SAPBEXHLevel1 2 6 2 2" xfId="47718" xr:uid="{00000000-0005-0000-0000-000011BB0000}"/>
    <cellStyle name="SAPBEXHLevel1 2 6 3" xfId="47719" xr:uid="{00000000-0005-0000-0000-000012BB0000}"/>
    <cellStyle name="SAPBEXHLevel1 2 7" xfId="47720" xr:uid="{00000000-0005-0000-0000-000013BB0000}"/>
    <cellStyle name="SAPBEXHLevel1 2 7 2" xfId="47721" xr:uid="{00000000-0005-0000-0000-000014BB0000}"/>
    <cellStyle name="SAPBEXHLevel1 2 7 2 2" xfId="47722" xr:uid="{00000000-0005-0000-0000-000015BB0000}"/>
    <cellStyle name="SAPBEXHLevel1 2 7 3" xfId="47723" xr:uid="{00000000-0005-0000-0000-000016BB0000}"/>
    <cellStyle name="SAPBEXHLevel1 2 8" xfId="47724" xr:uid="{00000000-0005-0000-0000-000017BB0000}"/>
    <cellStyle name="SAPBEXHLevel1 2 8 2" xfId="47725" xr:uid="{00000000-0005-0000-0000-000018BB0000}"/>
    <cellStyle name="SAPBEXHLevel1 2 8 2 2" xfId="47726" xr:uid="{00000000-0005-0000-0000-000019BB0000}"/>
    <cellStyle name="SAPBEXHLevel1 2 8 2 2 2" xfId="47727" xr:uid="{00000000-0005-0000-0000-00001ABB0000}"/>
    <cellStyle name="SAPBEXHLevel1 2 8 2 2 2 2" xfId="47728" xr:uid="{00000000-0005-0000-0000-00001BBB0000}"/>
    <cellStyle name="SAPBEXHLevel1 2 8 2 2 3" xfId="47729" xr:uid="{00000000-0005-0000-0000-00001CBB0000}"/>
    <cellStyle name="SAPBEXHLevel1 2 8 2 3" xfId="47730" xr:uid="{00000000-0005-0000-0000-00001DBB0000}"/>
    <cellStyle name="SAPBEXHLevel1 2 8 2 3 2" xfId="47731" xr:uid="{00000000-0005-0000-0000-00001EBB0000}"/>
    <cellStyle name="SAPBEXHLevel1 2 8 2 4" xfId="47732" xr:uid="{00000000-0005-0000-0000-00001FBB0000}"/>
    <cellStyle name="SAPBEXHLevel1 2 8 3" xfId="47733" xr:uid="{00000000-0005-0000-0000-000020BB0000}"/>
    <cellStyle name="SAPBEXHLevel1 2 8 3 2" xfId="47734" xr:uid="{00000000-0005-0000-0000-000021BB0000}"/>
    <cellStyle name="SAPBEXHLevel1 2 8 3 2 2" xfId="47735" xr:uid="{00000000-0005-0000-0000-000022BB0000}"/>
    <cellStyle name="SAPBEXHLevel1 2 8 3 3" xfId="47736" xr:uid="{00000000-0005-0000-0000-000023BB0000}"/>
    <cellStyle name="SAPBEXHLevel1 2 8 4" xfId="47737" xr:uid="{00000000-0005-0000-0000-000024BB0000}"/>
    <cellStyle name="SAPBEXHLevel1 2 8 4 2" xfId="47738" xr:uid="{00000000-0005-0000-0000-000025BB0000}"/>
    <cellStyle name="SAPBEXHLevel1 2 8 5" xfId="47739" xr:uid="{00000000-0005-0000-0000-000026BB0000}"/>
    <cellStyle name="SAPBEXHLevel1 2 9" xfId="47740" xr:uid="{00000000-0005-0000-0000-000027BB0000}"/>
    <cellStyle name="SAPBEXHLevel1 2 9 2" xfId="47741" xr:uid="{00000000-0005-0000-0000-000028BB0000}"/>
    <cellStyle name="SAPBEXHLevel1 3" xfId="47742" xr:uid="{00000000-0005-0000-0000-000029BB0000}"/>
    <cellStyle name="SAPBEXHLevel1 3 2" xfId="47743" xr:uid="{00000000-0005-0000-0000-00002ABB0000}"/>
    <cellStyle name="SAPBEXHLevel1 3 2 2" xfId="47744" xr:uid="{00000000-0005-0000-0000-00002BBB0000}"/>
    <cellStyle name="SAPBEXHLevel1 3 2 2 2" xfId="47745" xr:uid="{00000000-0005-0000-0000-00002CBB0000}"/>
    <cellStyle name="SAPBEXHLevel1 3 2 2 2 2" xfId="47746" xr:uid="{00000000-0005-0000-0000-00002DBB0000}"/>
    <cellStyle name="SAPBEXHLevel1 3 2 2 3" xfId="47747" xr:uid="{00000000-0005-0000-0000-00002EBB0000}"/>
    <cellStyle name="SAPBEXHLevel1 3 2 3" xfId="47748" xr:uid="{00000000-0005-0000-0000-00002FBB0000}"/>
    <cellStyle name="SAPBEXHLevel1 3 2 3 2" xfId="47749" xr:uid="{00000000-0005-0000-0000-000030BB0000}"/>
    <cellStyle name="SAPBEXHLevel1 3 2 3 2 2" xfId="47750" xr:uid="{00000000-0005-0000-0000-000031BB0000}"/>
    <cellStyle name="SAPBEXHLevel1 3 2 3 3" xfId="47751" xr:uid="{00000000-0005-0000-0000-000032BB0000}"/>
    <cellStyle name="SAPBEXHLevel1 3 2 4" xfId="47752" xr:uid="{00000000-0005-0000-0000-000033BB0000}"/>
    <cellStyle name="SAPBEXHLevel1 3 2 4 2" xfId="47753" xr:uid="{00000000-0005-0000-0000-000034BB0000}"/>
    <cellStyle name="SAPBEXHLevel1 3 2 4 2 2" xfId="47754" xr:uid="{00000000-0005-0000-0000-000035BB0000}"/>
    <cellStyle name="SAPBEXHLevel1 3 2 4 3" xfId="47755" xr:uid="{00000000-0005-0000-0000-000036BB0000}"/>
    <cellStyle name="SAPBEXHLevel1 3 2 5" xfId="47756" xr:uid="{00000000-0005-0000-0000-000037BB0000}"/>
    <cellStyle name="SAPBEXHLevel1 3 2 5 2" xfId="47757" xr:uid="{00000000-0005-0000-0000-000038BB0000}"/>
    <cellStyle name="SAPBEXHLevel1 3 2 6" xfId="47758" xr:uid="{00000000-0005-0000-0000-000039BB0000}"/>
    <cellStyle name="SAPBEXHLevel1 3 3" xfId="47759" xr:uid="{00000000-0005-0000-0000-00003ABB0000}"/>
    <cellStyle name="SAPBEXHLevel1 3 3 2" xfId="47760" xr:uid="{00000000-0005-0000-0000-00003BBB0000}"/>
    <cellStyle name="SAPBEXHLevel1 3 3 2 2" xfId="47761" xr:uid="{00000000-0005-0000-0000-00003CBB0000}"/>
    <cellStyle name="SAPBEXHLevel1 3 3 2 2 2" xfId="47762" xr:uid="{00000000-0005-0000-0000-00003DBB0000}"/>
    <cellStyle name="SAPBEXHLevel1 3 3 2 3" xfId="47763" xr:uid="{00000000-0005-0000-0000-00003EBB0000}"/>
    <cellStyle name="SAPBEXHLevel1 3 3 3" xfId="47764" xr:uid="{00000000-0005-0000-0000-00003FBB0000}"/>
    <cellStyle name="SAPBEXHLevel1 3 3 3 2" xfId="47765" xr:uid="{00000000-0005-0000-0000-000040BB0000}"/>
    <cellStyle name="SAPBEXHLevel1 3 3 4" xfId="47766" xr:uid="{00000000-0005-0000-0000-000041BB0000}"/>
    <cellStyle name="SAPBEXHLevel1 3 4" xfId="47767" xr:uid="{00000000-0005-0000-0000-000042BB0000}"/>
    <cellStyle name="SAPBEXHLevel1 3 4 2" xfId="47768" xr:uid="{00000000-0005-0000-0000-000043BB0000}"/>
    <cellStyle name="SAPBEXHLevel1 3 4 2 2" xfId="47769" xr:uid="{00000000-0005-0000-0000-000044BB0000}"/>
    <cellStyle name="SAPBEXHLevel1 3 4 3" xfId="47770" xr:uid="{00000000-0005-0000-0000-000045BB0000}"/>
    <cellStyle name="SAPBEXHLevel1 3 5" xfId="47771" xr:uid="{00000000-0005-0000-0000-000046BB0000}"/>
    <cellStyle name="SAPBEXHLevel1 3 5 2" xfId="47772" xr:uid="{00000000-0005-0000-0000-000047BB0000}"/>
    <cellStyle name="SAPBEXHLevel1 3 5 2 2" xfId="47773" xr:uid="{00000000-0005-0000-0000-000048BB0000}"/>
    <cellStyle name="SAPBEXHLevel1 3 5 3" xfId="47774" xr:uid="{00000000-0005-0000-0000-000049BB0000}"/>
    <cellStyle name="SAPBEXHLevel1 3 6" xfId="47775" xr:uid="{00000000-0005-0000-0000-00004ABB0000}"/>
    <cellStyle name="SAPBEXHLevel1 3 6 2" xfId="47776" xr:uid="{00000000-0005-0000-0000-00004BBB0000}"/>
    <cellStyle name="SAPBEXHLevel1 3 6 2 2" xfId="47777" xr:uid="{00000000-0005-0000-0000-00004CBB0000}"/>
    <cellStyle name="SAPBEXHLevel1 3 6 2 2 2" xfId="47778" xr:uid="{00000000-0005-0000-0000-00004DBB0000}"/>
    <cellStyle name="SAPBEXHLevel1 3 6 2 2 2 2" xfId="47779" xr:uid="{00000000-0005-0000-0000-00004EBB0000}"/>
    <cellStyle name="SAPBEXHLevel1 3 6 2 2 3" xfId="47780" xr:uid="{00000000-0005-0000-0000-00004FBB0000}"/>
    <cellStyle name="SAPBEXHLevel1 3 6 2 3" xfId="47781" xr:uid="{00000000-0005-0000-0000-000050BB0000}"/>
    <cellStyle name="SAPBEXHLevel1 3 6 2 3 2" xfId="47782" xr:uid="{00000000-0005-0000-0000-000051BB0000}"/>
    <cellStyle name="SAPBEXHLevel1 3 6 2 4" xfId="47783" xr:uid="{00000000-0005-0000-0000-000052BB0000}"/>
    <cellStyle name="SAPBEXHLevel1 3 6 3" xfId="47784" xr:uid="{00000000-0005-0000-0000-000053BB0000}"/>
    <cellStyle name="SAPBEXHLevel1 3 6 3 2" xfId="47785" xr:uid="{00000000-0005-0000-0000-000054BB0000}"/>
    <cellStyle name="SAPBEXHLevel1 3 6 3 2 2" xfId="47786" xr:uid="{00000000-0005-0000-0000-000055BB0000}"/>
    <cellStyle name="SAPBEXHLevel1 3 6 3 3" xfId="47787" xr:uid="{00000000-0005-0000-0000-000056BB0000}"/>
    <cellStyle name="SAPBEXHLevel1 3 6 4" xfId="47788" xr:uid="{00000000-0005-0000-0000-000057BB0000}"/>
    <cellStyle name="SAPBEXHLevel1 3 6 4 2" xfId="47789" xr:uid="{00000000-0005-0000-0000-000058BB0000}"/>
    <cellStyle name="SAPBEXHLevel1 3 6 5" xfId="47790" xr:uid="{00000000-0005-0000-0000-000059BB0000}"/>
    <cellStyle name="SAPBEXHLevel1 3 7" xfId="47791" xr:uid="{00000000-0005-0000-0000-00005ABB0000}"/>
    <cellStyle name="SAPBEXHLevel1 3 7 2" xfId="47792" xr:uid="{00000000-0005-0000-0000-00005BBB0000}"/>
    <cellStyle name="SAPBEXHLevel1 3 8" xfId="47793" xr:uid="{00000000-0005-0000-0000-00005CBB0000}"/>
    <cellStyle name="SAPBEXHLevel1 4" xfId="47794" xr:uid="{00000000-0005-0000-0000-00005DBB0000}"/>
    <cellStyle name="SAPBEXHLevel1 4 2" xfId="47795" xr:uid="{00000000-0005-0000-0000-00005EBB0000}"/>
    <cellStyle name="SAPBEXHLevel1 4 2 2" xfId="47796" xr:uid="{00000000-0005-0000-0000-00005FBB0000}"/>
    <cellStyle name="SAPBEXHLevel1 4 2 2 2" xfId="47797" xr:uid="{00000000-0005-0000-0000-000060BB0000}"/>
    <cellStyle name="SAPBEXHLevel1 4 2 2 2 2" xfId="47798" xr:uid="{00000000-0005-0000-0000-000061BB0000}"/>
    <cellStyle name="SAPBEXHLevel1 4 2 2 3" xfId="47799" xr:uid="{00000000-0005-0000-0000-000062BB0000}"/>
    <cellStyle name="SAPBEXHLevel1 4 2 3" xfId="47800" xr:uid="{00000000-0005-0000-0000-000063BB0000}"/>
    <cellStyle name="SAPBEXHLevel1 4 2 3 2" xfId="47801" xr:uid="{00000000-0005-0000-0000-000064BB0000}"/>
    <cellStyle name="SAPBEXHLevel1 4 2 3 2 2" xfId="47802" xr:uid="{00000000-0005-0000-0000-000065BB0000}"/>
    <cellStyle name="SAPBEXHLevel1 4 2 3 3" xfId="47803" xr:uid="{00000000-0005-0000-0000-000066BB0000}"/>
    <cellStyle name="SAPBEXHLevel1 4 2 4" xfId="47804" xr:uid="{00000000-0005-0000-0000-000067BB0000}"/>
    <cellStyle name="SAPBEXHLevel1 4 2 4 2" xfId="47805" xr:uid="{00000000-0005-0000-0000-000068BB0000}"/>
    <cellStyle name="SAPBEXHLevel1 4 2 4 2 2" xfId="47806" xr:uid="{00000000-0005-0000-0000-000069BB0000}"/>
    <cellStyle name="SAPBEXHLevel1 4 2 4 3" xfId="47807" xr:uid="{00000000-0005-0000-0000-00006ABB0000}"/>
    <cellStyle name="SAPBEXHLevel1 4 2 5" xfId="47808" xr:uid="{00000000-0005-0000-0000-00006BBB0000}"/>
    <cellStyle name="SAPBEXHLevel1 4 2 5 2" xfId="47809" xr:uid="{00000000-0005-0000-0000-00006CBB0000}"/>
    <cellStyle name="SAPBEXHLevel1 4 2 6" xfId="47810" xr:uid="{00000000-0005-0000-0000-00006DBB0000}"/>
    <cellStyle name="SAPBEXHLevel1 4 3" xfId="47811" xr:uid="{00000000-0005-0000-0000-00006EBB0000}"/>
    <cellStyle name="SAPBEXHLevel1 4 3 2" xfId="47812" xr:uid="{00000000-0005-0000-0000-00006FBB0000}"/>
    <cellStyle name="SAPBEXHLevel1 4 3 2 2" xfId="47813" xr:uid="{00000000-0005-0000-0000-000070BB0000}"/>
    <cellStyle name="SAPBEXHLevel1 4 3 2 2 2" xfId="47814" xr:uid="{00000000-0005-0000-0000-000071BB0000}"/>
    <cellStyle name="SAPBEXHLevel1 4 3 2 2 2 2" xfId="47815" xr:uid="{00000000-0005-0000-0000-000072BB0000}"/>
    <cellStyle name="SAPBEXHLevel1 4 3 2 2 3" xfId="47816" xr:uid="{00000000-0005-0000-0000-000073BB0000}"/>
    <cellStyle name="SAPBEXHLevel1 4 3 2 3" xfId="47817" xr:uid="{00000000-0005-0000-0000-000074BB0000}"/>
    <cellStyle name="SAPBEXHLevel1 4 3 2 3 2" xfId="47818" xr:uid="{00000000-0005-0000-0000-000075BB0000}"/>
    <cellStyle name="SAPBEXHLevel1 4 3 2 3 2 2" xfId="47819" xr:uid="{00000000-0005-0000-0000-000076BB0000}"/>
    <cellStyle name="SAPBEXHLevel1 4 3 2 3 3" xfId="47820" xr:uid="{00000000-0005-0000-0000-000077BB0000}"/>
    <cellStyle name="SAPBEXHLevel1 4 3 2 4" xfId="47821" xr:uid="{00000000-0005-0000-0000-000078BB0000}"/>
    <cellStyle name="SAPBEXHLevel1 4 3 2 4 2" xfId="47822" xr:uid="{00000000-0005-0000-0000-000079BB0000}"/>
    <cellStyle name="SAPBEXHLevel1 4 3 2 5" xfId="47823" xr:uid="{00000000-0005-0000-0000-00007ABB0000}"/>
    <cellStyle name="SAPBEXHLevel1 4 3 3" xfId="47824" xr:uid="{00000000-0005-0000-0000-00007BBB0000}"/>
    <cellStyle name="SAPBEXHLevel1 4 3 3 2" xfId="47825" xr:uid="{00000000-0005-0000-0000-00007CBB0000}"/>
    <cellStyle name="SAPBEXHLevel1 4 3 3 2 2" xfId="47826" xr:uid="{00000000-0005-0000-0000-00007DBB0000}"/>
    <cellStyle name="SAPBEXHLevel1 4 3 3 2 2 2" xfId="47827" xr:uid="{00000000-0005-0000-0000-00007EBB0000}"/>
    <cellStyle name="SAPBEXHLevel1 4 3 3 2 3" xfId="47828" xr:uid="{00000000-0005-0000-0000-00007FBB0000}"/>
    <cellStyle name="SAPBEXHLevel1 4 3 3 3" xfId="47829" xr:uid="{00000000-0005-0000-0000-000080BB0000}"/>
    <cellStyle name="SAPBEXHLevel1 4 3 3 3 2" xfId="47830" xr:uid="{00000000-0005-0000-0000-000081BB0000}"/>
    <cellStyle name="SAPBEXHLevel1 4 3 3 4" xfId="47831" xr:uid="{00000000-0005-0000-0000-000082BB0000}"/>
    <cellStyle name="SAPBEXHLevel1 4 3 4" xfId="47832" xr:uid="{00000000-0005-0000-0000-000083BB0000}"/>
    <cellStyle name="SAPBEXHLevel1 4 3 4 2" xfId="47833" xr:uid="{00000000-0005-0000-0000-000084BB0000}"/>
    <cellStyle name="SAPBEXHLevel1 4 3 4 2 2" xfId="47834" xr:uid="{00000000-0005-0000-0000-000085BB0000}"/>
    <cellStyle name="SAPBEXHLevel1 4 3 4 3" xfId="47835" xr:uid="{00000000-0005-0000-0000-000086BB0000}"/>
    <cellStyle name="SAPBEXHLevel1 4 3 5" xfId="47836" xr:uid="{00000000-0005-0000-0000-000087BB0000}"/>
    <cellStyle name="SAPBEXHLevel1 4 3 5 2" xfId="47837" xr:uid="{00000000-0005-0000-0000-000088BB0000}"/>
    <cellStyle name="SAPBEXHLevel1 4 3 5 2 2" xfId="47838" xr:uid="{00000000-0005-0000-0000-000089BB0000}"/>
    <cellStyle name="SAPBEXHLevel1 4 3 5 3" xfId="47839" xr:uid="{00000000-0005-0000-0000-00008ABB0000}"/>
    <cellStyle name="SAPBEXHLevel1 4 3 6" xfId="47840" xr:uid="{00000000-0005-0000-0000-00008BBB0000}"/>
    <cellStyle name="SAPBEXHLevel1 4 3 6 2" xfId="47841" xr:uid="{00000000-0005-0000-0000-00008CBB0000}"/>
    <cellStyle name="SAPBEXHLevel1 4 3 7" xfId="47842" xr:uid="{00000000-0005-0000-0000-00008DBB0000}"/>
    <cellStyle name="SAPBEXHLevel1 4 4" xfId="47843" xr:uid="{00000000-0005-0000-0000-00008EBB0000}"/>
    <cellStyle name="SAPBEXHLevel1 4 4 2" xfId="47844" xr:uid="{00000000-0005-0000-0000-00008FBB0000}"/>
    <cellStyle name="SAPBEXHLevel1 4 4 2 2" xfId="47845" xr:uid="{00000000-0005-0000-0000-000090BB0000}"/>
    <cellStyle name="SAPBEXHLevel1 4 4 2 2 2" xfId="47846" xr:uid="{00000000-0005-0000-0000-000091BB0000}"/>
    <cellStyle name="SAPBEXHLevel1 4 4 2 3" xfId="47847" xr:uid="{00000000-0005-0000-0000-000092BB0000}"/>
    <cellStyle name="SAPBEXHLevel1 4 4 3" xfId="47848" xr:uid="{00000000-0005-0000-0000-000093BB0000}"/>
    <cellStyle name="SAPBEXHLevel1 4 4 3 2" xfId="47849" xr:uid="{00000000-0005-0000-0000-000094BB0000}"/>
    <cellStyle name="SAPBEXHLevel1 4 4 4" xfId="47850" xr:uid="{00000000-0005-0000-0000-000095BB0000}"/>
    <cellStyle name="SAPBEXHLevel1 4 5" xfId="47851" xr:uid="{00000000-0005-0000-0000-000096BB0000}"/>
    <cellStyle name="SAPBEXHLevel1 4 5 2" xfId="47852" xr:uid="{00000000-0005-0000-0000-000097BB0000}"/>
    <cellStyle name="SAPBEXHLevel1 4 5 2 2" xfId="47853" xr:uid="{00000000-0005-0000-0000-000098BB0000}"/>
    <cellStyle name="SAPBEXHLevel1 4 5 3" xfId="47854" xr:uid="{00000000-0005-0000-0000-000099BB0000}"/>
    <cellStyle name="SAPBEXHLevel1 4 6" xfId="47855" xr:uid="{00000000-0005-0000-0000-00009ABB0000}"/>
    <cellStyle name="SAPBEXHLevel1 4 6 2" xfId="47856" xr:uid="{00000000-0005-0000-0000-00009BBB0000}"/>
    <cellStyle name="SAPBEXHLevel1 4 6 2 2" xfId="47857" xr:uid="{00000000-0005-0000-0000-00009CBB0000}"/>
    <cellStyle name="SAPBEXHLevel1 4 6 3" xfId="47858" xr:uid="{00000000-0005-0000-0000-00009DBB0000}"/>
    <cellStyle name="SAPBEXHLevel1 4 7" xfId="47859" xr:uid="{00000000-0005-0000-0000-00009EBB0000}"/>
    <cellStyle name="SAPBEXHLevel1 4 7 2" xfId="47860" xr:uid="{00000000-0005-0000-0000-00009FBB0000}"/>
    <cellStyle name="SAPBEXHLevel1 4 8" xfId="47861" xr:uid="{00000000-0005-0000-0000-0000A0BB0000}"/>
    <cellStyle name="SAPBEXHLevel1 5" xfId="47862" xr:uid="{00000000-0005-0000-0000-0000A1BB0000}"/>
    <cellStyle name="SAPBEXHLevel1 5 2" xfId="47863" xr:uid="{00000000-0005-0000-0000-0000A2BB0000}"/>
    <cellStyle name="SAPBEXHLevel1 5 2 2" xfId="47864" xr:uid="{00000000-0005-0000-0000-0000A3BB0000}"/>
    <cellStyle name="SAPBEXHLevel1 5 2 2 2" xfId="47865" xr:uid="{00000000-0005-0000-0000-0000A4BB0000}"/>
    <cellStyle name="SAPBEXHLevel1 5 2 3" xfId="47866" xr:uid="{00000000-0005-0000-0000-0000A5BB0000}"/>
    <cellStyle name="SAPBEXHLevel1 5 3" xfId="47867" xr:uid="{00000000-0005-0000-0000-0000A6BB0000}"/>
    <cellStyle name="SAPBEXHLevel1 5 3 2" xfId="47868" xr:uid="{00000000-0005-0000-0000-0000A7BB0000}"/>
    <cellStyle name="SAPBEXHLevel1 5 3 2 2" xfId="47869" xr:uid="{00000000-0005-0000-0000-0000A8BB0000}"/>
    <cellStyle name="SAPBEXHLevel1 5 3 3" xfId="47870" xr:uid="{00000000-0005-0000-0000-0000A9BB0000}"/>
    <cellStyle name="SAPBEXHLevel1 5 4" xfId="47871" xr:uid="{00000000-0005-0000-0000-0000AABB0000}"/>
    <cellStyle name="SAPBEXHLevel1 5 4 2" xfId="47872" xr:uid="{00000000-0005-0000-0000-0000ABBB0000}"/>
    <cellStyle name="SAPBEXHLevel1 5 4 2 2" xfId="47873" xr:uid="{00000000-0005-0000-0000-0000ACBB0000}"/>
    <cellStyle name="SAPBEXHLevel1 5 4 3" xfId="47874" xr:uid="{00000000-0005-0000-0000-0000ADBB0000}"/>
    <cellStyle name="SAPBEXHLevel1 5 5" xfId="47875" xr:uid="{00000000-0005-0000-0000-0000AEBB0000}"/>
    <cellStyle name="SAPBEXHLevel1 5 5 2" xfId="47876" xr:uid="{00000000-0005-0000-0000-0000AFBB0000}"/>
    <cellStyle name="SAPBEXHLevel1 5 6" xfId="47877" xr:uid="{00000000-0005-0000-0000-0000B0BB0000}"/>
    <cellStyle name="SAPBEXHLevel1 6" xfId="47878" xr:uid="{00000000-0005-0000-0000-0000B1BB0000}"/>
    <cellStyle name="SAPBEXHLevel1 6 2" xfId="47879" xr:uid="{00000000-0005-0000-0000-0000B2BB0000}"/>
    <cellStyle name="SAPBEXHLevel1 6 2 2" xfId="47880" xr:uid="{00000000-0005-0000-0000-0000B3BB0000}"/>
    <cellStyle name="SAPBEXHLevel1 6 3" xfId="47881" xr:uid="{00000000-0005-0000-0000-0000B4BB0000}"/>
    <cellStyle name="SAPBEXHLevel1 6 3 2" xfId="47882" xr:uid="{00000000-0005-0000-0000-0000B5BB0000}"/>
    <cellStyle name="SAPBEXHLevel1 6 3 2 2" xfId="47883" xr:uid="{00000000-0005-0000-0000-0000B6BB0000}"/>
    <cellStyle name="SAPBEXHLevel1 6 3 3" xfId="47884" xr:uid="{00000000-0005-0000-0000-0000B7BB0000}"/>
    <cellStyle name="SAPBEXHLevel1 6 4" xfId="47885" xr:uid="{00000000-0005-0000-0000-0000B8BB0000}"/>
    <cellStyle name="SAPBEXHLevel1 6 4 2" xfId="47886" xr:uid="{00000000-0005-0000-0000-0000B9BB0000}"/>
    <cellStyle name="SAPBEXHLevel1 6 4 2 2" xfId="47887" xr:uid="{00000000-0005-0000-0000-0000BABB0000}"/>
    <cellStyle name="SAPBEXHLevel1 6 4 3" xfId="47888" xr:uid="{00000000-0005-0000-0000-0000BBBB0000}"/>
    <cellStyle name="SAPBEXHLevel1 6 5" xfId="47889" xr:uid="{00000000-0005-0000-0000-0000BCBB0000}"/>
    <cellStyle name="SAPBEXHLevel1 7" xfId="47890" xr:uid="{00000000-0005-0000-0000-0000BDBB0000}"/>
    <cellStyle name="SAPBEXHLevel1 7 2" xfId="47891" xr:uid="{00000000-0005-0000-0000-0000BEBB0000}"/>
    <cellStyle name="SAPBEXHLevel1 7 2 2" xfId="47892" xr:uid="{00000000-0005-0000-0000-0000BFBB0000}"/>
    <cellStyle name="SAPBEXHLevel1 7 2 2 2" xfId="47893" xr:uid="{00000000-0005-0000-0000-0000C0BB0000}"/>
    <cellStyle name="SAPBEXHLevel1 7 2 3" xfId="47894" xr:uid="{00000000-0005-0000-0000-0000C1BB0000}"/>
    <cellStyle name="SAPBEXHLevel1 7 2 3 2" xfId="47895" xr:uid="{00000000-0005-0000-0000-0000C2BB0000}"/>
    <cellStyle name="SAPBEXHLevel1 7 2 3 2 2" xfId="47896" xr:uid="{00000000-0005-0000-0000-0000C3BB0000}"/>
    <cellStyle name="SAPBEXHLevel1 7 2 3 3" xfId="47897" xr:uid="{00000000-0005-0000-0000-0000C4BB0000}"/>
    <cellStyle name="SAPBEXHLevel1 7 2 4" xfId="47898" xr:uid="{00000000-0005-0000-0000-0000C5BB0000}"/>
    <cellStyle name="SAPBEXHLevel1 7 3" xfId="47899" xr:uid="{00000000-0005-0000-0000-0000C6BB0000}"/>
    <cellStyle name="SAPBEXHLevel1 7 3 2" xfId="47900" xr:uid="{00000000-0005-0000-0000-0000C7BB0000}"/>
    <cellStyle name="SAPBEXHLevel1 7 3 2 2" xfId="47901" xr:uid="{00000000-0005-0000-0000-0000C8BB0000}"/>
    <cellStyle name="SAPBEXHLevel1 7 3 3" xfId="47902" xr:uid="{00000000-0005-0000-0000-0000C9BB0000}"/>
    <cellStyle name="SAPBEXHLevel1 7 4" xfId="47903" xr:uid="{00000000-0005-0000-0000-0000CABB0000}"/>
    <cellStyle name="SAPBEXHLevel1 7 4 2" xfId="47904" xr:uid="{00000000-0005-0000-0000-0000CBBB0000}"/>
    <cellStyle name="SAPBEXHLevel1 7 4 2 2" xfId="47905" xr:uid="{00000000-0005-0000-0000-0000CCBB0000}"/>
    <cellStyle name="SAPBEXHLevel1 7 4 3" xfId="47906" xr:uid="{00000000-0005-0000-0000-0000CDBB0000}"/>
    <cellStyle name="SAPBEXHLevel1 7 5" xfId="47907" xr:uid="{00000000-0005-0000-0000-0000CEBB0000}"/>
    <cellStyle name="SAPBEXHLevel1 7 5 2" xfId="47908" xr:uid="{00000000-0005-0000-0000-0000CFBB0000}"/>
    <cellStyle name="SAPBEXHLevel1 7 5 2 2" xfId="47909" xr:uid="{00000000-0005-0000-0000-0000D0BB0000}"/>
    <cellStyle name="SAPBEXHLevel1 7 5 3" xfId="47910" xr:uid="{00000000-0005-0000-0000-0000D1BB0000}"/>
    <cellStyle name="SAPBEXHLevel1 7 6" xfId="47911" xr:uid="{00000000-0005-0000-0000-0000D2BB0000}"/>
    <cellStyle name="SAPBEXHLevel1 8" xfId="47912" xr:uid="{00000000-0005-0000-0000-0000D3BB0000}"/>
    <cellStyle name="SAPBEXHLevel1 8 2" xfId="47913" xr:uid="{00000000-0005-0000-0000-0000D4BB0000}"/>
    <cellStyle name="SAPBEXHLevel1 8 2 2" xfId="47914" xr:uid="{00000000-0005-0000-0000-0000D5BB0000}"/>
    <cellStyle name="SAPBEXHLevel1 8 3" xfId="47915" xr:uid="{00000000-0005-0000-0000-0000D6BB0000}"/>
    <cellStyle name="SAPBEXHLevel1 9" xfId="47916" xr:uid="{00000000-0005-0000-0000-0000D7BB0000}"/>
    <cellStyle name="SAPBEXHLevel1 9 2" xfId="47917" xr:uid="{00000000-0005-0000-0000-0000D8BB0000}"/>
    <cellStyle name="SAPBEXHLevel1 9 2 2" xfId="47918" xr:uid="{00000000-0005-0000-0000-0000D9BB0000}"/>
    <cellStyle name="SAPBEXHLevel1 9 3" xfId="47919" xr:uid="{00000000-0005-0000-0000-0000DABB0000}"/>
    <cellStyle name="SAPBEXHLevel1X" xfId="63" xr:uid="{00000000-0005-0000-0000-0000DBBB0000}"/>
    <cellStyle name="SAPBEXHLevel1X 10" xfId="47920" xr:uid="{00000000-0005-0000-0000-0000DCBB0000}"/>
    <cellStyle name="SAPBEXHLevel1X 10 2" xfId="47921" xr:uid="{00000000-0005-0000-0000-0000DDBB0000}"/>
    <cellStyle name="SAPBEXHLevel1X 10 2 2" xfId="47922" xr:uid="{00000000-0005-0000-0000-0000DEBB0000}"/>
    <cellStyle name="SAPBEXHLevel1X 10 3" xfId="47923" xr:uid="{00000000-0005-0000-0000-0000DFBB0000}"/>
    <cellStyle name="SAPBEXHLevel1X 11" xfId="47924" xr:uid="{00000000-0005-0000-0000-0000E0BB0000}"/>
    <cellStyle name="SAPBEXHLevel1X 11 2" xfId="47925" xr:uid="{00000000-0005-0000-0000-0000E1BB0000}"/>
    <cellStyle name="SAPBEXHLevel1X 11 2 2" xfId="47926" xr:uid="{00000000-0005-0000-0000-0000E2BB0000}"/>
    <cellStyle name="SAPBEXHLevel1X 11 3" xfId="47927" xr:uid="{00000000-0005-0000-0000-0000E3BB0000}"/>
    <cellStyle name="SAPBEXHLevel1X 12" xfId="47928" xr:uid="{00000000-0005-0000-0000-0000E4BB0000}"/>
    <cellStyle name="SAPBEXHLevel1X 12 2" xfId="47929" xr:uid="{00000000-0005-0000-0000-0000E5BB0000}"/>
    <cellStyle name="SAPBEXHLevel1X 12 2 2" xfId="47930" xr:uid="{00000000-0005-0000-0000-0000E6BB0000}"/>
    <cellStyle name="SAPBEXHLevel1X 12 3" xfId="47931" xr:uid="{00000000-0005-0000-0000-0000E7BB0000}"/>
    <cellStyle name="SAPBEXHLevel1X 13" xfId="47932" xr:uid="{00000000-0005-0000-0000-0000E8BB0000}"/>
    <cellStyle name="SAPBEXHLevel1X 13 2" xfId="47933" xr:uid="{00000000-0005-0000-0000-0000E9BB0000}"/>
    <cellStyle name="SAPBEXHLevel1X 13 2 2" xfId="47934" xr:uid="{00000000-0005-0000-0000-0000EABB0000}"/>
    <cellStyle name="SAPBEXHLevel1X 13 3" xfId="47935" xr:uid="{00000000-0005-0000-0000-0000EBBB0000}"/>
    <cellStyle name="SAPBEXHLevel1X 14" xfId="47936" xr:uid="{00000000-0005-0000-0000-0000ECBB0000}"/>
    <cellStyle name="SAPBEXHLevel1X 14 2" xfId="47937" xr:uid="{00000000-0005-0000-0000-0000EDBB0000}"/>
    <cellStyle name="SAPBEXHLevel1X 15" xfId="47938" xr:uid="{00000000-0005-0000-0000-0000EEBB0000}"/>
    <cellStyle name="SAPBEXHLevel1X 15 2" xfId="47939" xr:uid="{00000000-0005-0000-0000-0000EFBB0000}"/>
    <cellStyle name="SAPBEXHLevel1X 15 2 2" xfId="47940" xr:uid="{00000000-0005-0000-0000-0000F0BB0000}"/>
    <cellStyle name="SAPBEXHLevel1X 15 3" xfId="47941" xr:uid="{00000000-0005-0000-0000-0000F1BB0000}"/>
    <cellStyle name="SAPBEXHLevel1X 15 3 2" xfId="47942" xr:uid="{00000000-0005-0000-0000-0000F2BB0000}"/>
    <cellStyle name="SAPBEXHLevel1X 15 4" xfId="47943" xr:uid="{00000000-0005-0000-0000-0000F3BB0000}"/>
    <cellStyle name="SAPBEXHLevel1X 16" xfId="47944" xr:uid="{00000000-0005-0000-0000-0000F4BB0000}"/>
    <cellStyle name="SAPBEXHLevel1X 16 2" xfId="47945" xr:uid="{00000000-0005-0000-0000-0000F5BB0000}"/>
    <cellStyle name="SAPBEXHLevel1X 17" xfId="47946" xr:uid="{00000000-0005-0000-0000-0000F6BB0000}"/>
    <cellStyle name="SAPBEXHLevel1X 17 2" xfId="47947" xr:uid="{00000000-0005-0000-0000-0000F7BB0000}"/>
    <cellStyle name="SAPBEXHLevel1X 17 3" xfId="47948" xr:uid="{00000000-0005-0000-0000-0000F8BB0000}"/>
    <cellStyle name="SAPBEXHLevel1X 18" xfId="47949" xr:uid="{00000000-0005-0000-0000-0000F9BB0000}"/>
    <cellStyle name="SAPBEXHLevel1X 18 2" xfId="47950" xr:uid="{00000000-0005-0000-0000-0000FABB0000}"/>
    <cellStyle name="SAPBEXHLevel1X 19" xfId="47951" xr:uid="{00000000-0005-0000-0000-0000FBBB0000}"/>
    <cellStyle name="SAPBEXHLevel1X 19 2" xfId="47952" xr:uid="{00000000-0005-0000-0000-0000FCBB0000}"/>
    <cellStyle name="SAPBEXHLevel1X 2" xfId="87" xr:uid="{00000000-0005-0000-0000-0000FDBB0000}"/>
    <cellStyle name="SAPBEXHLevel1X 2 2" xfId="47953" xr:uid="{00000000-0005-0000-0000-0000FEBB0000}"/>
    <cellStyle name="SAPBEXHLevel1X 2 2 2" xfId="47954" xr:uid="{00000000-0005-0000-0000-0000FFBB0000}"/>
    <cellStyle name="SAPBEXHLevel1X 2 2 2 2" xfId="47955" xr:uid="{00000000-0005-0000-0000-000000BC0000}"/>
    <cellStyle name="SAPBEXHLevel1X 2 2 2 2 2" xfId="47956" xr:uid="{00000000-0005-0000-0000-000001BC0000}"/>
    <cellStyle name="SAPBEXHLevel1X 2 2 2 3" xfId="47957" xr:uid="{00000000-0005-0000-0000-000002BC0000}"/>
    <cellStyle name="SAPBEXHLevel1X 2 2 3" xfId="47958" xr:uid="{00000000-0005-0000-0000-000003BC0000}"/>
    <cellStyle name="SAPBEXHLevel1X 2 2 3 2" xfId="47959" xr:uid="{00000000-0005-0000-0000-000004BC0000}"/>
    <cellStyle name="SAPBEXHLevel1X 2 2 3 2 2" xfId="47960" xr:uid="{00000000-0005-0000-0000-000005BC0000}"/>
    <cellStyle name="SAPBEXHLevel1X 2 2 3 3" xfId="47961" xr:uid="{00000000-0005-0000-0000-000006BC0000}"/>
    <cellStyle name="SAPBEXHLevel1X 2 2 4" xfId="47962" xr:uid="{00000000-0005-0000-0000-000007BC0000}"/>
    <cellStyle name="SAPBEXHLevel1X 2 2 4 2" xfId="47963" xr:uid="{00000000-0005-0000-0000-000008BC0000}"/>
    <cellStyle name="SAPBEXHLevel1X 2 2 4 2 2" xfId="47964" xr:uid="{00000000-0005-0000-0000-000009BC0000}"/>
    <cellStyle name="SAPBEXHLevel1X 2 2 4 3" xfId="47965" xr:uid="{00000000-0005-0000-0000-00000ABC0000}"/>
    <cellStyle name="SAPBEXHLevel1X 2 2 5" xfId="47966" xr:uid="{00000000-0005-0000-0000-00000BBC0000}"/>
    <cellStyle name="SAPBEXHLevel1X 2 2 5 2" xfId="47967" xr:uid="{00000000-0005-0000-0000-00000CBC0000}"/>
    <cellStyle name="SAPBEXHLevel1X 2 2 6" xfId="47968" xr:uid="{00000000-0005-0000-0000-00000DBC0000}"/>
    <cellStyle name="SAPBEXHLevel1X 2 3" xfId="47969" xr:uid="{00000000-0005-0000-0000-00000EBC0000}"/>
    <cellStyle name="SAPBEXHLevel1X 2 3 2" xfId="47970" xr:uid="{00000000-0005-0000-0000-00000FBC0000}"/>
    <cellStyle name="SAPBEXHLevel1X 2 3 2 2" xfId="47971" xr:uid="{00000000-0005-0000-0000-000010BC0000}"/>
    <cellStyle name="SAPBEXHLevel1X 2 3 2 2 2" xfId="47972" xr:uid="{00000000-0005-0000-0000-000011BC0000}"/>
    <cellStyle name="SAPBEXHLevel1X 2 3 2 2 2 2" xfId="47973" xr:uid="{00000000-0005-0000-0000-000012BC0000}"/>
    <cellStyle name="SAPBEXHLevel1X 2 3 2 2 3" xfId="47974" xr:uid="{00000000-0005-0000-0000-000013BC0000}"/>
    <cellStyle name="SAPBEXHLevel1X 2 3 2 3" xfId="47975" xr:uid="{00000000-0005-0000-0000-000014BC0000}"/>
    <cellStyle name="SAPBEXHLevel1X 2 3 2 3 2" xfId="47976" xr:uid="{00000000-0005-0000-0000-000015BC0000}"/>
    <cellStyle name="SAPBEXHLevel1X 2 3 2 3 2 2" xfId="47977" xr:uid="{00000000-0005-0000-0000-000016BC0000}"/>
    <cellStyle name="SAPBEXHLevel1X 2 3 2 3 3" xfId="47978" xr:uid="{00000000-0005-0000-0000-000017BC0000}"/>
    <cellStyle name="SAPBEXHLevel1X 2 3 2 4" xfId="47979" xr:uid="{00000000-0005-0000-0000-000018BC0000}"/>
    <cellStyle name="SAPBEXHLevel1X 2 3 2 4 2" xfId="47980" xr:uid="{00000000-0005-0000-0000-000019BC0000}"/>
    <cellStyle name="SAPBEXHLevel1X 2 3 2 5" xfId="47981" xr:uid="{00000000-0005-0000-0000-00001ABC0000}"/>
    <cellStyle name="SAPBEXHLevel1X 2 3 3" xfId="47982" xr:uid="{00000000-0005-0000-0000-00001BBC0000}"/>
    <cellStyle name="SAPBEXHLevel1X 2 3 3 2" xfId="47983" xr:uid="{00000000-0005-0000-0000-00001CBC0000}"/>
    <cellStyle name="SAPBEXHLevel1X 2 3 3 2 2" xfId="47984" xr:uid="{00000000-0005-0000-0000-00001DBC0000}"/>
    <cellStyle name="SAPBEXHLevel1X 2 3 3 2 2 2" xfId="47985" xr:uid="{00000000-0005-0000-0000-00001EBC0000}"/>
    <cellStyle name="SAPBEXHLevel1X 2 3 3 2 3" xfId="47986" xr:uid="{00000000-0005-0000-0000-00001FBC0000}"/>
    <cellStyle name="SAPBEXHLevel1X 2 3 3 3" xfId="47987" xr:uid="{00000000-0005-0000-0000-000020BC0000}"/>
    <cellStyle name="SAPBEXHLevel1X 2 3 3 3 2" xfId="47988" xr:uid="{00000000-0005-0000-0000-000021BC0000}"/>
    <cellStyle name="SAPBEXHLevel1X 2 3 3 4" xfId="47989" xr:uid="{00000000-0005-0000-0000-000022BC0000}"/>
    <cellStyle name="SAPBEXHLevel1X 2 3 4" xfId="47990" xr:uid="{00000000-0005-0000-0000-000023BC0000}"/>
    <cellStyle name="SAPBEXHLevel1X 2 3 4 2" xfId="47991" xr:uid="{00000000-0005-0000-0000-000024BC0000}"/>
    <cellStyle name="SAPBEXHLevel1X 2 3 4 2 2" xfId="47992" xr:uid="{00000000-0005-0000-0000-000025BC0000}"/>
    <cellStyle name="SAPBEXHLevel1X 2 3 4 3" xfId="47993" xr:uid="{00000000-0005-0000-0000-000026BC0000}"/>
    <cellStyle name="SAPBEXHLevel1X 2 3 5" xfId="47994" xr:uid="{00000000-0005-0000-0000-000027BC0000}"/>
    <cellStyle name="SAPBEXHLevel1X 2 3 5 2" xfId="47995" xr:uid="{00000000-0005-0000-0000-000028BC0000}"/>
    <cellStyle name="SAPBEXHLevel1X 2 3 5 2 2" xfId="47996" xr:uid="{00000000-0005-0000-0000-000029BC0000}"/>
    <cellStyle name="SAPBEXHLevel1X 2 3 5 3" xfId="47997" xr:uid="{00000000-0005-0000-0000-00002ABC0000}"/>
    <cellStyle name="SAPBEXHLevel1X 2 3 6" xfId="47998" xr:uid="{00000000-0005-0000-0000-00002BBC0000}"/>
    <cellStyle name="SAPBEXHLevel1X 2 3 6 2" xfId="47999" xr:uid="{00000000-0005-0000-0000-00002CBC0000}"/>
    <cellStyle name="SAPBEXHLevel1X 2 3 7" xfId="48000" xr:uid="{00000000-0005-0000-0000-00002DBC0000}"/>
    <cellStyle name="SAPBEXHLevel1X 2 4" xfId="48001" xr:uid="{00000000-0005-0000-0000-00002EBC0000}"/>
    <cellStyle name="SAPBEXHLevel1X 2 4 2" xfId="48002" xr:uid="{00000000-0005-0000-0000-00002FBC0000}"/>
    <cellStyle name="SAPBEXHLevel1X 2 4 2 2" xfId="48003" xr:uid="{00000000-0005-0000-0000-000030BC0000}"/>
    <cellStyle name="SAPBEXHLevel1X 2 4 2 2 2" xfId="48004" xr:uid="{00000000-0005-0000-0000-000031BC0000}"/>
    <cellStyle name="SAPBEXHLevel1X 2 4 2 2 2 2" xfId="48005" xr:uid="{00000000-0005-0000-0000-000032BC0000}"/>
    <cellStyle name="SAPBEXHLevel1X 2 4 2 2 3" xfId="48006" xr:uid="{00000000-0005-0000-0000-000033BC0000}"/>
    <cellStyle name="SAPBEXHLevel1X 2 4 2 3" xfId="48007" xr:uid="{00000000-0005-0000-0000-000034BC0000}"/>
    <cellStyle name="SAPBEXHLevel1X 2 4 2 3 2" xfId="48008" xr:uid="{00000000-0005-0000-0000-000035BC0000}"/>
    <cellStyle name="SAPBEXHLevel1X 2 4 2 3 2 2" xfId="48009" xr:uid="{00000000-0005-0000-0000-000036BC0000}"/>
    <cellStyle name="SAPBEXHLevel1X 2 4 2 3 3" xfId="48010" xr:uid="{00000000-0005-0000-0000-000037BC0000}"/>
    <cellStyle name="SAPBEXHLevel1X 2 4 2 4" xfId="48011" xr:uid="{00000000-0005-0000-0000-000038BC0000}"/>
    <cellStyle name="SAPBEXHLevel1X 2 4 2 4 2" xfId="48012" xr:uid="{00000000-0005-0000-0000-000039BC0000}"/>
    <cellStyle name="SAPBEXHLevel1X 2 4 2 5" xfId="48013" xr:uid="{00000000-0005-0000-0000-00003ABC0000}"/>
    <cellStyle name="SAPBEXHLevel1X 2 4 3" xfId="48014" xr:uid="{00000000-0005-0000-0000-00003BBC0000}"/>
    <cellStyle name="SAPBEXHLevel1X 2 4 3 2" xfId="48015" xr:uid="{00000000-0005-0000-0000-00003CBC0000}"/>
    <cellStyle name="SAPBEXHLevel1X 2 4 3 2 2" xfId="48016" xr:uid="{00000000-0005-0000-0000-00003DBC0000}"/>
    <cellStyle name="SAPBEXHLevel1X 2 4 3 2 2 2" xfId="48017" xr:uid="{00000000-0005-0000-0000-00003EBC0000}"/>
    <cellStyle name="SAPBEXHLevel1X 2 4 3 2 3" xfId="48018" xr:uid="{00000000-0005-0000-0000-00003FBC0000}"/>
    <cellStyle name="SAPBEXHLevel1X 2 4 3 3" xfId="48019" xr:uid="{00000000-0005-0000-0000-000040BC0000}"/>
    <cellStyle name="SAPBEXHLevel1X 2 4 3 3 2" xfId="48020" xr:uid="{00000000-0005-0000-0000-000041BC0000}"/>
    <cellStyle name="SAPBEXHLevel1X 2 4 3 4" xfId="48021" xr:uid="{00000000-0005-0000-0000-000042BC0000}"/>
    <cellStyle name="SAPBEXHLevel1X 2 4 4" xfId="48022" xr:uid="{00000000-0005-0000-0000-000043BC0000}"/>
    <cellStyle name="SAPBEXHLevel1X 2 4 4 2" xfId="48023" xr:uid="{00000000-0005-0000-0000-000044BC0000}"/>
    <cellStyle name="SAPBEXHLevel1X 2 4 4 2 2" xfId="48024" xr:uid="{00000000-0005-0000-0000-000045BC0000}"/>
    <cellStyle name="SAPBEXHLevel1X 2 4 4 3" xfId="48025" xr:uid="{00000000-0005-0000-0000-000046BC0000}"/>
    <cellStyle name="SAPBEXHLevel1X 2 4 5" xfId="48026" xr:uid="{00000000-0005-0000-0000-000047BC0000}"/>
    <cellStyle name="SAPBEXHLevel1X 2 4 5 2" xfId="48027" xr:uid="{00000000-0005-0000-0000-000048BC0000}"/>
    <cellStyle name="SAPBEXHLevel1X 2 4 6" xfId="48028" xr:uid="{00000000-0005-0000-0000-000049BC0000}"/>
    <cellStyle name="SAPBEXHLevel1X 2 5" xfId="48029" xr:uid="{00000000-0005-0000-0000-00004ABC0000}"/>
    <cellStyle name="SAPBEXHLevel1X 2 5 2" xfId="48030" xr:uid="{00000000-0005-0000-0000-00004BBC0000}"/>
    <cellStyle name="SAPBEXHLevel1X 2 5 2 2" xfId="48031" xr:uid="{00000000-0005-0000-0000-00004CBC0000}"/>
    <cellStyle name="SAPBEXHLevel1X 2 5 2 2 2" xfId="48032" xr:uid="{00000000-0005-0000-0000-00004DBC0000}"/>
    <cellStyle name="SAPBEXHLevel1X 2 5 2 3" xfId="48033" xr:uid="{00000000-0005-0000-0000-00004EBC0000}"/>
    <cellStyle name="SAPBEXHLevel1X 2 5 3" xfId="48034" xr:uid="{00000000-0005-0000-0000-00004FBC0000}"/>
    <cellStyle name="SAPBEXHLevel1X 2 5 3 2" xfId="48035" xr:uid="{00000000-0005-0000-0000-000050BC0000}"/>
    <cellStyle name="SAPBEXHLevel1X 2 5 4" xfId="48036" xr:uid="{00000000-0005-0000-0000-000051BC0000}"/>
    <cellStyle name="SAPBEXHLevel1X 2 6" xfId="48037" xr:uid="{00000000-0005-0000-0000-000052BC0000}"/>
    <cellStyle name="SAPBEXHLevel1X 2 6 2" xfId="48038" xr:uid="{00000000-0005-0000-0000-000053BC0000}"/>
    <cellStyle name="SAPBEXHLevel1X 2 6 2 2" xfId="48039" xr:uid="{00000000-0005-0000-0000-000054BC0000}"/>
    <cellStyle name="SAPBEXHLevel1X 2 6 3" xfId="48040" xr:uid="{00000000-0005-0000-0000-000055BC0000}"/>
    <cellStyle name="SAPBEXHLevel1X 2 7" xfId="48041" xr:uid="{00000000-0005-0000-0000-000056BC0000}"/>
    <cellStyle name="SAPBEXHLevel1X 2 7 2" xfId="48042" xr:uid="{00000000-0005-0000-0000-000057BC0000}"/>
    <cellStyle name="SAPBEXHLevel1X 2 7 2 2" xfId="48043" xr:uid="{00000000-0005-0000-0000-000058BC0000}"/>
    <cellStyle name="SAPBEXHLevel1X 2 7 3" xfId="48044" xr:uid="{00000000-0005-0000-0000-000059BC0000}"/>
    <cellStyle name="SAPBEXHLevel1X 2 8" xfId="48045" xr:uid="{00000000-0005-0000-0000-00005ABC0000}"/>
    <cellStyle name="SAPBEXHLevel1X 2 8 2" xfId="48046" xr:uid="{00000000-0005-0000-0000-00005BBC0000}"/>
    <cellStyle name="SAPBEXHLevel1X 2 9" xfId="48047" xr:uid="{00000000-0005-0000-0000-00005CBC0000}"/>
    <cellStyle name="SAPBEXHLevel1X 20" xfId="48048" xr:uid="{00000000-0005-0000-0000-00005DBC0000}"/>
    <cellStyle name="SAPBEXHLevel1X 21" xfId="48049" xr:uid="{00000000-0005-0000-0000-00005EBC0000}"/>
    <cellStyle name="SAPBEXHLevel1X 22" xfId="48050" xr:uid="{00000000-0005-0000-0000-00005FBC0000}"/>
    <cellStyle name="SAPBEXHLevel1X 23" xfId="48051" xr:uid="{00000000-0005-0000-0000-000060BC0000}"/>
    <cellStyle name="SAPBEXHLevel1X 3" xfId="48052" xr:uid="{00000000-0005-0000-0000-000061BC0000}"/>
    <cellStyle name="SAPBEXHLevel1X 3 2" xfId="48053" xr:uid="{00000000-0005-0000-0000-000062BC0000}"/>
    <cellStyle name="SAPBEXHLevel1X 3 2 2" xfId="48054" xr:uid="{00000000-0005-0000-0000-000063BC0000}"/>
    <cellStyle name="SAPBEXHLevel1X 3 2 2 2" xfId="48055" xr:uid="{00000000-0005-0000-0000-000064BC0000}"/>
    <cellStyle name="SAPBEXHLevel1X 3 2 2 2 2" xfId="48056" xr:uid="{00000000-0005-0000-0000-000065BC0000}"/>
    <cellStyle name="SAPBEXHLevel1X 3 2 2 3" xfId="48057" xr:uid="{00000000-0005-0000-0000-000066BC0000}"/>
    <cellStyle name="SAPBEXHLevel1X 3 2 3" xfId="48058" xr:uid="{00000000-0005-0000-0000-000067BC0000}"/>
    <cellStyle name="SAPBEXHLevel1X 3 2 3 2" xfId="48059" xr:uid="{00000000-0005-0000-0000-000068BC0000}"/>
    <cellStyle name="SAPBEXHLevel1X 3 2 3 2 2" xfId="48060" xr:uid="{00000000-0005-0000-0000-000069BC0000}"/>
    <cellStyle name="SAPBEXHLevel1X 3 2 3 3" xfId="48061" xr:uid="{00000000-0005-0000-0000-00006ABC0000}"/>
    <cellStyle name="SAPBEXHLevel1X 3 2 4" xfId="48062" xr:uid="{00000000-0005-0000-0000-00006BBC0000}"/>
    <cellStyle name="SAPBEXHLevel1X 3 2 4 2" xfId="48063" xr:uid="{00000000-0005-0000-0000-00006CBC0000}"/>
    <cellStyle name="SAPBEXHLevel1X 3 2 4 2 2" xfId="48064" xr:uid="{00000000-0005-0000-0000-00006DBC0000}"/>
    <cellStyle name="SAPBEXHLevel1X 3 2 4 3" xfId="48065" xr:uid="{00000000-0005-0000-0000-00006EBC0000}"/>
    <cellStyle name="SAPBEXHLevel1X 3 2 5" xfId="48066" xr:uid="{00000000-0005-0000-0000-00006FBC0000}"/>
    <cellStyle name="SAPBEXHLevel1X 3 2 5 2" xfId="48067" xr:uid="{00000000-0005-0000-0000-000070BC0000}"/>
    <cellStyle name="SAPBEXHLevel1X 3 2 6" xfId="48068" xr:uid="{00000000-0005-0000-0000-000071BC0000}"/>
    <cellStyle name="SAPBEXHLevel1X 3 3" xfId="48069" xr:uid="{00000000-0005-0000-0000-000072BC0000}"/>
    <cellStyle name="SAPBEXHLevel1X 3 3 2" xfId="48070" xr:uid="{00000000-0005-0000-0000-000073BC0000}"/>
    <cellStyle name="SAPBEXHLevel1X 3 3 2 2" xfId="48071" xr:uid="{00000000-0005-0000-0000-000074BC0000}"/>
    <cellStyle name="SAPBEXHLevel1X 3 3 2 2 2" xfId="48072" xr:uid="{00000000-0005-0000-0000-000075BC0000}"/>
    <cellStyle name="SAPBEXHLevel1X 3 3 2 3" xfId="48073" xr:uid="{00000000-0005-0000-0000-000076BC0000}"/>
    <cellStyle name="SAPBEXHLevel1X 3 3 3" xfId="48074" xr:uid="{00000000-0005-0000-0000-000077BC0000}"/>
    <cellStyle name="SAPBEXHLevel1X 3 3 3 2" xfId="48075" xr:uid="{00000000-0005-0000-0000-000078BC0000}"/>
    <cellStyle name="SAPBEXHLevel1X 3 3 4" xfId="48076" xr:uid="{00000000-0005-0000-0000-000079BC0000}"/>
    <cellStyle name="SAPBEXHLevel1X 3 4" xfId="48077" xr:uid="{00000000-0005-0000-0000-00007ABC0000}"/>
    <cellStyle name="SAPBEXHLevel1X 3 4 2" xfId="48078" xr:uid="{00000000-0005-0000-0000-00007BBC0000}"/>
    <cellStyle name="SAPBEXHLevel1X 3 4 2 2" xfId="48079" xr:uid="{00000000-0005-0000-0000-00007CBC0000}"/>
    <cellStyle name="SAPBEXHLevel1X 3 4 3" xfId="48080" xr:uid="{00000000-0005-0000-0000-00007DBC0000}"/>
    <cellStyle name="SAPBEXHLevel1X 3 5" xfId="48081" xr:uid="{00000000-0005-0000-0000-00007EBC0000}"/>
    <cellStyle name="SAPBEXHLevel1X 3 5 2" xfId="48082" xr:uid="{00000000-0005-0000-0000-00007FBC0000}"/>
    <cellStyle name="SAPBEXHLevel1X 3 5 2 2" xfId="48083" xr:uid="{00000000-0005-0000-0000-000080BC0000}"/>
    <cellStyle name="SAPBEXHLevel1X 3 5 3" xfId="48084" xr:uid="{00000000-0005-0000-0000-000081BC0000}"/>
    <cellStyle name="SAPBEXHLevel1X 3 6" xfId="48085" xr:uid="{00000000-0005-0000-0000-000082BC0000}"/>
    <cellStyle name="SAPBEXHLevel1X 3 6 2" xfId="48086" xr:uid="{00000000-0005-0000-0000-000083BC0000}"/>
    <cellStyle name="SAPBEXHLevel1X 3 7" xfId="48087" xr:uid="{00000000-0005-0000-0000-000084BC0000}"/>
    <cellStyle name="SAPBEXHLevel1X 4" xfId="48088" xr:uid="{00000000-0005-0000-0000-000085BC0000}"/>
    <cellStyle name="SAPBEXHLevel1X 4 2" xfId="48089" xr:uid="{00000000-0005-0000-0000-000086BC0000}"/>
    <cellStyle name="SAPBEXHLevel1X 4 2 2" xfId="48090" xr:uid="{00000000-0005-0000-0000-000087BC0000}"/>
    <cellStyle name="SAPBEXHLevel1X 4 2 2 2" xfId="48091" xr:uid="{00000000-0005-0000-0000-000088BC0000}"/>
    <cellStyle name="SAPBEXHLevel1X 4 2 2 2 2" xfId="48092" xr:uid="{00000000-0005-0000-0000-000089BC0000}"/>
    <cellStyle name="SAPBEXHLevel1X 4 2 2 3" xfId="48093" xr:uid="{00000000-0005-0000-0000-00008ABC0000}"/>
    <cellStyle name="SAPBEXHLevel1X 4 2 3" xfId="48094" xr:uid="{00000000-0005-0000-0000-00008BBC0000}"/>
    <cellStyle name="SAPBEXHLevel1X 4 2 3 2" xfId="48095" xr:uid="{00000000-0005-0000-0000-00008CBC0000}"/>
    <cellStyle name="SAPBEXHLevel1X 4 2 3 2 2" xfId="48096" xr:uid="{00000000-0005-0000-0000-00008DBC0000}"/>
    <cellStyle name="SAPBEXHLevel1X 4 2 3 3" xfId="48097" xr:uid="{00000000-0005-0000-0000-00008EBC0000}"/>
    <cellStyle name="SAPBEXHLevel1X 4 2 4" xfId="48098" xr:uid="{00000000-0005-0000-0000-00008FBC0000}"/>
    <cellStyle name="SAPBEXHLevel1X 4 2 4 2" xfId="48099" xr:uid="{00000000-0005-0000-0000-000090BC0000}"/>
    <cellStyle name="SAPBEXHLevel1X 4 2 4 2 2" xfId="48100" xr:uid="{00000000-0005-0000-0000-000091BC0000}"/>
    <cellStyle name="SAPBEXHLevel1X 4 2 4 3" xfId="48101" xr:uid="{00000000-0005-0000-0000-000092BC0000}"/>
    <cellStyle name="SAPBEXHLevel1X 4 2 5" xfId="48102" xr:uid="{00000000-0005-0000-0000-000093BC0000}"/>
    <cellStyle name="SAPBEXHLevel1X 4 2 5 2" xfId="48103" xr:uid="{00000000-0005-0000-0000-000094BC0000}"/>
    <cellStyle name="SAPBEXHLevel1X 4 2 6" xfId="48104" xr:uid="{00000000-0005-0000-0000-000095BC0000}"/>
    <cellStyle name="SAPBEXHLevel1X 4 3" xfId="48105" xr:uid="{00000000-0005-0000-0000-000096BC0000}"/>
    <cellStyle name="SAPBEXHLevel1X 4 3 2" xfId="48106" xr:uid="{00000000-0005-0000-0000-000097BC0000}"/>
    <cellStyle name="SAPBEXHLevel1X 4 3 2 2" xfId="48107" xr:uid="{00000000-0005-0000-0000-000098BC0000}"/>
    <cellStyle name="SAPBEXHLevel1X 4 3 2 2 2" xfId="48108" xr:uid="{00000000-0005-0000-0000-000099BC0000}"/>
    <cellStyle name="SAPBEXHLevel1X 4 3 2 2 2 2" xfId="48109" xr:uid="{00000000-0005-0000-0000-00009ABC0000}"/>
    <cellStyle name="SAPBEXHLevel1X 4 3 2 2 3" xfId="48110" xr:uid="{00000000-0005-0000-0000-00009BBC0000}"/>
    <cellStyle name="SAPBEXHLevel1X 4 3 2 3" xfId="48111" xr:uid="{00000000-0005-0000-0000-00009CBC0000}"/>
    <cellStyle name="SAPBEXHLevel1X 4 3 2 3 2" xfId="48112" xr:uid="{00000000-0005-0000-0000-00009DBC0000}"/>
    <cellStyle name="SAPBEXHLevel1X 4 3 2 3 2 2" xfId="48113" xr:uid="{00000000-0005-0000-0000-00009EBC0000}"/>
    <cellStyle name="SAPBEXHLevel1X 4 3 2 3 3" xfId="48114" xr:uid="{00000000-0005-0000-0000-00009FBC0000}"/>
    <cellStyle name="SAPBEXHLevel1X 4 3 2 4" xfId="48115" xr:uid="{00000000-0005-0000-0000-0000A0BC0000}"/>
    <cellStyle name="SAPBEXHLevel1X 4 3 2 4 2" xfId="48116" xr:uid="{00000000-0005-0000-0000-0000A1BC0000}"/>
    <cellStyle name="SAPBEXHLevel1X 4 3 2 5" xfId="48117" xr:uid="{00000000-0005-0000-0000-0000A2BC0000}"/>
    <cellStyle name="SAPBEXHLevel1X 4 3 3" xfId="48118" xr:uid="{00000000-0005-0000-0000-0000A3BC0000}"/>
    <cellStyle name="SAPBEXHLevel1X 4 3 3 2" xfId="48119" xr:uid="{00000000-0005-0000-0000-0000A4BC0000}"/>
    <cellStyle name="SAPBEXHLevel1X 4 3 3 2 2" xfId="48120" xr:uid="{00000000-0005-0000-0000-0000A5BC0000}"/>
    <cellStyle name="SAPBEXHLevel1X 4 3 3 2 2 2" xfId="48121" xr:uid="{00000000-0005-0000-0000-0000A6BC0000}"/>
    <cellStyle name="SAPBEXHLevel1X 4 3 3 2 3" xfId="48122" xr:uid="{00000000-0005-0000-0000-0000A7BC0000}"/>
    <cellStyle name="SAPBEXHLevel1X 4 3 3 3" xfId="48123" xr:uid="{00000000-0005-0000-0000-0000A8BC0000}"/>
    <cellStyle name="SAPBEXHLevel1X 4 3 3 3 2" xfId="48124" xr:uid="{00000000-0005-0000-0000-0000A9BC0000}"/>
    <cellStyle name="SAPBEXHLevel1X 4 3 3 4" xfId="48125" xr:uid="{00000000-0005-0000-0000-0000AABC0000}"/>
    <cellStyle name="SAPBEXHLevel1X 4 3 4" xfId="48126" xr:uid="{00000000-0005-0000-0000-0000ABBC0000}"/>
    <cellStyle name="SAPBEXHLevel1X 4 3 4 2" xfId="48127" xr:uid="{00000000-0005-0000-0000-0000ACBC0000}"/>
    <cellStyle name="SAPBEXHLevel1X 4 3 4 2 2" xfId="48128" xr:uid="{00000000-0005-0000-0000-0000ADBC0000}"/>
    <cellStyle name="SAPBEXHLevel1X 4 3 4 3" xfId="48129" xr:uid="{00000000-0005-0000-0000-0000AEBC0000}"/>
    <cellStyle name="SAPBEXHLevel1X 4 3 5" xfId="48130" xr:uid="{00000000-0005-0000-0000-0000AFBC0000}"/>
    <cellStyle name="SAPBEXHLevel1X 4 3 5 2" xfId="48131" xr:uid="{00000000-0005-0000-0000-0000B0BC0000}"/>
    <cellStyle name="SAPBEXHLevel1X 4 3 5 2 2" xfId="48132" xr:uid="{00000000-0005-0000-0000-0000B1BC0000}"/>
    <cellStyle name="SAPBEXHLevel1X 4 3 5 3" xfId="48133" xr:uid="{00000000-0005-0000-0000-0000B2BC0000}"/>
    <cellStyle name="SAPBEXHLevel1X 4 3 6" xfId="48134" xr:uid="{00000000-0005-0000-0000-0000B3BC0000}"/>
    <cellStyle name="SAPBEXHLevel1X 4 3 6 2" xfId="48135" xr:uid="{00000000-0005-0000-0000-0000B4BC0000}"/>
    <cellStyle name="SAPBEXHLevel1X 4 3 7" xfId="48136" xr:uid="{00000000-0005-0000-0000-0000B5BC0000}"/>
    <cellStyle name="SAPBEXHLevel1X 4 4" xfId="48137" xr:uid="{00000000-0005-0000-0000-0000B6BC0000}"/>
    <cellStyle name="SAPBEXHLevel1X 4 4 2" xfId="48138" xr:uid="{00000000-0005-0000-0000-0000B7BC0000}"/>
    <cellStyle name="SAPBEXHLevel1X 4 4 2 2" xfId="48139" xr:uid="{00000000-0005-0000-0000-0000B8BC0000}"/>
    <cellStyle name="SAPBEXHLevel1X 4 4 2 2 2" xfId="48140" xr:uid="{00000000-0005-0000-0000-0000B9BC0000}"/>
    <cellStyle name="SAPBEXHLevel1X 4 4 2 3" xfId="48141" xr:uid="{00000000-0005-0000-0000-0000BABC0000}"/>
    <cellStyle name="SAPBEXHLevel1X 4 4 3" xfId="48142" xr:uid="{00000000-0005-0000-0000-0000BBBC0000}"/>
    <cellStyle name="SAPBEXHLevel1X 4 4 3 2" xfId="48143" xr:uid="{00000000-0005-0000-0000-0000BCBC0000}"/>
    <cellStyle name="SAPBEXHLevel1X 4 4 4" xfId="48144" xr:uid="{00000000-0005-0000-0000-0000BDBC0000}"/>
    <cellStyle name="SAPBEXHLevel1X 4 5" xfId="48145" xr:uid="{00000000-0005-0000-0000-0000BEBC0000}"/>
    <cellStyle name="SAPBEXHLevel1X 4 5 2" xfId="48146" xr:uid="{00000000-0005-0000-0000-0000BFBC0000}"/>
    <cellStyle name="SAPBEXHLevel1X 4 5 2 2" xfId="48147" xr:uid="{00000000-0005-0000-0000-0000C0BC0000}"/>
    <cellStyle name="SAPBEXHLevel1X 4 5 3" xfId="48148" xr:uid="{00000000-0005-0000-0000-0000C1BC0000}"/>
    <cellStyle name="SAPBEXHLevel1X 4 6" xfId="48149" xr:uid="{00000000-0005-0000-0000-0000C2BC0000}"/>
    <cellStyle name="SAPBEXHLevel1X 4 6 2" xfId="48150" xr:uid="{00000000-0005-0000-0000-0000C3BC0000}"/>
    <cellStyle name="SAPBEXHLevel1X 4 6 2 2" xfId="48151" xr:uid="{00000000-0005-0000-0000-0000C4BC0000}"/>
    <cellStyle name="SAPBEXHLevel1X 4 6 3" xfId="48152" xr:uid="{00000000-0005-0000-0000-0000C5BC0000}"/>
    <cellStyle name="SAPBEXHLevel1X 4 7" xfId="48153" xr:uid="{00000000-0005-0000-0000-0000C6BC0000}"/>
    <cellStyle name="SAPBEXHLevel1X 4 7 2" xfId="48154" xr:uid="{00000000-0005-0000-0000-0000C7BC0000}"/>
    <cellStyle name="SAPBEXHLevel1X 4 8" xfId="48155" xr:uid="{00000000-0005-0000-0000-0000C8BC0000}"/>
    <cellStyle name="SAPBEXHLevel1X 5" xfId="48156" xr:uid="{00000000-0005-0000-0000-0000C9BC0000}"/>
    <cellStyle name="SAPBEXHLevel1X 5 2" xfId="48157" xr:uid="{00000000-0005-0000-0000-0000CABC0000}"/>
    <cellStyle name="SAPBEXHLevel1X 5 2 2" xfId="48158" xr:uid="{00000000-0005-0000-0000-0000CBBC0000}"/>
    <cellStyle name="SAPBEXHLevel1X 5 2 2 2" xfId="48159" xr:uid="{00000000-0005-0000-0000-0000CCBC0000}"/>
    <cellStyle name="SAPBEXHLevel1X 5 2 3" xfId="48160" xr:uid="{00000000-0005-0000-0000-0000CDBC0000}"/>
    <cellStyle name="SAPBEXHLevel1X 5 3" xfId="48161" xr:uid="{00000000-0005-0000-0000-0000CEBC0000}"/>
    <cellStyle name="SAPBEXHLevel1X 5 3 2" xfId="48162" xr:uid="{00000000-0005-0000-0000-0000CFBC0000}"/>
    <cellStyle name="SAPBEXHLevel1X 5 3 2 2" xfId="48163" xr:uid="{00000000-0005-0000-0000-0000D0BC0000}"/>
    <cellStyle name="SAPBEXHLevel1X 5 3 3" xfId="48164" xr:uid="{00000000-0005-0000-0000-0000D1BC0000}"/>
    <cellStyle name="SAPBEXHLevel1X 5 4" xfId="48165" xr:uid="{00000000-0005-0000-0000-0000D2BC0000}"/>
    <cellStyle name="SAPBEXHLevel1X 5 4 2" xfId="48166" xr:uid="{00000000-0005-0000-0000-0000D3BC0000}"/>
    <cellStyle name="SAPBEXHLevel1X 5 4 2 2" xfId="48167" xr:uid="{00000000-0005-0000-0000-0000D4BC0000}"/>
    <cellStyle name="SAPBEXHLevel1X 5 4 3" xfId="48168" xr:uid="{00000000-0005-0000-0000-0000D5BC0000}"/>
    <cellStyle name="SAPBEXHLevel1X 5 5" xfId="48169" xr:uid="{00000000-0005-0000-0000-0000D6BC0000}"/>
    <cellStyle name="SAPBEXHLevel1X 5 5 2" xfId="48170" xr:uid="{00000000-0005-0000-0000-0000D7BC0000}"/>
    <cellStyle name="SAPBEXHLevel1X 5 6" xfId="48171" xr:uid="{00000000-0005-0000-0000-0000D8BC0000}"/>
    <cellStyle name="SAPBEXHLevel1X 6" xfId="48172" xr:uid="{00000000-0005-0000-0000-0000D9BC0000}"/>
    <cellStyle name="SAPBEXHLevel1X 6 2" xfId="48173" xr:uid="{00000000-0005-0000-0000-0000DABC0000}"/>
    <cellStyle name="SAPBEXHLevel1X 6 2 2" xfId="48174" xr:uid="{00000000-0005-0000-0000-0000DBBC0000}"/>
    <cellStyle name="SAPBEXHLevel1X 6 3" xfId="48175" xr:uid="{00000000-0005-0000-0000-0000DCBC0000}"/>
    <cellStyle name="SAPBEXHLevel1X 6 3 2" xfId="48176" xr:uid="{00000000-0005-0000-0000-0000DDBC0000}"/>
    <cellStyle name="SAPBEXHLevel1X 6 3 2 2" xfId="48177" xr:uid="{00000000-0005-0000-0000-0000DEBC0000}"/>
    <cellStyle name="SAPBEXHLevel1X 6 3 3" xfId="48178" xr:uid="{00000000-0005-0000-0000-0000DFBC0000}"/>
    <cellStyle name="SAPBEXHLevel1X 6 4" xfId="48179" xr:uid="{00000000-0005-0000-0000-0000E0BC0000}"/>
    <cellStyle name="SAPBEXHLevel1X 6 4 2" xfId="48180" xr:uid="{00000000-0005-0000-0000-0000E1BC0000}"/>
    <cellStyle name="SAPBEXHLevel1X 6 4 2 2" xfId="48181" xr:uid="{00000000-0005-0000-0000-0000E2BC0000}"/>
    <cellStyle name="SAPBEXHLevel1X 6 4 3" xfId="48182" xr:uid="{00000000-0005-0000-0000-0000E3BC0000}"/>
    <cellStyle name="SAPBEXHLevel1X 6 5" xfId="48183" xr:uid="{00000000-0005-0000-0000-0000E4BC0000}"/>
    <cellStyle name="SAPBEXHLevel1X 7" xfId="48184" xr:uid="{00000000-0005-0000-0000-0000E5BC0000}"/>
    <cellStyle name="SAPBEXHLevel1X 7 2" xfId="48185" xr:uid="{00000000-0005-0000-0000-0000E6BC0000}"/>
    <cellStyle name="SAPBEXHLevel1X 7 2 2" xfId="48186" xr:uid="{00000000-0005-0000-0000-0000E7BC0000}"/>
    <cellStyle name="SAPBEXHLevel1X 7 2 2 2" xfId="48187" xr:uid="{00000000-0005-0000-0000-0000E8BC0000}"/>
    <cellStyle name="SAPBEXHLevel1X 7 2 3" xfId="48188" xr:uid="{00000000-0005-0000-0000-0000E9BC0000}"/>
    <cellStyle name="SAPBEXHLevel1X 7 2 3 2" xfId="48189" xr:uid="{00000000-0005-0000-0000-0000EABC0000}"/>
    <cellStyle name="SAPBEXHLevel1X 7 2 3 2 2" xfId="48190" xr:uid="{00000000-0005-0000-0000-0000EBBC0000}"/>
    <cellStyle name="SAPBEXHLevel1X 7 2 3 3" xfId="48191" xr:uid="{00000000-0005-0000-0000-0000ECBC0000}"/>
    <cellStyle name="SAPBEXHLevel1X 7 2 4" xfId="48192" xr:uid="{00000000-0005-0000-0000-0000EDBC0000}"/>
    <cellStyle name="SAPBEXHLevel1X 7 3" xfId="48193" xr:uid="{00000000-0005-0000-0000-0000EEBC0000}"/>
    <cellStyle name="SAPBEXHLevel1X 7 3 2" xfId="48194" xr:uid="{00000000-0005-0000-0000-0000EFBC0000}"/>
    <cellStyle name="SAPBEXHLevel1X 7 3 2 2" xfId="48195" xr:uid="{00000000-0005-0000-0000-0000F0BC0000}"/>
    <cellStyle name="SAPBEXHLevel1X 7 3 3" xfId="48196" xr:uid="{00000000-0005-0000-0000-0000F1BC0000}"/>
    <cellStyle name="SAPBEXHLevel1X 7 4" xfId="48197" xr:uid="{00000000-0005-0000-0000-0000F2BC0000}"/>
    <cellStyle name="SAPBEXHLevel1X 7 4 2" xfId="48198" xr:uid="{00000000-0005-0000-0000-0000F3BC0000}"/>
    <cellStyle name="SAPBEXHLevel1X 7 4 2 2" xfId="48199" xr:uid="{00000000-0005-0000-0000-0000F4BC0000}"/>
    <cellStyle name="SAPBEXHLevel1X 7 4 3" xfId="48200" xr:uid="{00000000-0005-0000-0000-0000F5BC0000}"/>
    <cellStyle name="SAPBEXHLevel1X 7 5" xfId="48201" xr:uid="{00000000-0005-0000-0000-0000F6BC0000}"/>
    <cellStyle name="SAPBEXHLevel1X 7 5 2" xfId="48202" xr:uid="{00000000-0005-0000-0000-0000F7BC0000}"/>
    <cellStyle name="SAPBEXHLevel1X 7 5 2 2" xfId="48203" xr:uid="{00000000-0005-0000-0000-0000F8BC0000}"/>
    <cellStyle name="SAPBEXHLevel1X 7 5 3" xfId="48204" xr:uid="{00000000-0005-0000-0000-0000F9BC0000}"/>
    <cellStyle name="SAPBEXHLevel1X 7 6" xfId="48205" xr:uid="{00000000-0005-0000-0000-0000FABC0000}"/>
    <cellStyle name="SAPBEXHLevel1X 8" xfId="48206" xr:uid="{00000000-0005-0000-0000-0000FBBC0000}"/>
    <cellStyle name="SAPBEXHLevel1X 8 2" xfId="48207" xr:uid="{00000000-0005-0000-0000-0000FCBC0000}"/>
    <cellStyle name="SAPBEXHLevel1X 8 2 2" xfId="48208" xr:uid="{00000000-0005-0000-0000-0000FDBC0000}"/>
    <cellStyle name="SAPBEXHLevel1X 8 2 2 2" xfId="48209" xr:uid="{00000000-0005-0000-0000-0000FEBC0000}"/>
    <cellStyle name="SAPBEXHLevel1X 8 2 3" xfId="48210" xr:uid="{00000000-0005-0000-0000-0000FFBC0000}"/>
    <cellStyle name="SAPBEXHLevel1X 8 3" xfId="48211" xr:uid="{00000000-0005-0000-0000-000000BD0000}"/>
    <cellStyle name="SAPBEXHLevel1X 8 3 2" xfId="48212" xr:uid="{00000000-0005-0000-0000-000001BD0000}"/>
    <cellStyle name="SAPBEXHLevel1X 8 3 2 2" xfId="48213" xr:uid="{00000000-0005-0000-0000-000002BD0000}"/>
    <cellStyle name="SAPBEXHLevel1X 8 3 3" xfId="48214" xr:uid="{00000000-0005-0000-0000-000003BD0000}"/>
    <cellStyle name="SAPBEXHLevel1X 8 4" xfId="48215" xr:uid="{00000000-0005-0000-0000-000004BD0000}"/>
    <cellStyle name="SAPBEXHLevel1X 8 4 2" xfId="48216" xr:uid="{00000000-0005-0000-0000-000005BD0000}"/>
    <cellStyle name="SAPBEXHLevel1X 8 5" xfId="48217" xr:uid="{00000000-0005-0000-0000-000006BD0000}"/>
    <cellStyle name="SAPBEXHLevel1X 9" xfId="48218" xr:uid="{00000000-0005-0000-0000-000007BD0000}"/>
    <cellStyle name="SAPBEXHLevel1X 9 2" xfId="48219" xr:uid="{00000000-0005-0000-0000-000008BD0000}"/>
    <cellStyle name="SAPBEXHLevel1X 9 2 2" xfId="48220" xr:uid="{00000000-0005-0000-0000-000009BD0000}"/>
    <cellStyle name="SAPBEXHLevel1X 9 2 2 2" xfId="48221" xr:uid="{00000000-0005-0000-0000-00000ABD0000}"/>
    <cellStyle name="SAPBEXHLevel1X 9 2 2 2 2" xfId="48222" xr:uid="{00000000-0005-0000-0000-00000BBD0000}"/>
    <cellStyle name="SAPBEXHLevel1X 9 2 2 3" xfId="48223" xr:uid="{00000000-0005-0000-0000-00000CBD0000}"/>
    <cellStyle name="SAPBEXHLevel1X 9 2 3" xfId="48224" xr:uid="{00000000-0005-0000-0000-00000DBD0000}"/>
    <cellStyle name="SAPBEXHLevel1X 9 2 3 2" xfId="48225" xr:uid="{00000000-0005-0000-0000-00000EBD0000}"/>
    <cellStyle name="SAPBEXHLevel1X 9 2 4" xfId="48226" xr:uid="{00000000-0005-0000-0000-00000FBD0000}"/>
    <cellStyle name="SAPBEXHLevel1X 9 3" xfId="48227" xr:uid="{00000000-0005-0000-0000-000010BD0000}"/>
    <cellStyle name="SAPBEXHLevel1X 9 3 2" xfId="48228" xr:uid="{00000000-0005-0000-0000-000011BD0000}"/>
    <cellStyle name="SAPBEXHLevel1X 9 3 2 2" xfId="48229" xr:uid="{00000000-0005-0000-0000-000012BD0000}"/>
    <cellStyle name="SAPBEXHLevel1X 9 3 2 2 2" xfId="48230" xr:uid="{00000000-0005-0000-0000-000013BD0000}"/>
    <cellStyle name="SAPBEXHLevel1X 9 3 2 2 2 2" xfId="48231" xr:uid="{00000000-0005-0000-0000-000014BD0000}"/>
    <cellStyle name="SAPBEXHLevel1X 9 3 2 2 3" xfId="48232" xr:uid="{00000000-0005-0000-0000-000015BD0000}"/>
    <cellStyle name="SAPBEXHLevel1X 9 3 2 3" xfId="48233" xr:uid="{00000000-0005-0000-0000-000016BD0000}"/>
    <cellStyle name="SAPBEXHLevel1X 9 3 2 3 2" xfId="48234" xr:uid="{00000000-0005-0000-0000-000017BD0000}"/>
    <cellStyle name="SAPBEXHLevel1X 9 3 2 4" xfId="48235" xr:uid="{00000000-0005-0000-0000-000018BD0000}"/>
    <cellStyle name="SAPBEXHLevel1X 9 3 3" xfId="48236" xr:uid="{00000000-0005-0000-0000-000019BD0000}"/>
    <cellStyle name="SAPBEXHLevel1X 9 3 3 2" xfId="48237" xr:uid="{00000000-0005-0000-0000-00001ABD0000}"/>
    <cellStyle name="SAPBEXHLevel1X 9 3 3 2 2" xfId="48238" xr:uid="{00000000-0005-0000-0000-00001BBD0000}"/>
    <cellStyle name="SAPBEXHLevel1X 9 3 3 3" xfId="48239" xr:uid="{00000000-0005-0000-0000-00001CBD0000}"/>
    <cellStyle name="SAPBEXHLevel1X 9 3 4" xfId="48240" xr:uid="{00000000-0005-0000-0000-00001DBD0000}"/>
    <cellStyle name="SAPBEXHLevel1X 9 3 4 2" xfId="48241" xr:uid="{00000000-0005-0000-0000-00001EBD0000}"/>
    <cellStyle name="SAPBEXHLevel1X 9 3 5" xfId="48242" xr:uid="{00000000-0005-0000-0000-00001FBD0000}"/>
    <cellStyle name="SAPBEXHLevel1X 9 4" xfId="48243" xr:uid="{00000000-0005-0000-0000-000020BD0000}"/>
    <cellStyle name="SAPBEXHLevel1X 9 4 2" xfId="48244" xr:uid="{00000000-0005-0000-0000-000021BD0000}"/>
    <cellStyle name="SAPBEXHLevel1X 9 4 2 2" xfId="48245" xr:uid="{00000000-0005-0000-0000-000022BD0000}"/>
    <cellStyle name="SAPBEXHLevel1X 9 4 3" xfId="48246" xr:uid="{00000000-0005-0000-0000-000023BD0000}"/>
    <cellStyle name="SAPBEXHLevel1X 9 5" xfId="48247" xr:uid="{00000000-0005-0000-0000-000024BD0000}"/>
    <cellStyle name="SAPBEXHLevel1X 9 5 2" xfId="48248" xr:uid="{00000000-0005-0000-0000-000025BD0000}"/>
    <cellStyle name="SAPBEXHLevel1X 9 5 2 2" xfId="48249" xr:uid="{00000000-0005-0000-0000-000026BD0000}"/>
    <cellStyle name="SAPBEXHLevel1X 9 5 3" xfId="48250" xr:uid="{00000000-0005-0000-0000-000027BD0000}"/>
    <cellStyle name="SAPBEXHLevel1X 9 6" xfId="48251" xr:uid="{00000000-0005-0000-0000-000028BD0000}"/>
    <cellStyle name="SAPBEXHLevel1X 9 6 2" xfId="48252" xr:uid="{00000000-0005-0000-0000-000029BD0000}"/>
    <cellStyle name="SAPBEXHLevel1X 9 7" xfId="48253" xr:uid="{00000000-0005-0000-0000-00002ABD0000}"/>
    <cellStyle name="SAPBEXHLevel2" xfId="64" xr:uid="{00000000-0005-0000-0000-00002BBD0000}"/>
    <cellStyle name="SAPBEXHLevel2 10" xfId="48254" xr:uid="{00000000-0005-0000-0000-00002CBD0000}"/>
    <cellStyle name="SAPBEXHLevel2 10 2" xfId="48255" xr:uid="{00000000-0005-0000-0000-00002DBD0000}"/>
    <cellStyle name="SAPBEXHLevel2 10 2 2" xfId="48256" xr:uid="{00000000-0005-0000-0000-00002EBD0000}"/>
    <cellStyle name="SAPBEXHLevel2 10 3" xfId="48257" xr:uid="{00000000-0005-0000-0000-00002FBD0000}"/>
    <cellStyle name="SAPBEXHLevel2 11" xfId="48258" xr:uid="{00000000-0005-0000-0000-000030BD0000}"/>
    <cellStyle name="SAPBEXHLevel2 11 2" xfId="48259" xr:uid="{00000000-0005-0000-0000-000031BD0000}"/>
    <cellStyle name="SAPBEXHLevel2 12" xfId="48260" xr:uid="{00000000-0005-0000-0000-000032BD0000}"/>
    <cellStyle name="SAPBEXHLevel2 12 2" xfId="48261" xr:uid="{00000000-0005-0000-0000-000033BD0000}"/>
    <cellStyle name="SAPBEXHLevel2 12 2 2" xfId="48262" xr:uid="{00000000-0005-0000-0000-000034BD0000}"/>
    <cellStyle name="SAPBEXHLevel2 12 3" xfId="48263" xr:uid="{00000000-0005-0000-0000-000035BD0000}"/>
    <cellStyle name="SAPBEXHLevel2 12 3 2" xfId="48264" xr:uid="{00000000-0005-0000-0000-000036BD0000}"/>
    <cellStyle name="SAPBEXHLevel2 12 4" xfId="48265" xr:uid="{00000000-0005-0000-0000-000037BD0000}"/>
    <cellStyle name="SAPBEXHLevel2 13" xfId="48266" xr:uid="{00000000-0005-0000-0000-000038BD0000}"/>
    <cellStyle name="SAPBEXHLevel2 13 2" xfId="48267" xr:uid="{00000000-0005-0000-0000-000039BD0000}"/>
    <cellStyle name="SAPBEXHLevel2 14" xfId="48268" xr:uid="{00000000-0005-0000-0000-00003ABD0000}"/>
    <cellStyle name="SAPBEXHLevel2 14 2" xfId="48269" xr:uid="{00000000-0005-0000-0000-00003BBD0000}"/>
    <cellStyle name="SAPBEXHLevel2 14 3" xfId="48270" xr:uid="{00000000-0005-0000-0000-00003CBD0000}"/>
    <cellStyle name="SAPBEXHLevel2 15" xfId="48271" xr:uid="{00000000-0005-0000-0000-00003DBD0000}"/>
    <cellStyle name="SAPBEXHLevel2 15 2" xfId="48272" xr:uid="{00000000-0005-0000-0000-00003EBD0000}"/>
    <cellStyle name="SAPBEXHLevel2 16" xfId="48273" xr:uid="{00000000-0005-0000-0000-00003FBD0000}"/>
    <cellStyle name="SAPBEXHLevel2 16 2" xfId="48274" xr:uid="{00000000-0005-0000-0000-000040BD0000}"/>
    <cellStyle name="SAPBEXHLevel2 17" xfId="48275" xr:uid="{00000000-0005-0000-0000-000041BD0000}"/>
    <cellStyle name="SAPBEXHLevel2 18" xfId="48276" xr:uid="{00000000-0005-0000-0000-000042BD0000}"/>
    <cellStyle name="SAPBEXHLevel2 2" xfId="88" xr:uid="{00000000-0005-0000-0000-000043BD0000}"/>
    <cellStyle name="SAPBEXHLevel2 2 2" xfId="48277" xr:uid="{00000000-0005-0000-0000-000044BD0000}"/>
    <cellStyle name="SAPBEXHLevel2 2 2 2" xfId="48278" xr:uid="{00000000-0005-0000-0000-000045BD0000}"/>
    <cellStyle name="SAPBEXHLevel2 2 2 2 2" xfId="48279" xr:uid="{00000000-0005-0000-0000-000046BD0000}"/>
    <cellStyle name="SAPBEXHLevel2 2 2 2 2 2" xfId="48280" xr:uid="{00000000-0005-0000-0000-000047BD0000}"/>
    <cellStyle name="SAPBEXHLevel2 2 2 2 3" xfId="48281" xr:uid="{00000000-0005-0000-0000-000048BD0000}"/>
    <cellStyle name="SAPBEXHLevel2 2 2 3" xfId="48282" xr:uid="{00000000-0005-0000-0000-000049BD0000}"/>
    <cellStyle name="SAPBEXHLevel2 2 2 3 2" xfId="48283" xr:uid="{00000000-0005-0000-0000-00004ABD0000}"/>
    <cellStyle name="SAPBEXHLevel2 2 2 3 2 2" xfId="48284" xr:uid="{00000000-0005-0000-0000-00004BBD0000}"/>
    <cellStyle name="SAPBEXHLevel2 2 2 3 3" xfId="48285" xr:uid="{00000000-0005-0000-0000-00004CBD0000}"/>
    <cellStyle name="SAPBEXHLevel2 2 2 4" xfId="48286" xr:uid="{00000000-0005-0000-0000-00004DBD0000}"/>
    <cellStyle name="SAPBEXHLevel2 2 2 4 2" xfId="48287" xr:uid="{00000000-0005-0000-0000-00004EBD0000}"/>
    <cellStyle name="SAPBEXHLevel2 2 2 4 2 2" xfId="48288" xr:uid="{00000000-0005-0000-0000-00004FBD0000}"/>
    <cellStyle name="SAPBEXHLevel2 2 2 4 3" xfId="48289" xr:uid="{00000000-0005-0000-0000-000050BD0000}"/>
    <cellStyle name="SAPBEXHLevel2 2 2 5" xfId="48290" xr:uid="{00000000-0005-0000-0000-000051BD0000}"/>
    <cellStyle name="SAPBEXHLevel2 2 2 5 2" xfId="48291" xr:uid="{00000000-0005-0000-0000-000052BD0000}"/>
    <cellStyle name="SAPBEXHLevel2 2 2 6" xfId="48292" xr:uid="{00000000-0005-0000-0000-000053BD0000}"/>
    <cellStyle name="SAPBEXHLevel2 2 3" xfId="48293" xr:uid="{00000000-0005-0000-0000-000054BD0000}"/>
    <cellStyle name="SAPBEXHLevel2 2 3 2" xfId="48294" xr:uid="{00000000-0005-0000-0000-000055BD0000}"/>
    <cellStyle name="SAPBEXHLevel2 2 3 2 2" xfId="48295" xr:uid="{00000000-0005-0000-0000-000056BD0000}"/>
    <cellStyle name="SAPBEXHLevel2 2 3 2 2 2" xfId="48296" xr:uid="{00000000-0005-0000-0000-000057BD0000}"/>
    <cellStyle name="SAPBEXHLevel2 2 3 2 2 2 2" xfId="48297" xr:uid="{00000000-0005-0000-0000-000058BD0000}"/>
    <cellStyle name="SAPBEXHLevel2 2 3 2 2 3" xfId="48298" xr:uid="{00000000-0005-0000-0000-000059BD0000}"/>
    <cellStyle name="SAPBEXHLevel2 2 3 2 3" xfId="48299" xr:uid="{00000000-0005-0000-0000-00005ABD0000}"/>
    <cellStyle name="SAPBEXHLevel2 2 3 2 3 2" xfId="48300" xr:uid="{00000000-0005-0000-0000-00005BBD0000}"/>
    <cellStyle name="SAPBEXHLevel2 2 3 2 3 2 2" xfId="48301" xr:uid="{00000000-0005-0000-0000-00005CBD0000}"/>
    <cellStyle name="SAPBEXHLevel2 2 3 2 3 3" xfId="48302" xr:uid="{00000000-0005-0000-0000-00005DBD0000}"/>
    <cellStyle name="SAPBEXHLevel2 2 3 2 4" xfId="48303" xr:uid="{00000000-0005-0000-0000-00005EBD0000}"/>
    <cellStyle name="SAPBEXHLevel2 2 3 2 4 2" xfId="48304" xr:uid="{00000000-0005-0000-0000-00005FBD0000}"/>
    <cellStyle name="SAPBEXHLevel2 2 3 2 5" xfId="48305" xr:uid="{00000000-0005-0000-0000-000060BD0000}"/>
    <cellStyle name="SAPBEXHLevel2 2 3 3" xfId="48306" xr:uid="{00000000-0005-0000-0000-000061BD0000}"/>
    <cellStyle name="SAPBEXHLevel2 2 3 3 2" xfId="48307" xr:uid="{00000000-0005-0000-0000-000062BD0000}"/>
    <cellStyle name="SAPBEXHLevel2 2 3 3 2 2" xfId="48308" xr:uid="{00000000-0005-0000-0000-000063BD0000}"/>
    <cellStyle name="SAPBEXHLevel2 2 3 3 2 2 2" xfId="48309" xr:uid="{00000000-0005-0000-0000-000064BD0000}"/>
    <cellStyle name="SAPBEXHLevel2 2 3 3 2 3" xfId="48310" xr:uid="{00000000-0005-0000-0000-000065BD0000}"/>
    <cellStyle name="SAPBEXHLevel2 2 3 3 3" xfId="48311" xr:uid="{00000000-0005-0000-0000-000066BD0000}"/>
    <cellStyle name="SAPBEXHLevel2 2 3 3 3 2" xfId="48312" xr:uid="{00000000-0005-0000-0000-000067BD0000}"/>
    <cellStyle name="SAPBEXHLevel2 2 3 3 4" xfId="48313" xr:uid="{00000000-0005-0000-0000-000068BD0000}"/>
    <cellStyle name="SAPBEXHLevel2 2 3 4" xfId="48314" xr:uid="{00000000-0005-0000-0000-000069BD0000}"/>
    <cellStyle name="SAPBEXHLevel2 2 3 4 2" xfId="48315" xr:uid="{00000000-0005-0000-0000-00006ABD0000}"/>
    <cellStyle name="SAPBEXHLevel2 2 3 4 2 2" xfId="48316" xr:uid="{00000000-0005-0000-0000-00006BBD0000}"/>
    <cellStyle name="SAPBEXHLevel2 2 3 4 3" xfId="48317" xr:uid="{00000000-0005-0000-0000-00006CBD0000}"/>
    <cellStyle name="SAPBEXHLevel2 2 3 5" xfId="48318" xr:uid="{00000000-0005-0000-0000-00006DBD0000}"/>
    <cellStyle name="SAPBEXHLevel2 2 3 5 2" xfId="48319" xr:uid="{00000000-0005-0000-0000-00006EBD0000}"/>
    <cellStyle name="SAPBEXHLevel2 2 3 5 2 2" xfId="48320" xr:uid="{00000000-0005-0000-0000-00006FBD0000}"/>
    <cellStyle name="SAPBEXHLevel2 2 3 5 3" xfId="48321" xr:uid="{00000000-0005-0000-0000-000070BD0000}"/>
    <cellStyle name="SAPBEXHLevel2 2 3 6" xfId="48322" xr:uid="{00000000-0005-0000-0000-000071BD0000}"/>
    <cellStyle name="SAPBEXHLevel2 2 3 6 2" xfId="48323" xr:uid="{00000000-0005-0000-0000-000072BD0000}"/>
    <cellStyle name="SAPBEXHLevel2 2 3 7" xfId="48324" xr:uid="{00000000-0005-0000-0000-000073BD0000}"/>
    <cellStyle name="SAPBEXHLevel2 2 4" xfId="48325" xr:uid="{00000000-0005-0000-0000-000074BD0000}"/>
    <cellStyle name="SAPBEXHLevel2 2 4 2" xfId="48326" xr:uid="{00000000-0005-0000-0000-000075BD0000}"/>
    <cellStyle name="SAPBEXHLevel2 2 4 2 2" xfId="48327" xr:uid="{00000000-0005-0000-0000-000076BD0000}"/>
    <cellStyle name="SAPBEXHLevel2 2 4 2 2 2" xfId="48328" xr:uid="{00000000-0005-0000-0000-000077BD0000}"/>
    <cellStyle name="SAPBEXHLevel2 2 4 2 2 2 2" xfId="48329" xr:uid="{00000000-0005-0000-0000-000078BD0000}"/>
    <cellStyle name="SAPBEXHLevel2 2 4 2 2 2 2 2" xfId="48330" xr:uid="{00000000-0005-0000-0000-000079BD0000}"/>
    <cellStyle name="SAPBEXHLevel2 2 4 2 2 2 2 2 2" xfId="48331" xr:uid="{00000000-0005-0000-0000-00007ABD0000}"/>
    <cellStyle name="SAPBEXHLevel2 2 4 2 2 2 2 3" xfId="48332" xr:uid="{00000000-0005-0000-0000-00007BBD0000}"/>
    <cellStyle name="SAPBEXHLevel2 2 4 2 2 2 3" xfId="48333" xr:uid="{00000000-0005-0000-0000-00007CBD0000}"/>
    <cellStyle name="SAPBEXHLevel2 2 4 2 2 2 3 2" xfId="48334" xr:uid="{00000000-0005-0000-0000-00007DBD0000}"/>
    <cellStyle name="SAPBEXHLevel2 2 4 2 2 2 4" xfId="48335" xr:uid="{00000000-0005-0000-0000-00007EBD0000}"/>
    <cellStyle name="SAPBEXHLevel2 2 4 2 2 3" xfId="48336" xr:uid="{00000000-0005-0000-0000-00007FBD0000}"/>
    <cellStyle name="SAPBEXHLevel2 2 4 2 2 3 2" xfId="48337" xr:uid="{00000000-0005-0000-0000-000080BD0000}"/>
    <cellStyle name="SAPBEXHLevel2 2 4 2 2 3 2 2" xfId="48338" xr:uid="{00000000-0005-0000-0000-000081BD0000}"/>
    <cellStyle name="SAPBEXHLevel2 2 4 2 2 3 3" xfId="48339" xr:uid="{00000000-0005-0000-0000-000082BD0000}"/>
    <cellStyle name="SAPBEXHLevel2 2 4 2 2 4" xfId="48340" xr:uid="{00000000-0005-0000-0000-000083BD0000}"/>
    <cellStyle name="SAPBEXHLevel2 2 4 2 2 4 2" xfId="48341" xr:uid="{00000000-0005-0000-0000-000084BD0000}"/>
    <cellStyle name="SAPBEXHLevel2 2 4 2 2 5" xfId="48342" xr:uid="{00000000-0005-0000-0000-000085BD0000}"/>
    <cellStyle name="SAPBEXHLevel2 2 4 2 3" xfId="48343" xr:uid="{00000000-0005-0000-0000-000086BD0000}"/>
    <cellStyle name="SAPBEXHLevel2 2 4 2 3 2" xfId="48344" xr:uid="{00000000-0005-0000-0000-000087BD0000}"/>
    <cellStyle name="SAPBEXHLevel2 2 4 2 3 2 2" xfId="48345" xr:uid="{00000000-0005-0000-0000-000088BD0000}"/>
    <cellStyle name="SAPBEXHLevel2 2 4 2 3 3" xfId="48346" xr:uid="{00000000-0005-0000-0000-000089BD0000}"/>
    <cellStyle name="SAPBEXHLevel2 2 4 2 4" xfId="48347" xr:uid="{00000000-0005-0000-0000-00008ABD0000}"/>
    <cellStyle name="SAPBEXHLevel2 2 4 2 4 2" xfId="48348" xr:uid="{00000000-0005-0000-0000-00008BBD0000}"/>
    <cellStyle name="SAPBEXHLevel2 2 4 2 4 2 2" xfId="48349" xr:uid="{00000000-0005-0000-0000-00008CBD0000}"/>
    <cellStyle name="SAPBEXHLevel2 2 4 2 4 2 2 2" xfId="48350" xr:uid="{00000000-0005-0000-0000-00008DBD0000}"/>
    <cellStyle name="SAPBEXHLevel2 2 4 2 4 2 3" xfId="48351" xr:uid="{00000000-0005-0000-0000-00008EBD0000}"/>
    <cellStyle name="SAPBEXHLevel2 2 4 2 4 3" xfId="48352" xr:uid="{00000000-0005-0000-0000-00008FBD0000}"/>
    <cellStyle name="SAPBEXHLevel2 2 4 2 4 3 2" xfId="48353" xr:uid="{00000000-0005-0000-0000-000090BD0000}"/>
    <cellStyle name="SAPBEXHLevel2 2 4 2 4 4" xfId="48354" xr:uid="{00000000-0005-0000-0000-000091BD0000}"/>
    <cellStyle name="SAPBEXHLevel2 2 4 2 5" xfId="48355" xr:uid="{00000000-0005-0000-0000-000092BD0000}"/>
    <cellStyle name="SAPBEXHLevel2 2 4 2 5 2" xfId="48356" xr:uid="{00000000-0005-0000-0000-000093BD0000}"/>
    <cellStyle name="SAPBEXHLevel2 2 4 2 5 2 2" xfId="48357" xr:uid="{00000000-0005-0000-0000-000094BD0000}"/>
    <cellStyle name="SAPBEXHLevel2 2 4 2 5 3" xfId="48358" xr:uid="{00000000-0005-0000-0000-000095BD0000}"/>
    <cellStyle name="SAPBEXHLevel2 2 4 2 6" xfId="48359" xr:uid="{00000000-0005-0000-0000-000096BD0000}"/>
    <cellStyle name="SAPBEXHLevel2 2 4 2 6 2" xfId="48360" xr:uid="{00000000-0005-0000-0000-000097BD0000}"/>
    <cellStyle name="SAPBEXHLevel2 2 4 2 7" xfId="48361" xr:uid="{00000000-0005-0000-0000-000098BD0000}"/>
    <cellStyle name="SAPBEXHLevel2 2 4 3" xfId="48362" xr:uid="{00000000-0005-0000-0000-000099BD0000}"/>
    <cellStyle name="SAPBEXHLevel2 2 4 3 2" xfId="48363" xr:uid="{00000000-0005-0000-0000-00009ABD0000}"/>
    <cellStyle name="SAPBEXHLevel2 2 4 3 2 2" xfId="48364" xr:uid="{00000000-0005-0000-0000-00009BBD0000}"/>
    <cellStyle name="SAPBEXHLevel2 2 4 3 2 2 2" xfId="48365" xr:uid="{00000000-0005-0000-0000-00009CBD0000}"/>
    <cellStyle name="SAPBEXHLevel2 2 4 3 2 2 2 2" xfId="48366" xr:uid="{00000000-0005-0000-0000-00009DBD0000}"/>
    <cellStyle name="SAPBEXHLevel2 2 4 3 2 2 2 2 2" xfId="48367" xr:uid="{00000000-0005-0000-0000-00009EBD0000}"/>
    <cellStyle name="SAPBEXHLevel2 2 4 3 2 2 2 3" xfId="48368" xr:uid="{00000000-0005-0000-0000-00009FBD0000}"/>
    <cellStyle name="SAPBEXHLevel2 2 4 3 2 2 3" xfId="48369" xr:uid="{00000000-0005-0000-0000-0000A0BD0000}"/>
    <cellStyle name="SAPBEXHLevel2 2 4 3 2 2 3 2" xfId="48370" xr:uid="{00000000-0005-0000-0000-0000A1BD0000}"/>
    <cellStyle name="SAPBEXHLevel2 2 4 3 2 2 4" xfId="48371" xr:uid="{00000000-0005-0000-0000-0000A2BD0000}"/>
    <cellStyle name="SAPBEXHLevel2 2 4 3 2 3" xfId="48372" xr:uid="{00000000-0005-0000-0000-0000A3BD0000}"/>
    <cellStyle name="SAPBEXHLevel2 2 4 3 2 3 2" xfId="48373" xr:uid="{00000000-0005-0000-0000-0000A4BD0000}"/>
    <cellStyle name="SAPBEXHLevel2 2 4 3 2 3 2 2" xfId="48374" xr:uid="{00000000-0005-0000-0000-0000A5BD0000}"/>
    <cellStyle name="SAPBEXHLevel2 2 4 3 2 3 3" xfId="48375" xr:uid="{00000000-0005-0000-0000-0000A6BD0000}"/>
    <cellStyle name="SAPBEXHLevel2 2 4 3 2 4" xfId="48376" xr:uid="{00000000-0005-0000-0000-0000A7BD0000}"/>
    <cellStyle name="SAPBEXHLevel2 2 4 3 2 4 2" xfId="48377" xr:uid="{00000000-0005-0000-0000-0000A8BD0000}"/>
    <cellStyle name="SAPBEXHLevel2 2 4 3 2 5" xfId="48378" xr:uid="{00000000-0005-0000-0000-0000A9BD0000}"/>
    <cellStyle name="SAPBEXHLevel2 2 4 3 3" xfId="48379" xr:uid="{00000000-0005-0000-0000-0000AABD0000}"/>
    <cellStyle name="SAPBEXHLevel2 2 4 3 3 2" xfId="48380" xr:uid="{00000000-0005-0000-0000-0000ABBD0000}"/>
    <cellStyle name="SAPBEXHLevel2 2 4 3 3 2 2" xfId="48381" xr:uid="{00000000-0005-0000-0000-0000ACBD0000}"/>
    <cellStyle name="SAPBEXHLevel2 2 4 3 3 2 2 2" xfId="48382" xr:uid="{00000000-0005-0000-0000-0000ADBD0000}"/>
    <cellStyle name="SAPBEXHLevel2 2 4 3 3 2 3" xfId="48383" xr:uid="{00000000-0005-0000-0000-0000AEBD0000}"/>
    <cellStyle name="SAPBEXHLevel2 2 4 3 3 3" xfId="48384" xr:uid="{00000000-0005-0000-0000-0000AFBD0000}"/>
    <cellStyle name="SAPBEXHLevel2 2 4 3 3 3 2" xfId="48385" xr:uid="{00000000-0005-0000-0000-0000B0BD0000}"/>
    <cellStyle name="SAPBEXHLevel2 2 4 3 3 4" xfId="48386" xr:uid="{00000000-0005-0000-0000-0000B1BD0000}"/>
    <cellStyle name="SAPBEXHLevel2 2 4 3 4" xfId="48387" xr:uid="{00000000-0005-0000-0000-0000B2BD0000}"/>
    <cellStyle name="SAPBEXHLevel2 2 4 3 4 2" xfId="48388" xr:uid="{00000000-0005-0000-0000-0000B3BD0000}"/>
    <cellStyle name="SAPBEXHLevel2 2 4 3 4 2 2" xfId="48389" xr:uid="{00000000-0005-0000-0000-0000B4BD0000}"/>
    <cellStyle name="SAPBEXHLevel2 2 4 3 4 3" xfId="48390" xr:uid="{00000000-0005-0000-0000-0000B5BD0000}"/>
    <cellStyle name="SAPBEXHLevel2 2 4 3 5" xfId="48391" xr:uid="{00000000-0005-0000-0000-0000B6BD0000}"/>
    <cellStyle name="SAPBEXHLevel2 2 4 3 5 2" xfId="48392" xr:uid="{00000000-0005-0000-0000-0000B7BD0000}"/>
    <cellStyle name="SAPBEXHLevel2 2 4 3 6" xfId="48393" xr:uid="{00000000-0005-0000-0000-0000B8BD0000}"/>
    <cellStyle name="SAPBEXHLevel2 2 4 4" xfId="48394" xr:uid="{00000000-0005-0000-0000-0000B9BD0000}"/>
    <cellStyle name="SAPBEXHLevel2 2 4 4 2" xfId="48395" xr:uid="{00000000-0005-0000-0000-0000BABD0000}"/>
    <cellStyle name="SAPBEXHLevel2 2 4 4 2 2" xfId="48396" xr:uid="{00000000-0005-0000-0000-0000BBBD0000}"/>
    <cellStyle name="SAPBEXHLevel2 2 4 4 3" xfId="48397" xr:uid="{00000000-0005-0000-0000-0000BCBD0000}"/>
    <cellStyle name="SAPBEXHLevel2 2 4 5" xfId="48398" xr:uid="{00000000-0005-0000-0000-0000BDBD0000}"/>
    <cellStyle name="SAPBEXHLevel2 2 4 5 2" xfId="48399" xr:uid="{00000000-0005-0000-0000-0000BEBD0000}"/>
    <cellStyle name="SAPBEXHLevel2 2 4 5 2 2" xfId="48400" xr:uid="{00000000-0005-0000-0000-0000BFBD0000}"/>
    <cellStyle name="SAPBEXHLevel2 2 4 5 2 2 2" xfId="48401" xr:uid="{00000000-0005-0000-0000-0000C0BD0000}"/>
    <cellStyle name="SAPBEXHLevel2 2 4 5 2 3" xfId="48402" xr:uid="{00000000-0005-0000-0000-0000C1BD0000}"/>
    <cellStyle name="SAPBEXHLevel2 2 4 5 3" xfId="48403" xr:uid="{00000000-0005-0000-0000-0000C2BD0000}"/>
    <cellStyle name="SAPBEXHLevel2 2 4 5 3 2" xfId="48404" xr:uid="{00000000-0005-0000-0000-0000C3BD0000}"/>
    <cellStyle name="SAPBEXHLevel2 2 4 5 4" xfId="48405" xr:uid="{00000000-0005-0000-0000-0000C4BD0000}"/>
    <cellStyle name="SAPBEXHLevel2 2 4 6" xfId="48406" xr:uid="{00000000-0005-0000-0000-0000C5BD0000}"/>
    <cellStyle name="SAPBEXHLevel2 2 4 6 2" xfId="48407" xr:uid="{00000000-0005-0000-0000-0000C6BD0000}"/>
    <cellStyle name="SAPBEXHLevel2 2 4 6 2 2" xfId="48408" xr:uid="{00000000-0005-0000-0000-0000C7BD0000}"/>
    <cellStyle name="SAPBEXHLevel2 2 4 6 3" xfId="48409" xr:uid="{00000000-0005-0000-0000-0000C8BD0000}"/>
    <cellStyle name="SAPBEXHLevel2 2 4 7" xfId="48410" xr:uid="{00000000-0005-0000-0000-0000C9BD0000}"/>
    <cellStyle name="SAPBEXHLevel2 2 4 7 2" xfId="48411" xr:uid="{00000000-0005-0000-0000-0000CABD0000}"/>
    <cellStyle name="SAPBEXHLevel2 2 4 8" xfId="48412" xr:uid="{00000000-0005-0000-0000-0000CBBD0000}"/>
    <cellStyle name="SAPBEXHLevel2 2 5" xfId="48413" xr:uid="{00000000-0005-0000-0000-0000CCBD0000}"/>
    <cellStyle name="SAPBEXHLevel2 2 5 2" xfId="48414" xr:uid="{00000000-0005-0000-0000-0000CDBD0000}"/>
    <cellStyle name="SAPBEXHLevel2 2 5 2 2" xfId="48415" xr:uid="{00000000-0005-0000-0000-0000CEBD0000}"/>
    <cellStyle name="SAPBEXHLevel2 2 5 2 2 2" xfId="48416" xr:uid="{00000000-0005-0000-0000-0000CFBD0000}"/>
    <cellStyle name="SAPBEXHLevel2 2 5 2 3" xfId="48417" xr:uid="{00000000-0005-0000-0000-0000D0BD0000}"/>
    <cellStyle name="SAPBEXHLevel2 2 5 3" xfId="48418" xr:uid="{00000000-0005-0000-0000-0000D1BD0000}"/>
    <cellStyle name="SAPBEXHLevel2 2 5 3 2" xfId="48419" xr:uid="{00000000-0005-0000-0000-0000D2BD0000}"/>
    <cellStyle name="SAPBEXHLevel2 2 5 4" xfId="48420" xr:uid="{00000000-0005-0000-0000-0000D3BD0000}"/>
    <cellStyle name="SAPBEXHLevel2 2 6" xfId="48421" xr:uid="{00000000-0005-0000-0000-0000D4BD0000}"/>
    <cellStyle name="SAPBEXHLevel2 2 6 2" xfId="48422" xr:uid="{00000000-0005-0000-0000-0000D5BD0000}"/>
    <cellStyle name="SAPBEXHLevel2 2 6 2 2" xfId="48423" xr:uid="{00000000-0005-0000-0000-0000D6BD0000}"/>
    <cellStyle name="SAPBEXHLevel2 2 6 3" xfId="48424" xr:uid="{00000000-0005-0000-0000-0000D7BD0000}"/>
    <cellStyle name="SAPBEXHLevel2 2 7" xfId="48425" xr:uid="{00000000-0005-0000-0000-0000D8BD0000}"/>
    <cellStyle name="SAPBEXHLevel2 2 7 2" xfId="48426" xr:uid="{00000000-0005-0000-0000-0000D9BD0000}"/>
    <cellStyle name="SAPBEXHLevel2 2 7 2 2" xfId="48427" xr:uid="{00000000-0005-0000-0000-0000DABD0000}"/>
    <cellStyle name="SAPBEXHLevel2 2 7 3" xfId="48428" xr:uid="{00000000-0005-0000-0000-0000DBBD0000}"/>
    <cellStyle name="SAPBEXHLevel2 2 8" xfId="48429" xr:uid="{00000000-0005-0000-0000-0000DCBD0000}"/>
    <cellStyle name="SAPBEXHLevel2 2 8 2" xfId="48430" xr:uid="{00000000-0005-0000-0000-0000DDBD0000}"/>
    <cellStyle name="SAPBEXHLevel2 2 9" xfId="48431" xr:uid="{00000000-0005-0000-0000-0000DEBD0000}"/>
    <cellStyle name="SAPBEXHLevel2 3" xfId="48432" xr:uid="{00000000-0005-0000-0000-0000DFBD0000}"/>
    <cellStyle name="SAPBEXHLevel2 3 2" xfId="48433" xr:uid="{00000000-0005-0000-0000-0000E0BD0000}"/>
    <cellStyle name="SAPBEXHLevel2 3 2 2" xfId="48434" xr:uid="{00000000-0005-0000-0000-0000E1BD0000}"/>
    <cellStyle name="SAPBEXHLevel2 3 2 2 2" xfId="48435" xr:uid="{00000000-0005-0000-0000-0000E2BD0000}"/>
    <cellStyle name="SAPBEXHLevel2 3 2 2 2 2" xfId="48436" xr:uid="{00000000-0005-0000-0000-0000E3BD0000}"/>
    <cellStyle name="SAPBEXHLevel2 3 2 2 3" xfId="48437" xr:uid="{00000000-0005-0000-0000-0000E4BD0000}"/>
    <cellStyle name="SAPBEXHLevel2 3 2 3" xfId="48438" xr:uid="{00000000-0005-0000-0000-0000E5BD0000}"/>
    <cellStyle name="SAPBEXHLevel2 3 2 3 2" xfId="48439" xr:uid="{00000000-0005-0000-0000-0000E6BD0000}"/>
    <cellStyle name="SAPBEXHLevel2 3 2 3 2 2" xfId="48440" xr:uid="{00000000-0005-0000-0000-0000E7BD0000}"/>
    <cellStyle name="SAPBEXHLevel2 3 2 3 3" xfId="48441" xr:uid="{00000000-0005-0000-0000-0000E8BD0000}"/>
    <cellStyle name="SAPBEXHLevel2 3 2 4" xfId="48442" xr:uid="{00000000-0005-0000-0000-0000E9BD0000}"/>
    <cellStyle name="SAPBEXHLevel2 3 2 4 2" xfId="48443" xr:uid="{00000000-0005-0000-0000-0000EABD0000}"/>
    <cellStyle name="SAPBEXHLevel2 3 2 4 2 2" xfId="48444" xr:uid="{00000000-0005-0000-0000-0000EBBD0000}"/>
    <cellStyle name="SAPBEXHLevel2 3 2 4 3" xfId="48445" xr:uid="{00000000-0005-0000-0000-0000ECBD0000}"/>
    <cellStyle name="SAPBEXHLevel2 3 2 5" xfId="48446" xr:uid="{00000000-0005-0000-0000-0000EDBD0000}"/>
    <cellStyle name="SAPBEXHLevel2 3 2 5 2" xfId="48447" xr:uid="{00000000-0005-0000-0000-0000EEBD0000}"/>
    <cellStyle name="SAPBEXHLevel2 3 2 6" xfId="48448" xr:uid="{00000000-0005-0000-0000-0000EFBD0000}"/>
    <cellStyle name="SAPBEXHLevel2 3 3" xfId="48449" xr:uid="{00000000-0005-0000-0000-0000F0BD0000}"/>
    <cellStyle name="SAPBEXHLevel2 3 3 2" xfId="48450" xr:uid="{00000000-0005-0000-0000-0000F1BD0000}"/>
    <cellStyle name="SAPBEXHLevel2 3 3 2 2" xfId="48451" xr:uid="{00000000-0005-0000-0000-0000F2BD0000}"/>
    <cellStyle name="SAPBEXHLevel2 3 3 2 2 2" xfId="48452" xr:uid="{00000000-0005-0000-0000-0000F3BD0000}"/>
    <cellStyle name="SAPBEXHLevel2 3 3 2 3" xfId="48453" xr:uid="{00000000-0005-0000-0000-0000F4BD0000}"/>
    <cellStyle name="SAPBEXHLevel2 3 3 3" xfId="48454" xr:uid="{00000000-0005-0000-0000-0000F5BD0000}"/>
    <cellStyle name="SAPBEXHLevel2 3 3 3 2" xfId="48455" xr:uid="{00000000-0005-0000-0000-0000F6BD0000}"/>
    <cellStyle name="SAPBEXHLevel2 3 3 4" xfId="48456" xr:uid="{00000000-0005-0000-0000-0000F7BD0000}"/>
    <cellStyle name="SAPBEXHLevel2 3 4" xfId="48457" xr:uid="{00000000-0005-0000-0000-0000F8BD0000}"/>
    <cellStyle name="SAPBEXHLevel2 3 4 2" xfId="48458" xr:uid="{00000000-0005-0000-0000-0000F9BD0000}"/>
    <cellStyle name="SAPBEXHLevel2 3 4 2 2" xfId="48459" xr:uid="{00000000-0005-0000-0000-0000FABD0000}"/>
    <cellStyle name="SAPBEXHLevel2 3 4 3" xfId="48460" xr:uid="{00000000-0005-0000-0000-0000FBBD0000}"/>
    <cellStyle name="SAPBEXHLevel2 3 5" xfId="48461" xr:uid="{00000000-0005-0000-0000-0000FCBD0000}"/>
    <cellStyle name="SAPBEXHLevel2 3 5 2" xfId="48462" xr:uid="{00000000-0005-0000-0000-0000FDBD0000}"/>
    <cellStyle name="SAPBEXHLevel2 3 5 2 2" xfId="48463" xr:uid="{00000000-0005-0000-0000-0000FEBD0000}"/>
    <cellStyle name="SAPBEXHLevel2 3 5 3" xfId="48464" xr:uid="{00000000-0005-0000-0000-0000FFBD0000}"/>
    <cellStyle name="SAPBEXHLevel2 3 6" xfId="48465" xr:uid="{00000000-0005-0000-0000-000000BE0000}"/>
    <cellStyle name="SAPBEXHLevel2 3 6 2" xfId="48466" xr:uid="{00000000-0005-0000-0000-000001BE0000}"/>
    <cellStyle name="SAPBEXHLevel2 3 7" xfId="48467" xr:uid="{00000000-0005-0000-0000-000002BE0000}"/>
    <cellStyle name="SAPBEXHLevel2 4" xfId="48468" xr:uid="{00000000-0005-0000-0000-000003BE0000}"/>
    <cellStyle name="SAPBEXHLevel2 4 2" xfId="48469" xr:uid="{00000000-0005-0000-0000-000004BE0000}"/>
    <cellStyle name="SAPBEXHLevel2 4 2 2" xfId="48470" xr:uid="{00000000-0005-0000-0000-000005BE0000}"/>
    <cellStyle name="SAPBEXHLevel2 4 2 2 2" xfId="48471" xr:uid="{00000000-0005-0000-0000-000006BE0000}"/>
    <cellStyle name="SAPBEXHLevel2 4 2 2 2 2" xfId="48472" xr:uid="{00000000-0005-0000-0000-000007BE0000}"/>
    <cellStyle name="SAPBEXHLevel2 4 2 2 3" xfId="48473" xr:uid="{00000000-0005-0000-0000-000008BE0000}"/>
    <cellStyle name="SAPBEXHLevel2 4 2 3" xfId="48474" xr:uid="{00000000-0005-0000-0000-000009BE0000}"/>
    <cellStyle name="SAPBEXHLevel2 4 2 3 2" xfId="48475" xr:uid="{00000000-0005-0000-0000-00000ABE0000}"/>
    <cellStyle name="SAPBEXHLevel2 4 2 3 2 2" xfId="48476" xr:uid="{00000000-0005-0000-0000-00000BBE0000}"/>
    <cellStyle name="SAPBEXHLevel2 4 2 3 3" xfId="48477" xr:uid="{00000000-0005-0000-0000-00000CBE0000}"/>
    <cellStyle name="SAPBEXHLevel2 4 2 4" xfId="48478" xr:uid="{00000000-0005-0000-0000-00000DBE0000}"/>
    <cellStyle name="SAPBEXHLevel2 4 2 4 2" xfId="48479" xr:uid="{00000000-0005-0000-0000-00000EBE0000}"/>
    <cellStyle name="SAPBEXHLevel2 4 2 4 2 2" xfId="48480" xr:uid="{00000000-0005-0000-0000-00000FBE0000}"/>
    <cellStyle name="SAPBEXHLevel2 4 2 4 3" xfId="48481" xr:uid="{00000000-0005-0000-0000-000010BE0000}"/>
    <cellStyle name="SAPBEXHLevel2 4 2 5" xfId="48482" xr:uid="{00000000-0005-0000-0000-000011BE0000}"/>
    <cellStyle name="SAPBEXHLevel2 4 2 5 2" xfId="48483" xr:uid="{00000000-0005-0000-0000-000012BE0000}"/>
    <cellStyle name="SAPBEXHLevel2 4 2 6" xfId="48484" xr:uid="{00000000-0005-0000-0000-000013BE0000}"/>
    <cellStyle name="SAPBEXHLevel2 4 3" xfId="48485" xr:uid="{00000000-0005-0000-0000-000014BE0000}"/>
    <cellStyle name="SAPBEXHLevel2 4 3 2" xfId="48486" xr:uid="{00000000-0005-0000-0000-000015BE0000}"/>
    <cellStyle name="SAPBEXHLevel2 4 3 2 2" xfId="48487" xr:uid="{00000000-0005-0000-0000-000016BE0000}"/>
    <cellStyle name="SAPBEXHLevel2 4 3 2 2 2" xfId="48488" xr:uid="{00000000-0005-0000-0000-000017BE0000}"/>
    <cellStyle name="SAPBEXHLevel2 4 3 2 2 2 2" xfId="48489" xr:uid="{00000000-0005-0000-0000-000018BE0000}"/>
    <cellStyle name="SAPBEXHLevel2 4 3 2 2 3" xfId="48490" xr:uid="{00000000-0005-0000-0000-000019BE0000}"/>
    <cellStyle name="SAPBEXHLevel2 4 3 2 3" xfId="48491" xr:uid="{00000000-0005-0000-0000-00001ABE0000}"/>
    <cellStyle name="SAPBEXHLevel2 4 3 2 3 2" xfId="48492" xr:uid="{00000000-0005-0000-0000-00001BBE0000}"/>
    <cellStyle name="SAPBEXHLevel2 4 3 2 3 2 2" xfId="48493" xr:uid="{00000000-0005-0000-0000-00001CBE0000}"/>
    <cellStyle name="SAPBEXHLevel2 4 3 2 3 3" xfId="48494" xr:uid="{00000000-0005-0000-0000-00001DBE0000}"/>
    <cellStyle name="SAPBEXHLevel2 4 3 2 4" xfId="48495" xr:uid="{00000000-0005-0000-0000-00001EBE0000}"/>
    <cellStyle name="SAPBEXHLevel2 4 3 2 4 2" xfId="48496" xr:uid="{00000000-0005-0000-0000-00001FBE0000}"/>
    <cellStyle name="SAPBEXHLevel2 4 3 2 5" xfId="48497" xr:uid="{00000000-0005-0000-0000-000020BE0000}"/>
    <cellStyle name="SAPBEXHLevel2 4 3 3" xfId="48498" xr:uid="{00000000-0005-0000-0000-000021BE0000}"/>
    <cellStyle name="SAPBEXHLevel2 4 3 3 2" xfId="48499" xr:uid="{00000000-0005-0000-0000-000022BE0000}"/>
    <cellStyle name="SAPBEXHLevel2 4 3 3 2 2" xfId="48500" xr:uid="{00000000-0005-0000-0000-000023BE0000}"/>
    <cellStyle name="SAPBEXHLevel2 4 3 3 2 2 2" xfId="48501" xr:uid="{00000000-0005-0000-0000-000024BE0000}"/>
    <cellStyle name="SAPBEXHLevel2 4 3 3 2 3" xfId="48502" xr:uid="{00000000-0005-0000-0000-000025BE0000}"/>
    <cellStyle name="SAPBEXHLevel2 4 3 3 3" xfId="48503" xr:uid="{00000000-0005-0000-0000-000026BE0000}"/>
    <cellStyle name="SAPBEXHLevel2 4 3 3 3 2" xfId="48504" xr:uid="{00000000-0005-0000-0000-000027BE0000}"/>
    <cellStyle name="SAPBEXHLevel2 4 3 3 4" xfId="48505" xr:uid="{00000000-0005-0000-0000-000028BE0000}"/>
    <cellStyle name="SAPBEXHLevel2 4 3 4" xfId="48506" xr:uid="{00000000-0005-0000-0000-000029BE0000}"/>
    <cellStyle name="SAPBEXHLevel2 4 3 4 2" xfId="48507" xr:uid="{00000000-0005-0000-0000-00002ABE0000}"/>
    <cellStyle name="SAPBEXHLevel2 4 3 4 2 2" xfId="48508" xr:uid="{00000000-0005-0000-0000-00002BBE0000}"/>
    <cellStyle name="SAPBEXHLevel2 4 3 4 3" xfId="48509" xr:uid="{00000000-0005-0000-0000-00002CBE0000}"/>
    <cellStyle name="SAPBEXHLevel2 4 3 5" xfId="48510" xr:uid="{00000000-0005-0000-0000-00002DBE0000}"/>
    <cellStyle name="SAPBEXHLevel2 4 3 5 2" xfId="48511" xr:uid="{00000000-0005-0000-0000-00002EBE0000}"/>
    <cellStyle name="SAPBEXHLevel2 4 3 5 2 2" xfId="48512" xr:uid="{00000000-0005-0000-0000-00002FBE0000}"/>
    <cellStyle name="SAPBEXHLevel2 4 3 5 3" xfId="48513" xr:uid="{00000000-0005-0000-0000-000030BE0000}"/>
    <cellStyle name="SAPBEXHLevel2 4 3 6" xfId="48514" xr:uid="{00000000-0005-0000-0000-000031BE0000}"/>
    <cellStyle name="SAPBEXHLevel2 4 3 6 2" xfId="48515" xr:uid="{00000000-0005-0000-0000-000032BE0000}"/>
    <cellStyle name="SAPBEXHLevel2 4 3 7" xfId="48516" xr:uid="{00000000-0005-0000-0000-000033BE0000}"/>
    <cellStyle name="SAPBEXHLevel2 4 4" xfId="48517" xr:uid="{00000000-0005-0000-0000-000034BE0000}"/>
    <cellStyle name="SAPBEXHLevel2 4 4 2" xfId="48518" xr:uid="{00000000-0005-0000-0000-000035BE0000}"/>
    <cellStyle name="SAPBEXHLevel2 4 4 2 2" xfId="48519" xr:uid="{00000000-0005-0000-0000-000036BE0000}"/>
    <cellStyle name="SAPBEXHLevel2 4 4 2 2 2" xfId="48520" xr:uid="{00000000-0005-0000-0000-000037BE0000}"/>
    <cellStyle name="SAPBEXHLevel2 4 4 2 3" xfId="48521" xr:uid="{00000000-0005-0000-0000-000038BE0000}"/>
    <cellStyle name="SAPBEXHLevel2 4 4 3" xfId="48522" xr:uid="{00000000-0005-0000-0000-000039BE0000}"/>
    <cellStyle name="SAPBEXHLevel2 4 4 3 2" xfId="48523" xr:uid="{00000000-0005-0000-0000-00003ABE0000}"/>
    <cellStyle name="SAPBEXHLevel2 4 4 4" xfId="48524" xr:uid="{00000000-0005-0000-0000-00003BBE0000}"/>
    <cellStyle name="SAPBEXHLevel2 4 5" xfId="48525" xr:uid="{00000000-0005-0000-0000-00003CBE0000}"/>
    <cellStyle name="SAPBEXHLevel2 4 5 2" xfId="48526" xr:uid="{00000000-0005-0000-0000-00003DBE0000}"/>
    <cellStyle name="SAPBEXHLevel2 4 5 2 2" xfId="48527" xr:uid="{00000000-0005-0000-0000-00003EBE0000}"/>
    <cellStyle name="SAPBEXHLevel2 4 5 3" xfId="48528" xr:uid="{00000000-0005-0000-0000-00003FBE0000}"/>
    <cellStyle name="SAPBEXHLevel2 4 6" xfId="48529" xr:uid="{00000000-0005-0000-0000-000040BE0000}"/>
    <cellStyle name="SAPBEXHLevel2 4 6 2" xfId="48530" xr:uid="{00000000-0005-0000-0000-000041BE0000}"/>
    <cellStyle name="SAPBEXHLevel2 4 6 2 2" xfId="48531" xr:uid="{00000000-0005-0000-0000-000042BE0000}"/>
    <cellStyle name="SAPBEXHLevel2 4 6 3" xfId="48532" xr:uid="{00000000-0005-0000-0000-000043BE0000}"/>
    <cellStyle name="SAPBEXHLevel2 4 7" xfId="48533" xr:uid="{00000000-0005-0000-0000-000044BE0000}"/>
    <cellStyle name="SAPBEXHLevel2 4 7 2" xfId="48534" xr:uid="{00000000-0005-0000-0000-000045BE0000}"/>
    <cellStyle name="SAPBEXHLevel2 4 8" xfId="48535" xr:uid="{00000000-0005-0000-0000-000046BE0000}"/>
    <cellStyle name="SAPBEXHLevel2 5" xfId="48536" xr:uid="{00000000-0005-0000-0000-000047BE0000}"/>
    <cellStyle name="SAPBEXHLevel2 5 2" xfId="48537" xr:uid="{00000000-0005-0000-0000-000048BE0000}"/>
    <cellStyle name="SAPBEXHLevel2 5 2 2" xfId="48538" xr:uid="{00000000-0005-0000-0000-000049BE0000}"/>
    <cellStyle name="SAPBEXHLevel2 5 2 2 2" xfId="48539" xr:uid="{00000000-0005-0000-0000-00004ABE0000}"/>
    <cellStyle name="SAPBEXHLevel2 5 2 3" xfId="48540" xr:uid="{00000000-0005-0000-0000-00004BBE0000}"/>
    <cellStyle name="SAPBEXHLevel2 5 3" xfId="48541" xr:uid="{00000000-0005-0000-0000-00004CBE0000}"/>
    <cellStyle name="SAPBEXHLevel2 5 3 2" xfId="48542" xr:uid="{00000000-0005-0000-0000-00004DBE0000}"/>
    <cellStyle name="SAPBEXHLevel2 5 3 2 2" xfId="48543" xr:uid="{00000000-0005-0000-0000-00004EBE0000}"/>
    <cellStyle name="SAPBEXHLevel2 5 3 3" xfId="48544" xr:uid="{00000000-0005-0000-0000-00004FBE0000}"/>
    <cellStyle name="SAPBEXHLevel2 5 4" xfId="48545" xr:uid="{00000000-0005-0000-0000-000050BE0000}"/>
    <cellStyle name="SAPBEXHLevel2 5 4 2" xfId="48546" xr:uid="{00000000-0005-0000-0000-000051BE0000}"/>
    <cellStyle name="SAPBEXHLevel2 5 4 2 2" xfId="48547" xr:uid="{00000000-0005-0000-0000-000052BE0000}"/>
    <cellStyle name="SAPBEXHLevel2 5 4 3" xfId="48548" xr:uid="{00000000-0005-0000-0000-000053BE0000}"/>
    <cellStyle name="SAPBEXHLevel2 5 5" xfId="48549" xr:uid="{00000000-0005-0000-0000-000054BE0000}"/>
    <cellStyle name="SAPBEXHLevel2 5 5 2" xfId="48550" xr:uid="{00000000-0005-0000-0000-000055BE0000}"/>
    <cellStyle name="SAPBEXHLevel2 5 6" xfId="48551" xr:uid="{00000000-0005-0000-0000-000056BE0000}"/>
    <cellStyle name="SAPBEXHLevel2 6" xfId="48552" xr:uid="{00000000-0005-0000-0000-000057BE0000}"/>
    <cellStyle name="SAPBEXHLevel2 6 2" xfId="48553" xr:uid="{00000000-0005-0000-0000-000058BE0000}"/>
    <cellStyle name="SAPBEXHLevel2 6 2 2" xfId="48554" xr:uid="{00000000-0005-0000-0000-000059BE0000}"/>
    <cellStyle name="SAPBEXHLevel2 6 3" xfId="48555" xr:uid="{00000000-0005-0000-0000-00005ABE0000}"/>
    <cellStyle name="SAPBEXHLevel2 6 3 2" xfId="48556" xr:uid="{00000000-0005-0000-0000-00005BBE0000}"/>
    <cellStyle name="SAPBEXHLevel2 6 3 2 2" xfId="48557" xr:uid="{00000000-0005-0000-0000-00005CBE0000}"/>
    <cellStyle name="SAPBEXHLevel2 6 3 3" xfId="48558" xr:uid="{00000000-0005-0000-0000-00005DBE0000}"/>
    <cellStyle name="SAPBEXHLevel2 6 4" xfId="48559" xr:uid="{00000000-0005-0000-0000-00005EBE0000}"/>
    <cellStyle name="SAPBEXHLevel2 6 4 2" xfId="48560" xr:uid="{00000000-0005-0000-0000-00005FBE0000}"/>
    <cellStyle name="SAPBEXHLevel2 6 4 2 2" xfId="48561" xr:uid="{00000000-0005-0000-0000-000060BE0000}"/>
    <cellStyle name="SAPBEXHLevel2 6 4 3" xfId="48562" xr:uid="{00000000-0005-0000-0000-000061BE0000}"/>
    <cellStyle name="SAPBEXHLevel2 6 5" xfId="48563" xr:uid="{00000000-0005-0000-0000-000062BE0000}"/>
    <cellStyle name="SAPBEXHLevel2 7" xfId="48564" xr:uid="{00000000-0005-0000-0000-000063BE0000}"/>
    <cellStyle name="SAPBEXHLevel2 7 2" xfId="48565" xr:uid="{00000000-0005-0000-0000-000064BE0000}"/>
    <cellStyle name="SAPBEXHLevel2 7 2 2" xfId="48566" xr:uid="{00000000-0005-0000-0000-000065BE0000}"/>
    <cellStyle name="SAPBEXHLevel2 7 2 2 2" xfId="48567" xr:uid="{00000000-0005-0000-0000-000066BE0000}"/>
    <cellStyle name="SAPBEXHLevel2 7 2 3" xfId="48568" xr:uid="{00000000-0005-0000-0000-000067BE0000}"/>
    <cellStyle name="SAPBEXHLevel2 7 2 3 2" xfId="48569" xr:uid="{00000000-0005-0000-0000-000068BE0000}"/>
    <cellStyle name="SAPBEXHLevel2 7 2 3 2 2" xfId="48570" xr:uid="{00000000-0005-0000-0000-000069BE0000}"/>
    <cellStyle name="SAPBEXHLevel2 7 2 3 3" xfId="48571" xr:uid="{00000000-0005-0000-0000-00006ABE0000}"/>
    <cellStyle name="SAPBEXHLevel2 7 2 4" xfId="48572" xr:uid="{00000000-0005-0000-0000-00006BBE0000}"/>
    <cellStyle name="SAPBEXHLevel2 7 3" xfId="48573" xr:uid="{00000000-0005-0000-0000-00006CBE0000}"/>
    <cellStyle name="SAPBEXHLevel2 7 3 2" xfId="48574" xr:uid="{00000000-0005-0000-0000-00006DBE0000}"/>
    <cellStyle name="SAPBEXHLevel2 7 3 2 2" xfId="48575" xr:uid="{00000000-0005-0000-0000-00006EBE0000}"/>
    <cellStyle name="SAPBEXHLevel2 7 3 3" xfId="48576" xr:uid="{00000000-0005-0000-0000-00006FBE0000}"/>
    <cellStyle name="SAPBEXHLevel2 7 4" xfId="48577" xr:uid="{00000000-0005-0000-0000-000070BE0000}"/>
    <cellStyle name="SAPBEXHLevel2 7 4 2" xfId="48578" xr:uid="{00000000-0005-0000-0000-000071BE0000}"/>
    <cellStyle name="SAPBEXHLevel2 7 4 2 2" xfId="48579" xr:uid="{00000000-0005-0000-0000-000072BE0000}"/>
    <cellStyle name="SAPBEXHLevel2 7 4 3" xfId="48580" xr:uid="{00000000-0005-0000-0000-000073BE0000}"/>
    <cellStyle name="SAPBEXHLevel2 7 5" xfId="48581" xr:uid="{00000000-0005-0000-0000-000074BE0000}"/>
    <cellStyle name="SAPBEXHLevel2 7 5 2" xfId="48582" xr:uid="{00000000-0005-0000-0000-000075BE0000}"/>
    <cellStyle name="SAPBEXHLevel2 7 5 2 2" xfId="48583" xr:uid="{00000000-0005-0000-0000-000076BE0000}"/>
    <cellStyle name="SAPBEXHLevel2 7 5 3" xfId="48584" xr:uid="{00000000-0005-0000-0000-000077BE0000}"/>
    <cellStyle name="SAPBEXHLevel2 7 6" xfId="48585" xr:uid="{00000000-0005-0000-0000-000078BE0000}"/>
    <cellStyle name="SAPBEXHLevel2 8" xfId="48586" xr:uid="{00000000-0005-0000-0000-000079BE0000}"/>
    <cellStyle name="SAPBEXHLevel2 8 2" xfId="48587" xr:uid="{00000000-0005-0000-0000-00007ABE0000}"/>
    <cellStyle name="SAPBEXHLevel2 8 2 2" xfId="48588" xr:uid="{00000000-0005-0000-0000-00007BBE0000}"/>
    <cellStyle name="SAPBEXHLevel2 8 3" xfId="48589" xr:uid="{00000000-0005-0000-0000-00007CBE0000}"/>
    <cellStyle name="SAPBEXHLevel2 9" xfId="48590" xr:uid="{00000000-0005-0000-0000-00007DBE0000}"/>
    <cellStyle name="SAPBEXHLevel2 9 2" xfId="48591" xr:uid="{00000000-0005-0000-0000-00007EBE0000}"/>
    <cellStyle name="SAPBEXHLevel2 9 2 2" xfId="48592" xr:uid="{00000000-0005-0000-0000-00007FBE0000}"/>
    <cellStyle name="SAPBEXHLevel2 9 3" xfId="48593" xr:uid="{00000000-0005-0000-0000-000080BE0000}"/>
    <cellStyle name="SAPBEXHLevel2X" xfId="65" xr:uid="{00000000-0005-0000-0000-000081BE0000}"/>
    <cellStyle name="SAPBEXHLevel2X 10" xfId="48594" xr:uid="{00000000-0005-0000-0000-000082BE0000}"/>
    <cellStyle name="SAPBEXHLevel2X 10 2" xfId="48595" xr:uid="{00000000-0005-0000-0000-000083BE0000}"/>
    <cellStyle name="SAPBEXHLevel2X 10 2 2" xfId="48596" xr:uid="{00000000-0005-0000-0000-000084BE0000}"/>
    <cellStyle name="SAPBEXHLevel2X 10 3" xfId="48597" xr:uid="{00000000-0005-0000-0000-000085BE0000}"/>
    <cellStyle name="SAPBEXHLevel2X 11" xfId="48598" xr:uid="{00000000-0005-0000-0000-000086BE0000}"/>
    <cellStyle name="SAPBEXHLevel2X 11 2" xfId="48599" xr:uid="{00000000-0005-0000-0000-000087BE0000}"/>
    <cellStyle name="SAPBEXHLevel2X 11 2 2" xfId="48600" xr:uid="{00000000-0005-0000-0000-000088BE0000}"/>
    <cellStyle name="SAPBEXHLevel2X 11 3" xfId="48601" xr:uid="{00000000-0005-0000-0000-000089BE0000}"/>
    <cellStyle name="SAPBEXHLevel2X 12" xfId="48602" xr:uid="{00000000-0005-0000-0000-00008ABE0000}"/>
    <cellStyle name="SAPBEXHLevel2X 12 2" xfId="48603" xr:uid="{00000000-0005-0000-0000-00008BBE0000}"/>
    <cellStyle name="SAPBEXHLevel2X 12 2 2" xfId="48604" xr:uid="{00000000-0005-0000-0000-00008CBE0000}"/>
    <cellStyle name="SAPBEXHLevel2X 12 3" xfId="48605" xr:uid="{00000000-0005-0000-0000-00008DBE0000}"/>
    <cellStyle name="SAPBEXHLevel2X 13" xfId="48606" xr:uid="{00000000-0005-0000-0000-00008EBE0000}"/>
    <cellStyle name="SAPBEXHLevel2X 13 2" xfId="48607" xr:uid="{00000000-0005-0000-0000-00008FBE0000}"/>
    <cellStyle name="SAPBEXHLevel2X 13 2 2" xfId="48608" xr:uid="{00000000-0005-0000-0000-000090BE0000}"/>
    <cellStyle name="SAPBEXHLevel2X 13 3" xfId="48609" xr:uid="{00000000-0005-0000-0000-000091BE0000}"/>
    <cellStyle name="SAPBEXHLevel2X 14" xfId="48610" xr:uid="{00000000-0005-0000-0000-000092BE0000}"/>
    <cellStyle name="SAPBEXHLevel2X 14 2" xfId="48611" xr:uid="{00000000-0005-0000-0000-000093BE0000}"/>
    <cellStyle name="SAPBEXHLevel2X 15" xfId="48612" xr:uid="{00000000-0005-0000-0000-000094BE0000}"/>
    <cellStyle name="SAPBEXHLevel2X 15 2" xfId="48613" xr:uid="{00000000-0005-0000-0000-000095BE0000}"/>
    <cellStyle name="SAPBEXHLevel2X 15 2 2" xfId="48614" xr:uid="{00000000-0005-0000-0000-000096BE0000}"/>
    <cellStyle name="SAPBEXHLevel2X 15 3" xfId="48615" xr:uid="{00000000-0005-0000-0000-000097BE0000}"/>
    <cellStyle name="SAPBEXHLevel2X 15 3 2" xfId="48616" xr:uid="{00000000-0005-0000-0000-000098BE0000}"/>
    <cellStyle name="SAPBEXHLevel2X 15 4" xfId="48617" xr:uid="{00000000-0005-0000-0000-000099BE0000}"/>
    <cellStyle name="SAPBEXHLevel2X 16" xfId="48618" xr:uid="{00000000-0005-0000-0000-00009ABE0000}"/>
    <cellStyle name="SAPBEXHLevel2X 16 2" xfId="48619" xr:uid="{00000000-0005-0000-0000-00009BBE0000}"/>
    <cellStyle name="SAPBEXHLevel2X 17" xfId="48620" xr:uid="{00000000-0005-0000-0000-00009CBE0000}"/>
    <cellStyle name="SAPBEXHLevel2X 17 2" xfId="48621" xr:uid="{00000000-0005-0000-0000-00009DBE0000}"/>
    <cellStyle name="SAPBEXHLevel2X 17 3" xfId="48622" xr:uid="{00000000-0005-0000-0000-00009EBE0000}"/>
    <cellStyle name="SAPBEXHLevel2X 18" xfId="48623" xr:uid="{00000000-0005-0000-0000-00009FBE0000}"/>
    <cellStyle name="SAPBEXHLevel2X 18 2" xfId="48624" xr:uid="{00000000-0005-0000-0000-0000A0BE0000}"/>
    <cellStyle name="SAPBEXHLevel2X 19" xfId="48625" xr:uid="{00000000-0005-0000-0000-0000A1BE0000}"/>
    <cellStyle name="SAPBEXHLevel2X 19 2" xfId="48626" xr:uid="{00000000-0005-0000-0000-0000A2BE0000}"/>
    <cellStyle name="SAPBEXHLevel2X 2" xfId="89" xr:uid="{00000000-0005-0000-0000-0000A3BE0000}"/>
    <cellStyle name="SAPBEXHLevel2X 2 2" xfId="48627" xr:uid="{00000000-0005-0000-0000-0000A4BE0000}"/>
    <cellStyle name="SAPBEXHLevel2X 2 2 2" xfId="48628" xr:uid="{00000000-0005-0000-0000-0000A5BE0000}"/>
    <cellStyle name="SAPBEXHLevel2X 2 2 2 2" xfId="48629" xr:uid="{00000000-0005-0000-0000-0000A6BE0000}"/>
    <cellStyle name="SAPBEXHLevel2X 2 2 2 2 2" xfId="48630" xr:uid="{00000000-0005-0000-0000-0000A7BE0000}"/>
    <cellStyle name="SAPBEXHLevel2X 2 2 2 3" xfId="48631" xr:uid="{00000000-0005-0000-0000-0000A8BE0000}"/>
    <cellStyle name="SAPBEXHLevel2X 2 2 3" xfId="48632" xr:uid="{00000000-0005-0000-0000-0000A9BE0000}"/>
    <cellStyle name="SAPBEXHLevel2X 2 2 3 2" xfId="48633" xr:uid="{00000000-0005-0000-0000-0000AABE0000}"/>
    <cellStyle name="SAPBEXHLevel2X 2 2 3 2 2" xfId="48634" xr:uid="{00000000-0005-0000-0000-0000ABBE0000}"/>
    <cellStyle name="SAPBEXHLevel2X 2 2 3 3" xfId="48635" xr:uid="{00000000-0005-0000-0000-0000ACBE0000}"/>
    <cellStyle name="SAPBEXHLevel2X 2 2 4" xfId="48636" xr:uid="{00000000-0005-0000-0000-0000ADBE0000}"/>
    <cellStyle name="SAPBEXHLevel2X 2 2 4 2" xfId="48637" xr:uid="{00000000-0005-0000-0000-0000AEBE0000}"/>
    <cellStyle name="SAPBEXHLevel2X 2 2 4 2 2" xfId="48638" xr:uid="{00000000-0005-0000-0000-0000AFBE0000}"/>
    <cellStyle name="SAPBEXHLevel2X 2 2 4 3" xfId="48639" xr:uid="{00000000-0005-0000-0000-0000B0BE0000}"/>
    <cellStyle name="SAPBEXHLevel2X 2 2 5" xfId="48640" xr:uid="{00000000-0005-0000-0000-0000B1BE0000}"/>
    <cellStyle name="SAPBEXHLevel2X 2 2 5 2" xfId="48641" xr:uid="{00000000-0005-0000-0000-0000B2BE0000}"/>
    <cellStyle name="SAPBEXHLevel2X 2 2 6" xfId="48642" xr:uid="{00000000-0005-0000-0000-0000B3BE0000}"/>
    <cellStyle name="SAPBEXHLevel2X 2 3" xfId="48643" xr:uid="{00000000-0005-0000-0000-0000B4BE0000}"/>
    <cellStyle name="SAPBEXHLevel2X 2 3 2" xfId="48644" xr:uid="{00000000-0005-0000-0000-0000B5BE0000}"/>
    <cellStyle name="SAPBEXHLevel2X 2 3 2 2" xfId="48645" xr:uid="{00000000-0005-0000-0000-0000B6BE0000}"/>
    <cellStyle name="SAPBEXHLevel2X 2 3 2 2 2" xfId="48646" xr:uid="{00000000-0005-0000-0000-0000B7BE0000}"/>
    <cellStyle name="SAPBEXHLevel2X 2 3 2 2 2 2" xfId="48647" xr:uid="{00000000-0005-0000-0000-0000B8BE0000}"/>
    <cellStyle name="SAPBEXHLevel2X 2 3 2 2 3" xfId="48648" xr:uid="{00000000-0005-0000-0000-0000B9BE0000}"/>
    <cellStyle name="SAPBEXHLevel2X 2 3 2 3" xfId="48649" xr:uid="{00000000-0005-0000-0000-0000BABE0000}"/>
    <cellStyle name="SAPBEXHLevel2X 2 3 2 3 2" xfId="48650" xr:uid="{00000000-0005-0000-0000-0000BBBE0000}"/>
    <cellStyle name="SAPBEXHLevel2X 2 3 2 3 2 2" xfId="48651" xr:uid="{00000000-0005-0000-0000-0000BCBE0000}"/>
    <cellStyle name="SAPBEXHLevel2X 2 3 2 3 3" xfId="48652" xr:uid="{00000000-0005-0000-0000-0000BDBE0000}"/>
    <cellStyle name="SAPBEXHLevel2X 2 3 2 4" xfId="48653" xr:uid="{00000000-0005-0000-0000-0000BEBE0000}"/>
    <cellStyle name="SAPBEXHLevel2X 2 3 2 4 2" xfId="48654" xr:uid="{00000000-0005-0000-0000-0000BFBE0000}"/>
    <cellStyle name="SAPBEXHLevel2X 2 3 2 5" xfId="48655" xr:uid="{00000000-0005-0000-0000-0000C0BE0000}"/>
    <cellStyle name="SAPBEXHLevel2X 2 3 3" xfId="48656" xr:uid="{00000000-0005-0000-0000-0000C1BE0000}"/>
    <cellStyle name="SAPBEXHLevel2X 2 3 3 2" xfId="48657" xr:uid="{00000000-0005-0000-0000-0000C2BE0000}"/>
    <cellStyle name="SAPBEXHLevel2X 2 3 3 2 2" xfId="48658" xr:uid="{00000000-0005-0000-0000-0000C3BE0000}"/>
    <cellStyle name="SAPBEXHLevel2X 2 3 3 2 2 2" xfId="48659" xr:uid="{00000000-0005-0000-0000-0000C4BE0000}"/>
    <cellStyle name="SAPBEXHLevel2X 2 3 3 2 3" xfId="48660" xr:uid="{00000000-0005-0000-0000-0000C5BE0000}"/>
    <cellStyle name="SAPBEXHLevel2X 2 3 3 3" xfId="48661" xr:uid="{00000000-0005-0000-0000-0000C6BE0000}"/>
    <cellStyle name="SAPBEXHLevel2X 2 3 3 3 2" xfId="48662" xr:uid="{00000000-0005-0000-0000-0000C7BE0000}"/>
    <cellStyle name="SAPBEXHLevel2X 2 3 3 4" xfId="48663" xr:uid="{00000000-0005-0000-0000-0000C8BE0000}"/>
    <cellStyle name="SAPBEXHLevel2X 2 3 4" xfId="48664" xr:uid="{00000000-0005-0000-0000-0000C9BE0000}"/>
    <cellStyle name="SAPBEXHLevel2X 2 3 4 2" xfId="48665" xr:uid="{00000000-0005-0000-0000-0000CABE0000}"/>
    <cellStyle name="SAPBEXHLevel2X 2 3 4 2 2" xfId="48666" xr:uid="{00000000-0005-0000-0000-0000CBBE0000}"/>
    <cellStyle name="SAPBEXHLevel2X 2 3 4 3" xfId="48667" xr:uid="{00000000-0005-0000-0000-0000CCBE0000}"/>
    <cellStyle name="SAPBEXHLevel2X 2 3 5" xfId="48668" xr:uid="{00000000-0005-0000-0000-0000CDBE0000}"/>
    <cellStyle name="SAPBEXHLevel2X 2 3 5 2" xfId="48669" xr:uid="{00000000-0005-0000-0000-0000CEBE0000}"/>
    <cellStyle name="SAPBEXHLevel2X 2 3 5 2 2" xfId="48670" xr:uid="{00000000-0005-0000-0000-0000CFBE0000}"/>
    <cellStyle name="SAPBEXHLevel2X 2 3 5 3" xfId="48671" xr:uid="{00000000-0005-0000-0000-0000D0BE0000}"/>
    <cellStyle name="SAPBEXHLevel2X 2 3 6" xfId="48672" xr:uid="{00000000-0005-0000-0000-0000D1BE0000}"/>
    <cellStyle name="SAPBEXHLevel2X 2 3 6 2" xfId="48673" xr:uid="{00000000-0005-0000-0000-0000D2BE0000}"/>
    <cellStyle name="SAPBEXHLevel2X 2 3 7" xfId="48674" xr:uid="{00000000-0005-0000-0000-0000D3BE0000}"/>
    <cellStyle name="SAPBEXHLevel2X 2 4" xfId="48675" xr:uid="{00000000-0005-0000-0000-0000D4BE0000}"/>
    <cellStyle name="SAPBEXHLevel2X 2 4 2" xfId="48676" xr:uid="{00000000-0005-0000-0000-0000D5BE0000}"/>
    <cellStyle name="SAPBEXHLevel2X 2 4 2 2" xfId="48677" xr:uid="{00000000-0005-0000-0000-0000D6BE0000}"/>
    <cellStyle name="SAPBEXHLevel2X 2 4 2 2 2" xfId="48678" xr:uid="{00000000-0005-0000-0000-0000D7BE0000}"/>
    <cellStyle name="SAPBEXHLevel2X 2 4 2 2 2 2" xfId="48679" xr:uid="{00000000-0005-0000-0000-0000D8BE0000}"/>
    <cellStyle name="SAPBEXHLevel2X 2 4 2 2 3" xfId="48680" xr:uid="{00000000-0005-0000-0000-0000D9BE0000}"/>
    <cellStyle name="SAPBEXHLevel2X 2 4 2 3" xfId="48681" xr:uid="{00000000-0005-0000-0000-0000DABE0000}"/>
    <cellStyle name="SAPBEXHLevel2X 2 4 2 3 2" xfId="48682" xr:uid="{00000000-0005-0000-0000-0000DBBE0000}"/>
    <cellStyle name="SAPBEXHLevel2X 2 4 2 3 2 2" xfId="48683" xr:uid="{00000000-0005-0000-0000-0000DCBE0000}"/>
    <cellStyle name="SAPBEXHLevel2X 2 4 2 3 3" xfId="48684" xr:uid="{00000000-0005-0000-0000-0000DDBE0000}"/>
    <cellStyle name="SAPBEXHLevel2X 2 4 2 4" xfId="48685" xr:uid="{00000000-0005-0000-0000-0000DEBE0000}"/>
    <cellStyle name="SAPBEXHLevel2X 2 4 2 4 2" xfId="48686" xr:uid="{00000000-0005-0000-0000-0000DFBE0000}"/>
    <cellStyle name="SAPBEXHLevel2X 2 4 2 5" xfId="48687" xr:uid="{00000000-0005-0000-0000-0000E0BE0000}"/>
    <cellStyle name="SAPBEXHLevel2X 2 4 3" xfId="48688" xr:uid="{00000000-0005-0000-0000-0000E1BE0000}"/>
    <cellStyle name="SAPBEXHLevel2X 2 4 3 2" xfId="48689" xr:uid="{00000000-0005-0000-0000-0000E2BE0000}"/>
    <cellStyle name="SAPBEXHLevel2X 2 4 3 2 2" xfId="48690" xr:uid="{00000000-0005-0000-0000-0000E3BE0000}"/>
    <cellStyle name="SAPBEXHLevel2X 2 4 3 2 2 2" xfId="48691" xr:uid="{00000000-0005-0000-0000-0000E4BE0000}"/>
    <cellStyle name="SAPBEXHLevel2X 2 4 3 2 3" xfId="48692" xr:uid="{00000000-0005-0000-0000-0000E5BE0000}"/>
    <cellStyle name="SAPBEXHLevel2X 2 4 3 3" xfId="48693" xr:uid="{00000000-0005-0000-0000-0000E6BE0000}"/>
    <cellStyle name="SAPBEXHLevel2X 2 4 3 3 2" xfId="48694" xr:uid="{00000000-0005-0000-0000-0000E7BE0000}"/>
    <cellStyle name="SAPBEXHLevel2X 2 4 3 4" xfId="48695" xr:uid="{00000000-0005-0000-0000-0000E8BE0000}"/>
    <cellStyle name="SAPBEXHLevel2X 2 4 4" xfId="48696" xr:uid="{00000000-0005-0000-0000-0000E9BE0000}"/>
    <cellStyle name="SAPBEXHLevel2X 2 4 4 2" xfId="48697" xr:uid="{00000000-0005-0000-0000-0000EABE0000}"/>
    <cellStyle name="SAPBEXHLevel2X 2 4 4 2 2" xfId="48698" xr:uid="{00000000-0005-0000-0000-0000EBBE0000}"/>
    <cellStyle name="SAPBEXHLevel2X 2 4 4 3" xfId="48699" xr:uid="{00000000-0005-0000-0000-0000ECBE0000}"/>
    <cellStyle name="SAPBEXHLevel2X 2 4 5" xfId="48700" xr:uid="{00000000-0005-0000-0000-0000EDBE0000}"/>
    <cellStyle name="SAPBEXHLevel2X 2 4 5 2" xfId="48701" xr:uid="{00000000-0005-0000-0000-0000EEBE0000}"/>
    <cellStyle name="SAPBEXHLevel2X 2 4 6" xfId="48702" xr:uid="{00000000-0005-0000-0000-0000EFBE0000}"/>
    <cellStyle name="SAPBEXHLevel2X 2 5" xfId="48703" xr:uid="{00000000-0005-0000-0000-0000F0BE0000}"/>
    <cellStyle name="SAPBEXHLevel2X 2 5 2" xfId="48704" xr:uid="{00000000-0005-0000-0000-0000F1BE0000}"/>
    <cellStyle name="SAPBEXHLevel2X 2 5 2 2" xfId="48705" xr:uid="{00000000-0005-0000-0000-0000F2BE0000}"/>
    <cellStyle name="SAPBEXHLevel2X 2 5 2 2 2" xfId="48706" xr:uid="{00000000-0005-0000-0000-0000F3BE0000}"/>
    <cellStyle name="SAPBEXHLevel2X 2 5 2 3" xfId="48707" xr:uid="{00000000-0005-0000-0000-0000F4BE0000}"/>
    <cellStyle name="SAPBEXHLevel2X 2 5 3" xfId="48708" xr:uid="{00000000-0005-0000-0000-0000F5BE0000}"/>
    <cellStyle name="SAPBEXHLevel2X 2 5 3 2" xfId="48709" xr:uid="{00000000-0005-0000-0000-0000F6BE0000}"/>
    <cellStyle name="SAPBEXHLevel2X 2 5 4" xfId="48710" xr:uid="{00000000-0005-0000-0000-0000F7BE0000}"/>
    <cellStyle name="SAPBEXHLevel2X 2 6" xfId="48711" xr:uid="{00000000-0005-0000-0000-0000F8BE0000}"/>
    <cellStyle name="SAPBEXHLevel2X 2 6 2" xfId="48712" xr:uid="{00000000-0005-0000-0000-0000F9BE0000}"/>
    <cellStyle name="SAPBEXHLevel2X 2 6 2 2" xfId="48713" xr:uid="{00000000-0005-0000-0000-0000FABE0000}"/>
    <cellStyle name="SAPBEXHLevel2X 2 6 3" xfId="48714" xr:uid="{00000000-0005-0000-0000-0000FBBE0000}"/>
    <cellStyle name="SAPBEXHLevel2X 2 7" xfId="48715" xr:uid="{00000000-0005-0000-0000-0000FCBE0000}"/>
    <cellStyle name="SAPBEXHLevel2X 2 7 2" xfId="48716" xr:uid="{00000000-0005-0000-0000-0000FDBE0000}"/>
    <cellStyle name="SAPBEXHLevel2X 2 7 2 2" xfId="48717" xr:uid="{00000000-0005-0000-0000-0000FEBE0000}"/>
    <cellStyle name="SAPBEXHLevel2X 2 7 3" xfId="48718" xr:uid="{00000000-0005-0000-0000-0000FFBE0000}"/>
    <cellStyle name="SAPBEXHLevel2X 2 8" xfId="48719" xr:uid="{00000000-0005-0000-0000-000000BF0000}"/>
    <cellStyle name="SAPBEXHLevel2X 2 8 2" xfId="48720" xr:uid="{00000000-0005-0000-0000-000001BF0000}"/>
    <cellStyle name="SAPBEXHLevel2X 2 9" xfId="48721" xr:uid="{00000000-0005-0000-0000-000002BF0000}"/>
    <cellStyle name="SAPBEXHLevel2X 20" xfId="48722" xr:uid="{00000000-0005-0000-0000-000003BF0000}"/>
    <cellStyle name="SAPBEXHLevel2X 21" xfId="48723" xr:uid="{00000000-0005-0000-0000-000004BF0000}"/>
    <cellStyle name="SAPBEXHLevel2X 22" xfId="48724" xr:uid="{00000000-0005-0000-0000-000005BF0000}"/>
    <cellStyle name="SAPBEXHLevel2X 23" xfId="48725" xr:uid="{00000000-0005-0000-0000-000006BF0000}"/>
    <cellStyle name="SAPBEXHLevel2X 3" xfId="48726" xr:uid="{00000000-0005-0000-0000-000007BF0000}"/>
    <cellStyle name="SAPBEXHLevel2X 3 2" xfId="48727" xr:uid="{00000000-0005-0000-0000-000008BF0000}"/>
    <cellStyle name="SAPBEXHLevel2X 3 2 2" xfId="48728" xr:uid="{00000000-0005-0000-0000-000009BF0000}"/>
    <cellStyle name="SAPBEXHLevel2X 3 2 2 2" xfId="48729" xr:uid="{00000000-0005-0000-0000-00000ABF0000}"/>
    <cellStyle name="SAPBEXHLevel2X 3 2 2 2 2" xfId="48730" xr:uid="{00000000-0005-0000-0000-00000BBF0000}"/>
    <cellStyle name="SAPBEXHLevel2X 3 2 2 3" xfId="48731" xr:uid="{00000000-0005-0000-0000-00000CBF0000}"/>
    <cellStyle name="SAPBEXHLevel2X 3 2 3" xfId="48732" xr:uid="{00000000-0005-0000-0000-00000DBF0000}"/>
    <cellStyle name="SAPBEXHLevel2X 3 2 3 2" xfId="48733" xr:uid="{00000000-0005-0000-0000-00000EBF0000}"/>
    <cellStyle name="SAPBEXHLevel2X 3 2 3 2 2" xfId="48734" xr:uid="{00000000-0005-0000-0000-00000FBF0000}"/>
    <cellStyle name="SAPBEXHLevel2X 3 2 3 3" xfId="48735" xr:uid="{00000000-0005-0000-0000-000010BF0000}"/>
    <cellStyle name="SAPBEXHLevel2X 3 2 4" xfId="48736" xr:uid="{00000000-0005-0000-0000-000011BF0000}"/>
    <cellStyle name="SAPBEXHLevel2X 3 2 4 2" xfId="48737" xr:uid="{00000000-0005-0000-0000-000012BF0000}"/>
    <cellStyle name="SAPBEXHLevel2X 3 2 4 2 2" xfId="48738" xr:uid="{00000000-0005-0000-0000-000013BF0000}"/>
    <cellStyle name="SAPBEXHLevel2X 3 2 4 3" xfId="48739" xr:uid="{00000000-0005-0000-0000-000014BF0000}"/>
    <cellStyle name="SAPBEXHLevel2X 3 2 5" xfId="48740" xr:uid="{00000000-0005-0000-0000-000015BF0000}"/>
    <cellStyle name="SAPBEXHLevel2X 3 2 5 2" xfId="48741" xr:uid="{00000000-0005-0000-0000-000016BF0000}"/>
    <cellStyle name="SAPBEXHLevel2X 3 2 6" xfId="48742" xr:uid="{00000000-0005-0000-0000-000017BF0000}"/>
    <cellStyle name="SAPBEXHLevel2X 3 3" xfId="48743" xr:uid="{00000000-0005-0000-0000-000018BF0000}"/>
    <cellStyle name="SAPBEXHLevel2X 3 3 2" xfId="48744" xr:uid="{00000000-0005-0000-0000-000019BF0000}"/>
    <cellStyle name="SAPBEXHLevel2X 3 3 2 2" xfId="48745" xr:uid="{00000000-0005-0000-0000-00001ABF0000}"/>
    <cellStyle name="SAPBEXHLevel2X 3 3 2 2 2" xfId="48746" xr:uid="{00000000-0005-0000-0000-00001BBF0000}"/>
    <cellStyle name="SAPBEXHLevel2X 3 3 2 3" xfId="48747" xr:uid="{00000000-0005-0000-0000-00001CBF0000}"/>
    <cellStyle name="SAPBEXHLevel2X 3 3 3" xfId="48748" xr:uid="{00000000-0005-0000-0000-00001DBF0000}"/>
    <cellStyle name="SAPBEXHLevel2X 3 3 3 2" xfId="48749" xr:uid="{00000000-0005-0000-0000-00001EBF0000}"/>
    <cellStyle name="SAPBEXHLevel2X 3 3 4" xfId="48750" xr:uid="{00000000-0005-0000-0000-00001FBF0000}"/>
    <cellStyle name="SAPBEXHLevel2X 3 4" xfId="48751" xr:uid="{00000000-0005-0000-0000-000020BF0000}"/>
    <cellStyle name="SAPBEXHLevel2X 3 4 2" xfId="48752" xr:uid="{00000000-0005-0000-0000-000021BF0000}"/>
    <cellStyle name="SAPBEXHLevel2X 3 4 2 2" xfId="48753" xr:uid="{00000000-0005-0000-0000-000022BF0000}"/>
    <cellStyle name="SAPBEXHLevel2X 3 4 3" xfId="48754" xr:uid="{00000000-0005-0000-0000-000023BF0000}"/>
    <cellStyle name="SAPBEXHLevel2X 3 5" xfId="48755" xr:uid="{00000000-0005-0000-0000-000024BF0000}"/>
    <cellStyle name="SAPBEXHLevel2X 3 5 2" xfId="48756" xr:uid="{00000000-0005-0000-0000-000025BF0000}"/>
    <cellStyle name="SAPBEXHLevel2X 3 5 2 2" xfId="48757" xr:uid="{00000000-0005-0000-0000-000026BF0000}"/>
    <cellStyle name="SAPBEXHLevel2X 3 5 3" xfId="48758" xr:uid="{00000000-0005-0000-0000-000027BF0000}"/>
    <cellStyle name="SAPBEXHLevel2X 3 6" xfId="48759" xr:uid="{00000000-0005-0000-0000-000028BF0000}"/>
    <cellStyle name="SAPBEXHLevel2X 3 6 2" xfId="48760" xr:uid="{00000000-0005-0000-0000-000029BF0000}"/>
    <cellStyle name="SAPBEXHLevel2X 3 7" xfId="48761" xr:uid="{00000000-0005-0000-0000-00002ABF0000}"/>
    <cellStyle name="SAPBEXHLevel2X 4" xfId="48762" xr:uid="{00000000-0005-0000-0000-00002BBF0000}"/>
    <cellStyle name="SAPBEXHLevel2X 4 2" xfId="48763" xr:uid="{00000000-0005-0000-0000-00002CBF0000}"/>
    <cellStyle name="SAPBEXHLevel2X 4 2 2" xfId="48764" xr:uid="{00000000-0005-0000-0000-00002DBF0000}"/>
    <cellStyle name="SAPBEXHLevel2X 4 2 2 2" xfId="48765" xr:uid="{00000000-0005-0000-0000-00002EBF0000}"/>
    <cellStyle name="SAPBEXHLevel2X 4 2 2 2 2" xfId="48766" xr:uid="{00000000-0005-0000-0000-00002FBF0000}"/>
    <cellStyle name="SAPBEXHLevel2X 4 2 2 3" xfId="48767" xr:uid="{00000000-0005-0000-0000-000030BF0000}"/>
    <cellStyle name="SAPBEXHLevel2X 4 2 3" xfId="48768" xr:uid="{00000000-0005-0000-0000-000031BF0000}"/>
    <cellStyle name="SAPBEXHLevel2X 4 2 3 2" xfId="48769" xr:uid="{00000000-0005-0000-0000-000032BF0000}"/>
    <cellStyle name="SAPBEXHLevel2X 4 2 3 2 2" xfId="48770" xr:uid="{00000000-0005-0000-0000-000033BF0000}"/>
    <cellStyle name="SAPBEXHLevel2X 4 2 3 3" xfId="48771" xr:uid="{00000000-0005-0000-0000-000034BF0000}"/>
    <cellStyle name="SAPBEXHLevel2X 4 2 4" xfId="48772" xr:uid="{00000000-0005-0000-0000-000035BF0000}"/>
    <cellStyle name="SAPBEXHLevel2X 4 2 4 2" xfId="48773" xr:uid="{00000000-0005-0000-0000-000036BF0000}"/>
    <cellStyle name="SAPBEXHLevel2X 4 2 4 2 2" xfId="48774" xr:uid="{00000000-0005-0000-0000-000037BF0000}"/>
    <cellStyle name="SAPBEXHLevel2X 4 2 4 3" xfId="48775" xr:uid="{00000000-0005-0000-0000-000038BF0000}"/>
    <cellStyle name="SAPBEXHLevel2X 4 2 5" xfId="48776" xr:uid="{00000000-0005-0000-0000-000039BF0000}"/>
    <cellStyle name="SAPBEXHLevel2X 4 2 5 2" xfId="48777" xr:uid="{00000000-0005-0000-0000-00003ABF0000}"/>
    <cellStyle name="SAPBEXHLevel2X 4 2 6" xfId="48778" xr:uid="{00000000-0005-0000-0000-00003BBF0000}"/>
    <cellStyle name="SAPBEXHLevel2X 4 3" xfId="48779" xr:uid="{00000000-0005-0000-0000-00003CBF0000}"/>
    <cellStyle name="SAPBEXHLevel2X 4 3 2" xfId="48780" xr:uid="{00000000-0005-0000-0000-00003DBF0000}"/>
    <cellStyle name="SAPBEXHLevel2X 4 3 2 2" xfId="48781" xr:uid="{00000000-0005-0000-0000-00003EBF0000}"/>
    <cellStyle name="SAPBEXHLevel2X 4 3 2 2 2" xfId="48782" xr:uid="{00000000-0005-0000-0000-00003FBF0000}"/>
    <cellStyle name="SAPBEXHLevel2X 4 3 2 2 2 2" xfId="48783" xr:uid="{00000000-0005-0000-0000-000040BF0000}"/>
    <cellStyle name="SAPBEXHLevel2X 4 3 2 2 3" xfId="48784" xr:uid="{00000000-0005-0000-0000-000041BF0000}"/>
    <cellStyle name="SAPBEXHLevel2X 4 3 2 3" xfId="48785" xr:uid="{00000000-0005-0000-0000-000042BF0000}"/>
    <cellStyle name="SAPBEXHLevel2X 4 3 2 3 2" xfId="48786" xr:uid="{00000000-0005-0000-0000-000043BF0000}"/>
    <cellStyle name="SAPBEXHLevel2X 4 3 2 3 2 2" xfId="48787" xr:uid="{00000000-0005-0000-0000-000044BF0000}"/>
    <cellStyle name="SAPBEXHLevel2X 4 3 2 3 3" xfId="48788" xr:uid="{00000000-0005-0000-0000-000045BF0000}"/>
    <cellStyle name="SAPBEXHLevel2X 4 3 2 4" xfId="48789" xr:uid="{00000000-0005-0000-0000-000046BF0000}"/>
    <cellStyle name="SAPBEXHLevel2X 4 3 2 4 2" xfId="48790" xr:uid="{00000000-0005-0000-0000-000047BF0000}"/>
    <cellStyle name="SAPBEXHLevel2X 4 3 2 5" xfId="48791" xr:uid="{00000000-0005-0000-0000-000048BF0000}"/>
    <cellStyle name="SAPBEXHLevel2X 4 3 3" xfId="48792" xr:uid="{00000000-0005-0000-0000-000049BF0000}"/>
    <cellStyle name="SAPBEXHLevel2X 4 3 3 2" xfId="48793" xr:uid="{00000000-0005-0000-0000-00004ABF0000}"/>
    <cellStyle name="SAPBEXHLevel2X 4 3 3 2 2" xfId="48794" xr:uid="{00000000-0005-0000-0000-00004BBF0000}"/>
    <cellStyle name="SAPBEXHLevel2X 4 3 3 2 2 2" xfId="48795" xr:uid="{00000000-0005-0000-0000-00004CBF0000}"/>
    <cellStyle name="SAPBEXHLevel2X 4 3 3 2 3" xfId="48796" xr:uid="{00000000-0005-0000-0000-00004DBF0000}"/>
    <cellStyle name="SAPBEXHLevel2X 4 3 3 3" xfId="48797" xr:uid="{00000000-0005-0000-0000-00004EBF0000}"/>
    <cellStyle name="SAPBEXHLevel2X 4 3 3 3 2" xfId="48798" xr:uid="{00000000-0005-0000-0000-00004FBF0000}"/>
    <cellStyle name="SAPBEXHLevel2X 4 3 3 4" xfId="48799" xr:uid="{00000000-0005-0000-0000-000050BF0000}"/>
    <cellStyle name="SAPBEXHLevel2X 4 3 4" xfId="48800" xr:uid="{00000000-0005-0000-0000-000051BF0000}"/>
    <cellStyle name="SAPBEXHLevel2X 4 3 4 2" xfId="48801" xr:uid="{00000000-0005-0000-0000-000052BF0000}"/>
    <cellStyle name="SAPBEXHLevel2X 4 3 4 2 2" xfId="48802" xr:uid="{00000000-0005-0000-0000-000053BF0000}"/>
    <cellStyle name="SAPBEXHLevel2X 4 3 4 3" xfId="48803" xr:uid="{00000000-0005-0000-0000-000054BF0000}"/>
    <cellStyle name="SAPBEXHLevel2X 4 3 5" xfId="48804" xr:uid="{00000000-0005-0000-0000-000055BF0000}"/>
    <cellStyle name="SAPBEXHLevel2X 4 3 5 2" xfId="48805" xr:uid="{00000000-0005-0000-0000-000056BF0000}"/>
    <cellStyle name="SAPBEXHLevel2X 4 3 5 2 2" xfId="48806" xr:uid="{00000000-0005-0000-0000-000057BF0000}"/>
    <cellStyle name="SAPBEXHLevel2X 4 3 5 3" xfId="48807" xr:uid="{00000000-0005-0000-0000-000058BF0000}"/>
    <cellStyle name="SAPBEXHLevel2X 4 3 6" xfId="48808" xr:uid="{00000000-0005-0000-0000-000059BF0000}"/>
    <cellStyle name="SAPBEXHLevel2X 4 3 6 2" xfId="48809" xr:uid="{00000000-0005-0000-0000-00005ABF0000}"/>
    <cellStyle name="SAPBEXHLevel2X 4 3 7" xfId="48810" xr:uid="{00000000-0005-0000-0000-00005BBF0000}"/>
    <cellStyle name="SAPBEXHLevel2X 4 4" xfId="48811" xr:uid="{00000000-0005-0000-0000-00005CBF0000}"/>
    <cellStyle name="SAPBEXHLevel2X 4 4 2" xfId="48812" xr:uid="{00000000-0005-0000-0000-00005DBF0000}"/>
    <cellStyle name="SAPBEXHLevel2X 4 4 2 2" xfId="48813" xr:uid="{00000000-0005-0000-0000-00005EBF0000}"/>
    <cellStyle name="SAPBEXHLevel2X 4 4 2 2 2" xfId="48814" xr:uid="{00000000-0005-0000-0000-00005FBF0000}"/>
    <cellStyle name="SAPBEXHLevel2X 4 4 2 3" xfId="48815" xr:uid="{00000000-0005-0000-0000-000060BF0000}"/>
    <cellStyle name="SAPBEXHLevel2X 4 4 3" xfId="48816" xr:uid="{00000000-0005-0000-0000-000061BF0000}"/>
    <cellStyle name="SAPBEXHLevel2X 4 4 3 2" xfId="48817" xr:uid="{00000000-0005-0000-0000-000062BF0000}"/>
    <cellStyle name="SAPBEXHLevel2X 4 4 4" xfId="48818" xr:uid="{00000000-0005-0000-0000-000063BF0000}"/>
    <cellStyle name="SAPBEXHLevel2X 4 5" xfId="48819" xr:uid="{00000000-0005-0000-0000-000064BF0000}"/>
    <cellStyle name="SAPBEXHLevel2X 4 5 2" xfId="48820" xr:uid="{00000000-0005-0000-0000-000065BF0000}"/>
    <cellStyle name="SAPBEXHLevel2X 4 5 2 2" xfId="48821" xr:uid="{00000000-0005-0000-0000-000066BF0000}"/>
    <cellStyle name="SAPBEXHLevel2X 4 5 3" xfId="48822" xr:uid="{00000000-0005-0000-0000-000067BF0000}"/>
    <cellStyle name="SAPBEXHLevel2X 4 6" xfId="48823" xr:uid="{00000000-0005-0000-0000-000068BF0000}"/>
    <cellStyle name="SAPBEXHLevel2X 4 6 2" xfId="48824" xr:uid="{00000000-0005-0000-0000-000069BF0000}"/>
    <cellStyle name="SAPBEXHLevel2X 4 6 2 2" xfId="48825" xr:uid="{00000000-0005-0000-0000-00006ABF0000}"/>
    <cellStyle name="SAPBEXHLevel2X 4 6 3" xfId="48826" xr:uid="{00000000-0005-0000-0000-00006BBF0000}"/>
    <cellStyle name="SAPBEXHLevel2X 4 7" xfId="48827" xr:uid="{00000000-0005-0000-0000-00006CBF0000}"/>
    <cellStyle name="SAPBEXHLevel2X 4 7 2" xfId="48828" xr:uid="{00000000-0005-0000-0000-00006DBF0000}"/>
    <cellStyle name="SAPBEXHLevel2X 4 8" xfId="48829" xr:uid="{00000000-0005-0000-0000-00006EBF0000}"/>
    <cellStyle name="SAPBEXHLevel2X 5" xfId="48830" xr:uid="{00000000-0005-0000-0000-00006FBF0000}"/>
    <cellStyle name="SAPBEXHLevel2X 5 2" xfId="48831" xr:uid="{00000000-0005-0000-0000-000070BF0000}"/>
    <cellStyle name="SAPBEXHLevel2X 5 2 2" xfId="48832" xr:uid="{00000000-0005-0000-0000-000071BF0000}"/>
    <cellStyle name="SAPBEXHLevel2X 5 2 2 2" xfId="48833" xr:uid="{00000000-0005-0000-0000-000072BF0000}"/>
    <cellStyle name="SAPBEXHLevel2X 5 2 3" xfId="48834" xr:uid="{00000000-0005-0000-0000-000073BF0000}"/>
    <cellStyle name="SAPBEXHLevel2X 5 3" xfId="48835" xr:uid="{00000000-0005-0000-0000-000074BF0000}"/>
    <cellStyle name="SAPBEXHLevel2X 5 3 2" xfId="48836" xr:uid="{00000000-0005-0000-0000-000075BF0000}"/>
    <cellStyle name="SAPBEXHLevel2X 5 3 2 2" xfId="48837" xr:uid="{00000000-0005-0000-0000-000076BF0000}"/>
    <cellStyle name="SAPBEXHLevel2X 5 3 3" xfId="48838" xr:uid="{00000000-0005-0000-0000-000077BF0000}"/>
    <cellStyle name="SAPBEXHLevel2X 5 4" xfId="48839" xr:uid="{00000000-0005-0000-0000-000078BF0000}"/>
    <cellStyle name="SAPBEXHLevel2X 5 4 2" xfId="48840" xr:uid="{00000000-0005-0000-0000-000079BF0000}"/>
    <cellStyle name="SAPBEXHLevel2X 5 4 2 2" xfId="48841" xr:uid="{00000000-0005-0000-0000-00007ABF0000}"/>
    <cellStyle name="SAPBEXHLevel2X 5 4 3" xfId="48842" xr:uid="{00000000-0005-0000-0000-00007BBF0000}"/>
    <cellStyle name="SAPBEXHLevel2X 5 5" xfId="48843" xr:uid="{00000000-0005-0000-0000-00007CBF0000}"/>
    <cellStyle name="SAPBEXHLevel2X 5 5 2" xfId="48844" xr:uid="{00000000-0005-0000-0000-00007DBF0000}"/>
    <cellStyle name="SAPBEXHLevel2X 5 6" xfId="48845" xr:uid="{00000000-0005-0000-0000-00007EBF0000}"/>
    <cellStyle name="SAPBEXHLevel2X 6" xfId="48846" xr:uid="{00000000-0005-0000-0000-00007FBF0000}"/>
    <cellStyle name="SAPBEXHLevel2X 6 2" xfId="48847" xr:uid="{00000000-0005-0000-0000-000080BF0000}"/>
    <cellStyle name="SAPBEXHLevel2X 6 2 2" xfId="48848" xr:uid="{00000000-0005-0000-0000-000081BF0000}"/>
    <cellStyle name="SAPBEXHLevel2X 6 3" xfId="48849" xr:uid="{00000000-0005-0000-0000-000082BF0000}"/>
    <cellStyle name="SAPBEXHLevel2X 6 3 2" xfId="48850" xr:uid="{00000000-0005-0000-0000-000083BF0000}"/>
    <cellStyle name="SAPBEXHLevel2X 6 3 2 2" xfId="48851" xr:uid="{00000000-0005-0000-0000-000084BF0000}"/>
    <cellStyle name="SAPBEXHLevel2X 6 3 3" xfId="48852" xr:uid="{00000000-0005-0000-0000-000085BF0000}"/>
    <cellStyle name="SAPBEXHLevel2X 6 4" xfId="48853" xr:uid="{00000000-0005-0000-0000-000086BF0000}"/>
    <cellStyle name="SAPBEXHLevel2X 6 4 2" xfId="48854" xr:uid="{00000000-0005-0000-0000-000087BF0000}"/>
    <cellStyle name="SAPBEXHLevel2X 6 4 2 2" xfId="48855" xr:uid="{00000000-0005-0000-0000-000088BF0000}"/>
    <cellStyle name="SAPBEXHLevel2X 6 4 3" xfId="48856" xr:uid="{00000000-0005-0000-0000-000089BF0000}"/>
    <cellStyle name="SAPBEXHLevel2X 6 5" xfId="48857" xr:uid="{00000000-0005-0000-0000-00008ABF0000}"/>
    <cellStyle name="SAPBEXHLevel2X 7" xfId="48858" xr:uid="{00000000-0005-0000-0000-00008BBF0000}"/>
    <cellStyle name="SAPBEXHLevel2X 7 2" xfId="48859" xr:uid="{00000000-0005-0000-0000-00008CBF0000}"/>
    <cellStyle name="SAPBEXHLevel2X 7 2 2" xfId="48860" xr:uid="{00000000-0005-0000-0000-00008DBF0000}"/>
    <cellStyle name="SAPBEXHLevel2X 7 2 2 2" xfId="48861" xr:uid="{00000000-0005-0000-0000-00008EBF0000}"/>
    <cellStyle name="SAPBEXHLevel2X 7 2 3" xfId="48862" xr:uid="{00000000-0005-0000-0000-00008FBF0000}"/>
    <cellStyle name="SAPBEXHLevel2X 7 2 3 2" xfId="48863" xr:uid="{00000000-0005-0000-0000-000090BF0000}"/>
    <cellStyle name="SAPBEXHLevel2X 7 2 3 2 2" xfId="48864" xr:uid="{00000000-0005-0000-0000-000091BF0000}"/>
    <cellStyle name="SAPBEXHLevel2X 7 2 3 3" xfId="48865" xr:uid="{00000000-0005-0000-0000-000092BF0000}"/>
    <cellStyle name="SAPBEXHLevel2X 7 2 4" xfId="48866" xr:uid="{00000000-0005-0000-0000-000093BF0000}"/>
    <cellStyle name="SAPBEXHLevel2X 7 3" xfId="48867" xr:uid="{00000000-0005-0000-0000-000094BF0000}"/>
    <cellStyle name="SAPBEXHLevel2X 7 3 2" xfId="48868" xr:uid="{00000000-0005-0000-0000-000095BF0000}"/>
    <cellStyle name="SAPBEXHLevel2X 7 3 2 2" xfId="48869" xr:uid="{00000000-0005-0000-0000-000096BF0000}"/>
    <cellStyle name="SAPBEXHLevel2X 7 3 3" xfId="48870" xr:uid="{00000000-0005-0000-0000-000097BF0000}"/>
    <cellStyle name="SAPBEXHLevel2X 7 4" xfId="48871" xr:uid="{00000000-0005-0000-0000-000098BF0000}"/>
    <cellStyle name="SAPBEXHLevel2X 7 4 2" xfId="48872" xr:uid="{00000000-0005-0000-0000-000099BF0000}"/>
    <cellStyle name="SAPBEXHLevel2X 7 4 2 2" xfId="48873" xr:uid="{00000000-0005-0000-0000-00009ABF0000}"/>
    <cellStyle name="SAPBEXHLevel2X 7 4 3" xfId="48874" xr:uid="{00000000-0005-0000-0000-00009BBF0000}"/>
    <cellStyle name="SAPBEXHLevel2X 7 5" xfId="48875" xr:uid="{00000000-0005-0000-0000-00009CBF0000}"/>
    <cellStyle name="SAPBEXHLevel2X 7 5 2" xfId="48876" xr:uid="{00000000-0005-0000-0000-00009DBF0000}"/>
    <cellStyle name="SAPBEXHLevel2X 7 5 2 2" xfId="48877" xr:uid="{00000000-0005-0000-0000-00009EBF0000}"/>
    <cellStyle name="SAPBEXHLevel2X 7 5 3" xfId="48878" xr:uid="{00000000-0005-0000-0000-00009FBF0000}"/>
    <cellStyle name="SAPBEXHLevel2X 7 6" xfId="48879" xr:uid="{00000000-0005-0000-0000-0000A0BF0000}"/>
    <cellStyle name="SAPBEXHLevel2X 8" xfId="48880" xr:uid="{00000000-0005-0000-0000-0000A1BF0000}"/>
    <cellStyle name="SAPBEXHLevel2X 8 2" xfId="48881" xr:uid="{00000000-0005-0000-0000-0000A2BF0000}"/>
    <cellStyle name="SAPBEXHLevel2X 8 2 2" xfId="48882" xr:uid="{00000000-0005-0000-0000-0000A3BF0000}"/>
    <cellStyle name="SAPBEXHLevel2X 8 2 2 2" xfId="48883" xr:uid="{00000000-0005-0000-0000-0000A4BF0000}"/>
    <cellStyle name="SAPBEXHLevel2X 8 2 3" xfId="48884" xr:uid="{00000000-0005-0000-0000-0000A5BF0000}"/>
    <cellStyle name="SAPBEXHLevel2X 8 3" xfId="48885" xr:uid="{00000000-0005-0000-0000-0000A6BF0000}"/>
    <cellStyle name="SAPBEXHLevel2X 8 3 2" xfId="48886" xr:uid="{00000000-0005-0000-0000-0000A7BF0000}"/>
    <cellStyle name="SAPBEXHLevel2X 8 3 2 2" xfId="48887" xr:uid="{00000000-0005-0000-0000-0000A8BF0000}"/>
    <cellStyle name="SAPBEXHLevel2X 8 3 3" xfId="48888" xr:uid="{00000000-0005-0000-0000-0000A9BF0000}"/>
    <cellStyle name="SAPBEXHLevel2X 8 4" xfId="48889" xr:uid="{00000000-0005-0000-0000-0000AABF0000}"/>
    <cellStyle name="SAPBEXHLevel2X 8 4 2" xfId="48890" xr:uid="{00000000-0005-0000-0000-0000ABBF0000}"/>
    <cellStyle name="SAPBEXHLevel2X 8 5" xfId="48891" xr:uid="{00000000-0005-0000-0000-0000ACBF0000}"/>
    <cellStyle name="SAPBEXHLevel2X 9" xfId="48892" xr:uid="{00000000-0005-0000-0000-0000ADBF0000}"/>
    <cellStyle name="SAPBEXHLevel2X 9 2" xfId="48893" xr:uid="{00000000-0005-0000-0000-0000AEBF0000}"/>
    <cellStyle name="SAPBEXHLevel2X 9 2 2" xfId="48894" xr:uid="{00000000-0005-0000-0000-0000AFBF0000}"/>
    <cellStyle name="SAPBEXHLevel2X 9 2 2 2" xfId="48895" xr:uid="{00000000-0005-0000-0000-0000B0BF0000}"/>
    <cellStyle name="SAPBEXHLevel2X 9 2 2 2 2" xfId="48896" xr:uid="{00000000-0005-0000-0000-0000B1BF0000}"/>
    <cellStyle name="SAPBEXHLevel2X 9 2 2 3" xfId="48897" xr:uid="{00000000-0005-0000-0000-0000B2BF0000}"/>
    <cellStyle name="SAPBEXHLevel2X 9 2 3" xfId="48898" xr:uid="{00000000-0005-0000-0000-0000B3BF0000}"/>
    <cellStyle name="SAPBEXHLevel2X 9 2 3 2" xfId="48899" xr:uid="{00000000-0005-0000-0000-0000B4BF0000}"/>
    <cellStyle name="SAPBEXHLevel2X 9 2 4" xfId="48900" xr:uid="{00000000-0005-0000-0000-0000B5BF0000}"/>
    <cellStyle name="SAPBEXHLevel2X 9 3" xfId="48901" xr:uid="{00000000-0005-0000-0000-0000B6BF0000}"/>
    <cellStyle name="SAPBEXHLevel2X 9 3 2" xfId="48902" xr:uid="{00000000-0005-0000-0000-0000B7BF0000}"/>
    <cellStyle name="SAPBEXHLevel2X 9 3 2 2" xfId="48903" xr:uid="{00000000-0005-0000-0000-0000B8BF0000}"/>
    <cellStyle name="SAPBEXHLevel2X 9 3 2 2 2" xfId="48904" xr:uid="{00000000-0005-0000-0000-0000B9BF0000}"/>
    <cellStyle name="SAPBEXHLevel2X 9 3 2 2 2 2" xfId="48905" xr:uid="{00000000-0005-0000-0000-0000BABF0000}"/>
    <cellStyle name="SAPBEXHLevel2X 9 3 2 2 3" xfId="48906" xr:uid="{00000000-0005-0000-0000-0000BBBF0000}"/>
    <cellStyle name="SAPBEXHLevel2X 9 3 2 3" xfId="48907" xr:uid="{00000000-0005-0000-0000-0000BCBF0000}"/>
    <cellStyle name="SAPBEXHLevel2X 9 3 2 3 2" xfId="48908" xr:uid="{00000000-0005-0000-0000-0000BDBF0000}"/>
    <cellStyle name="SAPBEXHLevel2X 9 3 2 4" xfId="48909" xr:uid="{00000000-0005-0000-0000-0000BEBF0000}"/>
    <cellStyle name="SAPBEXHLevel2X 9 3 3" xfId="48910" xr:uid="{00000000-0005-0000-0000-0000BFBF0000}"/>
    <cellStyle name="SAPBEXHLevel2X 9 3 3 2" xfId="48911" xr:uid="{00000000-0005-0000-0000-0000C0BF0000}"/>
    <cellStyle name="SAPBEXHLevel2X 9 3 3 2 2" xfId="48912" xr:uid="{00000000-0005-0000-0000-0000C1BF0000}"/>
    <cellStyle name="SAPBEXHLevel2X 9 3 3 3" xfId="48913" xr:uid="{00000000-0005-0000-0000-0000C2BF0000}"/>
    <cellStyle name="SAPBEXHLevel2X 9 3 4" xfId="48914" xr:uid="{00000000-0005-0000-0000-0000C3BF0000}"/>
    <cellStyle name="SAPBEXHLevel2X 9 3 4 2" xfId="48915" xr:uid="{00000000-0005-0000-0000-0000C4BF0000}"/>
    <cellStyle name="SAPBEXHLevel2X 9 3 5" xfId="48916" xr:uid="{00000000-0005-0000-0000-0000C5BF0000}"/>
    <cellStyle name="SAPBEXHLevel2X 9 4" xfId="48917" xr:uid="{00000000-0005-0000-0000-0000C6BF0000}"/>
    <cellStyle name="SAPBEXHLevel2X 9 4 2" xfId="48918" xr:uid="{00000000-0005-0000-0000-0000C7BF0000}"/>
    <cellStyle name="SAPBEXHLevel2X 9 4 2 2" xfId="48919" xr:uid="{00000000-0005-0000-0000-0000C8BF0000}"/>
    <cellStyle name="SAPBEXHLevel2X 9 4 3" xfId="48920" xr:uid="{00000000-0005-0000-0000-0000C9BF0000}"/>
    <cellStyle name="SAPBEXHLevel2X 9 5" xfId="48921" xr:uid="{00000000-0005-0000-0000-0000CABF0000}"/>
    <cellStyle name="SAPBEXHLevel2X 9 5 2" xfId="48922" xr:uid="{00000000-0005-0000-0000-0000CBBF0000}"/>
    <cellStyle name="SAPBEXHLevel2X 9 5 2 2" xfId="48923" xr:uid="{00000000-0005-0000-0000-0000CCBF0000}"/>
    <cellStyle name="SAPBEXHLevel2X 9 5 3" xfId="48924" xr:uid="{00000000-0005-0000-0000-0000CDBF0000}"/>
    <cellStyle name="SAPBEXHLevel2X 9 6" xfId="48925" xr:uid="{00000000-0005-0000-0000-0000CEBF0000}"/>
    <cellStyle name="SAPBEXHLevel2X 9 6 2" xfId="48926" xr:uid="{00000000-0005-0000-0000-0000CFBF0000}"/>
    <cellStyle name="SAPBEXHLevel2X 9 7" xfId="48927" xr:uid="{00000000-0005-0000-0000-0000D0BF0000}"/>
    <cellStyle name="SAPBEXHLevel3" xfId="66" xr:uid="{00000000-0005-0000-0000-0000D1BF0000}"/>
    <cellStyle name="SAPBEXHLevel3 10" xfId="48928" xr:uid="{00000000-0005-0000-0000-0000D2BF0000}"/>
    <cellStyle name="SAPBEXHLevel3 10 2" xfId="48929" xr:uid="{00000000-0005-0000-0000-0000D3BF0000}"/>
    <cellStyle name="SAPBEXHLevel3 10 2 2" xfId="48930" xr:uid="{00000000-0005-0000-0000-0000D4BF0000}"/>
    <cellStyle name="SAPBEXHLevel3 10 3" xfId="48931" xr:uid="{00000000-0005-0000-0000-0000D5BF0000}"/>
    <cellStyle name="SAPBEXHLevel3 11" xfId="48932" xr:uid="{00000000-0005-0000-0000-0000D6BF0000}"/>
    <cellStyle name="SAPBEXHLevel3 11 2" xfId="48933" xr:uid="{00000000-0005-0000-0000-0000D7BF0000}"/>
    <cellStyle name="SAPBEXHLevel3 12" xfId="48934" xr:uid="{00000000-0005-0000-0000-0000D8BF0000}"/>
    <cellStyle name="SAPBEXHLevel3 12 2" xfId="48935" xr:uid="{00000000-0005-0000-0000-0000D9BF0000}"/>
    <cellStyle name="SAPBEXHLevel3 12 2 2" xfId="48936" xr:uid="{00000000-0005-0000-0000-0000DABF0000}"/>
    <cellStyle name="SAPBEXHLevel3 12 3" xfId="48937" xr:uid="{00000000-0005-0000-0000-0000DBBF0000}"/>
    <cellStyle name="SAPBEXHLevel3 12 3 2" xfId="48938" xr:uid="{00000000-0005-0000-0000-0000DCBF0000}"/>
    <cellStyle name="SAPBEXHLevel3 12 4" xfId="48939" xr:uid="{00000000-0005-0000-0000-0000DDBF0000}"/>
    <cellStyle name="SAPBEXHLevel3 13" xfId="48940" xr:uid="{00000000-0005-0000-0000-0000DEBF0000}"/>
    <cellStyle name="SAPBEXHLevel3 13 2" xfId="48941" xr:uid="{00000000-0005-0000-0000-0000DFBF0000}"/>
    <cellStyle name="SAPBEXHLevel3 14" xfId="48942" xr:uid="{00000000-0005-0000-0000-0000E0BF0000}"/>
    <cellStyle name="SAPBEXHLevel3 14 2" xfId="48943" xr:uid="{00000000-0005-0000-0000-0000E1BF0000}"/>
    <cellStyle name="SAPBEXHLevel3 14 3" xfId="48944" xr:uid="{00000000-0005-0000-0000-0000E2BF0000}"/>
    <cellStyle name="SAPBEXHLevel3 15" xfId="48945" xr:uid="{00000000-0005-0000-0000-0000E3BF0000}"/>
    <cellStyle name="SAPBEXHLevel3 15 2" xfId="48946" xr:uid="{00000000-0005-0000-0000-0000E4BF0000}"/>
    <cellStyle name="SAPBEXHLevel3 16" xfId="48947" xr:uid="{00000000-0005-0000-0000-0000E5BF0000}"/>
    <cellStyle name="SAPBEXHLevel3 16 2" xfId="48948" xr:uid="{00000000-0005-0000-0000-0000E6BF0000}"/>
    <cellStyle name="SAPBEXHLevel3 17" xfId="48949" xr:uid="{00000000-0005-0000-0000-0000E7BF0000}"/>
    <cellStyle name="SAPBEXHLevel3 18" xfId="48950" xr:uid="{00000000-0005-0000-0000-0000E8BF0000}"/>
    <cellStyle name="SAPBEXHLevel3 2" xfId="90" xr:uid="{00000000-0005-0000-0000-0000E9BF0000}"/>
    <cellStyle name="SAPBEXHLevel3 2 2" xfId="48951" xr:uid="{00000000-0005-0000-0000-0000EABF0000}"/>
    <cellStyle name="SAPBEXHLevel3 2 2 2" xfId="48952" xr:uid="{00000000-0005-0000-0000-0000EBBF0000}"/>
    <cellStyle name="SAPBEXHLevel3 2 2 2 2" xfId="48953" xr:uid="{00000000-0005-0000-0000-0000ECBF0000}"/>
    <cellStyle name="SAPBEXHLevel3 2 2 2 2 2" xfId="48954" xr:uid="{00000000-0005-0000-0000-0000EDBF0000}"/>
    <cellStyle name="SAPBEXHLevel3 2 2 2 3" xfId="48955" xr:uid="{00000000-0005-0000-0000-0000EEBF0000}"/>
    <cellStyle name="SAPBEXHLevel3 2 2 3" xfId="48956" xr:uid="{00000000-0005-0000-0000-0000EFBF0000}"/>
    <cellStyle name="SAPBEXHLevel3 2 2 3 2" xfId="48957" xr:uid="{00000000-0005-0000-0000-0000F0BF0000}"/>
    <cellStyle name="SAPBEXHLevel3 2 2 3 2 2" xfId="48958" xr:uid="{00000000-0005-0000-0000-0000F1BF0000}"/>
    <cellStyle name="SAPBEXHLevel3 2 2 3 3" xfId="48959" xr:uid="{00000000-0005-0000-0000-0000F2BF0000}"/>
    <cellStyle name="SAPBEXHLevel3 2 2 4" xfId="48960" xr:uid="{00000000-0005-0000-0000-0000F3BF0000}"/>
    <cellStyle name="SAPBEXHLevel3 2 2 4 2" xfId="48961" xr:uid="{00000000-0005-0000-0000-0000F4BF0000}"/>
    <cellStyle name="SAPBEXHLevel3 2 2 4 2 2" xfId="48962" xr:uid="{00000000-0005-0000-0000-0000F5BF0000}"/>
    <cellStyle name="SAPBEXHLevel3 2 2 4 3" xfId="48963" xr:uid="{00000000-0005-0000-0000-0000F6BF0000}"/>
    <cellStyle name="SAPBEXHLevel3 2 2 5" xfId="48964" xr:uid="{00000000-0005-0000-0000-0000F7BF0000}"/>
    <cellStyle name="SAPBEXHLevel3 2 2 5 2" xfId="48965" xr:uid="{00000000-0005-0000-0000-0000F8BF0000}"/>
    <cellStyle name="SAPBEXHLevel3 2 2 6" xfId="48966" xr:uid="{00000000-0005-0000-0000-0000F9BF0000}"/>
    <cellStyle name="SAPBEXHLevel3 2 3" xfId="48967" xr:uid="{00000000-0005-0000-0000-0000FABF0000}"/>
    <cellStyle name="SAPBEXHLevel3 2 3 2" xfId="48968" xr:uid="{00000000-0005-0000-0000-0000FBBF0000}"/>
    <cellStyle name="SAPBEXHLevel3 2 3 2 2" xfId="48969" xr:uid="{00000000-0005-0000-0000-0000FCBF0000}"/>
    <cellStyle name="SAPBEXHLevel3 2 3 2 2 2" xfId="48970" xr:uid="{00000000-0005-0000-0000-0000FDBF0000}"/>
    <cellStyle name="SAPBEXHLevel3 2 3 2 2 2 2" xfId="48971" xr:uid="{00000000-0005-0000-0000-0000FEBF0000}"/>
    <cellStyle name="SAPBEXHLevel3 2 3 2 2 3" xfId="48972" xr:uid="{00000000-0005-0000-0000-0000FFBF0000}"/>
    <cellStyle name="SAPBEXHLevel3 2 3 2 3" xfId="48973" xr:uid="{00000000-0005-0000-0000-000000C00000}"/>
    <cellStyle name="SAPBEXHLevel3 2 3 2 3 2" xfId="48974" xr:uid="{00000000-0005-0000-0000-000001C00000}"/>
    <cellStyle name="SAPBEXHLevel3 2 3 2 3 2 2" xfId="48975" xr:uid="{00000000-0005-0000-0000-000002C00000}"/>
    <cellStyle name="SAPBEXHLevel3 2 3 2 3 3" xfId="48976" xr:uid="{00000000-0005-0000-0000-000003C00000}"/>
    <cellStyle name="SAPBEXHLevel3 2 3 2 4" xfId="48977" xr:uid="{00000000-0005-0000-0000-000004C00000}"/>
    <cellStyle name="SAPBEXHLevel3 2 3 2 4 2" xfId="48978" xr:uid="{00000000-0005-0000-0000-000005C00000}"/>
    <cellStyle name="SAPBEXHLevel3 2 3 2 5" xfId="48979" xr:uid="{00000000-0005-0000-0000-000006C00000}"/>
    <cellStyle name="SAPBEXHLevel3 2 3 3" xfId="48980" xr:uid="{00000000-0005-0000-0000-000007C00000}"/>
    <cellStyle name="SAPBEXHLevel3 2 3 3 2" xfId="48981" xr:uid="{00000000-0005-0000-0000-000008C00000}"/>
    <cellStyle name="SAPBEXHLevel3 2 3 3 2 2" xfId="48982" xr:uid="{00000000-0005-0000-0000-000009C00000}"/>
    <cellStyle name="SAPBEXHLevel3 2 3 3 2 2 2" xfId="48983" xr:uid="{00000000-0005-0000-0000-00000AC00000}"/>
    <cellStyle name="SAPBEXHLevel3 2 3 3 2 3" xfId="48984" xr:uid="{00000000-0005-0000-0000-00000BC00000}"/>
    <cellStyle name="SAPBEXHLevel3 2 3 3 3" xfId="48985" xr:uid="{00000000-0005-0000-0000-00000CC00000}"/>
    <cellStyle name="SAPBEXHLevel3 2 3 3 3 2" xfId="48986" xr:uid="{00000000-0005-0000-0000-00000DC00000}"/>
    <cellStyle name="SAPBEXHLevel3 2 3 3 4" xfId="48987" xr:uid="{00000000-0005-0000-0000-00000EC00000}"/>
    <cellStyle name="SAPBEXHLevel3 2 3 4" xfId="48988" xr:uid="{00000000-0005-0000-0000-00000FC00000}"/>
    <cellStyle name="SAPBEXHLevel3 2 3 4 2" xfId="48989" xr:uid="{00000000-0005-0000-0000-000010C00000}"/>
    <cellStyle name="SAPBEXHLevel3 2 3 4 2 2" xfId="48990" xr:uid="{00000000-0005-0000-0000-000011C00000}"/>
    <cellStyle name="SAPBEXHLevel3 2 3 4 3" xfId="48991" xr:uid="{00000000-0005-0000-0000-000012C00000}"/>
    <cellStyle name="SAPBEXHLevel3 2 3 5" xfId="48992" xr:uid="{00000000-0005-0000-0000-000013C00000}"/>
    <cellStyle name="SAPBEXHLevel3 2 3 5 2" xfId="48993" xr:uid="{00000000-0005-0000-0000-000014C00000}"/>
    <cellStyle name="SAPBEXHLevel3 2 3 5 2 2" xfId="48994" xr:uid="{00000000-0005-0000-0000-000015C00000}"/>
    <cellStyle name="SAPBEXHLevel3 2 3 5 3" xfId="48995" xr:uid="{00000000-0005-0000-0000-000016C00000}"/>
    <cellStyle name="SAPBEXHLevel3 2 3 6" xfId="48996" xr:uid="{00000000-0005-0000-0000-000017C00000}"/>
    <cellStyle name="SAPBEXHLevel3 2 3 6 2" xfId="48997" xr:uid="{00000000-0005-0000-0000-000018C00000}"/>
    <cellStyle name="SAPBEXHLevel3 2 3 7" xfId="48998" xr:uid="{00000000-0005-0000-0000-000019C00000}"/>
    <cellStyle name="SAPBEXHLevel3 2 4" xfId="48999" xr:uid="{00000000-0005-0000-0000-00001AC00000}"/>
    <cellStyle name="SAPBEXHLevel3 2 4 2" xfId="49000" xr:uid="{00000000-0005-0000-0000-00001BC00000}"/>
    <cellStyle name="SAPBEXHLevel3 2 4 2 2" xfId="49001" xr:uid="{00000000-0005-0000-0000-00001CC00000}"/>
    <cellStyle name="SAPBEXHLevel3 2 4 2 2 2" xfId="49002" xr:uid="{00000000-0005-0000-0000-00001DC00000}"/>
    <cellStyle name="SAPBEXHLevel3 2 4 2 2 2 2" xfId="49003" xr:uid="{00000000-0005-0000-0000-00001EC00000}"/>
    <cellStyle name="SAPBEXHLevel3 2 4 2 2 2 2 2" xfId="49004" xr:uid="{00000000-0005-0000-0000-00001FC00000}"/>
    <cellStyle name="SAPBEXHLevel3 2 4 2 2 2 2 2 2" xfId="49005" xr:uid="{00000000-0005-0000-0000-000020C00000}"/>
    <cellStyle name="SAPBEXHLevel3 2 4 2 2 2 2 3" xfId="49006" xr:uid="{00000000-0005-0000-0000-000021C00000}"/>
    <cellStyle name="SAPBEXHLevel3 2 4 2 2 2 3" xfId="49007" xr:uid="{00000000-0005-0000-0000-000022C00000}"/>
    <cellStyle name="SAPBEXHLevel3 2 4 2 2 2 3 2" xfId="49008" xr:uid="{00000000-0005-0000-0000-000023C00000}"/>
    <cellStyle name="SAPBEXHLevel3 2 4 2 2 2 4" xfId="49009" xr:uid="{00000000-0005-0000-0000-000024C00000}"/>
    <cellStyle name="SAPBEXHLevel3 2 4 2 2 3" xfId="49010" xr:uid="{00000000-0005-0000-0000-000025C00000}"/>
    <cellStyle name="SAPBEXHLevel3 2 4 2 2 3 2" xfId="49011" xr:uid="{00000000-0005-0000-0000-000026C00000}"/>
    <cellStyle name="SAPBEXHLevel3 2 4 2 2 3 2 2" xfId="49012" xr:uid="{00000000-0005-0000-0000-000027C00000}"/>
    <cellStyle name="SAPBEXHLevel3 2 4 2 2 3 3" xfId="49013" xr:uid="{00000000-0005-0000-0000-000028C00000}"/>
    <cellStyle name="SAPBEXHLevel3 2 4 2 2 4" xfId="49014" xr:uid="{00000000-0005-0000-0000-000029C00000}"/>
    <cellStyle name="SAPBEXHLevel3 2 4 2 2 4 2" xfId="49015" xr:uid="{00000000-0005-0000-0000-00002AC00000}"/>
    <cellStyle name="SAPBEXHLevel3 2 4 2 2 5" xfId="49016" xr:uid="{00000000-0005-0000-0000-00002BC00000}"/>
    <cellStyle name="SAPBEXHLevel3 2 4 2 3" xfId="49017" xr:uid="{00000000-0005-0000-0000-00002CC00000}"/>
    <cellStyle name="SAPBEXHLevel3 2 4 2 3 2" xfId="49018" xr:uid="{00000000-0005-0000-0000-00002DC00000}"/>
    <cellStyle name="SAPBEXHLevel3 2 4 2 3 2 2" xfId="49019" xr:uid="{00000000-0005-0000-0000-00002EC00000}"/>
    <cellStyle name="SAPBEXHLevel3 2 4 2 3 3" xfId="49020" xr:uid="{00000000-0005-0000-0000-00002FC00000}"/>
    <cellStyle name="SAPBEXHLevel3 2 4 2 4" xfId="49021" xr:uid="{00000000-0005-0000-0000-000030C00000}"/>
    <cellStyle name="SAPBEXHLevel3 2 4 2 4 2" xfId="49022" xr:uid="{00000000-0005-0000-0000-000031C00000}"/>
    <cellStyle name="SAPBEXHLevel3 2 4 2 4 2 2" xfId="49023" xr:uid="{00000000-0005-0000-0000-000032C00000}"/>
    <cellStyle name="SAPBEXHLevel3 2 4 2 4 2 2 2" xfId="49024" xr:uid="{00000000-0005-0000-0000-000033C00000}"/>
    <cellStyle name="SAPBEXHLevel3 2 4 2 4 2 3" xfId="49025" xr:uid="{00000000-0005-0000-0000-000034C00000}"/>
    <cellStyle name="SAPBEXHLevel3 2 4 2 4 3" xfId="49026" xr:uid="{00000000-0005-0000-0000-000035C00000}"/>
    <cellStyle name="SAPBEXHLevel3 2 4 2 4 3 2" xfId="49027" xr:uid="{00000000-0005-0000-0000-000036C00000}"/>
    <cellStyle name="SAPBEXHLevel3 2 4 2 4 4" xfId="49028" xr:uid="{00000000-0005-0000-0000-000037C00000}"/>
    <cellStyle name="SAPBEXHLevel3 2 4 2 5" xfId="49029" xr:uid="{00000000-0005-0000-0000-000038C00000}"/>
    <cellStyle name="SAPBEXHLevel3 2 4 2 5 2" xfId="49030" xr:uid="{00000000-0005-0000-0000-000039C00000}"/>
    <cellStyle name="SAPBEXHLevel3 2 4 2 5 2 2" xfId="49031" xr:uid="{00000000-0005-0000-0000-00003AC00000}"/>
    <cellStyle name="SAPBEXHLevel3 2 4 2 5 3" xfId="49032" xr:uid="{00000000-0005-0000-0000-00003BC00000}"/>
    <cellStyle name="SAPBEXHLevel3 2 4 2 6" xfId="49033" xr:uid="{00000000-0005-0000-0000-00003CC00000}"/>
    <cellStyle name="SAPBEXHLevel3 2 4 2 6 2" xfId="49034" xr:uid="{00000000-0005-0000-0000-00003DC00000}"/>
    <cellStyle name="SAPBEXHLevel3 2 4 2 7" xfId="49035" xr:uid="{00000000-0005-0000-0000-00003EC00000}"/>
    <cellStyle name="SAPBEXHLevel3 2 4 3" xfId="49036" xr:uid="{00000000-0005-0000-0000-00003FC00000}"/>
    <cellStyle name="SAPBEXHLevel3 2 4 3 2" xfId="49037" xr:uid="{00000000-0005-0000-0000-000040C00000}"/>
    <cellStyle name="SAPBEXHLevel3 2 4 3 2 2" xfId="49038" xr:uid="{00000000-0005-0000-0000-000041C00000}"/>
    <cellStyle name="SAPBEXHLevel3 2 4 3 2 2 2" xfId="49039" xr:uid="{00000000-0005-0000-0000-000042C00000}"/>
    <cellStyle name="SAPBEXHLevel3 2 4 3 2 2 2 2" xfId="49040" xr:uid="{00000000-0005-0000-0000-000043C00000}"/>
    <cellStyle name="SAPBEXHLevel3 2 4 3 2 2 2 2 2" xfId="49041" xr:uid="{00000000-0005-0000-0000-000044C00000}"/>
    <cellStyle name="SAPBEXHLevel3 2 4 3 2 2 2 3" xfId="49042" xr:uid="{00000000-0005-0000-0000-000045C00000}"/>
    <cellStyle name="SAPBEXHLevel3 2 4 3 2 2 3" xfId="49043" xr:uid="{00000000-0005-0000-0000-000046C00000}"/>
    <cellStyle name="SAPBEXHLevel3 2 4 3 2 2 3 2" xfId="49044" xr:uid="{00000000-0005-0000-0000-000047C00000}"/>
    <cellStyle name="SAPBEXHLevel3 2 4 3 2 2 4" xfId="49045" xr:uid="{00000000-0005-0000-0000-000048C00000}"/>
    <cellStyle name="SAPBEXHLevel3 2 4 3 2 3" xfId="49046" xr:uid="{00000000-0005-0000-0000-000049C00000}"/>
    <cellStyle name="SAPBEXHLevel3 2 4 3 2 3 2" xfId="49047" xr:uid="{00000000-0005-0000-0000-00004AC00000}"/>
    <cellStyle name="SAPBEXHLevel3 2 4 3 2 3 2 2" xfId="49048" xr:uid="{00000000-0005-0000-0000-00004BC00000}"/>
    <cellStyle name="SAPBEXHLevel3 2 4 3 2 3 3" xfId="49049" xr:uid="{00000000-0005-0000-0000-00004CC00000}"/>
    <cellStyle name="SAPBEXHLevel3 2 4 3 2 4" xfId="49050" xr:uid="{00000000-0005-0000-0000-00004DC00000}"/>
    <cellStyle name="SAPBEXHLevel3 2 4 3 2 4 2" xfId="49051" xr:uid="{00000000-0005-0000-0000-00004EC00000}"/>
    <cellStyle name="SAPBEXHLevel3 2 4 3 2 5" xfId="49052" xr:uid="{00000000-0005-0000-0000-00004FC00000}"/>
    <cellStyle name="SAPBEXHLevel3 2 4 3 3" xfId="49053" xr:uid="{00000000-0005-0000-0000-000050C00000}"/>
    <cellStyle name="SAPBEXHLevel3 2 4 3 3 2" xfId="49054" xr:uid="{00000000-0005-0000-0000-000051C00000}"/>
    <cellStyle name="SAPBEXHLevel3 2 4 3 3 2 2" xfId="49055" xr:uid="{00000000-0005-0000-0000-000052C00000}"/>
    <cellStyle name="SAPBEXHLevel3 2 4 3 3 2 2 2" xfId="49056" xr:uid="{00000000-0005-0000-0000-000053C00000}"/>
    <cellStyle name="SAPBEXHLevel3 2 4 3 3 2 3" xfId="49057" xr:uid="{00000000-0005-0000-0000-000054C00000}"/>
    <cellStyle name="SAPBEXHLevel3 2 4 3 3 3" xfId="49058" xr:uid="{00000000-0005-0000-0000-000055C00000}"/>
    <cellStyle name="SAPBEXHLevel3 2 4 3 3 3 2" xfId="49059" xr:uid="{00000000-0005-0000-0000-000056C00000}"/>
    <cellStyle name="SAPBEXHLevel3 2 4 3 3 4" xfId="49060" xr:uid="{00000000-0005-0000-0000-000057C00000}"/>
    <cellStyle name="SAPBEXHLevel3 2 4 3 4" xfId="49061" xr:uid="{00000000-0005-0000-0000-000058C00000}"/>
    <cellStyle name="SAPBEXHLevel3 2 4 3 4 2" xfId="49062" xr:uid="{00000000-0005-0000-0000-000059C00000}"/>
    <cellStyle name="SAPBEXHLevel3 2 4 3 4 2 2" xfId="49063" xr:uid="{00000000-0005-0000-0000-00005AC00000}"/>
    <cellStyle name="SAPBEXHLevel3 2 4 3 4 3" xfId="49064" xr:uid="{00000000-0005-0000-0000-00005BC00000}"/>
    <cellStyle name="SAPBEXHLevel3 2 4 3 5" xfId="49065" xr:uid="{00000000-0005-0000-0000-00005CC00000}"/>
    <cellStyle name="SAPBEXHLevel3 2 4 3 5 2" xfId="49066" xr:uid="{00000000-0005-0000-0000-00005DC00000}"/>
    <cellStyle name="SAPBEXHLevel3 2 4 3 6" xfId="49067" xr:uid="{00000000-0005-0000-0000-00005EC00000}"/>
    <cellStyle name="SAPBEXHLevel3 2 4 4" xfId="49068" xr:uid="{00000000-0005-0000-0000-00005FC00000}"/>
    <cellStyle name="SAPBEXHLevel3 2 4 4 2" xfId="49069" xr:uid="{00000000-0005-0000-0000-000060C00000}"/>
    <cellStyle name="SAPBEXHLevel3 2 4 4 2 2" xfId="49070" xr:uid="{00000000-0005-0000-0000-000061C00000}"/>
    <cellStyle name="SAPBEXHLevel3 2 4 4 3" xfId="49071" xr:uid="{00000000-0005-0000-0000-000062C00000}"/>
    <cellStyle name="SAPBEXHLevel3 2 4 5" xfId="49072" xr:uid="{00000000-0005-0000-0000-000063C00000}"/>
    <cellStyle name="SAPBEXHLevel3 2 4 5 2" xfId="49073" xr:uid="{00000000-0005-0000-0000-000064C00000}"/>
    <cellStyle name="SAPBEXHLevel3 2 4 5 2 2" xfId="49074" xr:uid="{00000000-0005-0000-0000-000065C00000}"/>
    <cellStyle name="SAPBEXHLevel3 2 4 5 2 2 2" xfId="49075" xr:uid="{00000000-0005-0000-0000-000066C00000}"/>
    <cellStyle name="SAPBEXHLevel3 2 4 5 2 3" xfId="49076" xr:uid="{00000000-0005-0000-0000-000067C00000}"/>
    <cellStyle name="SAPBEXHLevel3 2 4 5 3" xfId="49077" xr:uid="{00000000-0005-0000-0000-000068C00000}"/>
    <cellStyle name="SAPBEXHLevel3 2 4 5 3 2" xfId="49078" xr:uid="{00000000-0005-0000-0000-000069C00000}"/>
    <cellStyle name="SAPBEXHLevel3 2 4 5 4" xfId="49079" xr:uid="{00000000-0005-0000-0000-00006AC00000}"/>
    <cellStyle name="SAPBEXHLevel3 2 4 6" xfId="49080" xr:uid="{00000000-0005-0000-0000-00006BC00000}"/>
    <cellStyle name="SAPBEXHLevel3 2 4 6 2" xfId="49081" xr:uid="{00000000-0005-0000-0000-00006CC00000}"/>
    <cellStyle name="SAPBEXHLevel3 2 4 6 2 2" xfId="49082" xr:uid="{00000000-0005-0000-0000-00006DC00000}"/>
    <cellStyle name="SAPBEXHLevel3 2 4 6 3" xfId="49083" xr:uid="{00000000-0005-0000-0000-00006EC00000}"/>
    <cellStyle name="SAPBEXHLevel3 2 4 7" xfId="49084" xr:uid="{00000000-0005-0000-0000-00006FC00000}"/>
    <cellStyle name="SAPBEXHLevel3 2 4 7 2" xfId="49085" xr:uid="{00000000-0005-0000-0000-000070C00000}"/>
    <cellStyle name="SAPBEXHLevel3 2 4 8" xfId="49086" xr:uid="{00000000-0005-0000-0000-000071C00000}"/>
    <cellStyle name="SAPBEXHLevel3 2 5" xfId="49087" xr:uid="{00000000-0005-0000-0000-000072C00000}"/>
    <cellStyle name="SAPBEXHLevel3 2 5 2" xfId="49088" xr:uid="{00000000-0005-0000-0000-000073C00000}"/>
    <cellStyle name="SAPBEXHLevel3 2 5 2 2" xfId="49089" xr:uid="{00000000-0005-0000-0000-000074C00000}"/>
    <cellStyle name="SAPBEXHLevel3 2 5 2 2 2" xfId="49090" xr:uid="{00000000-0005-0000-0000-000075C00000}"/>
    <cellStyle name="SAPBEXHLevel3 2 5 2 3" xfId="49091" xr:uid="{00000000-0005-0000-0000-000076C00000}"/>
    <cellStyle name="SAPBEXHLevel3 2 5 3" xfId="49092" xr:uid="{00000000-0005-0000-0000-000077C00000}"/>
    <cellStyle name="SAPBEXHLevel3 2 5 3 2" xfId="49093" xr:uid="{00000000-0005-0000-0000-000078C00000}"/>
    <cellStyle name="SAPBEXHLevel3 2 5 4" xfId="49094" xr:uid="{00000000-0005-0000-0000-000079C00000}"/>
    <cellStyle name="SAPBEXHLevel3 2 6" xfId="49095" xr:uid="{00000000-0005-0000-0000-00007AC00000}"/>
    <cellStyle name="SAPBEXHLevel3 2 6 2" xfId="49096" xr:uid="{00000000-0005-0000-0000-00007BC00000}"/>
    <cellStyle name="SAPBEXHLevel3 2 6 2 2" xfId="49097" xr:uid="{00000000-0005-0000-0000-00007CC00000}"/>
    <cellStyle name="SAPBEXHLevel3 2 6 3" xfId="49098" xr:uid="{00000000-0005-0000-0000-00007DC00000}"/>
    <cellStyle name="SAPBEXHLevel3 2 7" xfId="49099" xr:uid="{00000000-0005-0000-0000-00007EC00000}"/>
    <cellStyle name="SAPBEXHLevel3 2 7 2" xfId="49100" xr:uid="{00000000-0005-0000-0000-00007FC00000}"/>
    <cellStyle name="SAPBEXHLevel3 2 7 2 2" xfId="49101" xr:uid="{00000000-0005-0000-0000-000080C00000}"/>
    <cellStyle name="SAPBEXHLevel3 2 7 3" xfId="49102" xr:uid="{00000000-0005-0000-0000-000081C00000}"/>
    <cellStyle name="SAPBEXHLevel3 2 8" xfId="49103" xr:uid="{00000000-0005-0000-0000-000082C00000}"/>
    <cellStyle name="SAPBEXHLevel3 2 8 2" xfId="49104" xr:uid="{00000000-0005-0000-0000-000083C00000}"/>
    <cellStyle name="SAPBEXHLevel3 2 9" xfId="49105" xr:uid="{00000000-0005-0000-0000-000084C00000}"/>
    <cellStyle name="SAPBEXHLevel3 3" xfId="49106" xr:uid="{00000000-0005-0000-0000-000085C00000}"/>
    <cellStyle name="SAPBEXHLevel3 3 2" xfId="49107" xr:uid="{00000000-0005-0000-0000-000086C00000}"/>
    <cellStyle name="SAPBEXHLevel3 3 2 2" xfId="49108" xr:uid="{00000000-0005-0000-0000-000087C00000}"/>
    <cellStyle name="SAPBEXHLevel3 3 2 2 2" xfId="49109" xr:uid="{00000000-0005-0000-0000-000088C00000}"/>
    <cellStyle name="SAPBEXHLevel3 3 2 2 2 2" xfId="49110" xr:uid="{00000000-0005-0000-0000-000089C00000}"/>
    <cellStyle name="SAPBEXHLevel3 3 2 2 3" xfId="49111" xr:uid="{00000000-0005-0000-0000-00008AC00000}"/>
    <cellStyle name="SAPBEXHLevel3 3 2 3" xfId="49112" xr:uid="{00000000-0005-0000-0000-00008BC00000}"/>
    <cellStyle name="SAPBEXHLevel3 3 2 3 2" xfId="49113" xr:uid="{00000000-0005-0000-0000-00008CC00000}"/>
    <cellStyle name="SAPBEXHLevel3 3 2 3 2 2" xfId="49114" xr:uid="{00000000-0005-0000-0000-00008DC00000}"/>
    <cellStyle name="SAPBEXHLevel3 3 2 3 3" xfId="49115" xr:uid="{00000000-0005-0000-0000-00008EC00000}"/>
    <cellStyle name="SAPBEXHLevel3 3 2 4" xfId="49116" xr:uid="{00000000-0005-0000-0000-00008FC00000}"/>
    <cellStyle name="SAPBEXHLevel3 3 2 4 2" xfId="49117" xr:uid="{00000000-0005-0000-0000-000090C00000}"/>
    <cellStyle name="SAPBEXHLevel3 3 2 4 2 2" xfId="49118" xr:uid="{00000000-0005-0000-0000-000091C00000}"/>
    <cellStyle name="SAPBEXHLevel3 3 2 4 3" xfId="49119" xr:uid="{00000000-0005-0000-0000-000092C00000}"/>
    <cellStyle name="SAPBEXHLevel3 3 2 5" xfId="49120" xr:uid="{00000000-0005-0000-0000-000093C00000}"/>
    <cellStyle name="SAPBEXHLevel3 3 2 5 2" xfId="49121" xr:uid="{00000000-0005-0000-0000-000094C00000}"/>
    <cellStyle name="SAPBEXHLevel3 3 2 6" xfId="49122" xr:uid="{00000000-0005-0000-0000-000095C00000}"/>
    <cellStyle name="SAPBEXHLevel3 3 3" xfId="49123" xr:uid="{00000000-0005-0000-0000-000096C00000}"/>
    <cellStyle name="SAPBEXHLevel3 3 3 2" xfId="49124" xr:uid="{00000000-0005-0000-0000-000097C00000}"/>
    <cellStyle name="SAPBEXHLevel3 3 3 2 2" xfId="49125" xr:uid="{00000000-0005-0000-0000-000098C00000}"/>
    <cellStyle name="SAPBEXHLevel3 3 3 2 2 2" xfId="49126" xr:uid="{00000000-0005-0000-0000-000099C00000}"/>
    <cellStyle name="SAPBEXHLevel3 3 3 2 3" xfId="49127" xr:uid="{00000000-0005-0000-0000-00009AC00000}"/>
    <cellStyle name="SAPBEXHLevel3 3 3 3" xfId="49128" xr:uid="{00000000-0005-0000-0000-00009BC00000}"/>
    <cellStyle name="SAPBEXHLevel3 3 3 3 2" xfId="49129" xr:uid="{00000000-0005-0000-0000-00009CC00000}"/>
    <cellStyle name="SAPBEXHLevel3 3 3 4" xfId="49130" xr:uid="{00000000-0005-0000-0000-00009DC00000}"/>
    <cellStyle name="SAPBEXHLevel3 3 4" xfId="49131" xr:uid="{00000000-0005-0000-0000-00009EC00000}"/>
    <cellStyle name="SAPBEXHLevel3 3 4 2" xfId="49132" xr:uid="{00000000-0005-0000-0000-00009FC00000}"/>
    <cellStyle name="SAPBEXHLevel3 3 4 2 2" xfId="49133" xr:uid="{00000000-0005-0000-0000-0000A0C00000}"/>
    <cellStyle name="SAPBEXHLevel3 3 4 3" xfId="49134" xr:uid="{00000000-0005-0000-0000-0000A1C00000}"/>
    <cellStyle name="SAPBEXHLevel3 3 5" xfId="49135" xr:uid="{00000000-0005-0000-0000-0000A2C00000}"/>
    <cellStyle name="SAPBEXHLevel3 3 5 2" xfId="49136" xr:uid="{00000000-0005-0000-0000-0000A3C00000}"/>
    <cellStyle name="SAPBEXHLevel3 3 5 2 2" xfId="49137" xr:uid="{00000000-0005-0000-0000-0000A4C00000}"/>
    <cellStyle name="SAPBEXHLevel3 3 5 3" xfId="49138" xr:uid="{00000000-0005-0000-0000-0000A5C00000}"/>
    <cellStyle name="SAPBEXHLevel3 3 6" xfId="49139" xr:uid="{00000000-0005-0000-0000-0000A6C00000}"/>
    <cellStyle name="SAPBEXHLevel3 3 6 2" xfId="49140" xr:uid="{00000000-0005-0000-0000-0000A7C00000}"/>
    <cellStyle name="SAPBEXHLevel3 3 7" xfId="49141" xr:uid="{00000000-0005-0000-0000-0000A8C00000}"/>
    <cellStyle name="SAPBEXHLevel3 4" xfId="49142" xr:uid="{00000000-0005-0000-0000-0000A9C00000}"/>
    <cellStyle name="SAPBEXHLevel3 4 2" xfId="49143" xr:uid="{00000000-0005-0000-0000-0000AAC00000}"/>
    <cellStyle name="SAPBEXHLevel3 4 2 2" xfId="49144" xr:uid="{00000000-0005-0000-0000-0000ABC00000}"/>
    <cellStyle name="SAPBEXHLevel3 4 2 2 2" xfId="49145" xr:uid="{00000000-0005-0000-0000-0000ACC00000}"/>
    <cellStyle name="SAPBEXHLevel3 4 2 2 2 2" xfId="49146" xr:uid="{00000000-0005-0000-0000-0000ADC00000}"/>
    <cellStyle name="SAPBEXHLevel3 4 2 2 3" xfId="49147" xr:uid="{00000000-0005-0000-0000-0000AEC00000}"/>
    <cellStyle name="SAPBEXHLevel3 4 2 3" xfId="49148" xr:uid="{00000000-0005-0000-0000-0000AFC00000}"/>
    <cellStyle name="SAPBEXHLevel3 4 2 3 2" xfId="49149" xr:uid="{00000000-0005-0000-0000-0000B0C00000}"/>
    <cellStyle name="SAPBEXHLevel3 4 2 3 2 2" xfId="49150" xr:uid="{00000000-0005-0000-0000-0000B1C00000}"/>
    <cellStyle name="SAPBEXHLevel3 4 2 3 3" xfId="49151" xr:uid="{00000000-0005-0000-0000-0000B2C00000}"/>
    <cellStyle name="SAPBEXHLevel3 4 2 4" xfId="49152" xr:uid="{00000000-0005-0000-0000-0000B3C00000}"/>
    <cellStyle name="SAPBEXHLevel3 4 2 4 2" xfId="49153" xr:uid="{00000000-0005-0000-0000-0000B4C00000}"/>
    <cellStyle name="SAPBEXHLevel3 4 2 4 2 2" xfId="49154" xr:uid="{00000000-0005-0000-0000-0000B5C00000}"/>
    <cellStyle name="SAPBEXHLevel3 4 2 4 3" xfId="49155" xr:uid="{00000000-0005-0000-0000-0000B6C00000}"/>
    <cellStyle name="SAPBEXHLevel3 4 2 5" xfId="49156" xr:uid="{00000000-0005-0000-0000-0000B7C00000}"/>
    <cellStyle name="SAPBEXHLevel3 4 2 5 2" xfId="49157" xr:uid="{00000000-0005-0000-0000-0000B8C00000}"/>
    <cellStyle name="SAPBEXHLevel3 4 2 6" xfId="49158" xr:uid="{00000000-0005-0000-0000-0000B9C00000}"/>
    <cellStyle name="SAPBEXHLevel3 4 3" xfId="49159" xr:uid="{00000000-0005-0000-0000-0000BAC00000}"/>
    <cellStyle name="SAPBEXHLevel3 4 3 2" xfId="49160" xr:uid="{00000000-0005-0000-0000-0000BBC00000}"/>
    <cellStyle name="SAPBEXHLevel3 4 3 2 2" xfId="49161" xr:uid="{00000000-0005-0000-0000-0000BCC00000}"/>
    <cellStyle name="SAPBEXHLevel3 4 3 2 2 2" xfId="49162" xr:uid="{00000000-0005-0000-0000-0000BDC00000}"/>
    <cellStyle name="SAPBEXHLevel3 4 3 2 2 2 2" xfId="49163" xr:uid="{00000000-0005-0000-0000-0000BEC00000}"/>
    <cellStyle name="SAPBEXHLevel3 4 3 2 2 3" xfId="49164" xr:uid="{00000000-0005-0000-0000-0000BFC00000}"/>
    <cellStyle name="SAPBEXHLevel3 4 3 2 3" xfId="49165" xr:uid="{00000000-0005-0000-0000-0000C0C00000}"/>
    <cellStyle name="SAPBEXHLevel3 4 3 2 3 2" xfId="49166" xr:uid="{00000000-0005-0000-0000-0000C1C00000}"/>
    <cellStyle name="SAPBEXHLevel3 4 3 2 3 2 2" xfId="49167" xr:uid="{00000000-0005-0000-0000-0000C2C00000}"/>
    <cellStyle name="SAPBEXHLevel3 4 3 2 3 3" xfId="49168" xr:uid="{00000000-0005-0000-0000-0000C3C00000}"/>
    <cellStyle name="SAPBEXHLevel3 4 3 2 4" xfId="49169" xr:uid="{00000000-0005-0000-0000-0000C4C00000}"/>
    <cellStyle name="SAPBEXHLevel3 4 3 2 4 2" xfId="49170" xr:uid="{00000000-0005-0000-0000-0000C5C00000}"/>
    <cellStyle name="SAPBEXHLevel3 4 3 2 5" xfId="49171" xr:uid="{00000000-0005-0000-0000-0000C6C00000}"/>
    <cellStyle name="SAPBEXHLevel3 4 3 3" xfId="49172" xr:uid="{00000000-0005-0000-0000-0000C7C00000}"/>
    <cellStyle name="SAPBEXHLevel3 4 3 3 2" xfId="49173" xr:uid="{00000000-0005-0000-0000-0000C8C00000}"/>
    <cellStyle name="SAPBEXHLevel3 4 3 3 2 2" xfId="49174" xr:uid="{00000000-0005-0000-0000-0000C9C00000}"/>
    <cellStyle name="SAPBEXHLevel3 4 3 3 2 2 2" xfId="49175" xr:uid="{00000000-0005-0000-0000-0000CAC00000}"/>
    <cellStyle name="SAPBEXHLevel3 4 3 3 2 3" xfId="49176" xr:uid="{00000000-0005-0000-0000-0000CBC00000}"/>
    <cellStyle name="SAPBEXHLevel3 4 3 3 3" xfId="49177" xr:uid="{00000000-0005-0000-0000-0000CCC00000}"/>
    <cellStyle name="SAPBEXHLevel3 4 3 3 3 2" xfId="49178" xr:uid="{00000000-0005-0000-0000-0000CDC00000}"/>
    <cellStyle name="SAPBEXHLevel3 4 3 3 4" xfId="49179" xr:uid="{00000000-0005-0000-0000-0000CEC00000}"/>
    <cellStyle name="SAPBEXHLevel3 4 3 4" xfId="49180" xr:uid="{00000000-0005-0000-0000-0000CFC00000}"/>
    <cellStyle name="SAPBEXHLevel3 4 3 4 2" xfId="49181" xr:uid="{00000000-0005-0000-0000-0000D0C00000}"/>
    <cellStyle name="SAPBEXHLevel3 4 3 4 2 2" xfId="49182" xr:uid="{00000000-0005-0000-0000-0000D1C00000}"/>
    <cellStyle name="SAPBEXHLevel3 4 3 4 3" xfId="49183" xr:uid="{00000000-0005-0000-0000-0000D2C00000}"/>
    <cellStyle name="SAPBEXHLevel3 4 3 5" xfId="49184" xr:uid="{00000000-0005-0000-0000-0000D3C00000}"/>
    <cellStyle name="SAPBEXHLevel3 4 3 5 2" xfId="49185" xr:uid="{00000000-0005-0000-0000-0000D4C00000}"/>
    <cellStyle name="SAPBEXHLevel3 4 3 5 2 2" xfId="49186" xr:uid="{00000000-0005-0000-0000-0000D5C00000}"/>
    <cellStyle name="SAPBEXHLevel3 4 3 5 3" xfId="49187" xr:uid="{00000000-0005-0000-0000-0000D6C00000}"/>
    <cellStyle name="SAPBEXHLevel3 4 3 6" xfId="49188" xr:uid="{00000000-0005-0000-0000-0000D7C00000}"/>
    <cellStyle name="SAPBEXHLevel3 4 3 6 2" xfId="49189" xr:uid="{00000000-0005-0000-0000-0000D8C00000}"/>
    <cellStyle name="SAPBEXHLevel3 4 3 7" xfId="49190" xr:uid="{00000000-0005-0000-0000-0000D9C00000}"/>
    <cellStyle name="SAPBEXHLevel3 4 4" xfId="49191" xr:uid="{00000000-0005-0000-0000-0000DAC00000}"/>
    <cellStyle name="SAPBEXHLevel3 4 4 2" xfId="49192" xr:uid="{00000000-0005-0000-0000-0000DBC00000}"/>
    <cellStyle name="SAPBEXHLevel3 4 4 2 2" xfId="49193" xr:uid="{00000000-0005-0000-0000-0000DCC00000}"/>
    <cellStyle name="SAPBEXHLevel3 4 4 2 2 2" xfId="49194" xr:uid="{00000000-0005-0000-0000-0000DDC00000}"/>
    <cellStyle name="SAPBEXHLevel3 4 4 2 3" xfId="49195" xr:uid="{00000000-0005-0000-0000-0000DEC00000}"/>
    <cellStyle name="SAPBEXHLevel3 4 4 3" xfId="49196" xr:uid="{00000000-0005-0000-0000-0000DFC00000}"/>
    <cellStyle name="SAPBEXHLevel3 4 4 3 2" xfId="49197" xr:uid="{00000000-0005-0000-0000-0000E0C00000}"/>
    <cellStyle name="SAPBEXHLevel3 4 4 4" xfId="49198" xr:uid="{00000000-0005-0000-0000-0000E1C00000}"/>
    <cellStyle name="SAPBEXHLevel3 4 5" xfId="49199" xr:uid="{00000000-0005-0000-0000-0000E2C00000}"/>
    <cellStyle name="SAPBEXHLevel3 4 5 2" xfId="49200" xr:uid="{00000000-0005-0000-0000-0000E3C00000}"/>
    <cellStyle name="SAPBEXHLevel3 4 5 2 2" xfId="49201" xr:uid="{00000000-0005-0000-0000-0000E4C00000}"/>
    <cellStyle name="SAPBEXHLevel3 4 5 3" xfId="49202" xr:uid="{00000000-0005-0000-0000-0000E5C00000}"/>
    <cellStyle name="SAPBEXHLevel3 4 6" xfId="49203" xr:uid="{00000000-0005-0000-0000-0000E6C00000}"/>
    <cellStyle name="SAPBEXHLevel3 4 6 2" xfId="49204" xr:uid="{00000000-0005-0000-0000-0000E7C00000}"/>
    <cellStyle name="SAPBEXHLevel3 4 6 2 2" xfId="49205" xr:uid="{00000000-0005-0000-0000-0000E8C00000}"/>
    <cellStyle name="SAPBEXHLevel3 4 6 3" xfId="49206" xr:uid="{00000000-0005-0000-0000-0000E9C00000}"/>
    <cellStyle name="SAPBEXHLevel3 4 7" xfId="49207" xr:uid="{00000000-0005-0000-0000-0000EAC00000}"/>
    <cellStyle name="SAPBEXHLevel3 4 7 2" xfId="49208" xr:uid="{00000000-0005-0000-0000-0000EBC00000}"/>
    <cellStyle name="SAPBEXHLevel3 4 8" xfId="49209" xr:uid="{00000000-0005-0000-0000-0000ECC00000}"/>
    <cellStyle name="SAPBEXHLevel3 5" xfId="49210" xr:uid="{00000000-0005-0000-0000-0000EDC00000}"/>
    <cellStyle name="SAPBEXHLevel3 5 2" xfId="49211" xr:uid="{00000000-0005-0000-0000-0000EEC00000}"/>
    <cellStyle name="SAPBEXHLevel3 5 2 2" xfId="49212" xr:uid="{00000000-0005-0000-0000-0000EFC00000}"/>
    <cellStyle name="SAPBEXHLevel3 5 2 2 2" xfId="49213" xr:uid="{00000000-0005-0000-0000-0000F0C00000}"/>
    <cellStyle name="SAPBEXHLevel3 5 2 3" xfId="49214" xr:uid="{00000000-0005-0000-0000-0000F1C00000}"/>
    <cellStyle name="SAPBEXHLevel3 5 3" xfId="49215" xr:uid="{00000000-0005-0000-0000-0000F2C00000}"/>
    <cellStyle name="SAPBEXHLevel3 5 3 2" xfId="49216" xr:uid="{00000000-0005-0000-0000-0000F3C00000}"/>
    <cellStyle name="SAPBEXHLevel3 5 3 2 2" xfId="49217" xr:uid="{00000000-0005-0000-0000-0000F4C00000}"/>
    <cellStyle name="SAPBEXHLevel3 5 3 3" xfId="49218" xr:uid="{00000000-0005-0000-0000-0000F5C00000}"/>
    <cellStyle name="SAPBEXHLevel3 5 4" xfId="49219" xr:uid="{00000000-0005-0000-0000-0000F6C00000}"/>
    <cellStyle name="SAPBEXHLevel3 5 4 2" xfId="49220" xr:uid="{00000000-0005-0000-0000-0000F7C00000}"/>
    <cellStyle name="SAPBEXHLevel3 5 4 2 2" xfId="49221" xr:uid="{00000000-0005-0000-0000-0000F8C00000}"/>
    <cellStyle name="SAPBEXHLevel3 5 4 3" xfId="49222" xr:uid="{00000000-0005-0000-0000-0000F9C00000}"/>
    <cellStyle name="SAPBEXHLevel3 5 5" xfId="49223" xr:uid="{00000000-0005-0000-0000-0000FAC00000}"/>
    <cellStyle name="SAPBEXHLevel3 5 5 2" xfId="49224" xr:uid="{00000000-0005-0000-0000-0000FBC00000}"/>
    <cellStyle name="SAPBEXHLevel3 5 6" xfId="49225" xr:uid="{00000000-0005-0000-0000-0000FCC00000}"/>
    <cellStyle name="SAPBEXHLevel3 6" xfId="49226" xr:uid="{00000000-0005-0000-0000-0000FDC00000}"/>
    <cellStyle name="SAPBEXHLevel3 6 2" xfId="49227" xr:uid="{00000000-0005-0000-0000-0000FEC00000}"/>
    <cellStyle name="SAPBEXHLevel3 6 2 2" xfId="49228" xr:uid="{00000000-0005-0000-0000-0000FFC00000}"/>
    <cellStyle name="SAPBEXHLevel3 6 3" xfId="49229" xr:uid="{00000000-0005-0000-0000-000000C10000}"/>
    <cellStyle name="SAPBEXHLevel3 6 3 2" xfId="49230" xr:uid="{00000000-0005-0000-0000-000001C10000}"/>
    <cellStyle name="SAPBEXHLevel3 6 3 2 2" xfId="49231" xr:uid="{00000000-0005-0000-0000-000002C10000}"/>
    <cellStyle name="SAPBEXHLevel3 6 3 3" xfId="49232" xr:uid="{00000000-0005-0000-0000-000003C10000}"/>
    <cellStyle name="SAPBEXHLevel3 6 4" xfId="49233" xr:uid="{00000000-0005-0000-0000-000004C10000}"/>
    <cellStyle name="SAPBEXHLevel3 6 4 2" xfId="49234" xr:uid="{00000000-0005-0000-0000-000005C10000}"/>
    <cellStyle name="SAPBEXHLevel3 6 4 2 2" xfId="49235" xr:uid="{00000000-0005-0000-0000-000006C10000}"/>
    <cellStyle name="SAPBEXHLevel3 6 4 3" xfId="49236" xr:uid="{00000000-0005-0000-0000-000007C10000}"/>
    <cellStyle name="SAPBEXHLevel3 6 5" xfId="49237" xr:uid="{00000000-0005-0000-0000-000008C10000}"/>
    <cellStyle name="SAPBEXHLevel3 7" xfId="49238" xr:uid="{00000000-0005-0000-0000-000009C10000}"/>
    <cellStyle name="SAPBEXHLevel3 7 2" xfId="49239" xr:uid="{00000000-0005-0000-0000-00000AC10000}"/>
    <cellStyle name="SAPBEXHLevel3 7 2 2" xfId="49240" xr:uid="{00000000-0005-0000-0000-00000BC10000}"/>
    <cellStyle name="SAPBEXHLevel3 7 2 2 2" xfId="49241" xr:uid="{00000000-0005-0000-0000-00000CC10000}"/>
    <cellStyle name="SAPBEXHLevel3 7 2 3" xfId="49242" xr:uid="{00000000-0005-0000-0000-00000DC10000}"/>
    <cellStyle name="SAPBEXHLevel3 7 2 3 2" xfId="49243" xr:uid="{00000000-0005-0000-0000-00000EC10000}"/>
    <cellStyle name="SAPBEXHLevel3 7 2 3 2 2" xfId="49244" xr:uid="{00000000-0005-0000-0000-00000FC10000}"/>
    <cellStyle name="SAPBEXHLevel3 7 2 3 3" xfId="49245" xr:uid="{00000000-0005-0000-0000-000010C10000}"/>
    <cellStyle name="SAPBEXHLevel3 7 2 4" xfId="49246" xr:uid="{00000000-0005-0000-0000-000011C10000}"/>
    <cellStyle name="SAPBEXHLevel3 7 3" xfId="49247" xr:uid="{00000000-0005-0000-0000-000012C10000}"/>
    <cellStyle name="SAPBEXHLevel3 7 3 2" xfId="49248" xr:uid="{00000000-0005-0000-0000-000013C10000}"/>
    <cellStyle name="SAPBEXHLevel3 7 3 2 2" xfId="49249" xr:uid="{00000000-0005-0000-0000-000014C10000}"/>
    <cellStyle name="SAPBEXHLevel3 7 3 3" xfId="49250" xr:uid="{00000000-0005-0000-0000-000015C10000}"/>
    <cellStyle name="SAPBEXHLevel3 7 4" xfId="49251" xr:uid="{00000000-0005-0000-0000-000016C10000}"/>
    <cellStyle name="SAPBEXHLevel3 7 4 2" xfId="49252" xr:uid="{00000000-0005-0000-0000-000017C10000}"/>
    <cellStyle name="SAPBEXHLevel3 7 4 2 2" xfId="49253" xr:uid="{00000000-0005-0000-0000-000018C10000}"/>
    <cellStyle name="SAPBEXHLevel3 7 4 3" xfId="49254" xr:uid="{00000000-0005-0000-0000-000019C10000}"/>
    <cellStyle name="SAPBEXHLevel3 7 5" xfId="49255" xr:uid="{00000000-0005-0000-0000-00001AC10000}"/>
    <cellStyle name="SAPBEXHLevel3 7 5 2" xfId="49256" xr:uid="{00000000-0005-0000-0000-00001BC10000}"/>
    <cellStyle name="SAPBEXHLevel3 7 5 2 2" xfId="49257" xr:uid="{00000000-0005-0000-0000-00001CC10000}"/>
    <cellStyle name="SAPBEXHLevel3 7 5 3" xfId="49258" xr:uid="{00000000-0005-0000-0000-00001DC10000}"/>
    <cellStyle name="SAPBEXHLevel3 7 6" xfId="49259" xr:uid="{00000000-0005-0000-0000-00001EC10000}"/>
    <cellStyle name="SAPBEXHLevel3 8" xfId="49260" xr:uid="{00000000-0005-0000-0000-00001FC10000}"/>
    <cellStyle name="SAPBEXHLevel3 8 2" xfId="49261" xr:uid="{00000000-0005-0000-0000-000020C10000}"/>
    <cellStyle name="SAPBEXHLevel3 8 2 2" xfId="49262" xr:uid="{00000000-0005-0000-0000-000021C10000}"/>
    <cellStyle name="SAPBEXHLevel3 8 3" xfId="49263" xr:uid="{00000000-0005-0000-0000-000022C10000}"/>
    <cellStyle name="SAPBEXHLevel3 9" xfId="49264" xr:uid="{00000000-0005-0000-0000-000023C10000}"/>
    <cellStyle name="SAPBEXHLevel3 9 2" xfId="49265" xr:uid="{00000000-0005-0000-0000-000024C10000}"/>
    <cellStyle name="SAPBEXHLevel3 9 2 2" xfId="49266" xr:uid="{00000000-0005-0000-0000-000025C10000}"/>
    <cellStyle name="SAPBEXHLevel3 9 3" xfId="49267" xr:uid="{00000000-0005-0000-0000-000026C10000}"/>
    <cellStyle name="SAPBEXHLevel3X" xfId="67" xr:uid="{00000000-0005-0000-0000-000027C10000}"/>
    <cellStyle name="SAPBEXHLevel3X 10" xfId="49268" xr:uid="{00000000-0005-0000-0000-000028C10000}"/>
    <cellStyle name="SAPBEXHLevel3X 10 2" xfId="49269" xr:uid="{00000000-0005-0000-0000-000029C10000}"/>
    <cellStyle name="SAPBEXHLevel3X 10 2 2" xfId="49270" xr:uid="{00000000-0005-0000-0000-00002AC10000}"/>
    <cellStyle name="SAPBEXHLevel3X 10 3" xfId="49271" xr:uid="{00000000-0005-0000-0000-00002BC10000}"/>
    <cellStyle name="SAPBEXHLevel3X 11" xfId="49272" xr:uid="{00000000-0005-0000-0000-00002CC10000}"/>
    <cellStyle name="SAPBEXHLevel3X 11 2" xfId="49273" xr:uid="{00000000-0005-0000-0000-00002DC10000}"/>
    <cellStyle name="SAPBEXHLevel3X 11 2 2" xfId="49274" xr:uid="{00000000-0005-0000-0000-00002EC10000}"/>
    <cellStyle name="SAPBEXHLevel3X 11 3" xfId="49275" xr:uid="{00000000-0005-0000-0000-00002FC10000}"/>
    <cellStyle name="SAPBEXHLevel3X 12" xfId="49276" xr:uid="{00000000-0005-0000-0000-000030C10000}"/>
    <cellStyle name="SAPBEXHLevel3X 12 2" xfId="49277" xr:uid="{00000000-0005-0000-0000-000031C10000}"/>
    <cellStyle name="SAPBEXHLevel3X 12 2 2" xfId="49278" xr:uid="{00000000-0005-0000-0000-000032C10000}"/>
    <cellStyle name="SAPBEXHLevel3X 12 3" xfId="49279" xr:uid="{00000000-0005-0000-0000-000033C10000}"/>
    <cellStyle name="SAPBEXHLevel3X 13" xfId="49280" xr:uid="{00000000-0005-0000-0000-000034C10000}"/>
    <cellStyle name="SAPBEXHLevel3X 13 2" xfId="49281" xr:uid="{00000000-0005-0000-0000-000035C10000}"/>
    <cellStyle name="SAPBEXHLevel3X 13 2 2" xfId="49282" xr:uid="{00000000-0005-0000-0000-000036C10000}"/>
    <cellStyle name="SAPBEXHLevel3X 13 3" xfId="49283" xr:uid="{00000000-0005-0000-0000-000037C10000}"/>
    <cellStyle name="SAPBEXHLevel3X 14" xfId="49284" xr:uid="{00000000-0005-0000-0000-000038C10000}"/>
    <cellStyle name="SAPBEXHLevel3X 14 2" xfId="49285" xr:uid="{00000000-0005-0000-0000-000039C10000}"/>
    <cellStyle name="SAPBEXHLevel3X 15" xfId="49286" xr:uid="{00000000-0005-0000-0000-00003AC10000}"/>
    <cellStyle name="SAPBEXHLevel3X 15 2" xfId="49287" xr:uid="{00000000-0005-0000-0000-00003BC10000}"/>
    <cellStyle name="SAPBEXHLevel3X 15 2 2" xfId="49288" xr:uid="{00000000-0005-0000-0000-00003CC10000}"/>
    <cellStyle name="SAPBEXHLevel3X 15 3" xfId="49289" xr:uid="{00000000-0005-0000-0000-00003DC10000}"/>
    <cellStyle name="SAPBEXHLevel3X 15 3 2" xfId="49290" xr:uid="{00000000-0005-0000-0000-00003EC10000}"/>
    <cellStyle name="SAPBEXHLevel3X 15 4" xfId="49291" xr:uid="{00000000-0005-0000-0000-00003FC10000}"/>
    <cellStyle name="SAPBEXHLevel3X 16" xfId="49292" xr:uid="{00000000-0005-0000-0000-000040C10000}"/>
    <cellStyle name="SAPBEXHLevel3X 16 2" xfId="49293" xr:uid="{00000000-0005-0000-0000-000041C10000}"/>
    <cellStyle name="SAPBEXHLevel3X 17" xfId="49294" xr:uid="{00000000-0005-0000-0000-000042C10000}"/>
    <cellStyle name="SAPBEXHLevel3X 17 2" xfId="49295" xr:uid="{00000000-0005-0000-0000-000043C10000}"/>
    <cellStyle name="SAPBEXHLevel3X 17 3" xfId="49296" xr:uid="{00000000-0005-0000-0000-000044C10000}"/>
    <cellStyle name="SAPBEXHLevel3X 18" xfId="49297" xr:uid="{00000000-0005-0000-0000-000045C10000}"/>
    <cellStyle name="SAPBEXHLevel3X 18 2" xfId="49298" xr:uid="{00000000-0005-0000-0000-000046C10000}"/>
    <cellStyle name="SAPBEXHLevel3X 19" xfId="49299" xr:uid="{00000000-0005-0000-0000-000047C10000}"/>
    <cellStyle name="SAPBEXHLevel3X 19 2" xfId="49300" xr:uid="{00000000-0005-0000-0000-000048C10000}"/>
    <cellStyle name="SAPBEXHLevel3X 2" xfId="91" xr:uid="{00000000-0005-0000-0000-000049C10000}"/>
    <cellStyle name="SAPBEXHLevel3X 2 2" xfId="49301" xr:uid="{00000000-0005-0000-0000-00004AC10000}"/>
    <cellStyle name="SAPBEXHLevel3X 2 2 2" xfId="49302" xr:uid="{00000000-0005-0000-0000-00004BC10000}"/>
    <cellStyle name="SAPBEXHLevel3X 2 2 2 2" xfId="49303" xr:uid="{00000000-0005-0000-0000-00004CC10000}"/>
    <cellStyle name="SAPBEXHLevel3X 2 2 2 2 2" xfId="49304" xr:uid="{00000000-0005-0000-0000-00004DC10000}"/>
    <cellStyle name="SAPBEXHLevel3X 2 2 2 3" xfId="49305" xr:uid="{00000000-0005-0000-0000-00004EC10000}"/>
    <cellStyle name="SAPBEXHLevel3X 2 2 3" xfId="49306" xr:uid="{00000000-0005-0000-0000-00004FC10000}"/>
    <cellStyle name="SAPBEXHLevel3X 2 2 3 2" xfId="49307" xr:uid="{00000000-0005-0000-0000-000050C10000}"/>
    <cellStyle name="SAPBEXHLevel3X 2 2 3 2 2" xfId="49308" xr:uid="{00000000-0005-0000-0000-000051C10000}"/>
    <cellStyle name="SAPBEXHLevel3X 2 2 3 3" xfId="49309" xr:uid="{00000000-0005-0000-0000-000052C10000}"/>
    <cellStyle name="SAPBEXHLevel3X 2 2 4" xfId="49310" xr:uid="{00000000-0005-0000-0000-000053C10000}"/>
    <cellStyle name="SAPBEXHLevel3X 2 2 4 2" xfId="49311" xr:uid="{00000000-0005-0000-0000-000054C10000}"/>
    <cellStyle name="SAPBEXHLevel3X 2 2 4 2 2" xfId="49312" xr:uid="{00000000-0005-0000-0000-000055C10000}"/>
    <cellStyle name="SAPBEXHLevel3X 2 2 4 3" xfId="49313" xr:uid="{00000000-0005-0000-0000-000056C10000}"/>
    <cellStyle name="SAPBEXHLevel3X 2 2 5" xfId="49314" xr:uid="{00000000-0005-0000-0000-000057C10000}"/>
    <cellStyle name="SAPBEXHLevel3X 2 2 5 2" xfId="49315" xr:uid="{00000000-0005-0000-0000-000058C10000}"/>
    <cellStyle name="SAPBEXHLevel3X 2 2 6" xfId="49316" xr:uid="{00000000-0005-0000-0000-000059C10000}"/>
    <cellStyle name="SAPBEXHLevel3X 2 3" xfId="49317" xr:uid="{00000000-0005-0000-0000-00005AC10000}"/>
    <cellStyle name="SAPBEXHLevel3X 2 3 2" xfId="49318" xr:uid="{00000000-0005-0000-0000-00005BC10000}"/>
    <cellStyle name="SAPBEXHLevel3X 2 3 2 2" xfId="49319" xr:uid="{00000000-0005-0000-0000-00005CC10000}"/>
    <cellStyle name="SAPBEXHLevel3X 2 3 2 2 2" xfId="49320" xr:uid="{00000000-0005-0000-0000-00005DC10000}"/>
    <cellStyle name="SAPBEXHLevel3X 2 3 2 2 2 2" xfId="49321" xr:uid="{00000000-0005-0000-0000-00005EC10000}"/>
    <cellStyle name="SAPBEXHLevel3X 2 3 2 2 3" xfId="49322" xr:uid="{00000000-0005-0000-0000-00005FC10000}"/>
    <cellStyle name="SAPBEXHLevel3X 2 3 2 3" xfId="49323" xr:uid="{00000000-0005-0000-0000-000060C10000}"/>
    <cellStyle name="SAPBEXHLevel3X 2 3 2 3 2" xfId="49324" xr:uid="{00000000-0005-0000-0000-000061C10000}"/>
    <cellStyle name="SAPBEXHLevel3X 2 3 2 3 2 2" xfId="49325" xr:uid="{00000000-0005-0000-0000-000062C10000}"/>
    <cellStyle name="SAPBEXHLevel3X 2 3 2 3 3" xfId="49326" xr:uid="{00000000-0005-0000-0000-000063C10000}"/>
    <cellStyle name="SAPBEXHLevel3X 2 3 2 4" xfId="49327" xr:uid="{00000000-0005-0000-0000-000064C10000}"/>
    <cellStyle name="SAPBEXHLevel3X 2 3 2 4 2" xfId="49328" xr:uid="{00000000-0005-0000-0000-000065C10000}"/>
    <cellStyle name="SAPBEXHLevel3X 2 3 2 5" xfId="49329" xr:uid="{00000000-0005-0000-0000-000066C10000}"/>
    <cellStyle name="SAPBEXHLevel3X 2 3 3" xfId="49330" xr:uid="{00000000-0005-0000-0000-000067C10000}"/>
    <cellStyle name="SAPBEXHLevel3X 2 3 3 2" xfId="49331" xr:uid="{00000000-0005-0000-0000-000068C10000}"/>
    <cellStyle name="SAPBEXHLevel3X 2 3 3 2 2" xfId="49332" xr:uid="{00000000-0005-0000-0000-000069C10000}"/>
    <cellStyle name="SAPBEXHLevel3X 2 3 3 2 2 2" xfId="49333" xr:uid="{00000000-0005-0000-0000-00006AC10000}"/>
    <cellStyle name="SAPBEXHLevel3X 2 3 3 2 3" xfId="49334" xr:uid="{00000000-0005-0000-0000-00006BC10000}"/>
    <cellStyle name="SAPBEXHLevel3X 2 3 3 3" xfId="49335" xr:uid="{00000000-0005-0000-0000-00006CC10000}"/>
    <cellStyle name="SAPBEXHLevel3X 2 3 3 3 2" xfId="49336" xr:uid="{00000000-0005-0000-0000-00006DC10000}"/>
    <cellStyle name="SAPBEXHLevel3X 2 3 3 4" xfId="49337" xr:uid="{00000000-0005-0000-0000-00006EC10000}"/>
    <cellStyle name="SAPBEXHLevel3X 2 3 4" xfId="49338" xr:uid="{00000000-0005-0000-0000-00006FC10000}"/>
    <cellStyle name="SAPBEXHLevel3X 2 3 4 2" xfId="49339" xr:uid="{00000000-0005-0000-0000-000070C10000}"/>
    <cellStyle name="SAPBEXHLevel3X 2 3 4 2 2" xfId="49340" xr:uid="{00000000-0005-0000-0000-000071C10000}"/>
    <cellStyle name="SAPBEXHLevel3X 2 3 4 3" xfId="49341" xr:uid="{00000000-0005-0000-0000-000072C10000}"/>
    <cellStyle name="SAPBEXHLevel3X 2 3 5" xfId="49342" xr:uid="{00000000-0005-0000-0000-000073C10000}"/>
    <cellStyle name="SAPBEXHLevel3X 2 3 5 2" xfId="49343" xr:uid="{00000000-0005-0000-0000-000074C10000}"/>
    <cellStyle name="SAPBEXHLevel3X 2 3 5 2 2" xfId="49344" xr:uid="{00000000-0005-0000-0000-000075C10000}"/>
    <cellStyle name="SAPBEXHLevel3X 2 3 5 3" xfId="49345" xr:uid="{00000000-0005-0000-0000-000076C10000}"/>
    <cellStyle name="SAPBEXHLevel3X 2 3 6" xfId="49346" xr:uid="{00000000-0005-0000-0000-000077C10000}"/>
    <cellStyle name="SAPBEXHLevel3X 2 3 6 2" xfId="49347" xr:uid="{00000000-0005-0000-0000-000078C10000}"/>
    <cellStyle name="SAPBEXHLevel3X 2 3 7" xfId="49348" xr:uid="{00000000-0005-0000-0000-000079C10000}"/>
    <cellStyle name="SAPBEXHLevel3X 2 4" xfId="49349" xr:uid="{00000000-0005-0000-0000-00007AC10000}"/>
    <cellStyle name="SAPBEXHLevel3X 2 4 2" xfId="49350" xr:uid="{00000000-0005-0000-0000-00007BC10000}"/>
    <cellStyle name="SAPBEXHLevel3X 2 4 2 2" xfId="49351" xr:uid="{00000000-0005-0000-0000-00007CC10000}"/>
    <cellStyle name="SAPBEXHLevel3X 2 4 2 2 2" xfId="49352" xr:uid="{00000000-0005-0000-0000-00007DC10000}"/>
    <cellStyle name="SAPBEXHLevel3X 2 4 2 2 2 2" xfId="49353" xr:uid="{00000000-0005-0000-0000-00007EC10000}"/>
    <cellStyle name="SAPBEXHLevel3X 2 4 2 2 3" xfId="49354" xr:uid="{00000000-0005-0000-0000-00007FC10000}"/>
    <cellStyle name="SAPBEXHLevel3X 2 4 2 3" xfId="49355" xr:uid="{00000000-0005-0000-0000-000080C10000}"/>
    <cellStyle name="SAPBEXHLevel3X 2 4 2 3 2" xfId="49356" xr:uid="{00000000-0005-0000-0000-000081C10000}"/>
    <cellStyle name="SAPBEXHLevel3X 2 4 2 3 2 2" xfId="49357" xr:uid="{00000000-0005-0000-0000-000082C10000}"/>
    <cellStyle name="SAPBEXHLevel3X 2 4 2 3 3" xfId="49358" xr:uid="{00000000-0005-0000-0000-000083C10000}"/>
    <cellStyle name="SAPBEXHLevel3X 2 4 2 4" xfId="49359" xr:uid="{00000000-0005-0000-0000-000084C10000}"/>
    <cellStyle name="SAPBEXHLevel3X 2 4 2 4 2" xfId="49360" xr:uid="{00000000-0005-0000-0000-000085C10000}"/>
    <cellStyle name="SAPBEXHLevel3X 2 4 2 5" xfId="49361" xr:uid="{00000000-0005-0000-0000-000086C10000}"/>
    <cellStyle name="SAPBEXHLevel3X 2 4 3" xfId="49362" xr:uid="{00000000-0005-0000-0000-000087C10000}"/>
    <cellStyle name="SAPBEXHLevel3X 2 4 3 2" xfId="49363" xr:uid="{00000000-0005-0000-0000-000088C10000}"/>
    <cellStyle name="SAPBEXHLevel3X 2 4 3 2 2" xfId="49364" xr:uid="{00000000-0005-0000-0000-000089C10000}"/>
    <cellStyle name="SAPBEXHLevel3X 2 4 3 2 2 2" xfId="49365" xr:uid="{00000000-0005-0000-0000-00008AC10000}"/>
    <cellStyle name="SAPBEXHLevel3X 2 4 3 2 3" xfId="49366" xr:uid="{00000000-0005-0000-0000-00008BC10000}"/>
    <cellStyle name="SAPBEXHLevel3X 2 4 3 3" xfId="49367" xr:uid="{00000000-0005-0000-0000-00008CC10000}"/>
    <cellStyle name="SAPBEXHLevel3X 2 4 3 3 2" xfId="49368" xr:uid="{00000000-0005-0000-0000-00008DC10000}"/>
    <cellStyle name="SAPBEXHLevel3X 2 4 3 4" xfId="49369" xr:uid="{00000000-0005-0000-0000-00008EC10000}"/>
    <cellStyle name="SAPBEXHLevel3X 2 4 4" xfId="49370" xr:uid="{00000000-0005-0000-0000-00008FC10000}"/>
    <cellStyle name="SAPBEXHLevel3X 2 4 4 2" xfId="49371" xr:uid="{00000000-0005-0000-0000-000090C10000}"/>
    <cellStyle name="SAPBEXHLevel3X 2 4 4 2 2" xfId="49372" xr:uid="{00000000-0005-0000-0000-000091C10000}"/>
    <cellStyle name="SAPBEXHLevel3X 2 4 4 3" xfId="49373" xr:uid="{00000000-0005-0000-0000-000092C10000}"/>
    <cellStyle name="SAPBEXHLevel3X 2 4 5" xfId="49374" xr:uid="{00000000-0005-0000-0000-000093C10000}"/>
    <cellStyle name="SAPBEXHLevel3X 2 4 5 2" xfId="49375" xr:uid="{00000000-0005-0000-0000-000094C10000}"/>
    <cellStyle name="SAPBEXHLevel3X 2 4 6" xfId="49376" xr:uid="{00000000-0005-0000-0000-000095C10000}"/>
    <cellStyle name="SAPBEXHLevel3X 2 5" xfId="49377" xr:uid="{00000000-0005-0000-0000-000096C10000}"/>
    <cellStyle name="SAPBEXHLevel3X 2 5 2" xfId="49378" xr:uid="{00000000-0005-0000-0000-000097C10000}"/>
    <cellStyle name="SAPBEXHLevel3X 2 5 2 2" xfId="49379" xr:uid="{00000000-0005-0000-0000-000098C10000}"/>
    <cellStyle name="SAPBEXHLevel3X 2 5 2 2 2" xfId="49380" xr:uid="{00000000-0005-0000-0000-000099C10000}"/>
    <cellStyle name="SAPBEXHLevel3X 2 5 2 3" xfId="49381" xr:uid="{00000000-0005-0000-0000-00009AC10000}"/>
    <cellStyle name="SAPBEXHLevel3X 2 5 3" xfId="49382" xr:uid="{00000000-0005-0000-0000-00009BC10000}"/>
    <cellStyle name="SAPBEXHLevel3X 2 5 3 2" xfId="49383" xr:uid="{00000000-0005-0000-0000-00009CC10000}"/>
    <cellStyle name="SAPBEXHLevel3X 2 5 4" xfId="49384" xr:uid="{00000000-0005-0000-0000-00009DC10000}"/>
    <cellStyle name="SAPBEXHLevel3X 2 6" xfId="49385" xr:uid="{00000000-0005-0000-0000-00009EC10000}"/>
    <cellStyle name="SAPBEXHLevel3X 2 6 2" xfId="49386" xr:uid="{00000000-0005-0000-0000-00009FC10000}"/>
    <cellStyle name="SAPBEXHLevel3X 2 6 2 2" xfId="49387" xr:uid="{00000000-0005-0000-0000-0000A0C10000}"/>
    <cellStyle name="SAPBEXHLevel3X 2 6 3" xfId="49388" xr:uid="{00000000-0005-0000-0000-0000A1C10000}"/>
    <cellStyle name="SAPBEXHLevel3X 2 7" xfId="49389" xr:uid="{00000000-0005-0000-0000-0000A2C10000}"/>
    <cellStyle name="SAPBEXHLevel3X 2 7 2" xfId="49390" xr:uid="{00000000-0005-0000-0000-0000A3C10000}"/>
    <cellStyle name="SAPBEXHLevel3X 2 7 2 2" xfId="49391" xr:uid="{00000000-0005-0000-0000-0000A4C10000}"/>
    <cellStyle name="SAPBEXHLevel3X 2 7 3" xfId="49392" xr:uid="{00000000-0005-0000-0000-0000A5C10000}"/>
    <cellStyle name="SAPBEXHLevel3X 2 8" xfId="49393" xr:uid="{00000000-0005-0000-0000-0000A6C10000}"/>
    <cellStyle name="SAPBEXHLevel3X 2 8 2" xfId="49394" xr:uid="{00000000-0005-0000-0000-0000A7C10000}"/>
    <cellStyle name="SAPBEXHLevel3X 2 9" xfId="49395" xr:uid="{00000000-0005-0000-0000-0000A8C10000}"/>
    <cellStyle name="SAPBEXHLevel3X 20" xfId="49396" xr:uid="{00000000-0005-0000-0000-0000A9C10000}"/>
    <cellStyle name="SAPBEXHLevel3X 21" xfId="49397" xr:uid="{00000000-0005-0000-0000-0000AAC10000}"/>
    <cellStyle name="SAPBEXHLevel3X 22" xfId="49398" xr:uid="{00000000-0005-0000-0000-0000ABC10000}"/>
    <cellStyle name="SAPBEXHLevel3X 23" xfId="49399" xr:uid="{00000000-0005-0000-0000-0000ACC10000}"/>
    <cellStyle name="SAPBEXHLevel3X 3" xfId="49400" xr:uid="{00000000-0005-0000-0000-0000ADC10000}"/>
    <cellStyle name="SAPBEXHLevel3X 3 2" xfId="49401" xr:uid="{00000000-0005-0000-0000-0000AEC10000}"/>
    <cellStyle name="SAPBEXHLevel3X 3 2 2" xfId="49402" xr:uid="{00000000-0005-0000-0000-0000AFC10000}"/>
    <cellStyle name="SAPBEXHLevel3X 3 2 2 2" xfId="49403" xr:uid="{00000000-0005-0000-0000-0000B0C10000}"/>
    <cellStyle name="SAPBEXHLevel3X 3 2 2 2 2" xfId="49404" xr:uid="{00000000-0005-0000-0000-0000B1C10000}"/>
    <cellStyle name="SAPBEXHLevel3X 3 2 2 3" xfId="49405" xr:uid="{00000000-0005-0000-0000-0000B2C10000}"/>
    <cellStyle name="SAPBEXHLevel3X 3 2 3" xfId="49406" xr:uid="{00000000-0005-0000-0000-0000B3C10000}"/>
    <cellStyle name="SAPBEXHLevel3X 3 2 3 2" xfId="49407" xr:uid="{00000000-0005-0000-0000-0000B4C10000}"/>
    <cellStyle name="SAPBEXHLevel3X 3 2 3 2 2" xfId="49408" xr:uid="{00000000-0005-0000-0000-0000B5C10000}"/>
    <cellStyle name="SAPBEXHLevel3X 3 2 3 3" xfId="49409" xr:uid="{00000000-0005-0000-0000-0000B6C10000}"/>
    <cellStyle name="SAPBEXHLevel3X 3 2 4" xfId="49410" xr:uid="{00000000-0005-0000-0000-0000B7C10000}"/>
    <cellStyle name="SAPBEXHLevel3X 3 2 4 2" xfId="49411" xr:uid="{00000000-0005-0000-0000-0000B8C10000}"/>
    <cellStyle name="SAPBEXHLevel3X 3 2 4 2 2" xfId="49412" xr:uid="{00000000-0005-0000-0000-0000B9C10000}"/>
    <cellStyle name="SAPBEXHLevel3X 3 2 4 3" xfId="49413" xr:uid="{00000000-0005-0000-0000-0000BAC10000}"/>
    <cellStyle name="SAPBEXHLevel3X 3 2 5" xfId="49414" xr:uid="{00000000-0005-0000-0000-0000BBC10000}"/>
    <cellStyle name="SAPBEXHLevel3X 3 2 5 2" xfId="49415" xr:uid="{00000000-0005-0000-0000-0000BCC10000}"/>
    <cellStyle name="SAPBEXHLevel3X 3 2 6" xfId="49416" xr:uid="{00000000-0005-0000-0000-0000BDC10000}"/>
    <cellStyle name="SAPBEXHLevel3X 3 3" xfId="49417" xr:uid="{00000000-0005-0000-0000-0000BEC10000}"/>
    <cellStyle name="SAPBEXHLevel3X 3 3 2" xfId="49418" xr:uid="{00000000-0005-0000-0000-0000BFC10000}"/>
    <cellStyle name="SAPBEXHLevel3X 3 3 2 2" xfId="49419" xr:uid="{00000000-0005-0000-0000-0000C0C10000}"/>
    <cellStyle name="SAPBEXHLevel3X 3 3 2 2 2" xfId="49420" xr:uid="{00000000-0005-0000-0000-0000C1C10000}"/>
    <cellStyle name="SAPBEXHLevel3X 3 3 2 3" xfId="49421" xr:uid="{00000000-0005-0000-0000-0000C2C10000}"/>
    <cellStyle name="SAPBEXHLevel3X 3 3 3" xfId="49422" xr:uid="{00000000-0005-0000-0000-0000C3C10000}"/>
    <cellStyle name="SAPBEXHLevel3X 3 3 3 2" xfId="49423" xr:uid="{00000000-0005-0000-0000-0000C4C10000}"/>
    <cellStyle name="SAPBEXHLevel3X 3 3 4" xfId="49424" xr:uid="{00000000-0005-0000-0000-0000C5C10000}"/>
    <cellStyle name="SAPBEXHLevel3X 3 4" xfId="49425" xr:uid="{00000000-0005-0000-0000-0000C6C10000}"/>
    <cellStyle name="SAPBEXHLevel3X 3 4 2" xfId="49426" xr:uid="{00000000-0005-0000-0000-0000C7C10000}"/>
    <cellStyle name="SAPBEXHLevel3X 3 4 2 2" xfId="49427" xr:uid="{00000000-0005-0000-0000-0000C8C10000}"/>
    <cellStyle name="SAPBEXHLevel3X 3 4 3" xfId="49428" xr:uid="{00000000-0005-0000-0000-0000C9C10000}"/>
    <cellStyle name="SAPBEXHLevel3X 3 5" xfId="49429" xr:uid="{00000000-0005-0000-0000-0000CAC10000}"/>
    <cellStyle name="SAPBEXHLevel3X 3 5 2" xfId="49430" xr:uid="{00000000-0005-0000-0000-0000CBC10000}"/>
    <cellStyle name="SAPBEXHLevel3X 3 5 2 2" xfId="49431" xr:uid="{00000000-0005-0000-0000-0000CCC10000}"/>
    <cellStyle name="SAPBEXHLevel3X 3 5 3" xfId="49432" xr:uid="{00000000-0005-0000-0000-0000CDC10000}"/>
    <cellStyle name="SAPBEXHLevel3X 3 6" xfId="49433" xr:uid="{00000000-0005-0000-0000-0000CEC10000}"/>
    <cellStyle name="SAPBEXHLevel3X 3 6 2" xfId="49434" xr:uid="{00000000-0005-0000-0000-0000CFC10000}"/>
    <cellStyle name="SAPBEXHLevel3X 3 7" xfId="49435" xr:uid="{00000000-0005-0000-0000-0000D0C10000}"/>
    <cellStyle name="SAPBEXHLevel3X 4" xfId="49436" xr:uid="{00000000-0005-0000-0000-0000D1C10000}"/>
    <cellStyle name="SAPBEXHLevel3X 4 2" xfId="49437" xr:uid="{00000000-0005-0000-0000-0000D2C10000}"/>
    <cellStyle name="SAPBEXHLevel3X 4 2 2" xfId="49438" xr:uid="{00000000-0005-0000-0000-0000D3C10000}"/>
    <cellStyle name="SAPBEXHLevel3X 4 2 2 2" xfId="49439" xr:uid="{00000000-0005-0000-0000-0000D4C10000}"/>
    <cellStyle name="SAPBEXHLevel3X 4 2 2 2 2" xfId="49440" xr:uid="{00000000-0005-0000-0000-0000D5C10000}"/>
    <cellStyle name="SAPBEXHLevel3X 4 2 2 3" xfId="49441" xr:uid="{00000000-0005-0000-0000-0000D6C10000}"/>
    <cellStyle name="SAPBEXHLevel3X 4 2 3" xfId="49442" xr:uid="{00000000-0005-0000-0000-0000D7C10000}"/>
    <cellStyle name="SAPBEXHLevel3X 4 2 3 2" xfId="49443" xr:uid="{00000000-0005-0000-0000-0000D8C10000}"/>
    <cellStyle name="SAPBEXHLevel3X 4 2 3 2 2" xfId="49444" xr:uid="{00000000-0005-0000-0000-0000D9C10000}"/>
    <cellStyle name="SAPBEXHLevel3X 4 2 3 3" xfId="49445" xr:uid="{00000000-0005-0000-0000-0000DAC10000}"/>
    <cellStyle name="SAPBEXHLevel3X 4 2 4" xfId="49446" xr:uid="{00000000-0005-0000-0000-0000DBC10000}"/>
    <cellStyle name="SAPBEXHLevel3X 4 2 4 2" xfId="49447" xr:uid="{00000000-0005-0000-0000-0000DCC10000}"/>
    <cellStyle name="SAPBEXHLevel3X 4 2 4 2 2" xfId="49448" xr:uid="{00000000-0005-0000-0000-0000DDC10000}"/>
    <cellStyle name="SAPBEXHLevel3X 4 2 4 3" xfId="49449" xr:uid="{00000000-0005-0000-0000-0000DEC10000}"/>
    <cellStyle name="SAPBEXHLevel3X 4 2 5" xfId="49450" xr:uid="{00000000-0005-0000-0000-0000DFC10000}"/>
    <cellStyle name="SAPBEXHLevel3X 4 2 5 2" xfId="49451" xr:uid="{00000000-0005-0000-0000-0000E0C10000}"/>
    <cellStyle name="SAPBEXHLevel3X 4 2 6" xfId="49452" xr:uid="{00000000-0005-0000-0000-0000E1C10000}"/>
    <cellStyle name="SAPBEXHLevel3X 4 3" xfId="49453" xr:uid="{00000000-0005-0000-0000-0000E2C10000}"/>
    <cellStyle name="SAPBEXHLevel3X 4 3 2" xfId="49454" xr:uid="{00000000-0005-0000-0000-0000E3C10000}"/>
    <cellStyle name="SAPBEXHLevel3X 4 3 2 2" xfId="49455" xr:uid="{00000000-0005-0000-0000-0000E4C10000}"/>
    <cellStyle name="SAPBEXHLevel3X 4 3 2 2 2" xfId="49456" xr:uid="{00000000-0005-0000-0000-0000E5C10000}"/>
    <cellStyle name="SAPBEXHLevel3X 4 3 2 2 2 2" xfId="49457" xr:uid="{00000000-0005-0000-0000-0000E6C10000}"/>
    <cellStyle name="SAPBEXHLevel3X 4 3 2 2 3" xfId="49458" xr:uid="{00000000-0005-0000-0000-0000E7C10000}"/>
    <cellStyle name="SAPBEXHLevel3X 4 3 2 3" xfId="49459" xr:uid="{00000000-0005-0000-0000-0000E8C10000}"/>
    <cellStyle name="SAPBEXHLevel3X 4 3 2 3 2" xfId="49460" xr:uid="{00000000-0005-0000-0000-0000E9C10000}"/>
    <cellStyle name="SAPBEXHLevel3X 4 3 2 3 2 2" xfId="49461" xr:uid="{00000000-0005-0000-0000-0000EAC10000}"/>
    <cellStyle name="SAPBEXHLevel3X 4 3 2 3 3" xfId="49462" xr:uid="{00000000-0005-0000-0000-0000EBC10000}"/>
    <cellStyle name="SAPBEXHLevel3X 4 3 2 4" xfId="49463" xr:uid="{00000000-0005-0000-0000-0000ECC10000}"/>
    <cellStyle name="SAPBEXHLevel3X 4 3 2 4 2" xfId="49464" xr:uid="{00000000-0005-0000-0000-0000EDC10000}"/>
    <cellStyle name="SAPBEXHLevel3X 4 3 2 5" xfId="49465" xr:uid="{00000000-0005-0000-0000-0000EEC10000}"/>
    <cellStyle name="SAPBEXHLevel3X 4 3 3" xfId="49466" xr:uid="{00000000-0005-0000-0000-0000EFC10000}"/>
    <cellStyle name="SAPBEXHLevel3X 4 3 3 2" xfId="49467" xr:uid="{00000000-0005-0000-0000-0000F0C10000}"/>
    <cellStyle name="SAPBEXHLevel3X 4 3 3 2 2" xfId="49468" xr:uid="{00000000-0005-0000-0000-0000F1C10000}"/>
    <cellStyle name="SAPBEXHLevel3X 4 3 3 2 2 2" xfId="49469" xr:uid="{00000000-0005-0000-0000-0000F2C10000}"/>
    <cellStyle name="SAPBEXHLevel3X 4 3 3 2 3" xfId="49470" xr:uid="{00000000-0005-0000-0000-0000F3C10000}"/>
    <cellStyle name="SAPBEXHLevel3X 4 3 3 3" xfId="49471" xr:uid="{00000000-0005-0000-0000-0000F4C10000}"/>
    <cellStyle name="SAPBEXHLevel3X 4 3 3 3 2" xfId="49472" xr:uid="{00000000-0005-0000-0000-0000F5C10000}"/>
    <cellStyle name="SAPBEXHLevel3X 4 3 3 4" xfId="49473" xr:uid="{00000000-0005-0000-0000-0000F6C10000}"/>
    <cellStyle name="SAPBEXHLevel3X 4 3 4" xfId="49474" xr:uid="{00000000-0005-0000-0000-0000F7C10000}"/>
    <cellStyle name="SAPBEXHLevel3X 4 3 4 2" xfId="49475" xr:uid="{00000000-0005-0000-0000-0000F8C10000}"/>
    <cellStyle name="SAPBEXHLevel3X 4 3 4 2 2" xfId="49476" xr:uid="{00000000-0005-0000-0000-0000F9C10000}"/>
    <cellStyle name="SAPBEXHLevel3X 4 3 4 3" xfId="49477" xr:uid="{00000000-0005-0000-0000-0000FAC10000}"/>
    <cellStyle name="SAPBEXHLevel3X 4 3 5" xfId="49478" xr:uid="{00000000-0005-0000-0000-0000FBC10000}"/>
    <cellStyle name="SAPBEXHLevel3X 4 3 5 2" xfId="49479" xr:uid="{00000000-0005-0000-0000-0000FCC10000}"/>
    <cellStyle name="SAPBEXHLevel3X 4 3 5 2 2" xfId="49480" xr:uid="{00000000-0005-0000-0000-0000FDC10000}"/>
    <cellStyle name="SAPBEXHLevel3X 4 3 5 3" xfId="49481" xr:uid="{00000000-0005-0000-0000-0000FEC10000}"/>
    <cellStyle name="SAPBEXHLevel3X 4 3 6" xfId="49482" xr:uid="{00000000-0005-0000-0000-0000FFC10000}"/>
    <cellStyle name="SAPBEXHLevel3X 4 3 6 2" xfId="49483" xr:uid="{00000000-0005-0000-0000-000000C20000}"/>
    <cellStyle name="SAPBEXHLevel3X 4 3 7" xfId="49484" xr:uid="{00000000-0005-0000-0000-000001C20000}"/>
    <cellStyle name="SAPBEXHLevel3X 4 4" xfId="49485" xr:uid="{00000000-0005-0000-0000-000002C20000}"/>
    <cellStyle name="SAPBEXHLevel3X 4 4 2" xfId="49486" xr:uid="{00000000-0005-0000-0000-000003C20000}"/>
    <cellStyle name="SAPBEXHLevel3X 4 4 2 2" xfId="49487" xr:uid="{00000000-0005-0000-0000-000004C20000}"/>
    <cellStyle name="SAPBEXHLevel3X 4 4 2 2 2" xfId="49488" xr:uid="{00000000-0005-0000-0000-000005C20000}"/>
    <cellStyle name="SAPBEXHLevel3X 4 4 2 3" xfId="49489" xr:uid="{00000000-0005-0000-0000-000006C20000}"/>
    <cellStyle name="SAPBEXHLevel3X 4 4 3" xfId="49490" xr:uid="{00000000-0005-0000-0000-000007C20000}"/>
    <cellStyle name="SAPBEXHLevel3X 4 4 3 2" xfId="49491" xr:uid="{00000000-0005-0000-0000-000008C20000}"/>
    <cellStyle name="SAPBEXHLevel3X 4 4 4" xfId="49492" xr:uid="{00000000-0005-0000-0000-000009C20000}"/>
    <cellStyle name="SAPBEXHLevel3X 4 5" xfId="49493" xr:uid="{00000000-0005-0000-0000-00000AC20000}"/>
    <cellStyle name="SAPBEXHLevel3X 4 5 2" xfId="49494" xr:uid="{00000000-0005-0000-0000-00000BC20000}"/>
    <cellStyle name="SAPBEXHLevel3X 4 5 2 2" xfId="49495" xr:uid="{00000000-0005-0000-0000-00000CC20000}"/>
    <cellStyle name="SAPBEXHLevel3X 4 5 3" xfId="49496" xr:uid="{00000000-0005-0000-0000-00000DC20000}"/>
    <cellStyle name="SAPBEXHLevel3X 4 6" xfId="49497" xr:uid="{00000000-0005-0000-0000-00000EC20000}"/>
    <cellStyle name="SAPBEXHLevel3X 4 6 2" xfId="49498" xr:uid="{00000000-0005-0000-0000-00000FC20000}"/>
    <cellStyle name="SAPBEXHLevel3X 4 6 2 2" xfId="49499" xr:uid="{00000000-0005-0000-0000-000010C20000}"/>
    <cellStyle name="SAPBEXHLevel3X 4 6 3" xfId="49500" xr:uid="{00000000-0005-0000-0000-000011C20000}"/>
    <cellStyle name="SAPBEXHLevel3X 4 7" xfId="49501" xr:uid="{00000000-0005-0000-0000-000012C20000}"/>
    <cellStyle name="SAPBEXHLevel3X 4 7 2" xfId="49502" xr:uid="{00000000-0005-0000-0000-000013C20000}"/>
    <cellStyle name="SAPBEXHLevel3X 4 8" xfId="49503" xr:uid="{00000000-0005-0000-0000-000014C20000}"/>
    <cellStyle name="SAPBEXHLevel3X 5" xfId="49504" xr:uid="{00000000-0005-0000-0000-000015C20000}"/>
    <cellStyle name="SAPBEXHLevel3X 5 2" xfId="49505" xr:uid="{00000000-0005-0000-0000-000016C20000}"/>
    <cellStyle name="SAPBEXHLevel3X 5 2 2" xfId="49506" xr:uid="{00000000-0005-0000-0000-000017C20000}"/>
    <cellStyle name="SAPBEXHLevel3X 5 2 2 2" xfId="49507" xr:uid="{00000000-0005-0000-0000-000018C20000}"/>
    <cellStyle name="SAPBEXHLevel3X 5 2 3" xfId="49508" xr:uid="{00000000-0005-0000-0000-000019C20000}"/>
    <cellStyle name="SAPBEXHLevel3X 5 3" xfId="49509" xr:uid="{00000000-0005-0000-0000-00001AC20000}"/>
    <cellStyle name="SAPBEXHLevel3X 5 3 2" xfId="49510" xr:uid="{00000000-0005-0000-0000-00001BC20000}"/>
    <cellStyle name="SAPBEXHLevel3X 5 3 2 2" xfId="49511" xr:uid="{00000000-0005-0000-0000-00001CC20000}"/>
    <cellStyle name="SAPBEXHLevel3X 5 3 3" xfId="49512" xr:uid="{00000000-0005-0000-0000-00001DC20000}"/>
    <cellStyle name="SAPBEXHLevel3X 5 4" xfId="49513" xr:uid="{00000000-0005-0000-0000-00001EC20000}"/>
    <cellStyle name="SAPBEXHLevel3X 5 4 2" xfId="49514" xr:uid="{00000000-0005-0000-0000-00001FC20000}"/>
    <cellStyle name="SAPBEXHLevel3X 5 4 2 2" xfId="49515" xr:uid="{00000000-0005-0000-0000-000020C20000}"/>
    <cellStyle name="SAPBEXHLevel3X 5 4 3" xfId="49516" xr:uid="{00000000-0005-0000-0000-000021C20000}"/>
    <cellStyle name="SAPBEXHLevel3X 5 5" xfId="49517" xr:uid="{00000000-0005-0000-0000-000022C20000}"/>
    <cellStyle name="SAPBEXHLevel3X 5 5 2" xfId="49518" xr:uid="{00000000-0005-0000-0000-000023C20000}"/>
    <cellStyle name="SAPBEXHLevel3X 5 6" xfId="49519" xr:uid="{00000000-0005-0000-0000-000024C20000}"/>
    <cellStyle name="SAPBEXHLevel3X 6" xfId="49520" xr:uid="{00000000-0005-0000-0000-000025C20000}"/>
    <cellStyle name="SAPBEXHLevel3X 6 2" xfId="49521" xr:uid="{00000000-0005-0000-0000-000026C20000}"/>
    <cellStyle name="SAPBEXHLevel3X 6 2 2" xfId="49522" xr:uid="{00000000-0005-0000-0000-000027C20000}"/>
    <cellStyle name="SAPBEXHLevel3X 6 3" xfId="49523" xr:uid="{00000000-0005-0000-0000-000028C20000}"/>
    <cellStyle name="SAPBEXHLevel3X 6 3 2" xfId="49524" xr:uid="{00000000-0005-0000-0000-000029C20000}"/>
    <cellStyle name="SAPBEXHLevel3X 6 3 2 2" xfId="49525" xr:uid="{00000000-0005-0000-0000-00002AC20000}"/>
    <cellStyle name="SAPBEXHLevel3X 6 3 3" xfId="49526" xr:uid="{00000000-0005-0000-0000-00002BC20000}"/>
    <cellStyle name="SAPBEXHLevel3X 6 4" xfId="49527" xr:uid="{00000000-0005-0000-0000-00002CC20000}"/>
    <cellStyle name="SAPBEXHLevel3X 6 4 2" xfId="49528" xr:uid="{00000000-0005-0000-0000-00002DC20000}"/>
    <cellStyle name="SAPBEXHLevel3X 6 4 2 2" xfId="49529" xr:uid="{00000000-0005-0000-0000-00002EC20000}"/>
    <cellStyle name="SAPBEXHLevel3X 6 4 3" xfId="49530" xr:uid="{00000000-0005-0000-0000-00002FC20000}"/>
    <cellStyle name="SAPBEXHLevel3X 6 5" xfId="49531" xr:uid="{00000000-0005-0000-0000-000030C20000}"/>
    <cellStyle name="SAPBEXHLevel3X 7" xfId="49532" xr:uid="{00000000-0005-0000-0000-000031C20000}"/>
    <cellStyle name="SAPBEXHLevel3X 7 2" xfId="49533" xr:uid="{00000000-0005-0000-0000-000032C20000}"/>
    <cellStyle name="SAPBEXHLevel3X 7 2 2" xfId="49534" xr:uid="{00000000-0005-0000-0000-000033C20000}"/>
    <cellStyle name="SAPBEXHLevel3X 7 2 2 2" xfId="49535" xr:uid="{00000000-0005-0000-0000-000034C20000}"/>
    <cellStyle name="SAPBEXHLevel3X 7 2 3" xfId="49536" xr:uid="{00000000-0005-0000-0000-000035C20000}"/>
    <cellStyle name="SAPBEXHLevel3X 7 2 3 2" xfId="49537" xr:uid="{00000000-0005-0000-0000-000036C20000}"/>
    <cellStyle name="SAPBEXHLevel3X 7 2 3 2 2" xfId="49538" xr:uid="{00000000-0005-0000-0000-000037C20000}"/>
    <cellStyle name="SAPBEXHLevel3X 7 2 3 3" xfId="49539" xr:uid="{00000000-0005-0000-0000-000038C20000}"/>
    <cellStyle name="SAPBEXHLevel3X 7 2 4" xfId="49540" xr:uid="{00000000-0005-0000-0000-000039C20000}"/>
    <cellStyle name="SAPBEXHLevel3X 7 3" xfId="49541" xr:uid="{00000000-0005-0000-0000-00003AC20000}"/>
    <cellStyle name="SAPBEXHLevel3X 7 3 2" xfId="49542" xr:uid="{00000000-0005-0000-0000-00003BC20000}"/>
    <cellStyle name="SAPBEXHLevel3X 7 3 2 2" xfId="49543" xr:uid="{00000000-0005-0000-0000-00003CC20000}"/>
    <cellStyle name="SAPBEXHLevel3X 7 3 3" xfId="49544" xr:uid="{00000000-0005-0000-0000-00003DC20000}"/>
    <cellStyle name="SAPBEXHLevel3X 7 4" xfId="49545" xr:uid="{00000000-0005-0000-0000-00003EC20000}"/>
    <cellStyle name="SAPBEXHLevel3X 7 4 2" xfId="49546" xr:uid="{00000000-0005-0000-0000-00003FC20000}"/>
    <cellStyle name="SAPBEXHLevel3X 7 4 2 2" xfId="49547" xr:uid="{00000000-0005-0000-0000-000040C20000}"/>
    <cellStyle name="SAPBEXHLevel3X 7 4 3" xfId="49548" xr:uid="{00000000-0005-0000-0000-000041C20000}"/>
    <cellStyle name="SAPBEXHLevel3X 7 5" xfId="49549" xr:uid="{00000000-0005-0000-0000-000042C20000}"/>
    <cellStyle name="SAPBEXHLevel3X 7 5 2" xfId="49550" xr:uid="{00000000-0005-0000-0000-000043C20000}"/>
    <cellStyle name="SAPBEXHLevel3X 7 5 2 2" xfId="49551" xr:uid="{00000000-0005-0000-0000-000044C20000}"/>
    <cellStyle name="SAPBEXHLevel3X 7 5 3" xfId="49552" xr:uid="{00000000-0005-0000-0000-000045C20000}"/>
    <cellStyle name="SAPBEXHLevel3X 7 6" xfId="49553" xr:uid="{00000000-0005-0000-0000-000046C20000}"/>
    <cellStyle name="SAPBEXHLevel3X 8" xfId="49554" xr:uid="{00000000-0005-0000-0000-000047C20000}"/>
    <cellStyle name="SAPBEXHLevel3X 8 2" xfId="49555" xr:uid="{00000000-0005-0000-0000-000048C20000}"/>
    <cellStyle name="SAPBEXHLevel3X 8 2 2" xfId="49556" xr:uid="{00000000-0005-0000-0000-000049C20000}"/>
    <cellStyle name="SAPBEXHLevel3X 8 2 2 2" xfId="49557" xr:uid="{00000000-0005-0000-0000-00004AC20000}"/>
    <cellStyle name="SAPBEXHLevel3X 8 2 3" xfId="49558" xr:uid="{00000000-0005-0000-0000-00004BC20000}"/>
    <cellStyle name="SAPBEXHLevel3X 8 3" xfId="49559" xr:uid="{00000000-0005-0000-0000-00004CC20000}"/>
    <cellStyle name="SAPBEXHLevel3X 8 3 2" xfId="49560" xr:uid="{00000000-0005-0000-0000-00004DC20000}"/>
    <cellStyle name="SAPBEXHLevel3X 8 3 2 2" xfId="49561" xr:uid="{00000000-0005-0000-0000-00004EC20000}"/>
    <cellStyle name="SAPBEXHLevel3X 8 3 3" xfId="49562" xr:uid="{00000000-0005-0000-0000-00004FC20000}"/>
    <cellStyle name="SAPBEXHLevel3X 8 4" xfId="49563" xr:uid="{00000000-0005-0000-0000-000050C20000}"/>
    <cellStyle name="SAPBEXHLevel3X 8 4 2" xfId="49564" xr:uid="{00000000-0005-0000-0000-000051C20000}"/>
    <cellStyle name="SAPBEXHLevel3X 8 5" xfId="49565" xr:uid="{00000000-0005-0000-0000-000052C20000}"/>
    <cellStyle name="SAPBEXHLevel3X 9" xfId="49566" xr:uid="{00000000-0005-0000-0000-000053C20000}"/>
    <cellStyle name="SAPBEXHLevel3X 9 2" xfId="49567" xr:uid="{00000000-0005-0000-0000-000054C20000}"/>
    <cellStyle name="SAPBEXHLevel3X 9 2 2" xfId="49568" xr:uid="{00000000-0005-0000-0000-000055C20000}"/>
    <cellStyle name="SAPBEXHLevel3X 9 2 2 2" xfId="49569" xr:uid="{00000000-0005-0000-0000-000056C20000}"/>
    <cellStyle name="SAPBEXHLevel3X 9 2 2 2 2" xfId="49570" xr:uid="{00000000-0005-0000-0000-000057C20000}"/>
    <cellStyle name="SAPBEXHLevel3X 9 2 2 3" xfId="49571" xr:uid="{00000000-0005-0000-0000-000058C20000}"/>
    <cellStyle name="SAPBEXHLevel3X 9 2 3" xfId="49572" xr:uid="{00000000-0005-0000-0000-000059C20000}"/>
    <cellStyle name="SAPBEXHLevel3X 9 2 3 2" xfId="49573" xr:uid="{00000000-0005-0000-0000-00005AC20000}"/>
    <cellStyle name="SAPBEXHLevel3X 9 2 4" xfId="49574" xr:uid="{00000000-0005-0000-0000-00005BC20000}"/>
    <cellStyle name="SAPBEXHLevel3X 9 3" xfId="49575" xr:uid="{00000000-0005-0000-0000-00005CC20000}"/>
    <cellStyle name="SAPBEXHLevel3X 9 3 2" xfId="49576" xr:uid="{00000000-0005-0000-0000-00005DC20000}"/>
    <cellStyle name="SAPBEXHLevel3X 9 3 2 2" xfId="49577" xr:uid="{00000000-0005-0000-0000-00005EC20000}"/>
    <cellStyle name="SAPBEXHLevel3X 9 3 2 2 2" xfId="49578" xr:uid="{00000000-0005-0000-0000-00005FC20000}"/>
    <cellStyle name="SAPBEXHLevel3X 9 3 2 2 2 2" xfId="49579" xr:uid="{00000000-0005-0000-0000-000060C20000}"/>
    <cellStyle name="SAPBEXHLevel3X 9 3 2 2 3" xfId="49580" xr:uid="{00000000-0005-0000-0000-000061C20000}"/>
    <cellStyle name="SAPBEXHLevel3X 9 3 2 3" xfId="49581" xr:uid="{00000000-0005-0000-0000-000062C20000}"/>
    <cellStyle name="SAPBEXHLevel3X 9 3 2 3 2" xfId="49582" xr:uid="{00000000-0005-0000-0000-000063C20000}"/>
    <cellStyle name="SAPBEXHLevel3X 9 3 2 4" xfId="49583" xr:uid="{00000000-0005-0000-0000-000064C20000}"/>
    <cellStyle name="SAPBEXHLevel3X 9 3 3" xfId="49584" xr:uid="{00000000-0005-0000-0000-000065C20000}"/>
    <cellStyle name="SAPBEXHLevel3X 9 3 3 2" xfId="49585" xr:uid="{00000000-0005-0000-0000-000066C20000}"/>
    <cellStyle name="SAPBEXHLevel3X 9 3 3 2 2" xfId="49586" xr:uid="{00000000-0005-0000-0000-000067C20000}"/>
    <cellStyle name="SAPBEXHLevel3X 9 3 3 3" xfId="49587" xr:uid="{00000000-0005-0000-0000-000068C20000}"/>
    <cellStyle name="SAPBEXHLevel3X 9 3 4" xfId="49588" xr:uid="{00000000-0005-0000-0000-000069C20000}"/>
    <cellStyle name="SAPBEXHLevel3X 9 3 4 2" xfId="49589" xr:uid="{00000000-0005-0000-0000-00006AC20000}"/>
    <cellStyle name="SAPBEXHLevel3X 9 3 5" xfId="49590" xr:uid="{00000000-0005-0000-0000-00006BC20000}"/>
    <cellStyle name="SAPBEXHLevel3X 9 4" xfId="49591" xr:uid="{00000000-0005-0000-0000-00006CC20000}"/>
    <cellStyle name="SAPBEXHLevel3X 9 4 2" xfId="49592" xr:uid="{00000000-0005-0000-0000-00006DC20000}"/>
    <cellStyle name="SAPBEXHLevel3X 9 4 2 2" xfId="49593" xr:uid="{00000000-0005-0000-0000-00006EC20000}"/>
    <cellStyle name="SAPBEXHLevel3X 9 4 3" xfId="49594" xr:uid="{00000000-0005-0000-0000-00006FC20000}"/>
    <cellStyle name="SAPBEXHLevel3X 9 5" xfId="49595" xr:uid="{00000000-0005-0000-0000-000070C20000}"/>
    <cellStyle name="SAPBEXHLevel3X 9 5 2" xfId="49596" xr:uid="{00000000-0005-0000-0000-000071C20000}"/>
    <cellStyle name="SAPBEXHLevel3X 9 5 2 2" xfId="49597" xr:uid="{00000000-0005-0000-0000-000072C20000}"/>
    <cellStyle name="SAPBEXHLevel3X 9 5 3" xfId="49598" xr:uid="{00000000-0005-0000-0000-000073C20000}"/>
    <cellStyle name="SAPBEXHLevel3X 9 6" xfId="49599" xr:uid="{00000000-0005-0000-0000-000074C20000}"/>
    <cellStyle name="SAPBEXHLevel3X 9 6 2" xfId="49600" xr:uid="{00000000-0005-0000-0000-000075C20000}"/>
    <cellStyle name="SAPBEXHLevel3X 9 7" xfId="49601" xr:uid="{00000000-0005-0000-0000-000076C20000}"/>
    <cellStyle name="SAPBEXinputData" xfId="68" xr:uid="{00000000-0005-0000-0000-000077C20000}"/>
    <cellStyle name="SAPBEXinputData 10" xfId="49602" xr:uid="{00000000-0005-0000-0000-000078C20000}"/>
    <cellStyle name="SAPBEXinputData 10 2" xfId="49603" xr:uid="{00000000-0005-0000-0000-000079C20000}"/>
    <cellStyle name="SAPBEXinputData 10 2 2" xfId="49604" xr:uid="{00000000-0005-0000-0000-00007AC20000}"/>
    <cellStyle name="SAPBEXinputData 10 3" xfId="49605" xr:uid="{00000000-0005-0000-0000-00007BC20000}"/>
    <cellStyle name="SAPBEXinputData 11" xfId="49606" xr:uid="{00000000-0005-0000-0000-00007CC20000}"/>
    <cellStyle name="SAPBEXinputData 11 2" xfId="49607" xr:uid="{00000000-0005-0000-0000-00007DC20000}"/>
    <cellStyle name="SAPBEXinputData 11 2 2" xfId="49608" xr:uid="{00000000-0005-0000-0000-00007EC20000}"/>
    <cellStyle name="SAPBEXinputData 11 3" xfId="49609" xr:uid="{00000000-0005-0000-0000-00007FC20000}"/>
    <cellStyle name="SAPBEXinputData 12" xfId="49610" xr:uid="{00000000-0005-0000-0000-000080C20000}"/>
    <cellStyle name="SAPBEXinputData 12 2" xfId="49611" xr:uid="{00000000-0005-0000-0000-000081C20000}"/>
    <cellStyle name="SAPBEXinputData 12 2 2" xfId="49612" xr:uid="{00000000-0005-0000-0000-000082C20000}"/>
    <cellStyle name="SAPBEXinputData 12 3" xfId="49613" xr:uid="{00000000-0005-0000-0000-000083C20000}"/>
    <cellStyle name="SAPBEXinputData 13" xfId="49614" xr:uid="{00000000-0005-0000-0000-000084C20000}"/>
    <cellStyle name="SAPBEXinputData 13 2" xfId="49615" xr:uid="{00000000-0005-0000-0000-000085C20000}"/>
    <cellStyle name="SAPBEXinputData 14" xfId="49616" xr:uid="{00000000-0005-0000-0000-000086C20000}"/>
    <cellStyle name="SAPBEXinputData 14 2" xfId="49617" xr:uid="{00000000-0005-0000-0000-000087C20000}"/>
    <cellStyle name="SAPBEXinputData 15" xfId="49618" xr:uid="{00000000-0005-0000-0000-000088C20000}"/>
    <cellStyle name="SAPBEXinputData 15 2" xfId="49619" xr:uid="{00000000-0005-0000-0000-000089C20000}"/>
    <cellStyle name="SAPBEXinputData 15 2 2" xfId="49620" xr:uid="{00000000-0005-0000-0000-00008AC20000}"/>
    <cellStyle name="SAPBEXinputData 15 3" xfId="49621" xr:uid="{00000000-0005-0000-0000-00008BC20000}"/>
    <cellStyle name="SAPBEXinputData 16" xfId="49622" xr:uid="{00000000-0005-0000-0000-00008CC20000}"/>
    <cellStyle name="SAPBEXinputData 16 2" xfId="49623" xr:uid="{00000000-0005-0000-0000-00008DC20000}"/>
    <cellStyle name="SAPBEXinputData 17" xfId="49624" xr:uid="{00000000-0005-0000-0000-00008EC20000}"/>
    <cellStyle name="SAPBEXinputData 17 2" xfId="49625" xr:uid="{00000000-0005-0000-0000-00008FC20000}"/>
    <cellStyle name="SAPBEXinputData 18" xfId="49626" xr:uid="{00000000-0005-0000-0000-000090C20000}"/>
    <cellStyle name="SAPBEXinputData 18 2" xfId="49627" xr:uid="{00000000-0005-0000-0000-000091C20000}"/>
    <cellStyle name="SAPBEXinputData 19" xfId="49628" xr:uid="{00000000-0005-0000-0000-000092C20000}"/>
    <cellStyle name="SAPBEXinputData 2" xfId="92" xr:uid="{00000000-0005-0000-0000-000093C20000}"/>
    <cellStyle name="SAPBEXinputData 2 2" xfId="49629" xr:uid="{00000000-0005-0000-0000-000094C20000}"/>
    <cellStyle name="SAPBEXinputData 2 2 2" xfId="49630" xr:uid="{00000000-0005-0000-0000-000095C20000}"/>
    <cellStyle name="SAPBEXinputData 2 2 2 2" xfId="49631" xr:uid="{00000000-0005-0000-0000-000096C20000}"/>
    <cellStyle name="SAPBEXinputData 2 2 3" xfId="49632" xr:uid="{00000000-0005-0000-0000-000097C20000}"/>
    <cellStyle name="SAPBEXinputData 2 2 3 2" xfId="49633" xr:uid="{00000000-0005-0000-0000-000098C20000}"/>
    <cellStyle name="SAPBEXinputData 2 2 3 2 2" xfId="49634" xr:uid="{00000000-0005-0000-0000-000099C20000}"/>
    <cellStyle name="SAPBEXinputData 2 2 3 3" xfId="49635" xr:uid="{00000000-0005-0000-0000-00009AC20000}"/>
    <cellStyle name="SAPBEXinputData 2 2 4" xfId="49636" xr:uid="{00000000-0005-0000-0000-00009BC20000}"/>
    <cellStyle name="SAPBEXinputData 2 2 4 2" xfId="49637" xr:uid="{00000000-0005-0000-0000-00009CC20000}"/>
    <cellStyle name="SAPBEXinputData 2 2 4 2 2" xfId="49638" xr:uid="{00000000-0005-0000-0000-00009DC20000}"/>
    <cellStyle name="SAPBEXinputData 2 2 4 3" xfId="49639" xr:uid="{00000000-0005-0000-0000-00009EC20000}"/>
    <cellStyle name="SAPBEXinputData 2 2 5" xfId="49640" xr:uid="{00000000-0005-0000-0000-00009FC20000}"/>
    <cellStyle name="SAPBEXinputData 2 3" xfId="49641" xr:uid="{00000000-0005-0000-0000-0000A0C20000}"/>
    <cellStyle name="SAPBEXinputData 2 3 2" xfId="49642" xr:uid="{00000000-0005-0000-0000-0000A1C20000}"/>
    <cellStyle name="SAPBEXinputData 2 3 2 2" xfId="49643" xr:uid="{00000000-0005-0000-0000-0000A2C20000}"/>
    <cellStyle name="SAPBEXinputData 2 3 2 2 2" xfId="49644" xr:uid="{00000000-0005-0000-0000-0000A3C20000}"/>
    <cellStyle name="SAPBEXinputData 2 3 2 3" xfId="49645" xr:uid="{00000000-0005-0000-0000-0000A4C20000}"/>
    <cellStyle name="SAPBEXinputData 2 3 2 3 2" xfId="49646" xr:uid="{00000000-0005-0000-0000-0000A5C20000}"/>
    <cellStyle name="SAPBEXinputData 2 3 2 3 2 2" xfId="49647" xr:uid="{00000000-0005-0000-0000-0000A6C20000}"/>
    <cellStyle name="SAPBEXinputData 2 3 2 3 3" xfId="49648" xr:uid="{00000000-0005-0000-0000-0000A7C20000}"/>
    <cellStyle name="SAPBEXinputData 2 3 2 4" xfId="49649" xr:uid="{00000000-0005-0000-0000-0000A8C20000}"/>
    <cellStyle name="SAPBEXinputData 2 3 3" xfId="49650" xr:uid="{00000000-0005-0000-0000-0000A9C20000}"/>
    <cellStyle name="SAPBEXinputData 2 3 3 2" xfId="49651" xr:uid="{00000000-0005-0000-0000-0000AAC20000}"/>
    <cellStyle name="SAPBEXinputData 2 3 3 2 2" xfId="49652" xr:uid="{00000000-0005-0000-0000-0000ABC20000}"/>
    <cellStyle name="SAPBEXinputData 2 3 3 3" xfId="49653" xr:uid="{00000000-0005-0000-0000-0000ACC20000}"/>
    <cellStyle name="SAPBEXinputData 2 3 4" xfId="49654" xr:uid="{00000000-0005-0000-0000-0000ADC20000}"/>
    <cellStyle name="SAPBEXinputData 2 3 4 2" xfId="49655" xr:uid="{00000000-0005-0000-0000-0000AEC20000}"/>
    <cellStyle name="SAPBEXinputData 2 3 4 2 2" xfId="49656" xr:uid="{00000000-0005-0000-0000-0000AFC20000}"/>
    <cellStyle name="SAPBEXinputData 2 3 4 3" xfId="49657" xr:uid="{00000000-0005-0000-0000-0000B0C20000}"/>
    <cellStyle name="SAPBEXinputData 2 3 5" xfId="49658" xr:uid="{00000000-0005-0000-0000-0000B1C20000}"/>
    <cellStyle name="SAPBEXinputData 2 3 5 2" xfId="49659" xr:uid="{00000000-0005-0000-0000-0000B2C20000}"/>
    <cellStyle name="SAPBEXinputData 2 3 5 2 2" xfId="49660" xr:uid="{00000000-0005-0000-0000-0000B3C20000}"/>
    <cellStyle name="SAPBEXinputData 2 3 5 3" xfId="49661" xr:uid="{00000000-0005-0000-0000-0000B4C20000}"/>
    <cellStyle name="SAPBEXinputData 2 3 6" xfId="49662" xr:uid="{00000000-0005-0000-0000-0000B5C20000}"/>
    <cellStyle name="SAPBEXinputData 2 4" xfId="49663" xr:uid="{00000000-0005-0000-0000-0000B6C20000}"/>
    <cellStyle name="SAPBEXinputData 2 4 2" xfId="49664" xr:uid="{00000000-0005-0000-0000-0000B7C20000}"/>
    <cellStyle name="SAPBEXinputData 2 4 2 2" xfId="49665" xr:uid="{00000000-0005-0000-0000-0000B8C20000}"/>
    <cellStyle name="SAPBEXinputData 2 4 2 2 2" xfId="49666" xr:uid="{00000000-0005-0000-0000-0000B9C20000}"/>
    <cellStyle name="SAPBEXinputData 2 4 2 3" xfId="49667" xr:uid="{00000000-0005-0000-0000-0000BAC20000}"/>
    <cellStyle name="SAPBEXinputData 2 4 2 3 2" xfId="49668" xr:uid="{00000000-0005-0000-0000-0000BBC20000}"/>
    <cellStyle name="SAPBEXinputData 2 4 2 3 2 2" xfId="49669" xr:uid="{00000000-0005-0000-0000-0000BCC20000}"/>
    <cellStyle name="SAPBEXinputData 2 4 2 3 3" xfId="49670" xr:uid="{00000000-0005-0000-0000-0000BDC20000}"/>
    <cellStyle name="SAPBEXinputData 2 4 2 4" xfId="49671" xr:uid="{00000000-0005-0000-0000-0000BEC20000}"/>
    <cellStyle name="SAPBEXinputData 2 4 3" xfId="49672" xr:uid="{00000000-0005-0000-0000-0000BFC20000}"/>
    <cellStyle name="SAPBEXinputData 2 4 3 2" xfId="49673" xr:uid="{00000000-0005-0000-0000-0000C0C20000}"/>
    <cellStyle name="SAPBEXinputData 2 4 3 2 2" xfId="49674" xr:uid="{00000000-0005-0000-0000-0000C1C20000}"/>
    <cellStyle name="SAPBEXinputData 2 4 3 3" xfId="49675" xr:uid="{00000000-0005-0000-0000-0000C2C20000}"/>
    <cellStyle name="SAPBEXinputData 2 4 4" xfId="49676" xr:uid="{00000000-0005-0000-0000-0000C3C20000}"/>
    <cellStyle name="SAPBEXinputData 2 4 4 2" xfId="49677" xr:uid="{00000000-0005-0000-0000-0000C4C20000}"/>
    <cellStyle name="SAPBEXinputData 2 4 4 2 2" xfId="49678" xr:uid="{00000000-0005-0000-0000-0000C5C20000}"/>
    <cellStyle name="SAPBEXinputData 2 4 4 3" xfId="49679" xr:uid="{00000000-0005-0000-0000-0000C6C20000}"/>
    <cellStyle name="SAPBEXinputData 2 4 5" xfId="49680" xr:uid="{00000000-0005-0000-0000-0000C7C20000}"/>
    <cellStyle name="SAPBEXinputData 2 5" xfId="49681" xr:uid="{00000000-0005-0000-0000-0000C8C20000}"/>
    <cellStyle name="SAPBEXinputData 2 5 2" xfId="49682" xr:uid="{00000000-0005-0000-0000-0000C9C20000}"/>
    <cellStyle name="SAPBEXinputData 2 5 2 2" xfId="49683" xr:uid="{00000000-0005-0000-0000-0000CAC20000}"/>
    <cellStyle name="SAPBEXinputData 2 5 3" xfId="49684" xr:uid="{00000000-0005-0000-0000-0000CBC20000}"/>
    <cellStyle name="SAPBEXinputData 2 6" xfId="49685" xr:uid="{00000000-0005-0000-0000-0000CCC20000}"/>
    <cellStyle name="SAPBEXinputData 2 6 2" xfId="49686" xr:uid="{00000000-0005-0000-0000-0000CDC20000}"/>
    <cellStyle name="SAPBEXinputData 2 6 2 2" xfId="49687" xr:uid="{00000000-0005-0000-0000-0000CEC20000}"/>
    <cellStyle name="SAPBEXinputData 2 6 3" xfId="49688" xr:uid="{00000000-0005-0000-0000-0000CFC20000}"/>
    <cellStyle name="SAPBEXinputData 2 7" xfId="49689" xr:uid="{00000000-0005-0000-0000-0000D0C20000}"/>
    <cellStyle name="SAPBEXinputData 2 7 2" xfId="49690" xr:uid="{00000000-0005-0000-0000-0000D1C20000}"/>
    <cellStyle name="SAPBEXinputData 2 7 2 2" xfId="49691" xr:uid="{00000000-0005-0000-0000-0000D2C20000}"/>
    <cellStyle name="SAPBEXinputData 2 7 3" xfId="49692" xr:uid="{00000000-0005-0000-0000-0000D3C20000}"/>
    <cellStyle name="SAPBEXinputData 2 8" xfId="49693" xr:uid="{00000000-0005-0000-0000-0000D4C20000}"/>
    <cellStyle name="SAPBEXinputData 20" xfId="49694" xr:uid="{00000000-0005-0000-0000-0000D5C20000}"/>
    <cellStyle name="SAPBEXinputData 21" xfId="49695" xr:uid="{00000000-0005-0000-0000-0000D6C20000}"/>
    <cellStyle name="SAPBEXinputData 22" xfId="49696" xr:uid="{00000000-0005-0000-0000-0000D7C20000}"/>
    <cellStyle name="SAPBEXinputData 3" xfId="49697" xr:uid="{00000000-0005-0000-0000-0000D8C20000}"/>
    <cellStyle name="SAPBEXinputData 3 2" xfId="49698" xr:uid="{00000000-0005-0000-0000-0000D9C20000}"/>
    <cellStyle name="SAPBEXinputData 3 2 2" xfId="49699" xr:uid="{00000000-0005-0000-0000-0000DAC20000}"/>
    <cellStyle name="SAPBEXinputData 3 2 2 2" xfId="49700" xr:uid="{00000000-0005-0000-0000-0000DBC20000}"/>
    <cellStyle name="SAPBEXinputData 3 2 3" xfId="49701" xr:uid="{00000000-0005-0000-0000-0000DCC20000}"/>
    <cellStyle name="SAPBEXinputData 3 2 3 2" xfId="49702" xr:uid="{00000000-0005-0000-0000-0000DDC20000}"/>
    <cellStyle name="SAPBEXinputData 3 2 3 2 2" xfId="49703" xr:uid="{00000000-0005-0000-0000-0000DEC20000}"/>
    <cellStyle name="SAPBEXinputData 3 2 3 3" xfId="49704" xr:uid="{00000000-0005-0000-0000-0000DFC20000}"/>
    <cellStyle name="SAPBEXinputData 3 2 4" xfId="49705" xr:uid="{00000000-0005-0000-0000-0000E0C20000}"/>
    <cellStyle name="SAPBEXinputData 3 2 4 2" xfId="49706" xr:uid="{00000000-0005-0000-0000-0000E1C20000}"/>
    <cellStyle name="SAPBEXinputData 3 2 4 2 2" xfId="49707" xr:uid="{00000000-0005-0000-0000-0000E2C20000}"/>
    <cellStyle name="SAPBEXinputData 3 2 4 3" xfId="49708" xr:uid="{00000000-0005-0000-0000-0000E3C20000}"/>
    <cellStyle name="SAPBEXinputData 3 2 5" xfId="49709" xr:uid="{00000000-0005-0000-0000-0000E4C20000}"/>
    <cellStyle name="SAPBEXinputData 3 3" xfId="49710" xr:uid="{00000000-0005-0000-0000-0000E5C20000}"/>
    <cellStyle name="SAPBEXinputData 3 3 2" xfId="49711" xr:uid="{00000000-0005-0000-0000-0000E6C20000}"/>
    <cellStyle name="SAPBEXinputData 3 3 2 2" xfId="49712" xr:uid="{00000000-0005-0000-0000-0000E7C20000}"/>
    <cellStyle name="SAPBEXinputData 3 3 3" xfId="49713" xr:uid="{00000000-0005-0000-0000-0000E8C20000}"/>
    <cellStyle name="SAPBEXinputData 3 4" xfId="49714" xr:uid="{00000000-0005-0000-0000-0000E9C20000}"/>
    <cellStyle name="SAPBEXinputData 3 4 2" xfId="49715" xr:uid="{00000000-0005-0000-0000-0000EAC20000}"/>
    <cellStyle name="SAPBEXinputData 3 4 2 2" xfId="49716" xr:uid="{00000000-0005-0000-0000-0000EBC20000}"/>
    <cellStyle name="SAPBEXinputData 3 4 3" xfId="49717" xr:uid="{00000000-0005-0000-0000-0000ECC20000}"/>
    <cellStyle name="SAPBEXinputData 3 5" xfId="49718" xr:uid="{00000000-0005-0000-0000-0000EDC20000}"/>
    <cellStyle name="SAPBEXinputData 3 5 2" xfId="49719" xr:uid="{00000000-0005-0000-0000-0000EEC20000}"/>
    <cellStyle name="SAPBEXinputData 3 5 2 2" xfId="49720" xr:uid="{00000000-0005-0000-0000-0000EFC20000}"/>
    <cellStyle name="SAPBEXinputData 3 5 3" xfId="49721" xr:uid="{00000000-0005-0000-0000-0000F0C20000}"/>
    <cellStyle name="SAPBEXinputData 3 6" xfId="49722" xr:uid="{00000000-0005-0000-0000-0000F1C20000}"/>
    <cellStyle name="SAPBEXinputData 4" xfId="49723" xr:uid="{00000000-0005-0000-0000-0000F2C20000}"/>
    <cellStyle name="SAPBEXinputData 4 2" xfId="49724" xr:uid="{00000000-0005-0000-0000-0000F3C20000}"/>
    <cellStyle name="SAPBEXinputData 4 2 2" xfId="49725" xr:uid="{00000000-0005-0000-0000-0000F4C20000}"/>
    <cellStyle name="SAPBEXinputData 4 2 2 2" xfId="49726" xr:uid="{00000000-0005-0000-0000-0000F5C20000}"/>
    <cellStyle name="SAPBEXinputData 4 2 3" xfId="49727" xr:uid="{00000000-0005-0000-0000-0000F6C20000}"/>
    <cellStyle name="SAPBEXinputData 4 2 3 2" xfId="49728" xr:uid="{00000000-0005-0000-0000-0000F7C20000}"/>
    <cellStyle name="SAPBEXinputData 4 2 3 2 2" xfId="49729" xr:uid="{00000000-0005-0000-0000-0000F8C20000}"/>
    <cellStyle name="SAPBEXinputData 4 2 3 3" xfId="49730" xr:uid="{00000000-0005-0000-0000-0000F9C20000}"/>
    <cellStyle name="SAPBEXinputData 4 2 4" xfId="49731" xr:uid="{00000000-0005-0000-0000-0000FAC20000}"/>
    <cellStyle name="SAPBEXinputData 4 2 4 2" xfId="49732" xr:uid="{00000000-0005-0000-0000-0000FBC20000}"/>
    <cellStyle name="SAPBEXinputData 4 2 4 2 2" xfId="49733" xr:uid="{00000000-0005-0000-0000-0000FCC20000}"/>
    <cellStyle name="SAPBEXinputData 4 2 4 3" xfId="49734" xr:uid="{00000000-0005-0000-0000-0000FDC20000}"/>
    <cellStyle name="SAPBEXinputData 4 2 5" xfId="49735" xr:uid="{00000000-0005-0000-0000-0000FEC20000}"/>
    <cellStyle name="SAPBEXinputData 4 3" xfId="49736" xr:uid="{00000000-0005-0000-0000-0000FFC20000}"/>
    <cellStyle name="SAPBEXinputData 4 3 2" xfId="49737" xr:uid="{00000000-0005-0000-0000-000000C30000}"/>
    <cellStyle name="SAPBEXinputData 4 3 2 2" xfId="49738" xr:uid="{00000000-0005-0000-0000-000001C30000}"/>
    <cellStyle name="SAPBEXinputData 4 3 2 2 2" xfId="49739" xr:uid="{00000000-0005-0000-0000-000002C30000}"/>
    <cellStyle name="SAPBEXinputData 4 3 2 3" xfId="49740" xr:uid="{00000000-0005-0000-0000-000003C30000}"/>
    <cellStyle name="SAPBEXinputData 4 3 2 3 2" xfId="49741" xr:uid="{00000000-0005-0000-0000-000004C30000}"/>
    <cellStyle name="SAPBEXinputData 4 3 2 3 2 2" xfId="49742" xr:uid="{00000000-0005-0000-0000-000005C30000}"/>
    <cellStyle name="SAPBEXinputData 4 3 2 3 3" xfId="49743" xr:uid="{00000000-0005-0000-0000-000006C30000}"/>
    <cellStyle name="SAPBEXinputData 4 3 2 4" xfId="49744" xr:uid="{00000000-0005-0000-0000-000007C30000}"/>
    <cellStyle name="SAPBEXinputData 4 3 3" xfId="49745" xr:uid="{00000000-0005-0000-0000-000008C30000}"/>
    <cellStyle name="SAPBEXinputData 4 3 3 2" xfId="49746" xr:uid="{00000000-0005-0000-0000-000009C30000}"/>
    <cellStyle name="SAPBEXinputData 4 3 3 2 2" xfId="49747" xr:uid="{00000000-0005-0000-0000-00000AC30000}"/>
    <cellStyle name="SAPBEXinputData 4 3 3 3" xfId="49748" xr:uid="{00000000-0005-0000-0000-00000BC30000}"/>
    <cellStyle name="SAPBEXinputData 4 3 4" xfId="49749" xr:uid="{00000000-0005-0000-0000-00000CC30000}"/>
    <cellStyle name="SAPBEXinputData 4 3 4 2" xfId="49750" xr:uid="{00000000-0005-0000-0000-00000DC30000}"/>
    <cellStyle name="SAPBEXinputData 4 3 4 2 2" xfId="49751" xr:uid="{00000000-0005-0000-0000-00000EC30000}"/>
    <cellStyle name="SAPBEXinputData 4 3 4 3" xfId="49752" xr:uid="{00000000-0005-0000-0000-00000FC30000}"/>
    <cellStyle name="SAPBEXinputData 4 3 5" xfId="49753" xr:uid="{00000000-0005-0000-0000-000010C30000}"/>
    <cellStyle name="SAPBEXinputData 4 3 5 2" xfId="49754" xr:uid="{00000000-0005-0000-0000-000011C30000}"/>
    <cellStyle name="SAPBEXinputData 4 3 5 2 2" xfId="49755" xr:uid="{00000000-0005-0000-0000-000012C30000}"/>
    <cellStyle name="SAPBEXinputData 4 3 5 3" xfId="49756" xr:uid="{00000000-0005-0000-0000-000013C30000}"/>
    <cellStyle name="SAPBEXinputData 4 3 6" xfId="49757" xr:uid="{00000000-0005-0000-0000-000014C30000}"/>
    <cellStyle name="SAPBEXinputData 4 4" xfId="49758" xr:uid="{00000000-0005-0000-0000-000015C30000}"/>
    <cellStyle name="SAPBEXinputData 4 4 2" xfId="49759" xr:uid="{00000000-0005-0000-0000-000016C30000}"/>
    <cellStyle name="SAPBEXinputData 4 4 2 2" xfId="49760" xr:uid="{00000000-0005-0000-0000-000017C30000}"/>
    <cellStyle name="SAPBEXinputData 4 4 3" xfId="49761" xr:uid="{00000000-0005-0000-0000-000018C30000}"/>
    <cellStyle name="SAPBEXinputData 4 5" xfId="49762" xr:uid="{00000000-0005-0000-0000-000019C30000}"/>
    <cellStyle name="SAPBEXinputData 4 5 2" xfId="49763" xr:uid="{00000000-0005-0000-0000-00001AC30000}"/>
    <cellStyle name="SAPBEXinputData 4 5 2 2" xfId="49764" xr:uid="{00000000-0005-0000-0000-00001BC30000}"/>
    <cellStyle name="SAPBEXinputData 4 5 3" xfId="49765" xr:uid="{00000000-0005-0000-0000-00001CC30000}"/>
    <cellStyle name="SAPBEXinputData 4 6" xfId="49766" xr:uid="{00000000-0005-0000-0000-00001DC30000}"/>
    <cellStyle name="SAPBEXinputData 4 6 2" xfId="49767" xr:uid="{00000000-0005-0000-0000-00001EC30000}"/>
    <cellStyle name="SAPBEXinputData 4 6 2 2" xfId="49768" xr:uid="{00000000-0005-0000-0000-00001FC30000}"/>
    <cellStyle name="SAPBEXinputData 4 6 3" xfId="49769" xr:uid="{00000000-0005-0000-0000-000020C30000}"/>
    <cellStyle name="SAPBEXinputData 4 7" xfId="49770" xr:uid="{00000000-0005-0000-0000-000021C30000}"/>
    <cellStyle name="SAPBEXinputData 5" xfId="49771" xr:uid="{00000000-0005-0000-0000-000022C30000}"/>
    <cellStyle name="SAPBEXinputData 5 2" xfId="49772" xr:uid="{00000000-0005-0000-0000-000023C30000}"/>
    <cellStyle name="SAPBEXinputData 5 2 2" xfId="49773" xr:uid="{00000000-0005-0000-0000-000024C30000}"/>
    <cellStyle name="SAPBEXinputData 5 3" xfId="49774" xr:uid="{00000000-0005-0000-0000-000025C30000}"/>
    <cellStyle name="SAPBEXinputData 5 3 2" xfId="49775" xr:uid="{00000000-0005-0000-0000-000026C30000}"/>
    <cellStyle name="SAPBEXinputData 5 3 2 2" xfId="49776" xr:uid="{00000000-0005-0000-0000-000027C30000}"/>
    <cellStyle name="SAPBEXinputData 5 3 3" xfId="49777" xr:uid="{00000000-0005-0000-0000-000028C30000}"/>
    <cellStyle name="SAPBEXinputData 5 4" xfId="49778" xr:uid="{00000000-0005-0000-0000-000029C30000}"/>
    <cellStyle name="SAPBEXinputData 5 4 2" xfId="49779" xr:uid="{00000000-0005-0000-0000-00002AC30000}"/>
    <cellStyle name="SAPBEXinputData 5 4 2 2" xfId="49780" xr:uid="{00000000-0005-0000-0000-00002BC30000}"/>
    <cellStyle name="SAPBEXinputData 5 4 3" xfId="49781" xr:uid="{00000000-0005-0000-0000-00002CC30000}"/>
    <cellStyle name="SAPBEXinputData 5 5" xfId="49782" xr:uid="{00000000-0005-0000-0000-00002DC30000}"/>
    <cellStyle name="SAPBEXinputData 6" xfId="49783" xr:uid="{00000000-0005-0000-0000-00002EC30000}"/>
    <cellStyle name="SAPBEXinputData 6 2" xfId="49784" xr:uid="{00000000-0005-0000-0000-00002FC30000}"/>
    <cellStyle name="SAPBEXinputData 6 2 2" xfId="49785" xr:uid="{00000000-0005-0000-0000-000030C30000}"/>
    <cellStyle name="SAPBEXinputData 6 3" xfId="49786" xr:uid="{00000000-0005-0000-0000-000031C30000}"/>
    <cellStyle name="SAPBEXinputData 6 3 2" xfId="49787" xr:uid="{00000000-0005-0000-0000-000032C30000}"/>
    <cellStyle name="SAPBEXinputData 6 3 2 2" xfId="49788" xr:uid="{00000000-0005-0000-0000-000033C30000}"/>
    <cellStyle name="SAPBEXinputData 6 3 3" xfId="49789" xr:uid="{00000000-0005-0000-0000-000034C30000}"/>
    <cellStyle name="SAPBEXinputData 6 4" xfId="49790" xr:uid="{00000000-0005-0000-0000-000035C30000}"/>
    <cellStyle name="SAPBEXinputData 6 4 2" xfId="49791" xr:uid="{00000000-0005-0000-0000-000036C30000}"/>
    <cellStyle name="SAPBEXinputData 6 4 2 2" xfId="49792" xr:uid="{00000000-0005-0000-0000-000037C30000}"/>
    <cellStyle name="SAPBEXinputData 6 4 3" xfId="49793" xr:uid="{00000000-0005-0000-0000-000038C30000}"/>
    <cellStyle name="SAPBEXinputData 6 5" xfId="49794" xr:uid="{00000000-0005-0000-0000-000039C30000}"/>
    <cellStyle name="SAPBEXinputData 7" xfId="49795" xr:uid="{00000000-0005-0000-0000-00003AC30000}"/>
    <cellStyle name="SAPBEXinputData 7 2" xfId="49796" xr:uid="{00000000-0005-0000-0000-00003BC30000}"/>
    <cellStyle name="SAPBEXinputData 7 2 2" xfId="49797" xr:uid="{00000000-0005-0000-0000-00003CC30000}"/>
    <cellStyle name="SAPBEXinputData 7 2 2 2" xfId="49798" xr:uid="{00000000-0005-0000-0000-00003DC30000}"/>
    <cellStyle name="SAPBEXinputData 7 2 3" xfId="49799" xr:uid="{00000000-0005-0000-0000-00003EC30000}"/>
    <cellStyle name="SAPBEXinputData 7 2 3 2" xfId="49800" xr:uid="{00000000-0005-0000-0000-00003FC30000}"/>
    <cellStyle name="SAPBEXinputData 7 2 3 2 2" xfId="49801" xr:uid="{00000000-0005-0000-0000-000040C30000}"/>
    <cellStyle name="SAPBEXinputData 7 2 3 3" xfId="49802" xr:uid="{00000000-0005-0000-0000-000041C30000}"/>
    <cellStyle name="SAPBEXinputData 7 2 4" xfId="49803" xr:uid="{00000000-0005-0000-0000-000042C30000}"/>
    <cellStyle name="SAPBEXinputData 7 3" xfId="49804" xr:uid="{00000000-0005-0000-0000-000043C30000}"/>
    <cellStyle name="SAPBEXinputData 7 3 2" xfId="49805" xr:uid="{00000000-0005-0000-0000-000044C30000}"/>
    <cellStyle name="SAPBEXinputData 7 3 2 2" xfId="49806" xr:uid="{00000000-0005-0000-0000-000045C30000}"/>
    <cellStyle name="SAPBEXinputData 7 3 3" xfId="49807" xr:uid="{00000000-0005-0000-0000-000046C30000}"/>
    <cellStyle name="SAPBEXinputData 7 4" xfId="49808" xr:uid="{00000000-0005-0000-0000-000047C30000}"/>
    <cellStyle name="SAPBEXinputData 7 4 2" xfId="49809" xr:uid="{00000000-0005-0000-0000-000048C30000}"/>
    <cellStyle name="SAPBEXinputData 7 4 2 2" xfId="49810" xr:uid="{00000000-0005-0000-0000-000049C30000}"/>
    <cellStyle name="SAPBEXinputData 7 4 3" xfId="49811" xr:uid="{00000000-0005-0000-0000-00004AC30000}"/>
    <cellStyle name="SAPBEXinputData 7 5" xfId="49812" xr:uid="{00000000-0005-0000-0000-00004BC30000}"/>
    <cellStyle name="SAPBEXinputData 7 5 2" xfId="49813" xr:uid="{00000000-0005-0000-0000-00004CC30000}"/>
    <cellStyle name="SAPBEXinputData 7 5 2 2" xfId="49814" xr:uid="{00000000-0005-0000-0000-00004DC30000}"/>
    <cellStyle name="SAPBEXinputData 7 5 3" xfId="49815" xr:uid="{00000000-0005-0000-0000-00004EC30000}"/>
    <cellStyle name="SAPBEXinputData 7 6" xfId="49816" xr:uid="{00000000-0005-0000-0000-00004FC30000}"/>
    <cellStyle name="SAPBEXinputData 8" xfId="49817" xr:uid="{00000000-0005-0000-0000-000050C30000}"/>
    <cellStyle name="SAPBEXinputData 8 2" xfId="49818" xr:uid="{00000000-0005-0000-0000-000051C30000}"/>
    <cellStyle name="SAPBEXinputData 8 2 2" xfId="49819" xr:uid="{00000000-0005-0000-0000-000052C30000}"/>
    <cellStyle name="SAPBEXinputData 8 3" xfId="49820" xr:uid="{00000000-0005-0000-0000-000053C30000}"/>
    <cellStyle name="SAPBEXinputData 8 3 2" xfId="49821" xr:uid="{00000000-0005-0000-0000-000054C30000}"/>
    <cellStyle name="SAPBEXinputData 8 3 2 2" xfId="49822" xr:uid="{00000000-0005-0000-0000-000055C30000}"/>
    <cellStyle name="SAPBEXinputData 8 3 3" xfId="49823" xr:uid="{00000000-0005-0000-0000-000056C30000}"/>
    <cellStyle name="SAPBEXinputData 8 4" xfId="49824" xr:uid="{00000000-0005-0000-0000-000057C30000}"/>
    <cellStyle name="SAPBEXinputData 9" xfId="49825" xr:uid="{00000000-0005-0000-0000-000058C30000}"/>
    <cellStyle name="SAPBEXinputData 9 2" xfId="49826" xr:uid="{00000000-0005-0000-0000-000059C30000}"/>
    <cellStyle name="SAPBEXinputData 9 2 2" xfId="49827" xr:uid="{00000000-0005-0000-0000-00005AC30000}"/>
    <cellStyle name="SAPBEXinputData 9 2 2 2" xfId="49828" xr:uid="{00000000-0005-0000-0000-00005BC30000}"/>
    <cellStyle name="SAPBEXinputData 9 2 3" xfId="49829" xr:uid="{00000000-0005-0000-0000-00005CC30000}"/>
    <cellStyle name="SAPBEXinputData 9 3" xfId="49830" xr:uid="{00000000-0005-0000-0000-00005DC30000}"/>
    <cellStyle name="SAPBEXinputData 9 3 2" xfId="49831" xr:uid="{00000000-0005-0000-0000-00005EC30000}"/>
    <cellStyle name="SAPBEXinputData 9 3 2 2" xfId="49832" xr:uid="{00000000-0005-0000-0000-00005FC30000}"/>
    <cellStyle name="SAPBEXinputData 9 3 2 2 2" xfId="49833" xr:uid="{00000000-0005-0000-0000-000060C30000}"/>
    <cellStyle name="SAPBEXinputData 9 3 2 3" xfId="49834" xr:uid="{00000000-0005-0000-0000-000061C30000}"/>
    <cellStyle name="SAPBEXinputData 9 3 3" xfId="49835" xr:uid="{00000000-0005-0000-0000-000062C30000}"/>
    <cellStyle name="SAPBEXinputData 9 3 3 2" xfId="49836" xr:uid="{00000000-0005-0000-0000-000063C30000}"/>
    <cellStyle name="SAPBEXinputData 9 3 4" xfId="49837" xr:uid="{00000000-0005-0000-0000-000064C30000}"/>
    <cellStyle name="SAPBEXinputData 9 4" xfId="49838" xr:uid="{00000000-0005-0000-0000-000065C30000}"/>
    <cellStyle name="SAPBEXinputData 9 4 2" xfId="49839" xr:uid="{00000000-0005-0000-0000-000066C30000}"/>
    <cellStyle name="SAPBEXinputData 9 4 2 2" xfId="49840" xr:uid="{00000000-0005-0000-0000-000067C30000}"/>
    <cellStyle name="SAPBEXinputData 9 4 3" xfId="49841" xr:uid="{00000000-0005-0000-0000-000068C30000}"/>
    <cellStyle name="SAPBEXinputData 9 5" xfId="49842" xr:uid="{00000000-0005-0000-0000-000069C30000}"/>
    <cellStyle name="SAPBEXinputData 9 5 2" xfId="49843" xr:uid="{00000000-0005-0000-0000-00006AC30000}"/>
    <cellStyle name="SAPBEXinputData 9 6" xfId="49844" xr:uid="{00000000-0005-0000-0000-00006BC30000}"/>
    <cellStyle name="SAPBEXItemHeader" xfId="49845" xr:uid="{00000000-0005-0000-0000-00006CC30000}"/>
    <cellStyle name="SAPBEXItemHeader 10" xfId="49846" xr:uid="{00000000-0005-0000-0000-00006DC30000}"/>
    <cellStyle name="SAPBEXItemHeader 11" xfId="49847" xr:uid="{00000000-0005-0000-0000-00006EC30000}"/>
    <cellStyle name="SAPBEXItemHeader 2" xfId="49848" xr:uid="{00000000-0005-0000-0000-00006FC30000}"/>
    <cellStyle name="SAPBEXItemHeader 2 2" xfId="49849" xr:uid="{00000000-0005-0000-0000-000070C30000}"/>
    <cellStyle name="SAPBEXItemHeader 2 2 2" xfId="49850" xr:uid="{00000000-0005-0000-0000-000071C30000}"/>
    <cellStyle name="SAPBEXItemHeader 2 2 2 2" xfId="49851" xr:uid="{00000000-0005-0000-0000-000072C30000}"/>
    <cellStyle name="SAPBEXItemHeader 2 2 2 2 2" xfId="49852" xr:uid="{00000000-0005-0000-0000-000073C30000}"/>
    <cellStyle name="SAPBEXItemHeader 2 2 2 3" xfId="49853" xr:uid="{00000000-0005-0000-0000-000074C30000}"/>
    <cellStyle name="SAPBEXItemHeader 2 2 3" xfId="49854" xr:uid="{00000000-0005-0000-0000-000075C30000}"/>
    <cellStyle name="SAPBEXItemHeader 2 2 3 2" xfId="49855" xr:uid="{00000000-0005-0000-0000-000076C30000}"/>
    <cellStyle name="SAPBEXItemHeader 2 2 3 2 2" xfId="49856" xr:uid="{00000000-0005-0000-0000-000077C30000}"/>
    <cellStyle name="SAPBEXItemHeader 2 2 3 3" xfId="49857" xr:uid="{00000000-0005-0000-0000-000078C30000}"/>
    <cellStyle name="SAPBEXItemHeader 2 2 4" xfId="49858" xr:uid="{00000000-0005-0000-0000-000079C30000}"/>
    <cellStyle name="SAPBEXItemHeader 2 2 4 2" xfId="49859" xr:uid="{00000000-0005-0000-0000-00007AC30000}"/>
    <cellStyle name="SAPBEXItemHeader 2 2 4 2 2" xfId="49860" xr:uid="{00000000-0005-0000-0000-00007BC30000}"/>
    <cellStyle name="SAPBEXItemHeader 2 2 4 3" xfId="49861" xr:uid="{00000000-0005-0000-0000-00007CC30000}"/>
    <cellStyle name="SAPBEXItemHeader 2 2 5" xfId="49862" xr:uid="{00000000-0005-0000-0000-00007DC30000}"/>
    <cellStyle name="SAPBEXItemHeader 2 2 5 2" xfId="49863" xr:uid="{00000000-0005-0000-0000-00007EC30000}"/>
    <cellStyle name="SAPBEXItemHeader 2 2 6" xfId="49864" xr:uid="{00000000-0005-0000-0000-00007FC30000}"/>
    <cellStyle name="SAPBEXItemHeader 2 3" xfId="49865" xr:uid="{00000000-0005-0000-0000-000080C30000}"/>
    <cellStyle name="SAPBEXItemHeader 2 3 2" xfId="49866" xr:uid="{00000000-0005-0000-0000-000081C30000}"/>
    <cellStyle name="SAPBEXItemHeader 2 3 2 2" xfId="49867" xr:uid="{00000000-0005-0000-0000-000082C30000}"/>
    <cellStyle name="SAPBEXItemHeader 2 3 2 2 2" xfId="49868" xr:uid="{00000000-0005-0000-0000-000083C30000}"/>
    <cellStyle name="SAPBEXItemHeader 2 3 2 2 2 2" xfId="49869" xr:uid="{00000000-0005-0000-0000-000084C30000}"/>
    <cellStyle name="SAPBEXItemHeader 2 3 2 2 3" xfId="49870" xr:uid="{00000000-0005-0000-0000-000085C30000}"/>
    <cellStyle name="SAPBEXItemHeader 2 3 2 3" xfId="49871" xr:uid="{00000000-0005-0000-0000-000086C30000}"/>
    <cellStyle name="SAPBEXItemHeader 2 3 2 3 2" xfId="49872" xr:uid="{00000000-0005-0000-0000-000087C30000}"/>
    <cellStyle name="SAPBEXItemHeader 2 3 2 3 2 2" xfId="49873" xr:uid="{00000000-0005-0000-0000-000088C30000}"/>
    <cellStyle name="SAPBEXItemHeader 2 3 2 3 3" xfId="49874" xr:uid="{00000000-0005-0000-0000-000089C30000}"/>
    <cellStyle name="SAPBEXItemHeader 2 3 2 4" xfId="49875" xr:uid="{00000000-0005-0000-0000-00008AC30000}"/>
    <cellStyle name="SAPBEXItemHeader 2 3 2 4 2" xfId="49876" xr:uid="{00000000-0005-0000-0000-00008BC30000}"/>
    <cellStyle name="SAPBEXItemHeader 2 3 2 5" xfId="49877" xr:uid="{00000000-0005-0000-0000-00008CC30000}"/>
    <cellStyle name="SAPBEXItemHeader 2 3 3" xfId="49878" xr:uid="{00000000-0005-0000-0000-00008DC30000}"/>
    <cellStyle name="SAPBEXItemHeader 2 3 3 2" xfId="49879" xr:uid="{00000000-0005-0000-0000-00008EC30000}"/>
    <cellStyle name="SAPBEXItemHeader 2 3 3 2 2" xfId="49880" xr:uid="{00000000-0005-0000-0000-00008FC30000}"/>
    <cellStyle name="SAPBEXItemHeader 2 3 3 2 2 2" xfId="49881" xr:uid="{00000000-0005-0000-0000-000090C30000}"/>
    <cellStyle name="SAPBEXItemHeader 2 3 3 2 3" xfId="49882" xr:uid="{00000000-0005-0000-0000-000091C30000}"/>
    <cellStyle name="SAPBEXItemHeader 2 3 3 3" xfId="49883" xr:uid="{00000000-0005-0000-0000-000092C30000}"/>
    <cellStyle name="SAPBEXItemHeader 2 3 3 3 2" xfId="49884" xr:uid="{00000000-0005-0000-0000-000093C30000}"/>
    <cellStyle name="SAPBEXItemHeader 2 3 3 4" xfId="49885" xr:uid="{00000000-0005-0000-0000-000094C30000}"/>
    <cellStyle name="SAPBEXItemHeader 2 3 4" xfId="49886" xr:uid="{00000000-0005-0000-0000-000095C30000}"/>
    <cellStyle name="SAPBEXItemHeader 2 3 4 2" xfId="49887" xr:uid="{00000000-0005-0000-0000-000096C30000}"/>
    <cellStyle name="SAPBEXItemHeader 2 3 4 2 2" xfId="49888" xr:uid="{00000000-0005-0000-0000-000097C30000}"/>
    <cellStyle name="SAPBEXItemHeader 2 3 4 3" xfId="49889" xr:uid="{00000000-0005-0000-0000-000098C30000}"/>
    <cellStyle name="SAPBEXItemHeader 2 3 5" xfId="49890" xr:uid="{00000000-0005-0000-0000-000099C30000}"/>
    <cellStyle name="SAPBEXItemHeader 2 3 5 2" xfId="49891" xr:uid="{00000000-0005-0000-0000-00009AC30000}"/>
    <cellStyle name="SAPBEXItemHeader 2 3 5 2 2" xfId="49892" xr:uid="{00000000-0005-0000-0000-00009BC30000}"/>
    <cellStyle name="SAPBEXItemHeader 2 3 5 3" xfId="49893" xr:uid="{00000000-0005-0000-0000-00009CC30000}"/>
    <cellStyle name="SAPBEXItemHeader 2 3 6" xfId="49894" xr:uid="{00000000-0005-0000-0000-00009DC30000}"/>
    <cellStyle name="SAPBEXItemHeader 2 3 6 2" xfId="49895" xr:uid="{00000000-0005-0000-0000-00009EC30000}"/>
    <cellStyle name="SAPBEXItemHeader 2 3 7" xfId="49896" xr:uid="{00000000-0005-0000-0000-00009FC30000}"/>
    <cellStyle name="SAPBEXItemHeader 2 4" xfId="49897" xr:uid="{00000000-0005-0000-0000-0000A0C30000}"/>
    <cellStyle name="SAPBEXItemHeader 2 4 2" xfId="49898" xr:uid="{00000000-0005-0000-0000-0000A1C30000}"/>
    <cellStyle name="SAPBEXItemHeader 2 4 2 2" xfId="49899" xr:uid="{00000000-0005-0000-0000-0000A2C30000}"/>
    <cellStyle name="SAPBEXItemHeader 2 4 2 2 2" xfId="49900" xr:uid="{00000000-0005-0000-0000-0000A3C30000}"/>
    <cellStyle name="SAPBEXItemHeader 2 4 2 3" xfId="49901" xr:uid="{00000000-0005-0000-0000-0000A4C30000}"/>
    <cellStyle name="SAPBEXItemHeader 2 4 3" xfId="49902" xr:uid="{00000000-0005-0000-0000-0000A5C30000}"/>
    <cellStyle name="SAPBEXItemHeader 2 4 3 2" xfId="49903" xr:uid="{00000000-0005-0000-0000-0000A6C30000}"/>
    <cellStyle name="SAPBEXItemHeader 2 4 4" xfId="49904" xr:uid="{00000000-0005-0000-0000-0000A7C30000}"/>
    <cellStyle name="SAPBEXItemHeader 2 5" xfId="49905" xr:uid="{00000000-0005-0000-0000-0000A8C30000}"/>
    <cellStyle name="SAPBEXItemHeader 2 5 2" xfId="49906" xr:uid="{00000000-0005-0000-0000-0000A9C30000}"/>
    <cellStyle name="SAPBEXItemHeader 2 5 2 2" xfId="49907" xr:uid="{00000000-0005-0000-0000-0000AAC30000}"/>
    <cellStyle name="SAPBEXItemHeader 2 5 3" xfId="49908" xr:uid="{00000000-0005-0000-0000-0000ABC30000}"/>
    <cellStyle name="SAPBEXItemHeader 2 6" xfId="49909" xr:uid="{00000000-0005-0000-0000-0000ACC30000}"/>
    <cellStyle name="SAPBEXItemHeader 2 6 2" xfId="49910" xr:uid="{00000000-0005-0000-0000-0000ADC30000}"/>
    <cellStyle name="SAPBEXItemHeader 2 6 2 2" xfId="49911" xr:uid="{00000000-0005-0000-0000-0000AEC30000}"/>
    <cellStyle name="SAPBEXItemHeader 2 6 3" xfId="49912" xr:uid="{00000000-0005-0000-0000-0000AFC30000}"/>
    <cellStyle name="SAPBEXItemHeader 2 7" xfId="49913" xr:uid="{00000000-0005-0000-0000-0000B0C30000}"/>
    <cellStyle name="SAPBEXItemHeader 2 7 2" xfId="49914" xr:uid="{00000000-0005-0000-0000-0000B1C30000}"/>
    <cellStyle name="SAPBEXItemHeader 2 8" xfId="49915" xr:uid="{00000000-0005-0000-0000-0000B2C30000}"/>
    <cellStyle name="SAPBEXItemHeader 3" xfId="49916" xr:uid="{00000000-0005-0000-0000-0000B3C30000}"/>
    <cellStyle name="SAPBEXItemHeader 3 2" xfId="49917" xr:uid="{00000000-0005-0000-0000-0000B4C30000}"/>
    <cellStyle name="SAPBEXItemHeader 3 2 2" xfId="49918" xr:uid="{00000000-0005-0000-0000-0000B5C30000}"/>
    <cellStyle name="SAPBEXItemHeader 3 2 2 2" xfId="49919" xr:uid="{00000000-0005-0000-0000-0000B6C30000}"/>
    <cellStyle name="SAPBEXItemHeader 3 2 2 2 2" xfId="49920" xr:uid="{00000000-0005-0000-0000-0000B7C30000}"/>
    <cellStyle name="SAPBEXItemHeader 3 2 2 3" xfId="49921" xr:uid="{00000000-0005-0000-0000-0000B8C30000}"/>
    <cellStyle name="SAPBEXItemHeader 3 2 3" xfId="49922" xr:uid="{00000000-0005-0000-0000-0000B9C30000}"/>
    <cellStyle name="SAPBEXItemHeader 3 2 3 2" xfId="49923" xr:uid="{00000000-0005-0000-0000-0000BAC30000}"/>
    <cellStyle name="SAPBEXItemHeader 3 2 3 2 2" xfId="49924" xr:uid="{00000000-0005-0000-0000-0000BBC30000}"/>
    <cellStyle name="SAPBEXItemHeader 3 2 3 3" xfId="49925" xr:uid="{00000000-0005-0000-0000-0000BCC30000}"/>
    <cellStyle name="SAPBEXItemHeader 3 2 4" xfId="49926" xr:uid="{00000000-0005-0000-0000-0000BDC30000}"/>
    <cellStyle name="SAPBEXItemHeader 3 2 4 2" xfId="49927" xr:uid="{00000000-0005-0000-0000-0000BEC30000}"/>
    <cellStyle name="SAPBEXItemHeader 3 2 4 2 2" xfId="49928" xr:uid="{00000000-0005-0000-0000-0000BFC30000}"/>
    <cellStyle name="SAPBEXItemHeader 3 2 4 3" xfId="49929" xr:uid="{00000000-0005-0000-0000-0000C0C30000}"/>
    <cellStyle name="SAPBEXItemHeader 3 2 5" xfId="49930" xr:uid="{00000000-0005-0000-0000-0000C1C30000}"/>
    <cellStyle name="SAPBEXItemHeader 3 2 5 2" xfId="49931" xr:uid="{00000000-0005-0000-0000-0000C2C30000}"/>
    <cellStyle name="SAPBEXItemHeader 3 2 6" xfId="49932" xr:uid="{00000000-0005-0000-0000-0000C3C30000}"/>
    <cellStyle name="SAPBEXItemHeader 3 3" xfId="49933" xr:uid="{00000000-0005-0000-0000-0000C4C30000}"/>
    <cellStyle name="SAPBEXItemHeader 3 3 2" xfId="49934" xr:uid="{00000000-0005-0000-0000-0000C5C30000}"/>
    <cellStyle name="SAPBEXItemHeader 3 3 2 2" xfId="49935" xr:uid="{00000000-0005-0000-0000-0000C6C30000}"/>
    <cellStyle name="SAPBEXItemHeader 3 3 2 2 2" xfId="49936" xr:uid="{00000000-0005-0000-0000-0000C7C30000}"/>
    <cellStyle name="SAPBEXItemHeader 3 3 2 3" xfId="49937" xr:uid="{00000000-0005-0000-0000-0000C8C30000}"/>
    <cellStyle name="SAPBEXItemHeader 3 3 3" xfId="49938" xr:uid="{00000000-0005-0000-0000-0000C9C30000}"/>
    <cellStyle name="SAPBEXItemHeader 3 3 3 2" xfId="49939" xr:uid="{00000000-0005-0000-0000-0000CAC30000}"/>
    <cellStyle name="SAPBEXItemHeader 3 3 4" xfId="49940" xr:uid="{00000000-0005-0000-0000-0000CBC30000}"/>
    <cellStyle name="SAPBEXItemHeader 3 4" xfId="49941" xr:uid="{00000000-0005-0000-0000-0000CCC30000}"/>
    <cellStyle name="SAPBEXItemHeader 3 4 2" xfId="49942" xr:uid="{00000000-0005-0000-0000-0000CDC30000}"/>
    <cellStyle name="SAPBEXItemHeader 3 4 2 2" xfId="49943" xr:uid="{00000000-0005-0000-0000-0000CEC30000}"/>
    <cellStyle name="SAPBEXItemHeader 3 4 3" xfId="49944" xr:uid="{00000000-0005-0000-0000-0000CFC30000}"/>
    <cellStyle name="SAPBEXItemHeader 3 5" xfId="49945" xr:uid="{00000000-0005-0000-0000-0000D0C30000}"/>
    <cellStyle name="SAPBEXItemHeader 3 5 2" xfId="49946" xr:uid="{00000000-0005-0000-0000-0000D1C30000}"/>
    <cellStyle name="SAPBEXItemHeader 3 5 2 2" xfId="49947" xr:uid="{00000000-0005-0000-0000-0000D2C30000}"/>
    <cellStyle name="SAPBEXItemHeader 3 5 3" xfId="49948" xr:uid="{00000000-0005-0000-0000-0000D3C30000}"/>
    <cellStyle name="SAPBEXItemHeader 3 6" xfId="49949" xr:uid="{00000000-0005-0000-0000-0000D4C30000}"/>
    <cellStyle name="SAPBEXItemHeader 3 6 2" xfId="49950" xr:uid="{00000000-0005-0000-0000-0000D5C30000}"/>
    <cellStyle name="SAPBEXItemHeader 3 7" xfId="49951" xr:uid="{00000000-0005-0000-0000-0000D6C30000}"/>
    <cellStyle name="SAPBEXItemHeader 4" xfId="49952" xr:uid="{00000000-0005-0000-0000-0000D7C30000}"/>
    <cellStyle name="SAPBEXItemHeader 4 2" xfId="49953" xr:uid="{00000000-0005-0000-0000-0000D8C30000}"/>
    <cellStyle name="SAPBEXItemHeader 4 2 2" xfId="49954" xr:uid="{00000000-0005-0000-0000-0000D9C30000}"/>
    <cellStyle name="SAPBEXItemHeader 4 2 2 2" xfId="49955" xr:uid="{00000000-0005-0000-0000-0000DAC30000}"/>
    <cellStyle name="SAPBEXItemHeader 4 2 3" xfId="49956" xr:uid="{00000000-0005-0000-0000-0000DBC30000}"/>
    <cellStyle name="SAPBEXItemHeader 4 3" xfId="49957" xr:uid="{00000000-0005-0000-0000-0000DCC30000}"/>
    <cellStyle name="SAPBEXItemHeader 4 3 2" xfId="49958" xr:uid="{00000000-0005-0000-0000-0000DDC30000}"/>
    <cellStyle name="SAPBEXItemHeader 4 3 2 2" xfId="49959" xr:uid="{00000000-0005-0000-0000-0000DEC30000}"/>
    <cellStyle name="SAPBEXItemHeader 4 3 3" xfId="49960" xr:uid="{00000000-0005-0000-0000-0000DFC30000}"/>
    <cellStyle name="SAPBEXItemHeader 4 4" xfId="49961" xr:uid="{00000000-0005-0000-0000-0000E0C30000}"/>
    <cellStyle name="SAPBEXItemHeader 4 4 2" xfId="49962" xr:uid="{00000000-0005-0000-0000-0000E1C30000}"/>
    <cellStyle name="SAPBEXItemHeader 4 4 2 2" xfId="49963" xr:uid="{00000000-0005-0000-0000-0000E2C30000}"/>
    <cellStyle name="SAPBEXItemHeader 4 4 3" xfId="49964" xr:uid="{00000000-0005-0000-0000-0000E3C30000}"/>
    <cellStyle name="SAPBEXItemHeader 4 5" xfId="49965" xr:uid="{00000000-0005-0000-0000-0000E4C30000}"/>
    <cellStyle name="SAPBEXItemHeader 4 5 2" xfId="49966" xr:uid="{00000000-0005-0000-0000-0000E5C30000}"/>
    <cellStyle name="SAPBEXItemHeader 4 6" xfId="49967" xr:uid="{00000000-0005-0000-0000-0000E6C30000}"/>
    <cellStyle name="SAPBEXItemHeader 5" xfId="49968" xr:uid="{00000000-0005-0000-0000-0000E7C30000}"/>
    <cellStyle name="SAPBEXItemHeader 5 2" xfId="49969" xr:uid="{00000000-0005-0000-0000-0000E8C30000}"/>
    <cellStyle name="SAPBEXItemHeader 5 2 2" xfId="49970" xr:uid="{00000000-0005-0000-0000-0000E9C30000}"/>
    <cellStyle name="SAPBEXItemHeader 5 2 2 2" xfId="49971" xr:uid="{00000000-0005-0000-0000-0000EAC30000}"/>
    <cellStyle name="SAPBEXItemHeader 5 2 3" xfId="49972" xr:uid="{00000000-0005-0000-0000-0000EBC30000}"/>
    <cellStyle name="SAPBEXItemHeader 5 3" xfId="49973" xr:uid="{00000000-0005-0000-0000-0000ECC30000}"/>
    <cellStyle name="SAPBEXItemHeader 5 3 2" xfId="49974" xr:uid="{00000000-0005-0000-0000-0000EDC30000}"/>
    <cellStyle name="SAPBEXItemHeader 5 4" xfId="49975" xr:uid="{00000000-0005-0000-0000-0000EEC30000}"/>
    <cellStyle name="SAPBEXItemHeader 6" xfId="49976" xr:uid="{00000000-0005-0000-0000-0000EFC30000}"/>
    <cellStyle name="SAPBEXItemHeader 6 2" xfId="49977" xr:uid="{00000000-0005-0000-0000-0000F0C30000}"/>
    <cellStyle name="SAPBEXItemHeader 6 2 2" xfId="49978" xr:uid="{00000000-0005-0000-0000-0000F1C30000}"/>
    <cellStyle name="SAPBEXItemHeader 6 3" xfId="49979" xr:uid="{00000000-0005-0000-0000-0000F2C30000}"/>
    <cellStyle name="SAPBEXItemHeader 7" xfId="49980" xr:uid="{00000000-0005-0000-0000-0000F3C30000}"/>
    <cellStyle name="SAPBEXItemHeader 7 2" xfId="49981" xr:uid="{00000000-0005-0000-0000-0000F4C30000}"/>
    <cellStyle name="SAPBEXItemHeader 7 2 2" xfId="49982" xr:uid="{00000000-0005-0000-0000-0000F5C30000}"/>
    <cellStyle name="SAPBEXItemHeader 7 3" xfId="49983" xr:uid="{00000000-0005-0000-0000-0000F6C30000}"/>
    <cellStyle name="SAPBEXItemHeader 8" xfId="49984" xr:uid="{00000000-0005-0000-0000-0000F7C30000}"/>
    <cellStyle name="SAPBEXItemHeader 8 2" xfId="49985" xr:uid="{00000000-0005-0000-0000-0000F8C30000}"/>
    <cellStyle name="SAPBEXItemHeader 8 2 2" xfId="49986" xr:uid="{00000000-0005-0000-0000-0000F9C30000}"/>
    <cellStyle name="SAPBEXItemHeader 8 3" xfId="49987" xr:uid="{00000000-0005-0000-0000-0000FAC30000}"/>
    <cellStyle name="SAPBEXItemHeader 9" xfId="49988" xr:uid="{00000000-0005-0000-0000-0000FBC30000}"/>
    <cellStyle name="SAPBEXItemHeader 9 2" xfId="49989" xr:uid="{00000000-0005-0000-0000-0000FCC30000}"/>
    <cellStyle name="SAPBEXresData" xfId="69" xr:uid="{00000000-0005-0000-0000-0000FDC30000}"/>
    <cellStyle name="SAPBEXresData 10" xfId="49990" xr:uid="{00000000-0005-0000-0000-0000FEC30000}"/>
    <cellStyle name="SAPBEXresData 10 2" xfId="49991" xr:uid="{00000000-0005-0000-0000-0000FFC30000}"/>
    <cellStyle name="SAPBEXresData 11" xfId="49992" xr:uid="{00000000-0005-0000-0000-000000C40000}"/>
    <cellStyle name="SAPBEXresData 11 2" xfId="49993" xr:uid="{00000000-0005-0000-0000-000001C40000}"/>
    <cellStyle name="SAPBEXresData 12" xfId="49994" xr:uid="{00000000-0005-0000-0000-000002C40000}"/>
    <cellStyle name="SAPBEXresData 13" xfId="49995" xr:uid="{00000000-0005-0000-0000-000003C40000}"/>
    <cellStyle name="SAPBEXresData 2" xfId="49996" xr:uid="{00000000-0005-0000-0000-000004C40000}"/>
    <cellStyle name="SAPBEXresData 2 2" xfId="49997" xr:uid="{00000000-0005-0000-0000-000005C40000}"/>
    <cellStyle name="SAPBEXresData 2 2 2" xfId="49998" xr:uid="{00000000-0005-0000-0000-000006C40000}"/>
    <cellStyle name="SAPBEXresData 2 2 2 2" xfId="49999" xr:uid="{00000000-0005-0000-0000-000007C40000}"/>
    <cellStyle name="SAPBEXresData 2 2 3" xfId="50000" xr:uid="{00000000-0005-0000-0000-000008C40000}"/>
    <cellStyle name="SAPBEXresData 2 2 3 2" xfId="50001" xr:uid="{00000000-0005-0000-0000-000009C40000}"/>
    <cellStyle name="SAPBEXresData 2 2 3 2 2" xfId="50002" xr:uid="{00000000-0005-0000-0000-00000AC40000}"/>
    <cellStyle name="SAPBEXresData 2 2 3 3" xfId="50003" xr:uid="{00000000-0005-0000-0000-00000BC40000}"/>
    <cellStyle name="SAPBEXresData 2 2 4" xfId="50004" xr:uid="{00000000-0005-0000-0000-00000CC40000}"/>
    <cellStyle name="SAPBEXresData 2 3" xfId="50005" xr:uid="{00000000-0005-0000-0000-00000DC40000}"/>
    <cellStyle name="SAPBEXresData 2 3 2" xfId="50006" xr:uid="{00000000-0005-0000-0000-00000EC40000}"/>
    <cellStyle name="SAPBEXresData 2 3 2 2" xfId="50007" xr:uid="{00000000-0005-0000-0000-00000FC40000}"/>
    <cellStyle name="SAPBEXresData 2 3 3" xfId="50008" xr:uid="{00000000-0005-0000-0000-000010C40000}"/>
    <cellStyle name="SAPBEXresData 2 4" xfId="50009" xr:uid="{00000000-0005-0000-0000-000011C40000}"/>
    <cellStyle name="SAPBEXresData 2 4 2" xfId="50010" xr:uid="{00000000-0005-0000-0000-000012C40000}"/>
    <cellStyle name="SAPBEXresData 2 4 2 2" xfId="50011" xr:uid="{00000000-0005-0000-0000-000013C40000}"/>
    <cellStyle name="SAPBEXresData 2 4 3" xfId="50012" xr:uid="{00000000-0005-0000-0000-000014C40000}"/>
    <cellStyle name="SAPBEXresData 2 5" xfId="50013" xr:uid="{00000000-0005-0000-0000-000015C40000}"/>
    <cellStyle name="SAPBEXresData 2 5 2" xfId="50014" xr:uid="{00000000-0005-0000-0000-000016C40000}"/>
    <cellStyle name="SAPBEXresData 2 5 2 2" xfId="50015" xr:uid="{00000000-0005-0000-0000-000017C40000}"/>
    <cellStyle name="SAPBEXresData 2 5 3" xfId="50016" xr:uid="{00000000-0005-0000-0000-000018C40000}"/>
    <cellStyle name="SAPBEXresData 2 6" xfId="50017" xr:uid="{00000000-0005-0000-0000-000019C40000}"/>
    <cellStyle name="SAPBEXresData 2 6 2" xfId="50018" xr:uid="{00000000-0005-0000-0000-00001AC40000}"/>
    <cellStyle name="SAPBEXresData 2 7" xfId="50019" xr:uid="{00000000-0005-0000-0000-00001BC40000}"/>
    <cellStyle name="SAPBEXresData 3" xfId="50020" xr:uid="{00000000-0005-0000-0000-00001CC40000}"/>
    <cellStyle name="SAPBEXresData 3 2" xfId="50021" xr:uid="{00000000-0005-0000-0000-00001DC40000}"/>
    <cellStyle name="SAPBEXresData 3 2 2" xfId="50022" xr:uid="{00000000-0005-0000-0000-00001EC40000}"/>
    <cellStyle name="SAPBEXresData 3 3" xfId="50023" xr:uid="{00000000-0005-0000-0000-00001FC40000}"/>
    <cellStyle name="SAPBEXresData 3 3 2" xfId="50024" xr:uid="{00000000-0005-0000-0000-000020C40000}"/>
    <cellStyle name="SAPBEXresData 3 3 2 2" xfId="50025" xr:uid="{00000000-0005-0000-0000-000021C40000}"/>
    <cellStyle name="SAPBEXresData 3 3 3" xfId="50026" xr:uid="{00000000-0005-0000-0000-000022C40000}"/>
    <cellStyle name="SAPBEXresData 3 4" xfId="50027" xr:uid="{00000000-0005-0000-0000-000023C40000}"/>
    <cellStyle name="SAPBEXresData 3 4 2" xfId="50028" xr:uid="{00000000-0005-0000-0000-000024C40000}"/>
    <cellStyle name="SAPBEXresData 3 4 2 2" xfId="50029" xr:uid="{00000000-0005-0000-0000-000025C40000}"/>
    <cellStyle name="SAPBEXresData 3 4 3" xfId="50030" xr:uid="{00000000-0005-0000-0000-000026C40000}"/>
    <cellStyle name="SAPBEXresData 3 5" xfId="50031" xr:uid="{00000000-0005-0000-0000-000027C40000}"/>
    <cellStyle name="SAPBEXresData 4" xfId="50032" xr:uid="{00000000-0005-0000-0000-000028C40000}"/>
    <cellStyle name="SAPBEXresData 4 2" xfId="50033" xr:uid="{00000000-0005-0000-0000-000029C40000}"/>
    <cellStyle name="SAPBEXresData 4 2 2" xfId="50034" xr:uid="{00000000-0005-0000-0000-00002AC40000}"/>
    <cellStyle name="SAPBEXresData 4 2 2 2" xfId="50035" xr:uid="{00000000-0005-0000-0000-00002BC40000}"/>
    <cellStyle name="SAPBEXresData 4 2 3" xfId="50036" xr:uid="{00000000-0005-0000-0000-00002CC40000}"/>
    <cellStyle name="SAPBEXresData 4 2 3 2" xfId="50037" xr:uid="{00000000-0005-0000-0000-00002DC40000}"/>
    <cellStyle name="SAPBEXresData 4 2 3 2 2" xfId="50038" xr:uid="{00000000-0005-0000-0000-00002EC40000}"/>
    <cellStyle name="SAPBEXresData 4 2 3 3" xfId="50039" xr:uid="{00000000-0005-0000-0000-00002FC40000}"/>
    <cellStyle name="SAPBEXresData 4 2 4" xfId="50040" xr:uid="{00000000-0005-0000-0000-000030C40000}"/>
    <cellStyle name="SAPBEXresData 4 3" xfId="50041" xr:uid="{00000000-0005-0000-0000-000031C40000}"/>
    <cellStyle name="SAPBEXresData 4 3 2" xfId="50042" xr:uid="{00000000-0005-0000-0000-000032C40000}"/>
    <cellStyle name="SAPBEXresData 4 3 2 2" xfId="50043" xr:uid="{00000000-0005-0000-0000-000033C40000}"/>
    <cellStyle name="SAPBEXresData 4 3 3" xfId="50044" xr:uid="{00000000-0005-0000-0000-000034C40000}"/>
    <cellStyle name="SAPBEXresData 4 4" xfId="50045" xr:uid="{00000000-0005-0000-0000-000035C40000}"/>
    <cellStyle name="SAPBEXresData 4 4 2" xfId="50046" xr:uid="{00000000-0005-0000-0000-000036C40000}"/>
    <cellStyle name="SAPBEXresData 4 4 2 2" xfId="50047" xr:uid="{00000000-0005-0000-0000-000037C40000}"/>
    <cellStyle name="SAPBEXresData 4 4 3" xfId="50048" xr:uid="{00000000-0005-0000-0000-000038C40000}"/>
    <cellStyle name="SAPBEXresData 4 5" xfId="50049" xr:uid="{00000000-0005-0000-0000-000039C40000}"/>
    <cellStyle name="SAPBEXresData 4 5 2" xfId="50050" xr:uid="{00000000-0005-0000-0000-00003AC40000}"/>
    <cellStyle name="SAPBEXresData 4 5 2 2" xfId="50051" xr:uid="{00000000-0005-0000-0000-00003BC40000}"/>
    <cellStyle name="SAPBEXresData 4 5 3" xfId="50052" xr:uid="{00000000-0005-0000-0000-00003CC40000}"/>
    <cellStyle name="SAPBEXresData 4 6" xfId="50053" xr:uid="{00000000-0005-0000-0000-00003DC40000}"/>
    <cellStyle name="SAPBEXresData 5" xfId="50054" xr:uid="{00000000-0005-0000-0000-00003EC40000}"/>
    <cellStyle name="SAPBEXresData 5 2" xfId="50055" xr:uid="{00000000-0005-0000-0000-00003FC40000}"/>
    <cellStyle name="SAPBEXresData 5 2 2" xfId="50056" xr:uid="{00000000-0005-0000-0000-000040C40000}"/>
    <cellStyle name="SAPBEXresData 5 3" xfId="50057" xr:uid="{00000000-0005-0000-0000-000041C40000}"/>
    <cellStyle name="SAPBEXresData 6" xfId="50058" xr:uid="{00000000-0005-0000-0000-000042C40000}"/>
    <cellStyle name="SAPBEXresData 6 2" xfId="50059" xr:uid="{00000000-0005-0000-0000-000043C40000}"/>
    <cellStyle name="SAPBEXresData 6 2 2" xfId="50060" xr:uid="{00000000-0005-0000-0000-000044C40000}"/>
    <cellStyle name="SAPBEXresData 6 3" xfId="50061" xr:uid="{00000000-0005-0000-0000-000045C40000}"/>
    <cellStyle name="SAPBEXresData 7" xfId="50062" xr:uid="{00000000-0005-0000-0000-000046C40000}"/>
    <cellStyle name="SAPBEXresData 7 2" xfId="50063" xr:uid="{00000000-0005-0000-0000-000047C40000}"/>
    <cellStyle name="SAPBEXresData 7 2 2" xfId="50064" xr:uid="{00000000-0005-0000-0000-000048C40000}"/>
    <cellStyle name="SAPBEXresData 7 3" xfId="50065" xr:uid="{00000000-0005-0000-0000-000049C40000}"/>
    <cellStyle name="SAPBEXresData 8" xfId="50066" xr:uid="{00000000-0005-0000-0000-00004AC40000}"/>
    <cellStyle name="SAPBEXresData 8 2" xfId="50067" xr:uid="{00000000-0005-0000-0000-00004BC40000}"/>
    <cellStyle name="SAPBEXresData 9" xfId="50068" xr:uid="{00000000-0005-0000-0000-00004CC40000}"/>
    <cellStyle name="SAPBEXresData 9 2" xfId="50069" xr:uid="{00000000-0005-0000-0000-00004DC40000}"/>
    <cellStyle name="SAPBEXresDataEmph" xfId="70" xr:uid="{00000000-0005-0000-0000-00004EC40000}"/>
    <cellStyle name="SAPBEXresDataEmph 10" xfId="50070" xr:uid="{00000000-0005-0000-0000-00004FC40000}"/>
    <cellStyle name="SAPBEXresDataEmph 10 2" xfId="50071" xr:uid="{00000000-0005-0000-0000-000050C40000}"/>
    <cellStyle name="SAPBEXresDataEmph 11" xfId="50072" xr:uid="{00000000-0005-0000-0000-000051C40000}"/>
    <cellStyle name="SAPBEXresDataEmph 11 2" xfId="50073" xr:uid="{00000000-0005-0000-0000-000052C40000}"/>
    <cellStyle name="SAPBEXresDataEmph 12" xfId="50074" xr:uid="{00000000-0005-0000-0000-000053C40000}"/>
    <cellStyle name="SAPBEXresDataEmph 2" xfId="50075" xr:uid="{00000000-0005-0000-0000-000054C40000}"/>
    <cellStyle name="SAPBEXresDataEmph 2 2" xfId="50076" xr:uid="{00000000-0005-0000-0000-000055C40000}"/>
    <cellStyle name="SAPBEXresDataEmph 2 2 2" xfId="50077" xr:uid="{00000000-0005-0000-0000-000056C40000}"/>
    <cellStyle name="SAPBEXresDataEmph 2 2 3" xfId="50078" xr:uid="{00000000-0005-0000-0000-000057C40000}"/>
    <cellStyle name="SAPBEXresDataEmph 2 2 3 2" xfId="50079" xr:uid="{00000000-0005-0000-0000-000058C40000}"/>
    <cellStyle name="SAPBEXresDataEmph 2 2 3 2 2" xfId="50080" xr:uid="{00000000-0005-0000-0000-000059C40000}"/>
    <cellStyle name="SAPBEXresDataEmph 2 2 3 3" xfId="50081" xr:uid="{00000000-0005-0000-0000-00005AC40000}"/>
    <cellStyle name="SAPBEXresDataEmph 2 3" xfId="50082" xr:uid="{00000000-0005-0000-0000-00005BC40000}"/>
    <cellStyle name="SAPBEXresDataEmph 2 3 2" xfId="50083" xr:uid="{00000000-0005-0000-0000-00005CC40000}"/>
    <cellStyle name="SAPBEXresDataEmph 2 4" xfId="50084" xr:uid="{00000000-0005-0000-0000-00005DC40000}"/>
    <cellStyle name="SAPBEXresDataEmph 2 4 2" xfId="50085" xr:uid="{00000000-0005-0000-0000-00005EC40000}"/>
    <cellStyle name="SAPBEXresDataEmph 2 4 2 2" xfId="50086" xr:uid="{00000000-0005-0000-0000-00005FC40000}"/>
    <cellStyle name="SAPBEXresDataEmph 2 4 3" xfId="50087" xr:uid="{00000000-0005-0000-0000-000060C40000}"/>
    <cellStyle name="SAPBEXresDataEmph 2 5" xfId="50088" xr:uid="{00000000-0005-0000-0000-000061C40000}"/>
    <cellStyle name="SAPBEXresDataEmph 2 5 2" xfId="50089" xr:uid="{00000000-0005-0000-0000-000062C40000}"/>
    <cellStyle name="SAPBEXresDataEmph 2 5 2 2" xfId="50090" xr:uid="{00000000-0005-0000-0000-000063C40000}"/>
    <cellStyle name="SAPBEXresDataEmph 2 5 3" xfId="50091" xr:uid="{00000000-0005-0000-0000-000064C40000}"/>
    <cellStyle name="SAPBEXresDataEmph 2 6" xfId="50092" xr:uid="{00000000-0005-0000-0000-000065C40000}"/>
    <cellStyle name="SAPBEXresDataEmph 3" xfId="50093" xr:uid="{00000000-0005-0000-0000-000066C40000}"/>
    <cellStyle name="SAPBEXresDataEmph 3 2" xfId="50094" xr:uid="{00000000-0005-0000-0000-000067C40000}"/>
    <cellStyle name="SAPBEXresDataEmph 3 2 2" xfId="50095" xr:uid="{00000000-0005-0000-0000-000068C40000}"/>
    <cellStyle name="SAPBEXresDataEmph 3 3" xfId="50096" xr:uid="{00000000-0005-0000-0000-000069C40000}"/>
    <cellStyle name="SAPBEXresDataEmph 3 3 2" xfId="50097" xr:uid="{00000000-0005-0000-0000-00006AC40000}"/>
    <cellStyle name="SAPBEXresDataEmph 3 3 2 2" xfId="50098" xr:uid="{00000000-0005-0000-0000-00006BC40000}"/>
    <cellStyle name="SAPBEXresDataEmph 3 3 3" xfId="50099" xr:uid="{00000000-0005-0000-0000-00006CC40000}"/>
    <cellStyle name="SAPBEXresDataEmph 3 4" xfId="50100" xr:uid="{00000000-0005-0000-0000-00006DC40000}"/>
    <cellStyle name="SAPBEXresDataEmph 3 4 2" xfId="50101" xr:uid="{00000000-0005-0000-0000-00006EC40000}"/>
    <cellStyle name="SAPBEXresDataEmph 3 4 2 2" xfId="50102" xr:uid="{00000000-0005-0000-0000-00006FC40000}"/>
    <cellStyle name="SAPBEXresDataEmph 3 4 3" xfId="50103" xr:uid="{00000000-0005-0000-0000-000070C40000}"/>
    <cellStyle name="SAPBEXresDataEmph 3 5" xfId="50104" xr:uid="{00000000-0005-0000-0000-000071C40000}"/>
    <cellStyle name="SAPBEXresDataEmph 4" xfId="50105" xr:uid="{00000000-0005-0000-0000-000072C40000}"/>
    <cellStyle name="SAPBEXresDataEmph 4 2" xfId="50106" xr:uid="{00000000-0005-0000-0000-000073C40000}"/>
    <cellStyle name="SAPBEXresDataEmph 4 2 2" xfId="50107" xr:uid="{00000000-0005-0000-0000-000074C40000}"/>
    <cellStyle name="SAPBEXresDataEmph 4 2 2 2" xfId="50108" xr:uid="{00000000-0005-0000-0000-000075C40000}"/>
    <cellStyle name="SAPBEXresDataEmph 4 2 3" xfId="50109" xr:uid="{00000000-0005-0000-0000-000076C40000}"/>
    <cellStyle name="SAPBEXresDataEmph 4 2 3 2" xfId="50110" xr:uid="{00000000-0005-0000-0000-000077C40000}"/>
    <cellStyle name="SAPBEXresDataEmph 4 2 3 2 2" xfId="50111" xr:uid="{00000000-0005-0000-0000-000078C40000}"/>
    <cellStyle name="SAPBEXresDataEmph 4 2 3 3" xfId="50112" xr:uid="{00000000-0005-0000-0000-000079C40000}"/>
    <cellStyle name="SAPBEXresDataEmph 4 2 4" xfId="50113" xr:uid="{00000000-0005-0000-0000-00007AC40000}"/>
    <cellStyle name="SAPBEXresDataEmph 4 3" xfId="50114" xr:uid="{00000000-0005-0000-0000-00007BC40000}"/>
    <cellStyle name="SAPBEXresDataEmph 4 3 2" xfId="50115" xr:uid="{00000000-0005-0000-0000-00007CC40000}"/>
    <cellStyle name="SAPBEXresDataEmph 4 3 2 2" xfId="50116" xr:uid="{00000000-0005-0000-0000-00007DC40000}"/>
    <cellStyle name="SAPBEXresDataEmph 4 3 3" xfId="50117" xr:uid="{00000000-0005-0000-0000-00007EC40000}"/>
    <cellStyle name="SAPBEXresDataEmph 4 4" xfId="50118" xr:uid="{00000000-0005-0000-0000-00007FC40000}"/>
    <cellStyle name="SAPBEXresDataEmph 4 4 2" xfId="50119" xr:uid="{00000000-0005-0000-0000-000080C40000}"/>
    <cellStyle name="SAPBEXresDataEmph 4 4 2 2" xfId="50120" xr:uid="{00000000-0005-0000-0000-000081C40000}"/>
    <cellStyle name="SAPBEXresDataEmph 4 4 3" xfId="50121" xr:uid="{00000000-0005-0000-0000-000082C40000}"/>
    <cellStyle name="SAPBEXresDataEmph 4 5" xfId="50122" xr:uid="{00000000-0005-0000-0000-000083C40000}"/>
    <cellStyle name="SAPBEXresDataEmph 4 5 2" xfId="50123" xr:uid="{00000000-0005-0000-0000-000084C40000}"/>
    <cellStyle name="SAPBEXresDataEmph 4 5 2 2" xfId="50124" xr:uid="{00000000-0005-0000-0000-000085C40000}"/>
    <cellStyle name="SAPBEXresDataEmph 4 5 3" xfId="50125" xr:uid="{00000000-0005-0000-0000-000086C40000}"/>
    <cellStyle name="SAPBEXresDataEmph 4 6" xfId="50126" xr:uid="{00000000-0005-0000-0000-000087C40000}"/>
    <cellStyle name="SAPBEXresDataEmph 5" xfId="50127" xr:uid="{00000000-0005-0000-0000-000088C40000}"/>
    <cellStyle name="SAPBEXresDataEmph 5 2" xfId="50128" xr:uid="{00000000-0005-0000-0000-000089C40000}"/>
    <cellStyle name="SAPBEXresDataEmph 5 2 2" xfId="50129" xr:uid="{00000000-0005-0000-0000-00008AC40000}"/>
    <cellStyle name="SAPBEXresDataEmph 5 3" xfId="50130" xr:uid="{00000000-0005-0000-0000-00008BC40000}"/>
    <cellStyle name="SAPBEXresDataEmph 6" xfId="50131" xr:uid="{00000000-0005-0000-0000-00008CC40000}"/>
    <cellStyle name="SAPBEXresDataEmph 6 2" xfId="50132" xr:uid="{00000000-0005-0000-0000-00008DC40000}"/>
    <cellStyle name="SAPBEXresDataEmph 6 2 2" xfId="50133" xr:uid="{00000000-0005-0000-0000-00008EC40000}"/>
    <cellStyle name="SAPBEXresDataEmph 6 3" xfId="50134" xr:uid="{00000000-0005-0000-0000-00008FC40000}"/>
    <cellStyle name="SAPBEXresDataEmph 7" xfId="50135" xr:uid="{00000000-0005-0000-0000-000090C40000}"/>
    <cellStyle name="SAPBEXresDataEmph 7 2" xfId="50136" xr:uid="{00000000-0005-0000-0000-000091C40000}"/>
    <cellStyle name="SAPBEXresDataEmph 7 2 2" xfId="50137" xr:uid="{00000000-0005-0000-0000-000092C40000}"/>
    <cellStyle name="SAPBEXresDataEmph 7 3" xfId="50138" xr:uid="{00000000-0005-0000-0000-000093C40000}"/>
    <cellStyle name="SAPBEXresDataEmph 8" xfId="50139" xr:uid="{00000000-0005-0000-0000-000094C40000}"/>
    <cellStyle name="SAPBEXresDataEmph 8 2" xfId="50140" xr:uid="{00000000-0005-0000-0000-000095C40000}"/>
    <cellStyle name="SAPBEXresDataEmph 9" xfId="50141" xr:uid="{00000000-0005-0000-0000-000096C40000}"/>
    <cellStyle name="SAPBEXresDataEmph 9 2" xfId="50142" xr:uid="{00000000-0005-0000-0000-000097C40000}"/>
    <cellStyle name="SAPBEXresItem" xfId="71" xr:uid="{00000000-0005-0000-0000-000098C40000}"/>
    <cellStyle name="SAPBEXresItem 10" xfId="50143" xr:uid="{00000000-0005-0000-0000-000099C40000}"/>
    <cellStyle name="SAPBEXresItem 10 2" xfId="50144" xr:uid="{00000000-0005-0000-0000-00009AC40000}"/>
    <cellStyle name="SAPBEXresItem 11" xfId="50145" xr:uid="{00000000-0005-0000-0000-00009BC40000}"/>
    <cellStyle name="SAPBEXresItem 11 2" xfId="50146" xr:uid="{00000000-0005-0000-0000-00009CC40000}"/>
    <cellStyle name="SAPBEXresItem 12" xfId="50147" xr:uid="{00000000-0005-0000-0000-00009DC40000}"/>
    <cellStyle name="SAPBEXresItem 13" xfId="50148" xr:uid="{00000000-0005-0000-0000-00009EC40000}"/>
    <cellStyle name="SAPBEXresItem 2" xfId="50149" xr:uid="{00000000-0005-0000-0000-00009FC40000}"/>
    <cellStyle name="SAPBEXresItem 2 2" xfId="50150" xr:uid="{00000000-0005-0000-0000-0000A0C40000}"/>
    <cellStyle name="SAPBEXresItem 2 2 2" xfId="50151" xr:uid="{00000000-0005-0000-0000-0000A1C40000}"/>
    <cellStyle name="SAPBEXresItem 2 2 2 2" xfId="50152" xr:uid="{00000000-0005-0000-0000-0000A2C40000}"/>
    <cellStyle name="SAPBEXresItem 2 2 3" xfId="50153" xr:uid="{00000000-0005-0000-0000-0000A3C40000}"/>
    <cellStyle name="SAPBEXresItem 2 2 3 2" xfId="50154" xr:uid="{00000000-0005-0000-0000-0000A4C40000}"/>
    <cellStyle name="SAPBEXresItem 2 2 3 2 2" xfId="50155" xr:uid="{00000000-0005-0000-0000-0000A5C40000}"/>
    <cellStyle name="SAPBEXresItem 2 2 3 3" xfId="50156" xr:uid="{00000000-0005-0000-0000-0000A6C40000}"/>
    <cellStyle name="SAPBEXresItem 2 2 4" xfId="50157" xr:uid="{00000000-0005-0000-0000-0000A7C40000}"/>
    <cellStyle name="SAPBEXresItem 2 3" xfId="50158" xr:uid="{00000000-0005-0000-0000-0000A8C40000}"/>
    <cellStyle name="SAPBEXresItem 2 3 2" xfId="50159" xr:uid="{00000000-0005-0000-0000-0000A9C40000}"/>
    <cellStyle name="SAPBEXresItem 2 3 2 2" xfId="50160" xr:uid="{00000000-0005-0000-0000-0000AAC40000}"/>
    <cellStyle name="SAPBEXresItem 2 3 3" xfId="50161" xr:uid="{00000000-0005-0000-0000-0000ABC40000}"/>
    <cellStyle name="SAPBEXresItem 2 4" xfId="50162" xr:uid="{00000000-0005-0000-0000-0000ACC40000}"/>
    <cellStyle name="SAPBEXresItem 2 4 2" xfId="50163" xr:uid="{00000000-0005-0000-0000-0000ADC40000}"/>
    <cellStyle name="SAPBEXresItem 2 4 2 2" xfId="50164" xr:uid="{00000000-0005-0000-0000-0000AEC40000}"/>
    <cellStyle name="SAPBEXresItem 2 4 3" xfId="50165" xr:uid="{00000000-0005-0000-0000-0000AFC40000}"/>
    <cellStyle name="SAPBEXresItem 2 5" xfId="50166" xr:uid="{00000000-0005-0000-0000-0000B0C40000}"/>
    <cellStyle name="SAPBEXresItem 2 5 2" xfId="50167" xr:uid="{00000000-0005-0000-0000-0000B1C40000}"/>
    <cellStyle name="SAPBEXresItem 2 5 2 2" xfId="50168" xr:uid="{00000000-0005-0000-0000-0000B2C40000}"/>
    <cellStyle name="SAPBEXresItem 2 5 3" xfId="50169" xr:uid="{00000000-0005-0000-0000-0000B3C40000}"/>
    <cellStyle name="SAPBEXresItem 2 6" xfId="50170" xr:uid="{00000000-0005-0000-0000-0000B4C40000}"/>
    <cellStyle name="SAPBEXresItem 2 6 2" xfId="50171" xr:uid="{00000000-0005-0000-0000-0000B5C40000}"/>
    <cellStyle name="SAPBEXresItem 2 7" xfId="50172" xr:uid="{00000000-0005-0000-0000-0000B6C40000}"/>
    <cellStyle name="SAPBEXresItem 3" xfId="50173" xr:uid="{00000000-0005-0000-0000-0000B7C40000}"/>
    <cellStyle name="SAPBEXresItem 3 2" xfId="50174" xr:uid="{00000000-0005-0000-0000-0000B8C40000}"/>
    <cellStyle name="SAPBEXresItem 3 2 2" xfId="50175" xr:uid="{00000000-0005-0000-0000-0000B9C40000}"/>
    <cellStyle name="SAPBEXresItem 3 3" xfId="50176" xr:uid="{00000000-0005-0000-0000-0000BAC40000}"/>
    <cellStyle name="SAPBEXresItem 3 3 2" xfId="50177" xr:uid="{00000000-0005-0000-0000-0000BBC40000}"/>
    <cellStyle name="SAPBEXresItem 3 3 2 2" xfId="50178" xr:uid="{00000000-0005-0000-0000-0000BCC40000}"/>
    <cellStyle name="SAPBEXresItem 3 3 3" xfId="50179" xr:uid="{00000000-0005-0000-0000-0000BDC40000}"/>
    <cellStyle name="SAPBEXresItem 3 4" xfId="50180" xr:uid="{00000000-0005-0000-0000-0000BEC40000}"/>
    <cellStyle name="SAPBEXresItem 3 4 2" xfId="50181" xr:uid="{00000000-0005-0000-0000-0000BFC40000}"/>
    <cellStyle name="SAPBEXresItem 3 4 2 2" xfId="50182" xr:uid="{00000000-0005-0000-0000-0000C0C40000}"/>
    <cellStyle name="SAPBEXresItem 3 4 3" xfId="50183" xr:uid="{00000000-0005-0000-0000-0000C1C40000}"/>
    <cellStyle name="SAPBEXresItem 3 5" xfId="50184" xr:uid="{00000000-0005-0000-0000-0000C2C40000}"/>
    <cellStyle name="SAPBEXresItem 4" xfId="50185" xr:uid="{00000000-0005-0000-0000-0000C3C40000}"/>
    <cellStyle name="SAPBEXresItem 4 2" xfId="50186" xr:uid="{00000000-0005-0000-0000-0000C4C40000}"/>
    <cellStyle name="SAPBEXresItem 4 2 2" xfId="50187" xr:uid="{00000000-0005-0000-0000-0000C5C40000}"/>
    <cellStyle name="SAPBEXresItem 4 2 2 2" xfId="50188" xr:uid="{00000000-0005-0000-0000-0000C6C40000}"/>
    <cellStyle name="SAPBEXresItem 4 2 3" xfId="50189" xr:uid="{00000000-0005-0000-0000-0000C7C40000}"/>
    <cellStyle name="SAPBEXresItem 4 2 3 2" xfId="50190" xr:uid="{00000000-0005-0000-0000-0000C8C40000}"/>
    <cellStyle name="SAPBEXresItem 4 2 3 2 2" xfId="50191" xr:uid="{00000000-0005-0000-0000-0000C9C40000}"/>
    <cellStyle name="SAPBEXresItem 4 2 3 3" xfId="50192" xr:uid="{00000000-0005-0000-0000-0000CAC40000}"/>
    <cellStyle name="SAPBEXresItem 4 2 4" xfId="50193" xr:uid="{00000000-0005-0000-0000-0000CBC40000}"/>
    <cellStyle name="SAPBEXresItem 4 3" xfId="50194" xr:uid="{00000000-0005-0000-0000-0000CCC40000}"/>
    <cellStyle name="SAPBEXresItem 4 3 2" xfId="50195" xr:uid="{00000000-0005-0000-0000-0000CDC40000}"/>
    <cellStyle name="SAPBEXresItem 4 3 2 2" xfId="50196" xr:uid="{00000000-0005-0000-0000-0000CEC40000}"/>
    <cellStyle name="SAPBEXresItem 4 3 3" xfId="50197" xr:uid="{00000000-0005-0000-0000-0000CFC40000}"/>
    <cellStyle name="SAPBEXresItem 4 4" xfId="50198" xr:uid="{00000000-0005-0000-0000-0000D0C40000}"/>
    <cellStyle name="SAPBEXresItem 4 4 2" xfId="50199" xr:uid="{00000000-0005-0000-0000-0000D1C40000}"/>
    <cellStyle name="SAPBEXresItem 4 4 2 2" xfId="50200" xr:uid="{00000000-0005-0000-0000-0000D2C40000}"/>
    <cellStyle name="SAPBEXresItem 4 4 3" xfId="50201" xr:uid="{00000000-0005-0000-0000-0000D3C40000}"/>
    <cellStyle name="SAPBEXresItem 4 5" xfId="50202" xr:uid="{00000000-0005-0000-0000-0000D4C40000}"/>
    <cellStyle name="SAPBEXresItem 4 5 2" xfId="50203" xr:uid="{00000000-0005-0000-0000-0000D5C40000}"/>
    <cellStyle name="SAPBEXresItem 4 5 2 2" xfId="50204" xr:uid="{00000000-0005-0000-0000-0000D6C40000}"/>
    <cellStyle name="SAPBEXresItem 4 5 3" xfId="50205" xr:uid="{00000000-0005-0000-0000-0000D7C40000}"/>
    <cellStyle name="SAPBEXresItem 4 6" xfId="50206" xr:uid="{00000000-0005-0000-0000-0000D8C40000}"/>
    <cellStyle name="SAPBEXresItem 5" xfId="50207" xr:uid="{00000000-0005-0000-0000-0000D9C40000}"/>
    <cellStyle name="SAPBEXresItem 5 2" xfId="50208" xr:uid="{00000000-0005-0000-0000-0000DAC40000}"/>
    <cellStyle name="SAPBEXresItem 5 2 2" xfId="50209" xr:uid="{00000000-0005-0000-0000-0000DBC40000}"/>
    <cellStyle name="SAPBEXresItem 5 3" xfId="50210" xr:uid="{00000000-0005-0000-0000-0000DCC40000}"/>
    <cellStyle name="SAPBEXresItem 6" xfId="50211" xr:uid="{00000000-0005-0000-0000-0000DDC40000}"/>
    <cellStyle name="SAPBEXresItem 6 2" xfId="50212" xr:uid="{00000000-0005-0000-0000-0000DEC40000}"/>
    <cellStyle name="SAPBEXresItem 6 2 2" xfId="50213" xr:uid="{00000000-0005-0000-0000-0000DFC40000}"/>
    <cellStyle name="SAPBEXresItem 6 3" xfId="50214" xr:uid="{00000000-0005-0000-0000-0000E0C40000}"/>
    <cellStyle name="SAPBEXresItem 7" xfId="50215" xr:uid="{00000000-0005-0000-0000-0000E1C40000}"/>
    <cellStyle name="SAPBEXresItem 7 2" xfId="50216" xr:uid="{00000000-0005-0000-0000-0000E2C40000}"/>
    <cellStyle name="SAPBEXresItem 7 2 2" xfId="50217" xr:uid="{00000000-0005-0000-0000-0000E3C40000}"/>
    <cellStyle name="SAPBEXresItem 7 3" xfId="50218" xr:uid="{00000000-0005-0000-0000-0000E4C40000}"/>
    <cellStyle name="SAPBEXresItem 8" xfId="50219" xr:uid="{00000000-0005-0000-0000-0000E5C40000}"/>
    <cellStyle name="SAPBEXresItem 8 2" xfId="50220" xr:uid="{00000000-0005-0000-0000-0000E6C40000}"/>
    <cellStyle name="SAPBEXresItem 9" xfId="50221" xr:uid="{00000000-0005-0000-0000-0000E7C40000}"/>
    <cellStyle name="SAPBEXresItem 9 2" xfId="50222" xr:uid="{00000000-0005-0000-0000-0000E8C40000}"/>
    <cellStyle name="SAPBEXresItemX" xfId="72" xr:uid="{00000000-0005-0000-0000-0000E9C40000}"/>
    <cellStyle name="SAPBEXresItemX 10" xfId="50223" xr:uid="{00000000-0005-0000-0000-0000EAC40000}"/>
    <cellStyle name="SAPBEXresItemX 10 2" xfId="50224" xr:uid="{00000000-0005-0000-0000-0000EBC40000}"/>
    <cellStyle name="SAPBEXresItemX 10 2 2" xfId="50225" xr:uid="{00000000-0005-0000-0000-0000ECC40000}"/>
    <cellStyle name="SAPBEXresItemX 10 3" xfId="50226" xr:uid="{00000000-0005-0000-0000-0000EDC40000}"/>
    <cellStyle name="SAPBEXresItemX 11" xfId="50227" xr:uid="{00000000-0005-0000-0000-0000EEC40000}"/>
    <cellStyle name="SAPBEXresItemX 11 2" xfId="50228" xr:uid="{00000000-0005-0000-0000-0000EFC40000}"/>
    <cellStyle name="SAPBEXresItemX 12" xfId="50229" xr:uid="{00000000-0005-0000-0000-0000F0C40000}"/>
    <cellStyle name="SAPBEXresItemX 12 2" xfId="50230" xr:uid="{00000000-0005-0000-0000-0000F1C40000}"/>
    <cellStyle name="SAPBEXresItemX 12 2 2" xfId="50231" xr:uid="{00000000-0005-0000-0000-0000F2C40000}"/>
    <cellStyle name="SAPBEXresItemX 12 3" xfId="50232" xr:uid="{00000000-0005-0000-0000-0000F3C40000}"/>
    <cellStyle name="SAPBEXresItemX 12 3 2" xfId="50233" xr:uid="{00000000-0005-0000-0000-0000F4C40000}"/>
    <cellStyle name="SAPBEXresItemX 12 4" xfId="50234" xr:uid="{00000000-0005-0000-0000-0000F5C40000}"/>
    <cellStyle name="SAPBEXresItemX 13" xfId="50235" xr:uid="{00000000-0005-0000-0000-0000F6C40000}"/>
    <cellStyle name="SAPBEXresItemX 13 2" xfId="50236" xr:uid="{00000000-0005-0000-0000-0000F7C40000}"/>
    <cellStyle name="SAPBEXresItemX 14" xfId="50237" xr:uid="{00000000-0005-0000-0000-0000F8C40000}"/>
    <cellStyle name="SAPBEXresItemX 14 2" xfId="50238" xr:uid="{00000000-0005-0000-0000-0000F9C40000}"/>
    <cellStyle name="SAPBEXresItemX 15" xfId="50239" xr:uid="{00000000-0005-0000-0000-0000FAC40000}"/>
    <cellStyle name="SAPBEXresItemX 15 2" xfId="50240" xr:uid="{00000000-0005-0000-0000-0000FBC40000}"/>
    <cellStyle name="SAPBEXresItemX 16" xfId="50241" xr:uid="{00000000-0005-0000-0000-0000FCC40000}"/>
    <cellStyle name="SAPBEXresItemX 17" xfId="50242" xr:uid="{00000000-0005-0000-0000-0000FDC40000}"/>
    <cellStyle name="SAPBEXresItemX 2" xfId="50243" xr:uid="{00000000-0005-0000-0000-0000FEC40000}"/>
    <cellStyle name="SAPBEXresItemX 2 10" xfId="50244" xr:uid="{00000000-0005-0000-0000-0000FFC40000}"/>
    <cellStyle name="SAPBEXresItemX 2 2" xfId="50245" xr:uid="{00000000-0005-0000-0000-000000C50000}"/>
    <cellStyle name="SAPBEXresItemX 2 2 2" xfId="50246" xr:uid="{00000000-0005-0000-0000-000001C50000}"/>
    <cellStyle name="SAPBEXresItemX 2 2 2 2" xfId="50247" xr:uid="{00000000-0005-0000-0000-000002C50000}"/>
    <cellStyle name="SAPBEXresItemX 2 2 2 2 2" xfId="50248" xr:uid="{00000000-0005-0000-0000-000003C50000}"/>
    <cellStyle name="SAPBEXresItemX 2 2 2 2 2 2" xfId="50249" xr:uid="{00000000-0005-0000-0000-000004C50000}"/>
    <cellStyle name="SAPBEXresItemX 2 2 2 2 3" xfId="50250" xr:uid="{00000000-0005-0000-0000-000005C50000}"/>
    <cellStyle name="SAPBEXresItemX 2 2 2 3" xfId="50251" xr:uid="{00000000-0005-0000-0000-000006C50000}"/>
    <cellStyle name="SAPBEXresItemX 2 2 2 3 2" xfId="50252" xr:uid="{00000000-0005-0000-0000-000007C50000}"/>
    <cellStyle name="SAPBEXresItemX 2 2 2 4" xfId="50253" xr:uid="{00000000-0005-0000-0000-000008C50000}"/>
    <cellStyle name="SAPBEXresItemX 2 2 3" xfId="50254" xr:uid="{00000000-0005-0000-0000-000009C50000}"/>
    <cellStyle name="SAPBEXresItemX 2 2 3 2" xfId="50255" xr:uid="{00000000-0005-0000-0000-00000AC50000}"/>
    <cellStyle name="SAPBEXresItemX 2 2 3 2 2" xfId="50256" xr:uid="{00000000-0005-0000-0000-00000BC50000}"/>
    <cellStyle name="SAPBEXresItemX 2 2 3 3" xfId="50257" xr:uid="{00000000-0005-0000-0000-00000CC50000}"/>
    <cellStyle name="SAPBEXresItemX 2 2 4" xfId="50258" xr:uid="{00000000-0005-0000-0000-00000DC50000}"/>
    <cellStyle name="SAPBEXresItemX 2 2 4 2" xfId="50259" xr:uid="{00000000-0005-0000-0000-00000EC50000}"/>
    <cellStyle name="SAPBEXresItemX 2 2 4 2 2" xfId="50260" xr:uid="{00000000-0005-0000-0000-00000FC50000}"/>
    <cellStyle name="SAPBEXresItemX 2 2 4 3" xfId="50261" xr:uid="{00000000-0005-0000-0000-000010C50000}"/>
    <cellStyle name="SAPBEXresItemX 2 2 5" xfId="50262" xr:uid="{00000000-0005-0000-0000-000011C50000}"/>
    <cellStyle name="SAPBEXresItemX 2 2 5 2" xfId="50263" xr:uid="{00000000-0005-0000-0000-000012C50000}"/>
    <cellStyle name="SAPBEXresItemX 2 2 5 2 2" xfId="50264" xr:uid="{00000000-0005-0000-0000-000013C50000}"/>
    <cellStyle name="SAPBEXresItemX 2 2 5 3" xfId="50265" xr:uid="{00000000-0005-0000-0000-000014C50000}"/>
    <cellStyle name="SAPBEXresItemX 2 2 6" xfId="50266" xr:uid="{00000000-0005-0000-0000-000015C50000}"/>
    <cellStyle name="SAPBEXresItemX 2 2 6 2" xfId="50267" xr:uid="{00000000-0005-0000-0000-000016C50000}"/>
    <cellStyle name="SAPBEXresItemX 2 2 7" xfId="50268" xr:uid="{00000000-0005-0000-0000-000017C50000}"/>
    <cellStyle name="SAPBEXresItemX 2 3" xfId="50269" xr:uid="{00000000-0005-0000-0000-000018C50000}"/>
    <cellStyle name="SAPBEXresItemX 2 3 2" xfId="50270" xr:uid="{00000000-0005-0000-0000-000019C50000}"/>
    <cellStyle name="SAPBEXresItemX 2 3 2 2" xfId="50271" xr:uid="{00000000-0005-0000-0000-00001AC50000}"/>
    <cellStyle name="SAPBEXresItemX 2 3 2 2 2" xfId="50272" xr:uid="{00000000-0005-0000-0000-00001BC50000}"/>
    <cellStyle name="SAPBEXresItemX 2 3 2 2 2 2" xfId="50273" xr:uid="{00000000-0005-0000-0000-00001CC50000}"/>
    <cellStyle name="SAPBEXresItemX 2 3 2 2 2 2 2" xfId="50274" xr:uid="{00000000-0005-0000-0000-00001DC50000}"/>
    <cellStyle name="SAPBEXresItemX 2 3 2 2 2 3" xfId="50275" xr:uid="{00000000-0005-0000-0000-00001EC50000}"/>
    <cellStyle name="SAPBEXresItemX 2 3 2 2 3" xfId="50276" xr:uid="{00000000-0005-0000-0000-00001FC50000}"/>
    <cellStyle name="SAPBEXresItemX 2 3 2 2 3 2" xfId="50277" xr:uid="{00000000-0005-0000-0000-000020C50000}"/>
    <cellStyle name="SAPBEXresItemX 2 3 2 2 4" xfId="50278" xr:uid="{00000000-0005-0000-0000-000021C50000}"/>
    <cellStyle name="SAPBEXresItemX 2 3 2 3" xfId="50279" xr:uid="{00000000-0005-0000-0000-000022C50000}"/>
    <cellStyle name="SAPBEXresItemX 2 3 2 3 2" xfId="50280" xr:uid="{00000000-0005-0000-0000-000023C50000}"/>
    <cellStyle name="SAPBEXresItemX 2 3 2 3 2 2" xfId="50281" xr:uid="{00000000-0005-0000-0000-000024C50000}"/>
    <cellStyle name="SAPBEXresItemX 2 3 2 3 3" xfId="50282" xr:uid="{00000000-0005-0000-0000-000025C50000}"/>
    <cellStyle name="SAPBEXresItemX 2 3 2 4" xfId="50283" xr:uid="{00000000-0005-0000-0000-000026C50000}"/>
    <cellStyle name="SAPBEXresItemX 2 3 2 4 2" xfId="50284" xr:uid="{00000000-0005-0000-0000-000027C50000}"/>
    <cellStyle name="SAPBEXresItemX 2 3 2 4 2 2" xfId="50285" xr:uid="{00000000-0005-0000-0000-000028C50000}"/>
    <cellStyle name="SAPBEXresItemX 2 3 2 4 3" xfId="50286" xr:uid="{00000000-0005-0000-0000-000029C50000}"/>
    <cellStyle name="SAPBEXresItemX 2 3 2 5" xfId="50287" xr:uid="{00000000-0005-0000-0000-00002AC50000}"/>
    <cellStyle name="SAPBEXresItemX 2 3 2 5 2" xfId="50288" xr:uid="{00000000-0005-0000-0000-00002BC50000}"/>
    <cellStyle name="SAPBEXresItemX 2 3 2 6" xfId="50289" xr:uid="{00000000-0005-0000-0000-00002CC50000}"/>
    <cellStyle name="SAPBEXresItemX 2 3 3" xfId="50290" xr:uid="{00000000-0005-0000-0000-00002DC50000}"/>
    <cellStyle name="SAPBEXresItemX 2 3 3 2" xfId="50291" xr:uid="{00000000-0005-0000-0000-00002EC50000}"/>
    <cellStyle name="SAPBEXresItemX 2 3 3 2 2" xfId="50292" xr:uid="{00000000-0005-0000-0000-00002FC50000}"/>
    <cellStyle name="SAPBEXresItemX 2 3 3 2 2 2" xfId="50293" xr:uid="{00000000-0005-0000-0000-000030C50000}"/>
    <cellStyle name="SAPBEXresItemX 2 3 3 2 2 2 2" xfId="50294" xr:uid="{00000000-0005-0000-0000-000031C50000}"/>
    <cellStyle name="SAPBEXresItemX 2 3 3 2 2 3" xfId="50295" xr:uid="{00000000-0005-0000-0000-000032C50000}"/>
    <cellStyle name="SAPBEXresItemX 2 3 3 2 3" xfId="50296" xr:uid="{00000000-0005-0000-0000-000033C50000}"/>
    <cellStyle name="SAPBEXresItemX 2 3 3 2 3 2" xfId="50297" xr:uid="{00000000-0005-0000-0000-000034C50000}"/>
    <cellStyle name="SAPBEXresItemX 2 3 3 2 4" xfId="50298" xr:uid="{00000000-0005-0000-0000-000035C50000}"/>
    <cellStyle name="SAPBEXresItemX 2 3 3 3" xfId="50299" xr:uid="{00000000-0005-0000-0000-000036C50000}"/>
    <cellStyle name="SAPBEXresItemX 2 3 3 3 2" xfId="50300" xr:uid="{00000000-0005-0000-0000-000037C50000}"/>
    <cellStyle name="SAPBEXresItemX 2 3 3 3 2 2" xfId="50301" xr:uid="{00000000-0005-0000-0000-000038C50000}"/>
    <cellStyle name="SAPBEXresItemX 2 3 3 3 3" xfId="50302" xr:uid="{00000000-0005-0000-0000-000039C50000}"/>
    <cellStyle name="SAPBEXresItemX 2 3 3 4" xfId="50303" xr:uid="{00000000-0005-0000-0000-00003AC50000}"/>
    <cellStyle name="SAPBEXresItemX 2 3 3 4 2" xfId="50304" xr:uid="{00000000-0005-0000-0000-00003BC50000}"/>
    <cellStyle name="SAPBEXresItemX 2 3 3 5" xfId="50305" xr:uid="{00000000-0005-0000-0000-00003CC50000}"/>
    <cellStyle name="SAPBEXresItemX 2 3 4" xfId="50306" xr:uid="{00000000-0005-0000-0000-00003DC50000}"/>
    <cellStyle name="SAPBEXresItemX 2 3 4 2" xfId="50307" xr:uid="{00000000-0005-0000-0000-00003EC50000}"/>
    <cellStyle name="SAPBEXresItemX 2 3 4 2 2" xfId="50308" xr:uid="{00000000-0005-0000-0000-00003FC50000}"/>
    <cellStyle name="SAPBEXresItemX 2 3 4 3" xfId="50309" xr:uid="{00000000-0005-0000-0000-000040C50000}"/>
    <cellStyle name="SAPBEXresItemX 2 3 5" xfId="50310" xr:uid="{00000000-0005-0000-0000-000041C50000}"/>
    <cellStyle name="SAPBEXresItemX 2 3 5 2" xfId="50311" xr:uid="{00000000-0005-0000-0000-000042C50000}"/>
    <cellStyle name="SAPBEXresItemX 2 3 5 2 2" xfId="50312" xr:uid="{00000000-0005-0000-0000-000043C50000}"/>
    <cellStyle name="SAPBEXresItemX 2 3 5 3" xfId="50313" xr:uid="{00000000-0005-0000-0000-000044C50000}"/>
    <cellStyle name="SAPBEXresItemX 2 3 6" xfId="50314" xr:uid="{00000000-0005-0000-0000-000045C50000}"/>
    <cellStyle name="SAPBEXresItemX 2 3 6 2" xfId="50315" xr:uid="{00000000-0005-0000-0000-000046C50000}"/>
    <cellStyle name="SAPBEXresItemX 2 3 6 2 2" xfId="50316" xr:uid="{00000000-0005-0000-0000-000047C50000}"/>
    <cellStyle name="SAPBEXresItemX 2 3 6 3" xfId="50317" xr:uid="{00000000-0005-0000-0000-000048C50000}"/>
    <cellStyle name="SAPBEXresItemX 2 3 7" xfId="50318" xr:uid="{00000000-0005-0000-0000-000049C50000}"/>
    <cellStyle name="SAPBEXresItemX 2 3 7 2" xfId="50319" xr:uid="{00000000-0005-0000-0000-00004AC50000}"/>
    <cellStyle name="SAPBEXresItemX 2 3 8" xfId="50320" xr:uid="{00000000-0005-0000-0000-00004BC50000}"/>
    <cellStyle name="SAPBEXresItemX 2 4" xfId="50321" xr:uid="{00000000-0005-0000-0000-00004CC50000}"/>
    <cellStyle name="SAPBEXresItemX 2 4 2" xfId="50322" xr:uid="{00000000-0005-0000-0000-00004DC50000}"/>
    <cellStyle name="SAPBEXresItemX 2 4 2 2" xfId="50323" xr:uid="{00000000-0005-0000-0000-00004EC50000}"/>
    <cellStyle name="SAPBEXresItemX 2 4 2 2 2" xfId="50324" xr:uid="{00000000-0005-0000-0000-00004FC50000}"/>
    <cellStyle name="SAPBEXresItemX 2 4 2 2 2 2" xfId="50325" xr:uid="{00000000-0005-0000-0000-000050C50000}"/>
    <cellStyle name="SAPBEXresItemX 2 4 2 2 3" xfId="50326" xr:uid="{00000000-0005-0000-0000-000051C50000}"/>
    <cellStyle name="SAPBEXresItemX 2 4 2 3" xfId="50327" xr:uid="{00000000-0005-0000-0000-000052C50000}"/>
    <cellStyle name="SAPBEXresItemX 2 4 2 3 2" xfId="50328" xr:uid="{00000000-0005-0000-0000-000053C50000}"/>
    <cellStyle name="SAPBEXresItemX 2 4 2 3 2 2" xfId="50329" xr:uid="{00000000-0005-0000-0000-000054C50000}"/>
    <cellStyle name="SAPBEXresItemX 2 4 2 3 3" xfId="50330" xr:uid="{00000000-0005-0000-0000-000055C50000}"/>
    <cellStyle name="SAPBEXresItemX 2 4 2 4" xfId="50331" xr:uid="{00000000-0005-0000-0000-000056C50000}"/>
    <cellStyle name="SAPBEXresItemX 2 4 2 4 2" xfId="50332" xr:uid="{00000000-0005-0000-0000-000057C50000}"/>
    <cellStyle name="SAPBEXresItemX 2 4 2 5" xfId="50333" xr:uid="{00000000-0005-0000-0000-000058C50000}"/>
    <cellStyle name="SAPBEXresItemX 2 4 3" xfId="50334" xr:uid="{00000000-0005-0000-0000-000059C50000}"/>
    <cellStyle name="SAPBEXresItemX 2 4 3 2" xfId="50335" xr:uid="{00000000-0005-0000-0000-00005AC50000}"/>
    <cellStyle name="SAPBEXresItemX 2 4 3 2 2" xfId="50336" xr:uid="{00000000-0005-0000-0000-00005BC50000}"/>
    <cellStyle name="SAPBEXresItemX 2 4 3 2 2 2" xfId="50337" xr:uid="{00000000-0005-0000-0000-00005CC50000}"/>
    <cellStyle name="SAPBEXresItemX 2 4 3 2 3" xfId="50338" xr:uid="{00000000-0005-0000-0000-00005DC50000}"/>
    <cellStyle name="SAPBEXresItemX 2 4 3 3" xfId="50339" xr:uid="{00000000-0005-0000-0000-00005EC50000}"/>
    <cellStyle name="SAPBEXresItemX 2 4 3 3 2" xfId="50340" xr:uid="{00000000-0005-0000-0000-00005FC50000}"/>
    <cellStyle name="SAPBEXresItemX 2 4 3 4" xfId="50341" xr:uid="{00000000-0005-0000-0000-000060C50000}"/>
    <cellStyle name="SAPBEXresItemX 2 4 4" xfId="50342" xr:uid="{00000000-0005-0000-0000-000061C50000}"/>
    <cellStyle name="SAPBEXresItemX 2 4 4 2" xfId="50343" xr:uid="{00000000-0005-0000-0000-000062C50000}"/>
    <cellStyle name="SAPBEXresItemX 2 4 4 2 2" xfId="50344" xr:uid="{00000000-0005-0000-0000-000063C50000}"/>
    <cellStyle name="SAPBEXresItemX 2 4 4 3" xfId="50345" xr:uid="{00000000-0005-0000-0000-000064C50000}"/>
    <cellStyle name="SAPBEXresItemX 2 4 5" xfId="50346" xr:uid="{00000000-0005-0000-0000-000065C50000}"/>
    <cellStyle name="SAPBEXresItemX 2 4 5 2" xfId="50347" xr:uid="{00000000-0005-0000-0000-000066C50000}"/>
    <cellStyle name="SAPBEXresItemX 2 4 6" xfId="50348" xr:uid="{00000000-0005-0000-0000-000067C50000}"/>
    <cellStyle name="SAPBEXresItemX 2 5" xfId="50349" xr:uid="{00000000-0005-0000-0000-000068C50000}"/>
    <cellStyle name="SAPBEXresItemX 2 5 2" xfId="50350" xr:uid="{00000000-0005-0000-0000-000069C50000}"/>
    <cellStyle name="SAPBEXresItemX 2 5 2 2" xfId="50351" xr:uid="{00000000-0005-0000-0000-00006AC50000}"/>
    <cellStyle name="SAPBEXresItemX 2 5 2 2 2" xfId="50352" xr:uid="{00000000-0005-0000-0000-00006BC50000}"/>
    <cellStyle name="SAPBEXresItemX 2 5 2 2 2 2" xfId="50353" xr:uid="{00000000-0005-0000-0000-00006CC50000}"/>
    <cellStyle name="SAPBEXresItemX 2 5 2 2 3" xfId="50354" xr:uid="{00000000-0005-0000-0000-00006DC50000}"/>
    <cellStyle name="SAPBEXresItemX 2 5 2 3" xfId="50355" xr:uid="{00000000-0005-0000-0000-00006EC50000}"/>
    <cellStyle name="SAPBEXresItemX 2 5 2 3 2" xfId="50356" xr:uid="{00000000-0005-0000-0000-00006FC50000}"/>
    <cellStyle name="SAPBEXresItemX 2 5 2 4" xfId="50357" xr:uid="{00000000-0005-0000-0000-000070C50000}"/>
    <cellStyle name="SAPBEXresItemX 2 5 3" xfId="50358" xr:uid="{00000000-0005-0000-0000-000071C50000}"/>
    <cellStyle name="SAPBEXresItemX 2 5 3 2" xfId="50359" xr:uid="{00000000-0005-0000-0000-000072C50000}"/>
    <cellStyle name="SAPBEXresItemX 2 5 3 2 2" xfId="50360" xr:uid="{00000000-0005-0000-0000-000073C50000}"/>
    <cellStyle name="SAPBEXresItemX 2 5 3 3" xfId="50361" xr:uid="{00000000-0005-0000-0000-000074C50000}"/>
    <cellStyle name="SAPBEXresItemX 2 5 4" xfId="50362" xr:uid="{00000000-0005-0000-0000-000075C50000}"/>
    <cellStyle name="SAPBEXresItemX 2 5 4 2" xfId="50363" xr:uid="{00000000-0005-0000-0000-000076C50000}"/>
    <cellStyle name="SAPBEXresItemX 2 5 5" xfId="50364" xr:uid="{00000000-0005-0000-0000-000077C50000}"/>
    <cellStyle name="SAPBEXresItemX 2 6" xfId="50365" xr:uid="{00000000-0005-0000-0000-000078C50000}"/>
    <cellStyle name="SAPBEXresItemX 2 6 2" xfId="50366" xr:uid="{00000000-0005-0000-0000-000079C50000}"/>
    <cellStyle name="SAPBEXresItemX 2 6 2 2" xfId="50367" xr:uid="{00000000-0005-0000-0000-00007AC50000}"/>
    <cellStyle name="SAPBEXresItemX 2 6 3" xfId="50368" xr:uid="{00000000-0005-0000-0000-00007BC50000}"/>
    <cellStyle name="SAPBEXresItemX 2 7" xfId="50369" xr:uid="{00000000-0005-0000-0000-00007CC50000}"/>
    <cellStyle name="SAPBEXresItemX 2 7 2" xfId="50370" xr:uid="{00000000-0005-0000-0000-00007DC50000}"/>
    <cellStyle name="SAPBEXresItemX 2 7 2 2" xfId="50371" xr:uid="{00000000-0005-0000-0000-00007EC50000}"/>
    <cellStyle name="SAPBEXresItemX 2 7 3" xfId="50372" xr:uid="{00000000-0005-0000-0000-00007FC50000}"/>
    <cellStyle name="SAPBEXresItemX 2 8" xfId="50373" xr:uid="{00000000-0005-0000-0000-000080C50000}"/>
    <cellStyle name="SAPBEXresItemX 2 8 2" xfId="50374" xr:uid="{00000000-0005-0000-0000-000081C50000}"/>
    <cellStyle name="SAPBEXresItemX 2 8 2 2" xfId="50375" xr:uid="{00000000-0005-0000-0000-000082C50000}"/>
    <cellStyle name="SAPBEXresItemX 2 8 3" xfId="50376" xr:uid="{00000000-0005-0000-0000-000083C50000}"/>
    <cellStyle name="SAPBEXresItemX 2 9" xfId="50377" xr:uid="{00000000-0005-0000-0000-000084C50000}"/>
    <cellStyle name="SAPBEXresItemX 2 9 2" xfId="50378" xr:uid="{00000000-0005-0000-0000-000085C50000}"/>
    <cellStyle name="SAPBEXresItemX 3" xfId="50379" xr:uid="{00000000-0005-0000-0000-000086C50000}"/>
    <cellStyle name="SAPBEXresItemX 3 2" xfId="50380" xr:uid="{00000000-0005-0000-0000-000087C50000}"/>
    <cellStyle name="SAPBEXresItemX 3 2 2" xfId="50381" xr:uid="{00000000-0005-0000-0000-000088C50000}"/>
    <cellStyle name="SAPBEXresItemX 3 2 2 2" xfId="50382" xr:uid="{00000000-0005-0000-0000-000089C50000}"/>
    <cellStyle name="SAPBEXresItemX 3 2 2 2 2" xfId="50383" xr:uid="{00000000-0005-0000-0000-00008AC50000}"/>
    <cellStyle name="SAPBEXresItemX 3 2 2 2 2 2" xfId="50384" xr:uid="{00000000-0005-0000-0000-00008BC50000}"/>
    <cellStyle name="SAPBEXresItemX 3 2 2 2 3" xfId="50385" xr:uid="{00000000-0005-0000-0000-00008CC50000}"/>
    <cellStyle name="SAPBEXresItemX 3 2 2 3" xfId="50386" xr:uid="{00000000-0005-0000-0000-00008DC50000}"/>
    <cellStyle name="SAPBEXresItemX 3 2 2 3 2" xfId="50387" xr:uid="{00000000-0005-0000-0000-00008EC50000}"/>
    <cellStyle name="SAPBEXresItemX 3 2 2 4" xfId="50388" xr:uid="{00000000-0005-0000-0000-00008FC50000}"/>
    <cellStyle name="SAPBEXresItemX 3 2 3" xfId="50389" xr:uid="{00000000-0005-0000-0000-000090C50000}"/>
    <cellStyle name="SAPBEXresItemX 3 2 3 2" xfId="50390" xr:uid="{00000000-0005-0000-0000-000091C50000}"/>
    <cellStyle name="SAPBEXresItemX 3 2 3 2 2" xfId="50391" xr:uid="{00000000-0005-0000-0000-000092C50000}"/>
    <cellStyle name="SAPBEXresItemX 3 2 3 3" xfId="50392" xr:uid="{00000000-0005-0000-0000-000093C50000}"/>
    <cellStyle name="SAPBEXresItemX 3 2 4" xfId="50393" xr:uid="{00000000-0005-0000-0000-000094C50000}"/>
    <cellStyle name="SAPBEXresItemX 3 2 4 2" xfId="50394" xr:uid="{00000000-0005-0000-0000-000095C50000}"/>
    <cellStyle name="SAPBEXresItemX 3 2 4 2 2" xfId="50395" xr:uid="{00000000-0005-0000-0000-000096C50000}"/>
    <cellStyle name="SAPBEXresItemX 3 2 4 3" xfId="50396" xr:uid="{00000000-0005-0000-0000-000097C50000}"/>
    <cellStyle name="SAPBEXresItemX 3 2 5" xfId="50397" xr:uid="{00000000-0005-0000-0000-000098C50000}"/>
    <cellStyle name="SAPBEXresItemX 3 2 5 2" xfId="50398" xr:uid="{00000000-0005-0000-0000-000099C50000}"/>
    <cellStyle name="SAPBEXresItemX 3 2 5 2 2" xfId="50399" xr:uid="{00000000-0005-0000-0000-00009AC50000}"/>
    <cellStyle name="SAPBEXresItemX 3 2 5 3" xfId="50400" xr:uid="{00000000-0005-0000-0000-00009BC50000}"/>
    <cellStyle name="SAPBEXresItemX 3 2 6" xfId="50401" xr:uid="{00000000-0005-0000-0000-00009CC50000}"/>
    <cellStyle name="SAPBEXresItemX 3 2 6 2" xfId="50402" xr:uid="{00000000-0005-0000-0000-00009DC50000}"/>
    <cellStyle name="SAPBEXresItemX 3 2 7" xfId="50403" xr:uid="{00000000-0005-0000-0000-00009EC50000}"/>
    <cellStyle name="SAPBEXresItemX 3 3" xfId="50404" xr:uid="{00000000-0005-0000-0000-00009FC50000}"/>
    <cellStyle name="SAPBEXresItemX 3 3 2" xfId="50405" xr:uid="{00000000-0005-0000-0000-0000A0C50000}"/>
    <cellStyle name="SAPBEXresItemX 3 3 2 2" xfId="50406" xr:uid="{00000000-0005-0000-0000-0000A1C50000}"/>
    <cellStyle name="SAPBEXresItemX 3 3 2 2 2" xfId="50407" xr:uid="{00000000-0005-0000-0000-0000A2C50000}"/>
    <cellStyle name="SAPBEXresItemX 3 3 2 2 2 2" xfId="50408" xr:uid="{00000000-0005-0000-0000-0000A3C50000}"/>
    <cellStyle name="SAPBEXresItemX 3 3 2 2 3" xfId="50409" xr:uid="{00000000-0005-0000-0000-0000A4C50000}"/>
    <cellStyle name="SAPBEXresItemX 3 3 2 3" xfId="50410" xr:uid="{00000000-0005-0000-0000-0000A5C50000}"/>
    <cellStyle name="SAPBEXresItemX 3 3 2 3 2" xfId="50411" xr:uid="{00000000-0005-0000-0000-0000A6C50000}"/>
    <cellStyle name="SAPBEXresItemX 3 3 2 4" xfId="50412" xr:uid="{00000000-0005-0000-0000-0000A7C50000}"/>
    <cellStyle name="SAPBEXresItemX 3 3 3" xfId="50413" xr:uid="{00000000-0005-0000-0000-0000A8C50000}"/>
    <cellStyle name="SAPBEXresItemX 3 3 3 2" xfId="50414" xr:uid="{00000000-0005-0000-0000-0000A9C50000}"/>
    <cellStyle name="SAPBEXresItemX 3 3 3 2 2" xfId="50415" xr:uid="{00000000-0005-0000-0000-0000AAC50000}"/>
    <cellStyle name="SAPBEXresItemX 3 3 3 3" xfId="50416" xr:uid="{00000000-0005-0000-0000-0000ABC50000}"/>
    <cellStyle name="SAPBEXresItemX 3 3 4" xfId="50417" xr:uid="{00000000-0005-0000-0000-0000ACC50000}"/>
    <cellStyle name="SAPBEXresItemX 3 3 4 2" xfId="50418" xr:uid="{00000000-0005-0000-0000-0000ADC50000}"/>
    <cellStyle name="SAPBEXresItemX 3 3 5" xfId="50419" xr:uid="{00000000-0005-0000-0000-0000AEC50000}"/>
    <cellStyle name="SAPBEXresItemX 3 4" xfId="50420" xr:uid="{00000000-0005-0000-0000-0000AFC50000}"/>
    <cellStyle name="SAPBEXresItemX 3 4 2" xfId="50421" xr:uid="{00000000-0005-0000-0000-0000B0C50000}"/>
    <cellStyle name="SAPBEXresItemX 3 4 2 2" xfId="50422" xr:uid="{00000000-0005-0000-0000-0000B1C50000}"/>
    <cellStyle name="SAPBEXresItemX 3 4 3" xfId="50423" xr:uid="{00000000-0005-0000-0000-0000B2C50000}"/>
    <cellStyle name="SAPBEXresItemX 3 5" xfId="50424" xr:uid="{00000000-0005-0000-0000-0000B3C50000}"/>
    <cellStyle name="SAPBEXresItemX 3 5 2" xfId="50425" xr:uid="{00000000-0005-0000-0000-0000B4C50000}"/>
    <cellStyle name="SAPBEXresItemX 3 5 2 2" xfId="50426" xr:uid="{00000000-0005-0000-0000-0000B5C50000}"/>
    <cellStyle name="SAPBEXresItemX 3 5 3" xfId="50427" xr:uid="{00000000-0005-0000-0000-0000B6C50000}"/>
    <cellStyle name="SAPBEXresItemX 3 6" xfId="50428" xr:uid="{00000000-0005-0000-0000-0000B7C50000}"/>
    <cellStyle name="SAPBEXresItemX 3 6 2" xfId="50429" xr:uid="{00000000-0005-0000-0000-0000B8C50000}"/>
    <cellStyle name="SAPBEXresItemX 3 6 2 2" xfId="50430" xr:uid="{00000000-0005-0000-0000-0000B9C50000}"/>
    <cellStyle name="SAPBEXresItemX 3 6 3" xfId="50431" xr:uid="{00000000-0005-0000-0000-0000BAC50000}"/>
    <cellStyle name="SAPBEXresItemX 3 7" xfId="50432" xr:uid="{00000000-0005-0000-0000-0000BBC50000}"/>
    <cellStyle name="SAPBEXresItemX 3 7 2" xfId="50433" xr:uid="{00000000-0005-0000-0000-0000BCC50000}"/>
    <cellStyle name="SAPBEXresItemX 3 8" xfId="50434" xr:uid="{00000000-0005-0000-0000-0000BDC50000}"/>
    <cellStyle name="SAPBEXresItemX 4" xfId="50435" xr:uid="{00000000-0005-0000-0000-0000BEC50000}"/>
    <cellStyle name="SAPBEXresItemX 4 2" xfId="50436" xr:uid="{00000000-0005-0000-0000-0000BFC50000}"/>
    <cellStyle name="SAPBEXresItemX 4 2 2" xfId="50437" xr:uid="{00000000-0005-0000-0000-0000C0C50000}"/>
    <cellStyle name="SAPBEXresItemX 4 2 2 2" xfId="50438" xr:uid="{00000000-0005-0000-0000-0000C1C50000}"/>
    <cellStyle name="SAPBEXresItemX 4 2 2 2 2" xfId="50439" xr:uid="{00000000-0005-0000-0000-0000C2C50000}"/>
    <cellStyle name="SAPBEXresItemX 4 2 2 2 2 2" xfId="50440" xr:uid="{00000000-0005-0000-0000-0000C3C50000}"/>
    <cellStyle name="SAPBEXresItemX 4 2 2 2 3" xfId="50441" xr:uid="{00000000-0005-0000-0000-0000C4C50000}"/>
    <cellStyle name="SAPBEXresItemX 4 2 2 3" xfId="50442" xr:uid="{00000000-0005-0000-0000-0000C5C50000}"/>
    <cellStyle name="SAPBEXresItemX 4 2 2 3 2" xfId="50443" xr:uid="{00000000-0005-0000-0000-0000C6C50000}"/>
    <cellStyle name="SAPBEXresItemX 4 2 2 4" xfId="50444" xr:uid="{00000000-0005-0000-0000-0000C7C50000}"/>
    <cellStyle name="SAPBEXresItemX 4 2 3" xfId="50445" xr:uid="{00000000-0005-0000-0000-0000C8C50000}"/>
    <cellStyle name="SAPBEXresItemX 4 2 3 2" xfId="50446" xr:uid="{00000000-0005-0000-0000-0000C9C50000}"/>
    <cellStyle name="SAPBEXresItemX 4 2 3 2 2" xfId="50447" xr:uid="{00000000-0005-0000-0000-0000CAC50000}"/>
    <cellStyle name="SAPBEXresItemX 4 2 3 3" xfId="50448" xr:uid="{00000000-0005-0000-0000-0000CBC50000}"/>
    <cellStyle name="SAPBEXresItemX 4 2 4" xfId="50449" xr:uid="{00000000-0005-0000-0000-0000CCC50000}"/>
    <cellStyle name="SAPBEXresItemX 4 2 4 2" xfId="50450" xr:uid="{00000000-0005-0000-0000-0000CDC50000}"/>
    <cellStyle name="SAPBEXresItemX 4 2 4 2 2" xfId="50451" xr:uid="{00000000-0005-0000-0000-0000CEC50000}"/>
    <cellStyle name="SAPBEXresItemX 4 2 4 3" xfId="50452" xr:uid="{00000000-0005-0000-0000-0000CFC50000}"/>
    <cellStyle name="SAPBEXresItemX 4 2 5" xfId="50453" xr:uid="{00000000-0005-0000-0000-0000D0C50000}"/>
    <cellStyle name="SAPBEXresItemX 4 2 5 2" xfId="50454" xr:uid="{00000000-0005-0000-0000-0000D1C50000}"/>
    <cellStyle name="SAPBEXresItemX 4 2 5 2 2" xfId="50455" xr:uid="{00000000-0005-0000-0000-0000D2C50000}"/>
    <cellStyle name="SAPBEXresItemX 4 2 5 3" xfId="50456" xr:uid="{00000000-0005-0000-0000-0000D3C50000}"/>
    <cellStyle name="SAPBEXresItemX 4 2 6" xfId="50457" xr:uid="{00000000-0005-0000-0000-0000D4C50000}"/>
    <cellStyle name="SAPBEXresItemX 4 2 6 2" xfId="50458" xr:uid="{00000000-0005-0000-0000-0000D5C50000}"/>
    <cellStyle name="SAPBEXresItemX 4 2 7" xfId="50459" xr:uid="{00000000-0005-0000-0000-0000D6C50000}"/>
    <cellStyle name="SAPBEXresItemX 4 3" xfId="50460" xr:uid="{00000000-0005-0000-0000-0000D7C50000}"/>
    <cellStyle name="SAPBEXresItemX 4 3 2" xfId="50461" xr:uid="{00000000-0005-0000-0000-0000D8C50000}"/>
    <cellStyle name="SAPBEXresItemX 4 3 2 2" xfId="50462" xr:uid="{00000000-0005-0000-0000-0000D9C50000}"/>
    <cellStyle name="SAPBEXresItemX 4 3 2 2 2" xfId="50463" xr:uid="{00000000-0005-0000-0000-0000DAC50000}"/>
    <cellStyle name="SAPBEXresItemX 4 3 2 2 2 2" xfId="50464" xr:uid="{00000000-0005-0000-0000-0000DBC50000}"/>
    <cellStyle name="SAPBEXresItemX 4 3 2 2 2 2 2" xfId="50465" xr:uid="{00000000-0005-0000-0000-0000DCC50000}"/>
    <cellStyle name="SAPBEXresItemX 4 3 2 2 2 3" xfId="50466" xr:uid="{00000000-0005-0000-0000-0000DDC50000}"/>
    <cellStyle name="SAPBEXresItemX 4 3 2 2 3" xfId="50467" xr:uid="{00000000-0005-0000-0000-0000DEC50000}"/>
    <cellStyle name="SAPBEXresItemX 4 3 2 2 3 2" xfId="50468" xr:uid="{00000000-0005-0000-0000-0000DFC50000}"/>
    <cellStyle name="SAPBEXresItemX 4 3 2 2 4" xfId="50469" xr:uid="{00000000-0005-0000-0000-0000E0C50000}"/>
    <cellStyle name="SAPBEXresItemX 4 3 2 3" xfId="50470" xr:uid="{00000000-0005-0000-0000-0000E1C50000}"/>
    <cellStyle name="SAPBEXresItemX 4 3 2 3 2" xfId="50471" xr:uid="{00000000-0005-0000-0000-0000E2C50000}"/>
    <cellStyle name="SAPBEXresItemX 4 3 2 3 2 2" xfId="50472" xr:uid="{00000000-0005-0000-0000-0000E3C50000}"/>
    <cellStyle name="SAPBEXresItemX 4 3 2 3 3" xfId="50473" xr:uid="{00000000-0005-0000-0000-0000E4C50000}"/>
    <cellStyle name="SAPBEXresItemX 4 3 2 4" xfId="50474" xr:uid="{00000000-0005-0000-0000-0000E5C50000}"/>
    <cellStyle name="SAPBEXresItemX 4 3 2 4 2" xfId="50475" xr:uid="{00000000-0005-0000-0000-0000E6C50000}"/>
    <cellStyle name="SAPBEXresItemX 4 3 2 4 2 2" xfId="50476" xr:uid="{00000000-0005-0000-0000-0000E7C50000}"/>
    <cellStyle name="SAPBEXresItemX 4 3 2 4 3" xfId="50477" xr:uid="{00000000-0005-0000-0000-0000E8C50000}"/>
    <cellStyle name="SAPBEXresItemX 4 3 2 5" xfId="50478" xr:uid="{00000000-0005-0000-0000-0000E9C50000}"/>
    <cellStyle name="SAPBEXresItemX 4 3 2 5 2" xfId="50479" xr:uid="{00000000-0005-0000-0000-0000EAC50000}"/>
    <cellStyle name="SAPBEXresItemX 4 3 2 6" xfId="50480" xr:uid="{00000000-0005-0000-0000-0000EBC50000}"/>
    <cellStyle name="SAPBEXresItemX 4 3 3" xfId="50481" xr:uid="{00000000-0005-0000-0000-0000ECC50000}"/>
    <cellStyle name="SAPBEXresItemX 4 3 3 2" xfId="50482" xr:uid="{00000000-0005-0000-0000-0000EDC50000}"/>
    <cellStyle name="SAPBEXresItemX 4 3 3 2 2" xfId="50483" xr:uid="{00000000-0005-0000-0000-0000EEC50000}"/>
    <cellStyle name="SAPBEXresItemX 4 3 3 2 2 2" xfId="50484" xr:uid="{00000000-0005-0000-0000-0000EFC50000}"/>
    <cellStyle name="SAPBEXresItemX 4 3 3 2 2 2 2" xfId="50485" xr:uid="{00000000-0005-0000-0000-0000F0C50000}"/>
    <cellStyle name="SAPBEXresItemX 4 3 3 2 2 3" xfId="50486" xr:uid="{00000000-0005-0000-0000-0000F1C50000}"/>
    <cellStyle name="SAPBEXresItemX 4 3 3 2 3" xfId="50487" xr:uid="{00000000-0005-0000-0000-0000F2C50000}"/>
    <cellStyle name="SAPBEXresItemX 4 3 3 2 3 2" xfId="50488" xr:uid="{00000000-0005-0000-0000-0000F3C50000}"/>
    <cellStyle name="SAPBEXresItemX 4 3 3 2 4" xfId="50489" xr:uid="{00000000-0005-0000-0000-0000F4C50000}"/>
    <cellStyle name="SAPBEXresItemX 4 3 3 3" xfId="50490" xr:uid="{00000000-0005-0000-0000-0000F5C50000}"/>
    <cellStyle name="SAPBEXresItemX 4 3 3 3 2" xfId="50491" xr:uid="{00000000-0005-0000-0000-0000F6C50000}"/>
    <cellStyle name="SAPBEXresItemX 4 3 3 3 2 2" xfId="50492" xr:uid="{00000000-0005-0000-0000-0000F7C50000}"/>
    <cellStyle name="SAPBEXresItemX 4 3 3 3 3" xfId="50493" xr:uid="{00000000-0005-0000-0000-0000F8C50000}"/>
    <cellStyle name="SAPBEXresItemX 4 3 3 4" xfId="50494" xr:uid="{00000000-0005-0000-0000-0000F9C50000}"/>
    <cellStyle name="SAPBEXresItemX 4 3 3 4 2" xfId="50495" xr:uid="{00000000-0005-0000-0000-0000FAC50000}"/>
    <cellStyle name="SAPBEXresItemX 4 3 3 5" xfId="50496" xr:uid="{00000000-0005-0000-0000-0000FBC50000}"/>
    <cellStyle name="SAPBEXresItemX 4 3 4" xfId="50497" xr:uid="{00000000-0005-0000-0000-0000FCC50000}"/>
    <cellStyle name="SAPBEXresItemX 4 3 4 2" xfId="50498" xr:uid="{00000000-0005-0000-0000-0000FDC50000}"/>
    <cellStyle name="SAPBEXresItemX 4 3 4 2 2" xfId="50499" xr:uid="{00000000-0005-0000-0000-0000FEC50000}"/>
    <cellStyle name="SAPBEXresItemX 4 3 4 3" xfId="50500" xr:uid="{00000000-0005-0000-0000-0000FFC50000}"/>
    <cellStyle name="SAPBEXresItemX 4 3 5" xfId="50501" xr:uid="{00000000-0005-0000-0000-000000C60000}"/>
    <cellStyle name="SAPBEXresItemX 4 3 5 2" xfId="50502" xr:uid="{00000000-0005-0000-0000-000001C60000}"/>
    <cellStyle name="SAPBEXresItemX 4 3 5 2 2" xfId="50503" xr:uid="{00000000-0005-0000-0000-000002C60000}"/>
    <cellStyle name="SAPBEXresItemX 4 3 5 3" xfId="50504" xr:uid="{00000000-0005-0000-0000-000003C60000}"/>
    <cellStyle name="SAPBEXresItemX 4 3 6" xfId="50505" xr:uid="{00000000-0005-0000-0000-000004C60000}"/>
    <cellStyle name="SAPBEXresItemX 4 3 6 2" xfId="50506" xr:uid="{00000000-0005-0000-0000-000005C60000}"/>
    <cellStyle name="SAPBEXresItemX 4 3 6 2 2" xfId="50507" xr:uid="{00000000-0005-0000-0000-000006C60000}"/>
    <cellStyle name="SAPBEXresItemX 4 3 6 3" xfId="50508" xr:uid="{00000000-0005-0000-0000-000007C60000}"/>
    <cellStyle name="SAPBEXresItemX 4 3 7" xfId="50509" xr:uid="{00000000-0005-0000-0000-000008C60000}"/>
    <cellStyle name="SAPBEXresItemX 4 3 7 2" xfId="50510" xr:uid="{00000000-0005-0000-0000-000009C60000}"/>
    <cellStyle name="SAPBEXresItemX 4 3 8" xfId="50511" xr:uid="{00000000-0005-0000-0000-00000AC60000}"/>
    <cellStyle name="SAPBEXresItemX 4 4" xfId="50512" xr:uid="{00000000-0005-0000-0000-00000BC60000}"/>
    <cellStyle name="SAPBEXresItemX 4 4 2" xfId="50513" xr:uid="{00000000-0005-0000-0000-00000CC60000}"/>
    <cellStyle name="SAPBEXresItemX 4 4 2 2" xfId="50514" xr:uid="{00000000-0005-0000-0000-00000DC60000}"/>
    <cellStyle name="SAPBEXresItemX 4 4 2 2 2" xfId="50515" xr:uid="{00000000-0005-0000-0000-00000EC60000}"/>
    <cellStyle name="SAPBEXresItemX 4 4 2 2 2 2" xfId="50516" xr:uid="{00000000-0005-0000-0000-00000FC60000}"/>
    <cellStyle name="SAPBEXresItemX 4 4 2 2 3" xfId="50517" xr:uid="{00000000-0005-0000-0000-000010C60000}"/>
    <cellStyle name="SAPBEXresItemX 4 4 2 3" xfId="50518" xr:uid="{00000000-0005-0000-0000-000011C60000}"/>
    <cellStyle name="SAPBEXresItemX 4 4 2 3 2" xfId="50519" xr:uid="{00000000-0005-0000-0000-000012C60000}"/>
    <cellStyle name="SAPBEXresItemX 4 4 2 4" xfId="50520" xr:uid="{00000000-0005-0000-0000-000013C60000}"/>
    <cellStyle name="SAPBEXresItemX 4 4 3" xfId="50521" xr:uid="{00000000-0005-0000-0000-000014C60000}"/>
    <cellStyle name="SAPBEXresItemX 4 4 3 2" xfId="50522" xr:uid="{00000000-0005-0000-0000-000015C60000}"/>
    <cellStyle name="SAPBEXresItemX 4 4 3 2 2" xfId="50523" xr:uid="{00000000-0005-0000-0000-000016C60000}"/>
    <cellStyle name="SAPBEXresItemX 4 4 3 3" xfId="50524" xr:uid="{00000000-0005-0000-0000-000017C60000}"/>
    <cellStyle name="SAPBEXresItemX 4 4 4" xfId="50525" xr:uid="{00000000-0005-0000-0000-000018C60000}"/>
    <cellStyle name="SAPBEXresItemX 4 4 4 2" xfId="50526" xr:uid="{00000000-0005-0000-0000-000019C60000}"/>
    <cellStyle name="SAPBEXresItemX 4 4 5" xfId="50527" xr:uid="{00000000-0005-0000-0000-00001AC60000}"/>
    <cellStyle name="SAPBEXresItemX 4 5" xfId="50528" xr:uid="{00000000-0005-0000-0000-00001BC60000}"/>
    <cellStyle name="SAPBEXresItemX 4 5 2" xfId="50529" xr:uid="{00000000-0005-0000-0000-00001CC60000}"/>
    <cellStyle name="SAPBEXresItemX 4 5 2 2" xfId="50530" xr:uid="{00000000-0005-0000-0000-00001DC60000}"/>
    <cellStyle name="SAPBEXresItemX 4 5 3" xfId="50531" xr:uid="{00000000-0005-0000-0000-00001EC60000}"/>
    <cellStyle name="SAPBEXresItemX 4 6" xfId="50532" xr:uid="{00000000-0005-0000-0000-00001FC60000}"/>
    <cellStyle name="SAPBEXresItemX 4 6 2" xfId="50533" xr:uid="{00000000-0005-0000-0000-000020C60000}"/>
    <cellStyle name="SAPBEXresItemX 4 6 2 2" xfId="50534" xr:uid="{00000000-0005-0000-0000-000021C60000}"/>
    <cellStyle name="SAPBEXresItemX 4 6 3" xfId="50535" xr:uid="{00000000-0005-0000-0000-000022C60000}"/>
    <cellStyle name="SAPBEXresItemX 4 7" xfId="50536" xr:uid="{00000000-0005-0000-0000-000023C60000}"/>
    <cellStyle name="SAPBEXresItemX 4 7 2" xfId="50537" xr:uid="{00000000-0005-0000-0000-000024C60000}"/>
    <cellStyle name="SAPBEXresItemX 4 7 2 2" xfId="50538" xr:uid="{00000000-0005-0000-0000-000025C60000}"/>
    <cellStyle name="SAPBEXresItemX 4 7 3" xfId="50539" xr:uid="{00000000-0005-0000-0000-000026C60000}"/>
    <cellStyle name="SAPBEXresItemX 4 8" xfId="50540" xr:uid="{00000000-0005-0000-0000-000027C60000}"/>
    <cellStyle name="SAPBEXresItemX 4 8 2" xfId="50541" xr:uid="{00000000-0005-0000-0000-000028C60000}"/>
    <cellStyle name="SAPBEXresItemX 4 9" xfId="50542" xr:uid="{00000000-0005-0000-0000-000029C60000}"/>
    <cellStyle name="SAPBEXresItemX 5" xfId="50543" xr:uid="{00000000-0005-0000-0000-00002AC60000}"/>
    <cellStyle name="SAPBEXresItemX 5 2" xfId="50544" xr:uid="{00000000-0005-0000-0000-00002BC60000}"/>
    <cellStyle name="SAPBEXresItemX 5 2 2" xfId="50545" xr:uid="{00000000-0005-0000-0000-00002CC60000}"/>
    <cellStyle name="SAPBEXresItemX 5 2 2 2" xfId="50546" xr:uid="{00000000-0005-0000-0000-00002DC60000}"/>
    <cellStyle name="SAPBEXresItemX 5 2 2 2 2" xfId="50547" xr:uid="{00000000-0005-0000-0000-00002EC60000}"/>
    <cellStyle name="SAPBEXresItemX 5 2 2 3" xfId="50548" xr:uid="{00000000-0005-0000-0000-00002FC60000}"/>
    <cellStyle name="SAPBEXresItemX 5 2 3" xfId="50549" xr:uid="{00000000-0005-0000-0000-000030C60000}"/>
    <cellStyle name="SAPBEXresItemX 5 2 3 2" xfId="50550" xr:uid="{00000000-0005-0000-0000-000031C60000}"/>
    <cellStyle name="SAPBEXresItemX 5 2 4" xfId="50551" xr:uid="{00000000-0005-0000-0000-000032C60000}"/>
    <cellStyle name="SAPBEXresItemX 5 3" xfId="50552" xr:uid="{00000000-0005-0000-0000-000033C60000}"/>
    <cellStyle name="SAPBEXresItemX 5 3 2" xfId="50553" xr:uid="{00000000-0005-0000-0000-000034C60000}"/>
    <cellStyle name="SAPBEXresItemX 5 3 2 2" xfId="50554" xr:uid="{00000000-0005-0000-0000-000035C60000}"/>
    <cellStyle name="SAPBEXresItemX 5 3 3" xfId="50555" xr:uid="{00000000-0005-0000-0000-000036C60000}"/>
    <cellStyle name="SAPBEXresItemX 5 4" xfId="50556" xr:uid="{00000000-0005-0000-0000-000037C60000}"/>
    <cellStyle name="SAPBEXresItemX 5 4 2" xfId="50557" xr:uid="{00000000-0005-0000-0000-000038C60000}"/>
    <cellStyle name="SAPBEXresItemX 5 4 2 2" xfId="50558" xr:uid="{00000000-0005-0000-0000-000039C60000}"/>
    <cellStyle name="SAPBEXresItemX 5 4 3" xfId="50559" xr:uid="{00000000-0005-0000-0000-00003AC60000}"/>
    <cellStyle name="SAPBEXresItemX 5 5" xfId="50560" xr:uid="{00000000-0005-0000-0000-00003BC60000}"/>
    <cellStyle name="SAPBEXresItemX 5 5 2" xfId="50561" xr:uid="{00000000-0005-0000-0000-00003CC60000}"/>
    <cellStyle name="SAPBEXresItemX 5 5 2 2" xfId="50562" xr:uid="{00000000-0005-0000-0000-00003DC60000}"/>
    <cellStyle name="SAPBEXresItemX 5 5 3" xfId="50563" xr:uid="{00000000-0005-0000-0000-00003EC60000}"/>
    <cellStyle name="SAPBEXresItemX 5 6" xfId="50564" xr:uid="{00000000-0005-0000-0000-00003FC60000}"/>
    <cellStyle name="SAPBEXresItemX 5 6 2" xfId="50565" xr:uid="{00000000-0005-0000-0000-000040C60000}"/>
    <cellStyle name="SAPBEXresItemX 5 7" xfId="50566" xr:uid="{00000000-0005-0000-0000-000041C60000}"/>
    <cellStyle name="SAPBEXresItemX 6" xfId="50567" xr:uid="{00000000-0005-0000-0000-000042C60000}"/>
    <cellStyle name="SAPBEXresItemX 6 2" xfId="50568" xr:uid="{00000000-0005-0000-0000-000043C60000}"/>
    <cellStyle name="SAPBEXresItemX 6 2 2" xfId="50569" xr:uid="{00000000-0005-0000-0000-000044C60000}"/>
    <cellStyle name="SAPBEXresItemX 6 3" xfId="50570" xr:uid="{00000000-0005-0000-0000-000045C60000}"/>
    <cellStyle name="SAPBEXresItemX 6 3 2" xfId="50571" xr:uid="{00000000-0005-0000-0000-000046C60000}"/>
    <cellStyle name="SAPBEXresItemX 6 3 2 2" xfId="50572" xr:uid="{00000000-0005-0000-0000-000047C60000}"/>
    <cellStyle name="SAPBEXresItemX 6 3 3" xfId="50573" xr:uid="{00000000-0005-0000-0000-000048C60000}"/>
    <cellStyle name="SAPBEXresItemX 6 4" xfId="50574" xr:uid="{00000000-0005-0000-0000-000049C60000}"/>
    <cellStyle name="SAPBEXresItemX 6 4 2" xfId="50575" xr:uid="{00000000-0005-0000-0000-00004AC60000}"/>
    <cellStyle name="SAPBEXresItemX 6 4 2 2" xfId="50576" xr:uid="{00000000-0005-0000-0000-00004BC60000}"/>
    <cellStyle name="SAPBEXresItemX 6 4 3" xfId="50577" xr:uid="{00000000-0005-0000-0000-00004CC60000}"/>
    <cellStyle name="SAPBEXresItemX 6 5" xfId="50578" xr:uid="{00000000-0005-0000-0000-00004DC60000}"/>
    <cellStyle name="SAPBEXresItemX 7" xfId="50579" xr:uid="{00000000-0005-0000-0000-00004EC60000}"/>
    <cellStyle name="SAPBEXresItemX 7 2" xfId="50580" xr:uid="{00000000-0005-0000-0000-00004FC60000}"/>
    <cellStyle name="SAPBEXresItemX 7 2 2" xfId="50581" xr:uid="{00000000-0005-0000-0000-000050C60000}"/>
    <cellStyle name="SAPBEXresItemX 7 2 2 2" xfId="50582" xr:uid="{00000000-0005-0000-0000-000051C60000}"/>
    <cellStyle name="SAPBEXresItemX 7 2 3" xfId="50583" xr:uid="{00000000-0005-0000-0000-000052C60000}"/>
    <cellStyle name="SAPBEXresItemX 7 2 3 2" xfId="50584" xr:uid="{00000000-0005-0000-0000-000053C60000}"/>
    <cellStyle name="SAPBEXresItemX 7 2 3 2 2" xfId="50585" xr:uid="{00000000-0005-0000-0000-000054C60000}"/>
    <cellStyle name="SAPBEXresItemX 7 2 3 3" xfId="50586" xr:uid="{00000000-0005-0000-0000-000055C60000}"/>
    <cellStyle name="SAPBEXresItemX 7 2 4" xfId="50587" xr:uid="{00000000-0005-0000-0000-000056C60000}"/>
    <cellStyle name="SAPBEXresItemX 7 3" xfId="50588" xr:uid="{00000000-0005-0000-0000-000057C60000}"/>
    <cellStyle name="SAPBEXresItemX 7 3 2" xfId="50589" xr:uid="{00000000-0005-0000-0000-000058C60000}"/>
    <cellStyle name="SAPBEXresItemX 7 3 2 2" xfId="50590" xr:uid="{00000000-0005-0000-0000-000059C60000}"/>
    <cellStyle name="SAPBEXresItemX 7 3 3" xfId="50591" xr:uid="{00000000-0005-0000-0000-00005AC60000}"/>
    <cellStyle name="SAPBEXresItemX 7 4" xfId="50592" xr:uid="{00000000-0005-0000-0000-00005BC60000}"/>
    <cellStyle name="SAPBEXresItemX 7 4 2" xfId="50593" xr:uid="{00000000-0005-0000-0000-00005CC60000}"/>
    <cellStyle name="SAPBEXresItemX 7 4 2 2" xfId="50594" xr:uid="{00000000-0005-0000-0000-00005DC60000}"/>
    <cellStyle name="SAPBEXresItemX 7 4 3" xfId="50595" xr:uid="{00000000-0005-0000-0000-00005EC60000}"/>
    <cellStyle name="SAPBEXresItemX 7 5" xfId="50596" xr:uid="{00000000-0005-0000-0000-00005FC60000}"/>
    <cellStyle name="SAPBEXresItemX 7 5 2" xfId="50597" xr:uid="{00000000-0005-0000-0000-000060C60000}"/>
    <cellStyle name="SAPBEXresItemX 7 5 2 2" xfId="50598" xr:uid="{00000000-0005-0000-0000-000061C60000}"/>
    <cellStyle name="SAPBEXresItemX 7 5 3" xfId="50599" xr:uid="{00000000-0005-0000-0000-000062C60000}"/>
    <cellStyle name="SAPBEXresItemX 7 6" xfId="50600" xr:uid="{00000000-0005-0000-0000-000063C60000}"/>
    <cellStyle name="SAPBEXresItemX 8" xfId="50601" xr:uid="{00000000-0005-0000-0000-000064C60000}"/>
    <cellStyle name="SAPBEXresItemX 8 2" xfId="50602" xr:uid="{00000000-0005-0000-0000-000065C60000}"/>
    <cellStyle name="SAPBEXresItemX 8 2 2" xfId="50603" xr:uid="{00000000-0005-0000-0000-000066C60000}"/>
    <cellStyle name="SAPBEXresItemX 8 3" xfId="50604" xr:uid="{00000000-0005-0000-0000-000067C60000}"/>
    <cellStyle name="SAPBEXresItemX 9" xfId="50605" xr:uid="{00000000-0005-0000-0000-000068C60000}"/>
    <cellStyle name="SAPBEXresItemX 9 2" xfId="50606" xr:uid="{00000000-0005-0000-0000-000069C60000}"/>
    <cellStyle name="SAPBEXresItemX 9 2 2" xfId="50607" xr:uid="{00000000-0005-0000-0000-00006AC60000}"/>
    <cellStyle name="SAPBEXresItemX 9 3" xfId="50608" xr:uid="{00000000-0005-0000-0000-00006BC60000}"/>
    <cellStyle name="SAPBEXstdData" xfId="73" xr:uid="{00000000-0005-0000-0000-00006CC60000}"/>
    <cellStyle name="SAPBEXstdData 2" xfId="50609" xr:uid="{00000000-0005-0000-0000-00006DC60000}"/>
    <cellStyle name="SAPBEXstdData 2 2" xfId="50610" xr:uid="{00000000-0005-0000-0000-00006EC60000}"/>
    <cellStyle name="SAPBEXstdData 2 2 2" xfId="50611" xr:uid="{00000000-0005-0000-0000-00006FC60000}"/>
    <cellStyle name="SAPBEXstdData 2 2 2 2" xfId="50612" xr:uid="{00000000-0005-0000-0000-000070C60000}"/>
    <cellStyle name="SAPBEXstdData 2 2 3" xfId="50613" xr:uid="{00000000-0005-0000-0000-000071C60000}"/>
    <cellStyle name="SAPBEXstdData 2 3" xfId="50614" xr:uid="{00000000-0005-0000-0000-000072C60000}"/>
    <cellStyle name="SAPBEXstdData 2 3 2" xfId="50615" xr:uid="{00000000-0005-0000-0000-000073C60000}"/>
    <cellStyle name="SAPBEXstdData 2 3 2 2" xfId="50616" xr:uid="{00000000-0005-0000-0000-000074C60000}"/>
    <cellStyle name="SAPBEXstdData 2 3 3" xfId="50617" xr:uid="{00000000-0005-0000-0000-000075C60000}"/>
    <cellStyle name="SAPBEXstdData 2 4" xfId="50618" xr:uid="{00000000-0005-0000-0000-000076C60000}"/>
    <cellStyle name="SAPBEXstdData 2 4 2" xfId="50619" xr:uid="{00000000-0005-0000-0000-000077C60000}"/>
    <cellStyle name="SAPBEXstdData 2 4 2 2" xfId="50620" xr:uid="{00000000-0005-0000-0000-000078C60000}"/>
    <cellStyle name="SAPBEXstdData 2 4 3" xfId="50621" xr:uid="{00000000-0005-0000-0000-000079C60000}"/>
    <cellStyle name="SAPBEXstdData 2 5" xfId="50622" xr:uid="{00000000-0005-0000-0000-00007AC60000}"/>
    <cellStyle name="SAPBEXstdData 2 5 2" xfId="50623" xr:uid="{00000000-0005-0000-0000-00007BC60000}"/>
    <cellStyle name="SAPBEXstdData 2 6" xfId="50624" xr:uid="{00000000-0005-0000-0000-00007CC60000}"/>
    <cellStyle name="SAPBEXstdData 2 6 2" xfId="50625" xr:uid="{00000000-0005-0000-0000-00007DC60000}"/>
    <cellStyle name="SAPBEXstdData 2 6 2 2" xfId="50626" xr:uid="{00000000-0005-0000-0000-00007EC60000}"/>
    <cellStyle name="SAPBEXstdData 2 6 2 2 2" xfId="50627" xr:uid="{00000000-0005-0000-0000-00007FC60000}"/>
    <cellStyle name="SAPBEXstdData 2 6 2 3" xfId="50628" xr:uid="{00000000-0005-0000-0000-000080C60000}"/>
    <cellStyle name="SAPBEXstdData 2 6 3" xfId="50629" xr:uid="{00000000-0005-0000-0000-000081C60000}"/>
    <cellStyle name="SAPBEXstdData 2 6 3 2" xfId="50630" xr:uid="{00000000-0005-0000-0000-000082C60000}"/>
    <cellStyle name="SAPBEXstdData 2 6 4" xfId="50631" xr:uid="{00000000-0005-0000-0000-000083C60000}"/>
    <cellStyle name="SAPBEXstdData 2 7" xfId="50632" xr:uid="{00000000-0005-0000-0000-000084C60000}"/>
    <cellStyle name="SAPBEXstdData 3" xfId="50633" xr:uid="{00000000-0005-0000-0000-000085C60000}"/>
    <cellStyle name="SAPBEXstdData 3 2" xfId="50634" xr:uid="{00000000-0005-0000-0000-000086C60000}"/>
    <cellStyle name="SAPBEXstdData 3 2 2" xfId="50635" xr:uid="{00000000-0005-0000-0000-000087C60000}"/>
    <cellStyle name="SAPBEXstdData 3 2 2 2" xfId="50636" xr:uid="{00000000-0005-0000-0000-000088C60000}"/>
    <cellStyle name="SAPBEXstdData 3 2 3" xfId="50637" xr:uid="{00000000-0005-0000-0000-000089C60000}"/>
    <cellStyle name="SAPBEXstdData 3 3" xfId="50638" xr:uid="{00000000-0005-0000-0000-00008AC60000}"/>
    <cellStyle name="SAPBEXstdData 3 3 2" xfId="50639" xr:uid="{00000000-0005-0000-0000-00008BC60000}"/>
    <cellStyle name="SAPBEXstdData 3 4" xfId="50640" xr:uid="{00000000-0005-0000-0000-00008CC60000}"/>
    <cellStyle name="SAPBEXstdData 4" xfId="50641" xr:uid="{00000000-0005-0000-0000-00008DC60000}"/>
    <cellStyle name="SAPBEXstdData 4 2" xfId="50642" xr:uid="{00000000-0005-0000-0000-00008EC60000}"/>
    <cellStyle name="SAPBEXstdData 4 2 2" xfId="50643" xr:uid="{00000000-0005-0000-0000-00008FC60000}"/>
    <cellStyle name="SAPBEXstdData 4 3" xfId="50644" xr:uid="{00000000-0005-0000-0000-000090C60000}"/>
    <cellStyle name="SAPBEXstdData 5" xfId="50645" xr:uid="{00000000-0005-0000-0000-000091C60000}"/>
    <cellStyle name="SAPBEXstdData 5 2" xfId="50646" xr:uid="{00000000-0005-0000-0000-000092C60000}"/>
    <cellStyle name="SAPBEXstdData 5 2 2" xfId="50647" xr:uid="{00000000-0005-0000-0000-000093C60000}"/>
    <cellStyle name="SAPBEXstdData 5 3" xfId="50648" xr:uid="{00000000-0005-0000-0000-000094C60000}"/>
    <cellStyle name="SAPBEXstdData 6" xfId="50649" xr:uid="{00000000-0005-0000-0000-000095C60000}"/>
    <cellStyle name="SAPBEXstdData 6 2" xfId="50650" xr:uid="{00000000-0005-0000-0000-000096C60000}"/>
    <cellStyle name="SAPBEXstdData 6 2 2" xfId="50651" xr:uid="{00000000-0005-0000-0000-000097C60000}"/>
    <cellStyle name="SAPBEXstdData 6 3" xfId="50652" xr:uid="{00000000-0005-0000-0000-000098C60000}"/>
    <cellStyle name="SAPBEXstdData 7" xfId="50653" xr:uid="{00000000-0005-0000-0000-000099C60000}"/>
    <cellStyle name="SAPBEXstdData 7 2" xfId="50654" xr:uid="{00000000-0005-0000-0000-00009AC60000}"/>
    <cellStyle name="SAPBEXstdData 8" xfId="50655" xr:uid="{00000000-0005-0000-0000-00009BC60000}"/>
    <cellStyle name="SAPBEXstdData 8 2" xfId="50656" xr:uid="{00000000-0005-0000-0000-00009CC60000}"/>
    <cellStyle name="SAPBEXstdData 9" xfId="50657" xr:uid="{00000000-0005-0000-0000-00009DC60000}"/>
    <cellStyle name="SAPBEXstdDataEmph" xfId="74" xr:uid="{00000000-0005-0000-0000-00009EC60000}"/>
    <cellStyle name="SAPBEXstdDataEmph 2" xfId="50658" xr:uid="{00000000-0005-0000-0000-00009FC60000}"/>
    <cellStyle name="SAPBEXstdDataEmph 2 2" xfId="50659" xr:uid="{00000000-0005-0000-0000-0000A0C60000}"/>
    <cellStyle name="SAPBEXstdDataEmph 2 2 2" xfId="50660" xr:uid="{00000000-0005-0000-0000-0000A1C60000}"/>
    <cellStyle name="SAPBEXstdDataEmph 2 3" xfId="50661" xr:uid="{00000000-0005-0000-0000-0000A2C60000}"/>
    <cellStyle name="SAPBEXstdDataEmph 2 3 2" xfId="50662" xr:uid="{00000000-0005-0000-0000-0000A3C60000}"/>
    <cellStyle name="SAPBEXstdDataEmph 2 3 2 2" xfId="50663" xr:uid="{00000000-0005-0000-0000-0000A4C60000}"/>
    <cellStyle name="SAPBEXstdDataEmph 2 3 3" xfId="50664" xr:uid="{00000000-0005-0000-0000-0000A5C60000}"/>
    <cellStyle name="SAPBEXstdDataEmph 2 4" xfId="50665" xr:uid="{00000000-0005-0000-0000-0000A6C60000}"/>
    <cellStyle name="SAPBEXstdDataEmph 2 4 2" xfId="50666" xr:uid="{00000000-0005-0000-0000-0000A7C60000}"/>
    <cellStyle name="SAPBEXstdDataEmph 2 4 2 2" xfId="50667" xr:uid="{00000000-0005-0000-0000-0000A8C60000}"/>
    <cellStyle name="SAPBEXstdDataEmph 2 4 3" xfId="50668" xr:uid="{00000000-0005-0000-0000-0000A9C60000}"/>
    <cellStyle name="SAPBEXstdDataEmph 2 5" xfId="50669" xr:uid="{00000000-0005-0000-0000-0000AAC60000}"/>
    <cellStyle name="SAPBEXstdDataEmph 3" xfId="50670" xr:uid="{00000000-0005-0000-0000-0000ABC60000}"/>
    <cellStyle name="SAPBEXstdDataEmph 3 2" xfId="50671" xr:uid="{00000000-0005-0000-0000-0000ACC60000}"/>
    <cellStyle name="SAPBEXstdDataEmph 3 2 2" xfId="50672" xr:uid="{00000000-0005-0000-0000-0000ADC60000}"/>
    <cellStyle name="SAPBEXstdDataEmph 3 2 2 2" xfId="50673" xr:uid="{00000000-0005-0000-0000-0000AEC60000}"/>
    <cellStyle name="SAPBEXstdDataEmph 3 2 3" xfId="50674" xr:uid="{00000000-0005-0000-0000-0000AFC60000}"/>
    <cellStyle name="SAPBEXstdDataEmph 3 3" xfId="50675" xr:uid="{00000000-0005-0000-0000-0000B0C60000}"/>
    <cellStyle name="SAPBEXstdDataEmph 3 3 2" xfId="50676" xr:uid="{00000000-0005-0000-0000-0000B1C60000}"/>
    <cellStyle name="SAPBEXstdDataEmph 3 4" xfId="50677" xr:uid="{00000000-0005-0000-0000-0000B2C60000}"/>
    <cellStyle name="SAPBEXstdDataEmph 4" xfId="50678" xr:uid="{00000000-0005-0000-0000-0000B3C60000}"/>
    <cellStyle name="SAPBEXstdDataEmph 4 2" xfId="50679" xr:uid="{00000000-0005-0000-0000-0000B4C60000}"/>
    <cellStyle name="SAPBEXstdDataEmph 4 2 2" xfId="50680" xr:uid="{00000000-0005-0000-0000-0000B5C60000}"/>
    <cellStyle name="SAPBEXstdDataEmph 4 3" xfId="50681" xr:uid="{00000000-0005-0000-0000-0000B6C60000}"/>
    <cellStyle name="SAPBEXstdDataEmph 5" xfId="50682" xr:uid="{00000000-0005-0000-0000-0000B7C60000}"/>
    <cellStyle name="SAPBEXstdDataEmph 5 2" xfId="50683" xr:uid="{00000000-0005-0000-0000-0000B8C60000}"/>
    <cellStyle name="SAPBEXstdDataEmph 5 2 2" xfId="50684" xr:uid="{00000000-0005-0000-0000-0000B9C60000}"/>
    <cellStyle name="SAPBEXstdDataEmph 5 3" xfId="50685" xr:uid="{00000000-0005-0000-0000-0000BAC60000}"/>
    <cellStyle name="SAPBEXstdDataEmph 6" xfId="50686" xr:uid="{00000000-0005-0000-0000-0000BBC60000}"/>
    <cellStyle name="SAPBEXstdDataEmph 6 2" xfId="50687" xr:uid="{00000000-0005-0000-0000-0000BCC60000}"/>
    <cellStyle name="SAPBEXstdDataEmph 6 2 2" xfId="50688" xr:uid="{00000000-0005-0000-0000-0000BDC60000}"/>
    <cellStyle name="SAPBEXstdDataEmph 6 3" xfId="50689" xr:uid="{00000000-0005-0000-0000-0000BEC60000}"/>
    <cellStyle name="SAPBEXstdDataEmph 7" xfId="50690" xr:uid="{00000000-0005-0000-0000-0000BFC60000}"/>
    <cellStyle name="SAPBEXstdDataEmph 7 2" xfId="50691" xr:uid="{00000000-0005-0000-0000-0000C0C60000}"/>
    <cellStyle name="SAPBEXstdDataEmph 8" xfId="50692" xr:uid="{00000000-0005-0000-0000-0000C1C60000}"/>
    <cellStyle name="SAPBEXstdItem" xfId="75" xr:uid="{00000000-0005-0000-0000-0000C2C60000}"/>
    <cellStyle name="SAPBEXstdItem 2" xfId="50693" xr:uid="{00000000-0005-0000-0000-0000C3C60000}"/>
    <cellStyle name="SAPBEXstdItem 2 2" xfId="50694" xr:uid="{00000000-0005-0000-0000-0000C4C60000}"/>
    <cellStyle name="SAPBEXstdItem 2 2 2" xfId="50695" xr:uid="{00000000-0005-0000-0000-0000C5C60000}"/>
    <cellStyle name="SAPBEXstdItem 2 2 2 2" xfId="50696" xr:uid="{00000000-0005-0000-0000-0000C6C60000}"/>
    <cellStyle name="SAPBEXstdItem 2 2 3" xfId="50697" xr:uid="{00000000-0005-0000-0000-0000C7C60000}"/>
    <cellStyle name="SAPBEXstdItem 2 3" xfId="50698" xr:uid="{00000000-0005-0000-0000-0000C8C60000}"/>
    <cellStyle name="SAPBEXstdItem 2 3 2" xfId="50699" xr:uid="{00000000-0005-0000-0000-0000C9C60000}"/>
    <cellStyle name="SAPBEXstdItem 2 3 2 2" xfId="50700" xr:uid="{00000000-0005-0000-0000-0000CAC60000}"/>
    <cellStyle name="SAPBEXstdItem 2 3 3" xfId="50701" xr:uid="{00000000-0005-0000-0000-0000CBC60000}"/>
    <cellStyle name="SAPBEXstdItem 2 4" xfId="50702" xr:uid="{00000000-0005-0000-0000-0000CCC60000}"/>
    <cellStyle name="SAPBEXstdItem 2 4 2" xfId="50703" xr:uid="{00000000-0005-0000-0000-0000CDC60000}"/>
    <cellStyle name="SAPBEXstdItem 2 4 2 2" xfId="50704" xr:uid="{00000000-0005-0000-0000-0000CEC60000}"/>
    <cellStyle name="SAPBEXstdItem 2 4 3" xfId="50705" xr:uid="{00000000-0005-0000-0000-0000CFC60000}"/>
    <cellStyle name="SAPBEXstdItem 2 5" xfId="50706" xr:uid="{00000000-0005-0000-0000-0000D0C60000}"/>
    <cellStyle name="SAPBEXstdItem 2 5 2" xfId="50707" xr:uid="{00000000-0005-0000-0000-0000D1C60000}"/>
    <cellStyle name="SAPBEXstdItem 2 6" xfId="50708" xr:uid="{00000000-0005-0000-0000-0000D2C60000}"/>
    <cellStyle name="SAPBEXstdItem 2 6 2" xfId="50709" xr:uid="{00000000-0005-0000-0000-0000D3C60000}"/>
    <cellStyle name="SAPBEXstdItem 2 6 2 2" xfId="50710" xr:uid="{00000000-0005-0000-0000-0000D4C60000}"/>
    <cellStyle name="SAPBEXstdItem 2 6 2 2 2" xfId="50711" xr:uid="{00000000-0005-0000-0000-0000D5C60000}"/>
    <cellStyle name="SAPBEXstdItem 2 6 2 3" xfId="50712" xr:uid="{00000000-0005-0000-0000-0000D6C60000}"/>
    <cellStyle name="SAPBEXstdItem 2 6 3" xfId="50713" xr:uid="{00000000-0005-0000-0000-0000D7C60000}"/>
    <cellStyle name="SAPBEXstdItem 2 6 3 2" xfId="50714" xr:uid="{00000000-0005-0000-0000-0000D8C60000}"/>
    <cellStyle name="SAPBEXstdItem 2 6 4" xfId="50715" xr:uid="{00000000-0005-0000-0000-0000D9C60000}"/>
    <cellStyle name="SAPBEXstdItem 2 7" xfId="50716" xr:uid="{00000000-0005-0000-0000-0000DAC60000}"/>
    <cellStyle name="SAPBEXstdItem 3" xfId="50717" xr:uid="{00000000-0005-0000-0000-0000DBC60000}"/>
    <cellStyle name="SAPBEXstdItem 3 2" xfId="50718" xr:uid="{00000000-0005-0000-0000-0000DCC60000}"/>
    <cellStyle name="SAPBEXstdItem 3 2 2" xfId="50719" xr:uid="{00000000-0005-0000-0000-0000DDC60000}"/>
    <cellStyle name="SAPBEXstdItem 3 2 2 2" xfId="50720" xr:uid="{00000000-0005-0000-0000-0000DEC60000}"/>
    <cellStyle name="SAPBEXstdItem 3 2 3" xfId="50721" xr:uid="{00000000-0005-0000-0000-0000DFC60000}"/>
    <cellStyle name="SAPBEXstdItem 3 3" xfId="50722" xr:uid="{00000000-0005-0000-0000-0000E0C60000}"/>
    <cellStyle name="SAPBEXstdItem 3 3 2" xfId="50723" xr:uid="{00000000-0005-0000-0000-0000E1C60000}"/>
    <cellStyle name="SAPBEXstdItem 3 4" xfId="50724" xr:uid="{00000000-0005-0000-0000-0000E2C60000}"/>
    <cellStyle name="SAPBEXstdItem 4" xfId="50725" xr:uid="{00000000-0005-0000-0000-0000E3C60000}"/>
    <cellStyle name="SAPBEXstdItem 4 2" xfId="50726" xr:uid="{00000000-0005-0000-0000-0000E4C60000}"/>
    <cellStyle name="SAPBEXstdItem 4 2 2" xfId="50727" xr:uid="{00000000-0005-0000-0000-0000E5C60000}"/>
    <cellStyle name="SAPBEXstdItem 4 3" xfId="50728" xr:uid="{00000000-0005-0000-0000-0000E6C60000}"/>
    <cellStyle name="SAPBEXstdItem 5" xfId="50729" xr:uid="{00000000-0005-0000-0000-0000E7C60000}"/>
    <cellStyle name="SAPBEXstdItem 5 2" xfId="50730" xr:uid="{00000000-0005-0000-0000-0000E8C60000}"/>
    <cellStyle name="SAPBEXstdItem 5 2 2" xfId="50731" xr:uid="{00000000-0005-0000-0000-0000E9C60000}"/>
    <cellStyle name="SAPBEXstdItem 5 3" xfId="50732" xr:uid="{00000000-0005-0000-0000-0000EAC60000}"/>
    <cellStyle name="SAPBEXstdItem 6" xfId="50733" xr:uid="{00000000-0005-0000-0000-0000EBC60000}"/>
    <cellStyle name="SAPBEXstdItem 6 2" xfId="50734" xr:uid="{00000000-0005-0000-0000-0000ECC60000}"/>
    <cellStyle name="SAPBEXstdItem 6 2 2" xfId="50735" xr:uid="{00000000-0005-0000-0000-0000EDC60000}"/>
    <cellStyle name="SAPBEXstdItem 6 3" xfId="50736" xr:uid="{00000000-0005-0000-0000-0000EEC60000}"/>
    <cellStyle name="SAPBEXstdItem 7" xfId="50737" xr:uid="{00000000-0005-0000-0000-0000EFC60000}"/>
    <cellStyle name="SAPBEXstdItem 7 2" xfId="50738" xr:uid="{00000000-0005-0000-0000-0000F0C60000}"/>
    <cellStyle name="SAPBEXstdItem 8" xfId="50739" xr:uid="{00000000-0005-0000-0000-0000F1C60000}"/>
    <cellStyle name="SAPBEXstdItem 8 2" xfId="50740" xr:uid="{00000000-0005-0000-0000-0000F2C60000}"/>
    <cellStyle name="SAPBEXstdItem 9" xfId="50741" xr:uid="{00000000-0005-0000-0000-0000F3C60000}"/>
    <cellStyle name="SAPBEXstdItem_Forecast Template 3-31-11.updates (Alan Updates)" xfId="50742" xr:uid="{00000000-0005-0000-0000-0000F4C60000}"/>
    <cellStyle name="SAPBEXstdItemX" xfId="76" xr:uid="{00000000-0005-0000-0000-0000F5C60000}"/>
    <cellStyle name="SAPBEXstdItemX 10" xfId="50743" xr:uid="{00000000-0005-0000-0000-0000F6C60000}"/>
    <cellStyle name="SAPBEXstdItemX 10 2" xfId="50744" xr:uid="{00000000-0005-0000-0000-0000F7C60000}"/>
    <cellStyle name="SAPBEXstdItemX 10 2 2" xfId="50745" xr:uid="{00000000-0005-0000-0000-0000F8C60000}"/>
    <cellStyle name="SAPBEXstdItemX 10 3" xfId="50746" xr:uid="{00000000-0005-0000-0000-0000F9C60000}"/>
    <cellStyle name="SAPBEXstdItemX 11" xfId="50747" xr:uid="{00000000-0005-0000-0000-0000FAC60000}"/>
    <cellStyle name="SAPBEXstdItemX 11 2" xfId="50748" xr:uid="{00000000-0005-0000-0000-0000FBC60000}"/>
    <cellStyle name="SAPBEXstdItemX 12" xfId="50749" xr:uid="{00000000-0005-0000-0000-0000FCC60000}"/>
    <cellStyle name="SAPBEXstdItemX 12 2" xfId="50750" xr:uid="{00000000-0005-0000-0000-0000FDC60000}"/>
    <cellStyle name="SAPBEXstdItemX 12 2 2" xfId="50751" xr:uid="{00000000-0005-0000-0000-0000FEC60000}"/>
    <cellStyle name="SAPBEXstdItemX 12 3" xfId="50752" xr:uid="{00000000-0005-0000-0000-0000FFC60000}"/>
    <cellStyle name="SAPBEXstdItemX 12 3 2" xfId="50753" xr:uid="{00000000-0005-0000-0000-000000C70000}"/>
    <cellStyle name="SAPBEXstdItemX 12 4" xfId="50754" xr:uid="{00000000-0005-0000-0000-000001C70000}"/>
    <cellStyle name="SAPBEXstdItemX 13" xfId="50755" xr:uid="{00000000-0005-0000-0000-000002C70000}"/>
    <cellStyle name="SAPBEXstdItemX 13 2" xfId="50756" xr:uid="{00000000-0005-0000-0000-000003C70000}"/>
    <cellStyle name="SAPBEXstdItemX 14" xfId="50757" xr:uid="{00000000-0005-0000-0000-000004C70000}"/>
    <cellStyle name="SAPBEXstdItemX 14 2" xfId="50758" xr:uid="{00000000-0005-0000-0000-000005C70000}"/>
    <cellStyle name="SAPBEXstdItemX 15" xfId="50759" xr:uid="{00000000-0005-0000-0000-000006C70000}"/>
    <cellStyle name="SAPBEXstdItemX 15 2" xfId="50760" xr:uid="{00000000-0005-0000-0000-000007C70000}"/>
    <cellStyle name="SAPBEXstdItemX 16" xfId="50761" xr:uid="{00000000-0005-0000-0000-000008C70000}"/>
    <cellStyle name="SAPBEXstdItemX 17" xfId="50762" xr:uid="{00000000-0005-0000-0000-000009C70000}"/>
    <cellStyle name="SAPBEXstdItemX 2" xfId="50763" xr:uid="{00000000-0005-0000-0000-00000AC70000}"/>
    <cellStyle name="SAPBEXstdItemX 2 10" xfId="50764" xr:uid="{00000000-0005-0000-0000-00000BC70000}"/>
    <cellStyle name="SAPBEXstdItemX 2 2" xfId="50765" xr:uid="{00000000-0005-0000-0000-00000CC70000}"/>
    <cellStyle name="SAPBEXstdItemX 2 2 2" xfId="50766" xr:uid="{00000000-0005-0000-0000-00000DC70000}"/>
    <cellStyle name="SAPBEXstdItemX 2 2 2 2" xfId="50767" xr:uid="{00000000-0005-0000-0000-00000EC70000}"/>
    <cellStyle name="SAPBEXstdItemX 2 2 2 2 2" xfId="50768" xr:uid="{00000000-0005-0000-0000-00000FC70000}"/>
    <cellStyle name="SAPBEXstdItemX 2 2 2 2 2 2" xfId="50769" xr:uid="{00000000-0005-0000-0000-000010C70000}"/>
    <cellStyle name="SAPBEXstdItemX 2 2 2 2 3" xfId="50770" xr:uid="{00000000-0005-0000-0000-000011C70000}"/>
    <cellStyle name="SAPBEXstdItemX 2 2 2 3" xfId="50771" xr:uid="{00000000-0005-0000-0000-000012C70000}"/>
    <cellStyle name="SAPBEXstdItemX 2 2 2 3 2" xfId="50772" xr:uid="{00000000-0005-0000-0000-000013C70000}"/>
    <cellStyle name="SAPBEXstdItemX 2 2 2 4" xfId="50773" xr:uid="{00000000-0005-0000-0000-000014C70000}"/>
    <cellStyle name="SAPBEXstdItemX 2 2 3" xfId="50774" xr:uid="{00000000-0005-0000-0000-000015C70000}"/>
    <cellStyle name="SAPBEXstdItemX 2 2 3 2" xfId="50775" xr:uid="{00000000-0005-0000-0000-000016C70000}"/>
    <cellStyle name="SAPBEXstdItemX 2 2 3 2 2" xfId="50776" xr:uid="{00000000-0005-0000-0000-000017C70000}"/>
    <cellStyle name="SAPBEXstdItemX 2 2 3 3" xfId="50777" xr:uid="{00000000-0005-0000-0000-000018C70000}"/>
    <cellStyle name="SAPBEXstdItemX 2 2 4" xfId="50778" xr:uid="{00000000-0005-0000-0000-000019C70000}"/>
    <cellStyle name="SAPBEXstdItemX 2 2 4 2" xfId="50779" xr:uid="{00000000-0005-0000-0000-00001AC70000}"/>
    <cellStyle name="SAPBEXstdItemX 2 2 4 2 2" xfId="50780" xr:uid="{00000000-0005-0000-0000-00001BC70000}"/>
    <cellStyle name="SAPBEXstdItemX 2 2 4 3" xfId="50781" xr:uid="{00000000-0005-0000-0000-00001CC70000}"/>
    <cellStyle name="SAPBEXstdItemX 2 2 5" xfId="50782" xr:uid="{00000000-0005-0000-0000-00001DC70000}"/>
    <cellStyle name="SAPBEXstdItemX 2 2 5 2" xfId="50783" xr:uid="{00000000-0005-0000-0000-00001EC70000}"/>
    <cellStyle name="SAPBEXstdItemX 2 2 5 2 2" xfId="50784" xr:uid="{00000000-0005-0000-0000-00001FC70000}"/>
    <cellStyle name="SAPBEXstdItemX 2 2 5 3" xfId="50785" xr:uid="{00000000-0005-0000-0000-000020C70000}"/>
    <cellStyle name="SAPBEXstdItemX 2 2 6" xfId="50786" xr:uid="{00000000-0005-0000-0000-000021C70000}"/>
    <cellStyle name="SAPBEXstdItemX 2 2 6 2" xfId="50787" xr:uid="{00000000-0005-0000-0000-000022C70000}"/>
    <cellStyle name="SAPBEXstdItemX 2 2 7" xfId="50788" xr:uid="{00000000-0005-0000-0000-000023C70000}"/>
    <cellStyle name="SAPBEXstdItemX 2 3" xfId="50789" xr:uid="{00000000-0005-0000-0000-000024C70000}"/>
    <cellStyle name="SAPBEXstdItemX 2 3 2" xfId="50790" xr:uid="{00000000-0005-0000-0000-000025C70000}"/>
    <cellStyle name="SAPBEXstdItemX 2 3 2 2" xfId="50791" xr:uid="{00000000-0005-0000-0000-000026C70000}"/>
    <cellStyle name="SAPBEXstdItemX 2 3 2 2 2" xfId="50792" xr:uid="{00000000-0005-0000-0000-000027C70000}"/>
    <cellStyle name="SAPBEXstdItemX 2 3 2 2 2 2" xfId="50793" xr:uid="{00000000-0005-0000-0000-000028C70000}"/>
    <cellStyle name="SAPBEXstdItemX 2 3 2 2 2 2 2" xfId="50794" xr:uid="{00000000-0005-0000-0000-000029C70000}"/>
    <cellStyle name="SAPBEXstdItemX 2 3 2 2 2 3" xfId="50795" xr:uid="{00000000-0005-0000-0000-00002AC70000}"/>
    <cellStyle name="SAPBEXstdItemX 2 3 2 2 3" xfId="50796" xr:uid="{00000000-0005-0000-0000-00002BC70000}"/>
    <cellStyle name="SAPBEXstdItemX 2 3 2 2 3 2" xfId="50797" xr:uid="{00000000-0005-0000-0000-00002CC70000}"/>
    <cellStyle name="SAPBEXstdItemX 2 3 2 2 4" xfId="50798" xr:uid="{00000000-0005-0000-0000-00002DC70000}"/>
    <cellStyle name="SAPBEXstdItemX 2 3 2 3" xfId="50799" xr:uid="{00000000-0005-0000-0000-00002EC70000}"/>
    <cellStyle name="SAPBEXstdItemX 2 3 2 3 2" xfId="50800" xr:uid="{00000000-0005-0000-0000-00002FC70000}"/>
    <cellStyle name="SAPBEXstdItemX 2 3 2 3 2 2" xfId="50801" xr:uid="{00000000-0005-0000-0000-000030C70000}"/>
    <cellStyle name="SAPBEXstdItemX 2 3 2 3 3" xfId="50802" xr:uid="{00000000-0005-0000-0000-000031C70000}"/>
    <cellStyle name="SAPBEXstdItemX 2 3 2 4" xfId="50803" xr:uid="{00000000-0005-0000-0000-000032C70000}"/>
    <cellStyle name="SAPBEXstdItemX 2 3 2 4 2" xfId="50804" xr:uid="{00000000-0005-0000-0000-000033C70000}"/>
    <cellStyle name="SAPBEXstdItemX 2 3 2 4 2 2" xfId="50805" xr:uid="{00000000-0005-0000-0000-000034C70000}"/>
    <cellStyle name="SAPBEXstdItemX 2 3 2 4 3" xfId="50806" xr:uid="{00000000-0005-0000-0000-000035C70000}"/>
    <cellStyle name="SAPBEXstdItemX 2 3 2 5" xfId="50807" xr:uid="{00000000-0005-0000-0000-000036C70000}"/>
    <cellStyle name="SAPBEXstdItemX 2 3 2 5 2" xfId="50808" xr:uid="{00000000-0005-0000-0000-000037C70000}"/>
    <cellStyle name="SAPBEXstdItemX 2 3 2 6" xfId="50809" xr:uid="{00000000-0005-0000-0000-000038C70000}"/>
    <cellStyle name="SAPBEXstdItemX 2 3 3" xfId="50810" xr:uid="{00000000-0005-0000-0000-000039C70000}"/>
    <cellStyle name="SAPBEXstdItemX 2 3 3 2" xfId="50811" xr:uid="{00000000-0005-0000-0000-00003AC70000}"/>
    <cellStyle name="SAPBEXstdItemX 2 3 3 2 2" xfId="50812" xr:uid="{00000000-0005-0000-0000-00003BC70000}"/>
    <cellStyle name="SAPBEXstdItemX 2 3 3 2 2 2" xfId="50813" xr:uid="{00000000-0005-0000-0000-00003CC70000}"/>
    <cellStyle name="SAPBEXstdItemX 2 3 3 2 2 2 2" xfId="50814" xr:uid="{00000000-0005-0000-0000-00003DC70000}"/>
    <cellStyle name="SAPBEXstdItemX 2 3 3 2 2 3" xfId="50815" xr:uid="{00000000-0005-0000-0000-00003EC70000}"/>
    <cellStyle name="SAPBEXstdItemX 2 3 3 2 3" xfId="50816" xr:uid="{00000000-0005-0000-0000-00003FC70000}"/>
    <cellStyle name="SAPBEXstdItemX 2 3 3 2 3 2" xfId="50817" xr:uid="{00000000-0005-0000-0000-000040C70000}"/>
    <cellStyle name="SAPBEXstdItemX 2 3 3 2 4" xfId="50818" xr:uid="{00000000-0005-0000-0000-000041C70000}"/>
    <cellStyle name="SAPBEXstdItemX 2 3 3 3" xfId="50819" xr:uid="{00000000-0005-0000-0000-000042C70000}"/>
    <cellStyle name="SAPBEXstdItemX 2 3 3 3 2" xfId="50820" xr:uid="{00000000-0005-0000-0000-000043C70000}"/>
    <cellStyle name="SAPBEXstdItemX 2 3 3 3 2 2" xfId="50821" xr:uid="{00000000-0005-0000-0000-000044C70000}"/>
    <cellStyle name="SAPBEXstdItemX 2 3 3 3 3" xfId="50822" xr:uid="{00000000-0005-0000-0000-000045C70000}"/>
    <cellStyle name="SAPBEXstdItemX 2 3 3 4" xfId="50823" xr:uid="{00000000-0005-0000-0000-000046C70000}"/>
    <cellStyle name="SAPBEXstdItemX 2 3 3 4 2" xfId="50824" xr:uid="{00000000-0005-0000-0000-000047C70000}"/>
    <cellStyle name="SAPBEXstdItemX 2 3 3 5" xfId="50825" xr:uid="{00000000-0005-0000-0000-000048C70000}"/>
    <cellStyle name="SAPBEXstdItemX 2 3 4" xfId="50826" xr:uid="{00000000-0005-0000-0000-000049C70000}"/>
    <cellStyle name="SAPBEXstdItemX 2 3 4 2" xfId="50827" xr:uid="{00000000-0005-0000-0000-00004AC70000}"/>
    <cellStyle name="SAPBEXstdItemX 2 3 4 2 2" xfId="50828" xr:uid="{00000000-0005-0000-0000-00004BC70000}"/>
    <cellStyle name="SAPBEXstdItemX 2 3 4 3" xfId="50829" xr:uid="{00000000-0005-0000-0000-00004CC70000}"/>
    <cellStyle name="SAPBEXstdItemX 2 3 5" xfId="50830" xr:uid="{00000000-0005-0000-0000-00004DC70000}"/>
    <cellStyle name="SAPBEXstdItemX 2 3 5 2" xfId="50831" xr:uid="{00000000-0005-0000-0000-00004EC70000}"/>
    <cellStyle name="SAPBEXstdItemX 2 3 5 2 2" xfId="50832" xr:uid="{00000000-0005-0000-0000-00004FC70000}"/>
    <cellStyle name="SAPBEXstdItemX 2 3 5 3" xfId="50833" xr:uid="{00000000-0005-0000-0000-000050C70000}"/>
    <cellStyle name="SAPBEXstdItemX 2 3 6" xfId="50834" xr:uid="{00000000-0005-0000-0000-000051C70000}"/>
    <cellStyle name="SAPBEXstdItemX 2 3 6 2" xfId="50835" xr:uid="{00000000-0005-0000-0000-000052C70000}"/>
    <cellStyle name="SAPBEXstdItemX 2 3 6 2 2" xfId="50836" xr:uid="{00000000-0005-0000-0000-000053C70000}"/>
    <cellStyle name="SAPBEXstdItemX 2 3 6 3" xfId="50837" xr:uid="{00000000-0005-0000-0000-000054C70000}"/>
    <cellStyle name="SAPBEXstdItemX 2 3 7" xfId="50838" xr:uid="{00000000-0005-0000-0000-000055C70000}"/>
    <cellStyle name="SAPBEXstdItemX 2 3 7 2" xfId="50839" xr:uid="{00000000-0005-0000-0000-000056C70000}"/>
    <cellStyle name="SAPBEXstdItemX 2 3 8" xfId="50840" xr:uid="{00000000-0005-0000-0000-000057C70000}"/>
    <cellStyle name="SAPBEXstdItemX 2 4" xfId="50841" xr:uid="{00000000-0005-0000-0000-000058C70000}"/>
    <cellStyle name="SAPBEXstdItemX 2 4 2" xfId="50842" xr:uid="{00000000-0005-0000-0000-000059C70000}"/>
    <cellStyle name="SAPBEXstdItemX 2 4 2 2" xfId="50843" xr:uid="{00000000-0005-0000-0000-00005AC70000}"/>
    <cellStyle name="SAPBEXstdItemX 2 4 2 2 2" xfId="50844" xr:uid="{00000000-0005-0000-0000-00005BC70000}"/>
    <cellStyle name="SAPBEXstdItemX 2 4 2 2 2 2" xfId="50845" xr:uid="{00000000-0005-0000-0000-00005CC70000}"/>
    <cellStyle name="SAPBEXstdItemX 2 4 2 2 3" xfId="50846" xr:uid="{00000000-0005-0000-0000-00005DC70000}"/>
    <cellStyle name="SAPBEXstdItemX 2 4 2 3" xfId="50847" xr:uid="{00000000-0005-0000-0000-00005EC70000}"/>
    <cellStyle name="SAPBEXstdItemX 2 4 2 3 2" xfId="50848" xr:uid="{00000000-0005-0000-0000-00005FC70000}"/>
    <cellStyle name="SAPBEXstdItemX 2 4 2 3 2 2" xfId="50849" xr:uid="{00000000-0005-0000-0000-000060C70000}"/>
    <cellStyle name="SAPBEXstdItemX 2 4 2 3 3" xfId="50850" xr:uid="{00000000-0005-0000-0000-000061C70000}"/>
    <cellStyle name="SAPBEXstdItemX 2 4 2 4" xfId="50851" xr:uid="{00000000-0005-0000-0000-000062C70000}"/>
    <cellStyle name="SAPBEXstdItemX 2 4 2 4 2" xfId="50852" xr:uid="{00000000-0005-0000-0000-000063C70000}"/>
    <cellStyle name="SAPBEXstdItemX 2 4 2 5" xfId="50853" xr:uid="{00000000-0005-0000-0000-000064C70000}"/>
    <cellStyle name="SAPBEXstdItemX 2 4 3" xfId="50854" xr:uid="{00000000-0005-0000-0000-000065C70000}"/>
    <cellStyle name="SAPBEXstdItemX 2 4 3 2" xfId="50855" xr:uid="{00000000-0005-0000-0000-000066C70000}"/>
    <cellStyle name="SAPBEXstdItemX 2 4 3 2 2" xfId="50856" xr:uid="{00000000-0005-0000-0000-000067C70000}"/>
    <cellStyle name="SAPBEXstdItemX 2 4 3 2 2 2" xfId="50857" xr:uid="{00000000-0005-0000-0000-000068C70000}"/>
    <cellStyle name="SAPBEXstdItemX 2 4 3 2 3" xfId="50858" xr:uid="{00000000-0005-0000-0000-000069C70000}"/>
    <cellStyle name="SAPBEXstdItemX 2 4 3 3" xfId="50859" xr:uid="{00000000-0005-0000-0000-00006AC70000}"/>
    <cellStyle name="SAPBEXstdItemX 2 4 3 3 2" xfId="50860" xr:uid="{00000000-0005-0000-0000-00006BC70000}"/>
    <cellStyle name="SAPBEXstdItemX 2 4 3 4" xfId="50861" xr:uid="{00000000-0005-0000-0000-00006CC70000}"/>
    <cellStyle name="SAPBEXstdItemX 2 4 4" xfId="50862" xr:uid="{00000000-0005-0000-0000-00006DC70000}"/>
    <cellStyle name="SAPBEXstdItemX 2 4 4 2" xfId="50863" xr:uid="{00000000-0005-0000-0000-00006EC70000}"/>
    <cellStyle name="SAPBEXstdItemX 2 4 4 2 2" xfId="50864" xr:uid="{00000000-0005-0000-0000-00006FC70000}"/>
    <cellStyle name="SAPBEXstdItemX 2 4 4 3" xfId="50865" xr:uid="{00000000-0005-0000-0000-000070C70000}"/>
    <cellStyle name="SAPBEXstdItemX 2 4 5" xfId="50866" xr:uid="{00000000-0005-0000-0000-000071C70000}"/>
    <cellStyle name="SAPBEXstdItemX 2 4 5 2" xfId="50867" xr:uid="{00000000-0005-0000-0000-000072C70000}"/>
    <cellStyle name="SAPBEXstdItemX 2 4 6" xfId="50868" xr:uid="{00000000-0005-0000-0000-000073C70000}"/>
    <cellStyle name="SAPBEXstdItemX 2 5" xfId="50869" xr:uid="{00000000-0005-0000-0000-000074C70000}"/>
    <cellStyle name="SAPBEXstdItemX 2 5 2" xfId="50870" xr:uid="{00000000-0005-0000-0000-000075C70000}"/>
    <cellStyle name="SAPBEXstdItemX 2 5 2 2" xfId="50871" xr:uid="{00000000-0005-0000-0000-000076C70000}"/>
    <cellStyle name="SAPBEXstdItemX 2 5 2 2 2" xfId="50872" xr:uid="{00000000-0005-0000-0000-000077C70000}"/>
    <cellStyle name="SAPBEXstdItemX 2 5 2 2 2 2" xfId="50873" xr:uid="{00000000-0005-0000-0000-000078C70000}"/>
    <cellStyle name="SAPBEXstdItemX 2 5 2 2 3" xfId="50874" xr:uid="{00000000-0005-0000-0000-000079C70000}"/>
    <cellStyle name="SAPBEXstdItemX 2 5 2 3" xfId="50875" xr:uid="{00000000-0005-0000-0000-00007AC70000}"/>
    <cellStyle name="SAPBEXstdItemX 2 5 2 3 2" xfId="50876" xr:uid="{00000000-0005-0000-0000-00007BC70000}"/>
    <cellStyle name="SAPBEXstdItemX 2 5 2 4" xfId="50877" xr:uid="{00000000-0005-0000-0000-00007CC70000}"/>
    <cellStyle name="SAPBEXstdItemX 2 5 3" xfId="50878" xr:uid="{00000000-0005-0000-0000-00007DC70000}"/>
    <cellStyle name="SAPBEXstdItemX 2 5 3 2" xfId="50879" xr:uid="{00000000-0005-0000-0000-00007EC70000}"/>
    <cellStyle name="SAPBEXstdItemX 2 5 3 2 2" xfId="50880" xr:uid="{00000000-0005-0000-0000-00007FC70000}"/>
    <cellStyle name="SAPBEXstdItemX 2 5 3 3" xfId="50881" xr:uid="{00000000-0005-0000-0000-000080C70000}"/>
    <cellStyle name="SAPBEXstdItemX 2 5 4" xfId="50882" xr:uid="{00000000-0005-0000-0000-000081C70000}"/>
    <cellStyle name="SAPBEXstdItemX 2 5 4 2" xfId="50883" xr:uid="{00000000-0005-0000-0000-000082C70000}"/>
    <cellStyle name="SAPBEXstdItemX 2 5 5" xfId="50884" xr:uid="{00000000-0005-0000-0000-000083C70000}"/>
    <cellStyle name="SAPBEXstdItemX 2 6" xfId="50885" xr:uid="{00000000-0005-0000-0000-000084C70000}"/>
    <cellStyle name="SAPBEXstdItemX 2 6 2" xfId="50886" xr:uid="{00000000-0005-0000-0000-000085C70000}"/>
    <cellStyle name="SAPBEXstdItemX 2 6 2 2" xfId="50887" xr:uid="{00000000-0005-0000-0000-000086C70000}"/>
    <cellStyle name="SAPBEXstdItemX 2 6 3" xfId="50888" xr:uid="{00000000-0005-0000-0000-000087C70000}"/>
    <cellStyle name="SAPBEXstdItemX 2 7" xfId="50889" xr:uid="{00000000-0005-0000-0000-000088C70000}"/>
    <cellStyle name="SAPBEXstdItemX 2 7 2" xfId="50890" xr:uid="{00000000-0005-0000-0000-000089C70000}"/>
    <cellStyle name="SAPBEXstdItemX 2 7 2 2" xfId="50891" xr:uid="{00000000-0005-0000-0000-00008AC70000}"/>
    <cellStyle name="SAPBEXstdItemX 2 7 3" xfId="50892" xr:uid="{00000000-0005-0000-0000-00008BC70000}"/>
    <cellStyle name="SAPBEXstdItemX 2 8" xfId="50893" xr:uid="{00000000-0005-0000-0000-00008CC70000}"/>
    <cellStyle name="SAPBEXstdItemX 2 8 2" xfId="50894" xr:uid="{00000000-0005-0000-0000-00008DC70000}"/>
    <cellStyle name="SAPBEXstdItemX 2 8 2 2" xfId="50895" xr:uid="{00000000-0005-0000-0000-00008EC70000}"/>
    <cellStyle name="SAPBEXstdItemX 2 8 3" xfId="50896" xr:uid="{00000000-0005-0000-0000-00008FC70000}"/>
    <cellStyle name="SAPBEXstdItemX 2 9" xfId="50897" xr:uid="{00000000-0005-0000-0000-000090C70000}"/>
    <cellStyle name="SAPBEXstdItemX 2 9 2" xfId="50898" xr:uid="{00000000-0005-0000-0000-000091C70000}"/>
    <cellStyle name="SAPBEXstdItemX 3" xfId="50899" xr:uid="{00000000-0005-0000-0000-000092C70000}"/>
    <cellStyle name="SAPBEXstdItemX 3 2" xfId="50900" xr:uid="{00000000-0005-0000-0000-000093C70000}"/>
    <cellStyle name="SAPBEXstdItemX 3 2 2" xfId="50901" xr:uid="{00000000-0005-0000-0000-000094C70000}"/>
    <cellStyle name="SAPBEXstdItemX 3 2 2 2" xfId="50902" xr:uid="{00000000-0005-0000-0000-000095C70000}"/>
    <cellStyle name="SAPBEXstdItemX 3 2 2 2 2" xfId="50903" xr:uid="{00000000-0005-0000-0000-000096C70000}"/>
    <cellStyle name="SAPBEXstdItemX 3 2 2 2 2 2" xfId="50904" xr:uid="{00000000-0005-0000-0000-000097C70000}"/>
    <cellStyle name="SAPBEXstdItemX 3 2 2 2 3" xfId="50905" xr:uid="{00000000-0005-0000-0000-000098C70000}"/>
    <cellStyle name="SAPBEXstdItemX 3 2 2 3" xfId="50906" xr:uid="{00000000-0005-0000-0000-000099C70000}"/>
    <cellStyle name="SAPBEXstdItemX 3 2 2 3 2" xfId="50907" xr:uid="{00000000-0005-0000-0000-00009AC70000}"/>
    <cellStyle name="SAPBEXstdItemX 3 2 2 4" xfId="50908" xr:uid="{00000000-0005-0000-0000-00009BC70000}"/>
    <cellStyle name="SAPBEXstdItemX 3 2 3" xfId="50909" xr:uid="{00000000-0005-0000-0000-00009CC70000}"/>
    <cellStyle name="SAPBEXstdItemX 3 2 3 2" xfId="50910" xr:uid="{00000000-0005-0000-0000-00009DC70000}"/>
    <cellStyle name="SAPBEXstdItemX 3 2 3 2 2" xfId="50911" xr:uid="{00000000-0005-0000-0000-00009EC70000}"/>
    <cellStyle name="SAPBEXstdItemX 3 2 3 3" xfId="50912" xr:uid="{00000000-0005-0000-0000-00009FC70000}"/>
    <cellStyle name="SAPBEXstdItemX 3 2 4" xfId="50913" xr:uid="{00000000-0005-0000-0000-0000A0C70000}"/>
    <cellStyle name="SAPBEXstdItemX 3 2 4 2" xfId="50914" xr:uid="{00000000-0005-0000-0000-0000A1C70000}"/>
    <cellStyle name="SAPBEXstdItemX 3 2 4 2 2" xfId="50915" xr:uid="{00000000-0005-0000-0000-0000A2C70000}"/>
    <cellStyle name="SAPBEXstdItemX 3 2 4 3" xfId="50916" xr:uid="{00000000-0005-0000-0000-0000A3C70000}"/>
    <cellStyle name="SAPBEXstdItemX 3 2 5" xfId="50917" xr:uid="{00000000-0005-0000-0000-0000A4C70000}"/>
    <cellStyle name="SAPBEXstdItemX 3 2 5 2" xfId="50918" xr:uid="{00000000-0005-0000-0000-0000A5C70000}"/>
    <cellStyle name="SAPBEXstdItemX 3 2 5 2 2" xfId="50919" xr:uid="{00000000-0005-0000-0000-0000A6C70000}"/>
    <cellStyle name="SAPBEXstdItemX 3 2 5 3" xfId="50920" xr:uid="{00000000-0005-0000-0000-0000A7C70000}"/>
    <cellStyle name="SAPBEXstdItemX 3 2 6" xfId="50921" xr:uid="{00000000-0005-0000-0000-0000A8C70000}"/>
    <cellStyle name="SAPBEXstdItemX 3 2 6 2" xfId="50922" xr:uid="{00000000-0005-0000-0000-0000A9C70000}"/>
    <cellStyle name="SAPBEXstdItemX 3 2 7" xfId="50923" xr:uid="{00000000-0005-0000-0000-0000AAC70000}"/>
    <cellStyle name="SAPBEXstdItemX 3 3" xfId="50924" xr:uid="{00000000-0005-0000-0000-0000ABC70000}"/>
    <cellStyle name="SAPBEXstdItemX 3 3 2" xfId="50925" xr:uid="{00000000-0005-0000-0000-0000ACC70000}"/>
    <cellStyle name="SAPBEXstdItemX 3 3 2 2" xfId="50926" xr:uid="{00000000-0005-0000-0000-0000ADC70000}"/>
    <cellStyle name="SAPBEXstdItemX 3 3 2 2 2" xfId="50927" xr:uid="{00000000-0005-0000-0000-0000AEC70000}"/>
    <cellStyle name="SAPBEXstdItemX 3 3 2 2 2 2" xfId="50928" xr:uid="{00000000-0005-0000-0000-0000AFC70000}"/>
    <cellStyle name="SAPBEXstdItemX 3 3 2 2 3" xfId="50929" xr:uid="{00000000-0005-0000-0000-0000B0C70000}"/>
    <cellStyle name="SAPBEXstdItemX 3 3 2 3" xfId="50930" xr:uid="{00000000-0005-0000-0000-0000B1C70000}"/>
    <cellStyle name="SAPBEXstdItemX 3 3 2 3 2" xfId="50931" xr:uid="{00000000-0005-0000-0000-0000B2C70000}"/>
    <cellStyle name="SAPBEXstdItemX 3 3 2 4" xfId="50932" xr:uid="{00000000-0005-0000-0000-0000B3C70000}"/>
    <cellStyle name="SAPBEXstdItemX 3 3 3" xfId="50933" xr:uid="{00000000-0005-0000-0000-0000B4C70000}"/>
    <cellStyle name="SAPBEXstdItemX 3 3 3 2" xfId="50934" xr:uid="{00000000-0005-0000-0000-0000B5C70000}"/>
    <cellStyle name="SAPBEXstdItemX 3 3 3 2 2" xfId="50935" xr:uid="{00000000-0005-0000-0000-0000B6C70000}"/>
    <cellStyle name="SAPBEXstdItemX 3 3 3 3" xfId="50936" xr:uid="{00000000-0005-0000-0000-0000B7C70000}"/>
    <cellStyle name="SAPBEXstdItemX 3 3 4" xfId="50937" xr:uid="{00000000-0005-0000-0000-0000B8C70000}"/>
    <cellStyle name="SAPBEXstdItemX 3 3 4 2" xfId="50938" xr:uid="{00000000-0005-0000-0000-0000B9C70000}"/>
    <cellStyle name="SAPBEXstdItemX 3 3 5" xfId="50939" xr:uid="{00000000-0005-0000-0000-0000BAC70000}"/>
    <cellStyle name="SAPBEXstdItemX 3 4" xfId="50940" xr:uid="{00000000-0005-0000-0000-0000BBC70000}"/>
    <cellStyle name="SAPBEXstdItemX 3 4 2" xfId="50941" xr:uid="{00000000-0005-0000-0000-0000BCC70000}"/>
    <cellStyle name="SAPBEXstdItemX 3 4 2 2" xfId="50942" xr:uid="{00000000-0005-0000-0000-0000BDC70000}"/>
    <cellStyle name="SAPBEXstdItemX 3 4 3" xfId="50943" xr:uid="{00000000-0005-0000-0000-0000BEC70000}"/>
    <cellStyle name="SAPBEXstdItemX 3 5" xfId="50944" xr:uid="{00000000-0005-0000-0000-0000BFC70000}"/>
    <cellStyle name="SAPBEXstdItemX 3 5 2" xfId="50945" xr:uid="{00000000-0005-0000-0000-0000C0C70000}"/>
    <cellStyle name="SAPBEXstdItemX 3 5 2 2" xfId="50946" xr:uid="{00000000-0005-0000-0000-0000C1C70000}"/>
    <cellStyle name="SAPBEXstdItemX 3 5 3" xfId="50947" xr:uid="{00000000-0005-0000-0000-0000C2C70000}"/>
    <cellStyle name="SAPBEXstdItemX 3 6" xfId="50948" xr:uid="{00000000-0005-0000-0000-0000C3C70000}"/>
    <cellStyle name="SAPBEXstdItemX 3 6 2" xfId="50949" xr:uid="{00000000-0005-0000-0000-0000C4C70000}"/>
    <cellStyle name="SAPBEXstdItemX 3 6 2 2" xfId="50950" xr:uid="{00000000-0005-0000-0000-0000C5C70000}"/>
    <cellStyle name="SAPBEXstdItemX 3 6 3" xfId="50951" xr:uid="{00000000-0005-0000-0000-0000C6C70000}"/>
    <cellStyle name="SAPBEXstdItemX 3 7" xfId="50952" xr:uid="{00000000-0005-0000-0000-0000C7C70000}"/>
    <cellStyle name="SAPBEXstdItemX 3 7 2" xfId="50953" xr:uid="{00000000-0005-0000-0000-0000C8C70000}"/>
    <cellStyle name="SAPBEXstdItemX 3 8" xfId="50954" xr:uid="{00000000-0005-0000-0000-0000C9C70000}"/>
    <cellStyle name="SAPBEXstdItemX 4" xfId="50955" xr:uid="{00000000-0005-0000-0000-0000CAC70000}"/>
    <cellStyle name="SAPBEXstdItemX 4 2" xfId="50956" xr:uid="{00000000-0005-0000-0000-0000CBC70000}"/>
    <cellStyle name="SAPBEXstdItemX 4 2 2" xfId="50957" xr:uid="{00000000-0005-0000-0000-0000CCC70000}"/>
    <cellStyle name="SAPBEXstdItemX 4 2 2 2" xfId="50958" xr:uid="{00000000-0005-0000-0000-0000CDC70000}"/>
    <cellStyle name="SAPBEXstdItemX 4 2 2 2 2" xfId="50959" xr:uid="{00000000-0005-0000-0000-0000CEC70000}"/>
    <cellStyle name="SAPBEXstdItemX 4 2 2 2 2 2" xfId="50960" xr:uid="{00000000-0005-0000-0000-0000CFC70000}"/>
    <cellStyle name="SAPBEXstdItemX 4 2 2 2 3" xfId="50961" xr:uid="{00000000-0005-0000-0000-0000D0C70000}"/>
    <cellStyle name="SAPBEXstdItemX 4 2 2 3" xfId="50962" xr:uid="{00000000-0005-0000-0000-0000D1C70000}"/>
    <cellStyle name="SAPBEXstdItemX 4 2 2 3 2" xfId="50963" xr:uid="{00000000-0005-0000-0000-0000D2C70000}"/>
    <cellStyle name="SAPBEXstdItemX 4 2 2 4" xfId="50964" xr:uid="{00000000-0005-0000-0000-0000D3C70000}"/>
    <cellStyle name="SAPBEXstdItemX 4 2 3" xfId="50965" xr:uid="{00000000-0005-0000-0000-0000D4C70000}"/>
    <cellStyle name="SAPBEXstdItemX 4 2 3 2" xfId="50966" xr:uid="{00000000-0005-0000-0000-0000D5C70000}"/>
    <cellStyle name="SAPBEXstdItemX 4 2 3 2 2" xfId="50967" xr:uid="{00000000-0005-0000-0000-0000D6C70000}"/>
    <cellStyle name="SAPBEXstdItemX 4 2 3 3" xfId="50968" xr:uid="{00000000-0005-0000-0000-0000D7C70000}"/>
    <cellStyle name="SAPBEXstdItemX 4 2 4" xfId="50969" xr:uid="{00000000-0005-0000-0000-0000D8C70000}"/>
    <cellStyle name="SAPBEXstdItemX 4 2 4 2" xfId="50970" xr:uid="{00000000-0005-0000-0000-0000D9C70000}"/>
    <cellStyle name="SAPBEXstdItemX 4 2 4 2 2" xfId="50971" xr:uid="{00000000-0005-0000-0000-0000DAC70000}"/>
    <cellStyle name="SAPBEXstdItemX 4 2 4 3" xfId="50972" xr:uid="{00000000-0005-0000-0000-0000DBC70000}"/>
    <cellStyle name="SAPBEXstdItemX 4 2 5" xfId="50973" xr:uid="{00000000-0005-0000-0000-0000DCC70000}"/>
    <cellStyle name="SAPBEXstdItemX 4 2 5 2" xfId="50974" xr:uid="{00000000-0005-0000-0000-0000DDC70000}"/>
    <cellStyle name="SAPBEXstdItemX 4 2 5 2 2" xfId="50975" xr:uid="{00000000-0005-0000-0000-0000DEC70000}"/>
    <cellStyle name="SAPBEXstdItemX 4 2 5 3" xfId="50976" xr:uid="{00000000-0005-0000-0000-0000DFC70000}"/>
    <cellStyle name="SAPBEXstdItemX 4 2 6" xfId="50977" xr:uid="{00000000-0005-0000-0000-0000E0C70000}"/>
    <cellStyle name="SAPBEXstdItemX 4 2 6 2" xfId="50978" xr:uid="{00000000-0005-0000-0000-0000E1C70000}"/>
    <cellStyle name="SAPBEXstdItemX 4 2 7" xfId="50979" xr:uid="{00000000-0005-0000-0000-0000E2C70000}"/>
    <cellStyle name="SAPBEXstdItemX 4 3" xfId="50980" xr:uid="{00000000-0005-0000-0000-0000E3C70000}"/>
    <cellStyle name="SAPBEXstdItemX 4 3 2" xfId="50981" xr:uid="{00000000-0005-0000-0000-0000E4C70000}"/>
    <cellStyle name="SAPBEXstdItemX 4 3 2 2" xfId="50982" xr:uid="{00000000-0005-0000-0000-0000E5C70000}"/>
    <cellStyle name="SAPBEXstdItemX 4 3 2 2 2" xfId="50983" xr:uid="{00000000-0005-0000-0000-0000E6C70000}"/>
    <cellStyle name="SAPBEXstdItemX 4 3 2 2 2 2" xfId="50984" xr:uid="{00000000-0005-0000-0000-0000E7C70000}"/>
    <cellStyle name="SAPBEXstdItemX 4 3 2 2 2 2 2" xfId="50985" xr:uid="{00000000-0005-0000-0000-0000E8C70000}"/>
    <cellStyle name="SAPBEXstdItemX 4 3 2 2 2 3" xfId="50986" xr:uid="{00000000-0005-0000-0000-0000E9C70000}"/>
    <cellStyle name="SAPBEXstdItemX 4 3 2 2 3" xfId="50987" xr:uid="{00000000-0005-0000-0000-0000EAC70000}"/>
    <cellStyle name="SAPBEXstdItemX 4 3 2 2 3 2" xfId="50988" xr:uid="{00000000-0005-0000-0000-0000EBC70000}"/>
    <cellStyle name="SAPBEXstdItemX 4 3 2 2 4" xfId="50989" xr:uid="{00000000-0005-0000-0000-0000ECC70000}"/>
    <cellStyle name="SAPBEXstdItemX 4 3 2 3" xfId="50990" xr:uid="{00000000-0005-0000-0000-0000EDC70000}"/>
    <cellStyle name="SAPBEXstdItemX 4 3 2 3 2" xfId="50991" xr:uid="{00000000-0005-0000-0000-0000EEC70000}"/>
    <cellStyle name="SAPBEXstdItemX 4 3 2 3 2 2" xfId="50992" xr:uid="{00000000-0005-0000-0000-0000EFC70000}"/>
    <cellStyle name="SAPBEXstdItemX 4 3 2 3 3" xfId="50993" xr:uid="{00000000-0005-0000-0000-0000F0C70000}"/>
    <cellStyle name="SAPBEXstdItemX 4 3 2 4" xfId="50994" xr:uid="{00000000-0005-0000-0000-0000F1C70000}"/>
    <cellStyle name="SAPBEXstdItemX 4 3 2 4 2" xfId="50995" xr:uid="{00000000-0005-0000-0000-0000F2C70000}"/>
    <cellStyle name="SAPBEXstdItemX 4 3 2 4 2 2" xfId="50996" xr:uid="{00000000-0005-0000-0000-0000F3C70000}"/>
    <cellStyle name="SAPBEXstdItemX 4 3 2 4 3" xfId="50997" xr:uid="{00000000-0005-0000-0000-0000F4C70000}"/>
    <cellStyle name="SAPBEXstdItemX 4 3 2 5" xfId="50998" xr:uid="{00000000-0005-0000-0000-0000F5C70000}"/>
    <cellStyle name="SAPBEXstdItemX 4 3 2 5 2" xfId="50999" xr:uid="{00000000-0005-0000-0000-0000F6C70000}"/>
    <cellStyle name="SAPBEXstdItemX 4 3 2 6" xfId="51000" xr:uid="{00000000-0005-0000-0000-0000F7C70000}"/>
    <cellStyle name="SAPBEXstdItemX 4 3 3" xfId="51001" xr:uid="{00000000-0005-0000-0000-0000F8C70000}"/>
    <cellStyle name="SAPBEXstdItemX 4 3 3 2" xfId="51002" xr:uid="{00000000-0005-0000-0000-0000F9C70000}"/>
    <cellStyle name="SAPBEXstdItemX 4 3 3 2 2" xfId="51003" xr:uid="{00000000-0005-0000-0000-0000FAC70000}"/>
    <cellStyle name="SAPBEXstdItemX 4 3 3 2 2 2" xfId="51004" xr:uid="{00000000-0005-0000-0000-0000FBC70000}"/>
    <cellStyle name="SAPBEXstdItemX 4 3 3 2 2 2 2" xfId="51005" xr:uid="{00000000-0005-0000-0000-0000FCC70000}"/>
    <cellStyle name="SAPBEXstdItemX 4 3 3 2 2 3" xfId="51006" xr:uid="{00000000-0005-0000-0000-0000FDC70000}"/>
    <cellStyle name="SAPBEXstdItemX 4 3 3 2 3" xfId="51007" xr:uid="{00000000-0005-0000-0000-0000FEC70000}"/>
    <cellStyle name="SAPBEXstdItemX 4 3 3 2 3 2" xfId="51008" xr:uid="{00000000-0005-0000-0000-0000FFC70000}"/>
    <cellStyle name="SAPBEXstdItemX 4 3 3 2 4" xfId="51009" xr:uid="{00000000-0005-0000-0000-000000C80000}"/>
    <cellStyle name="SAPBEXstdItemX 4 3 3 3" xfId="51010" xr:uid="{00000000-0005-0000-0000-000001C80000}"/>
    <cellStyle name="SAPBEXstdItemX 4 3 3 3 2" xfId="51011" xr:uid="{00000000-0005-0000-0000-000002C80000}"/>
    <cellStyle name="SAPBEXstdItemX 4 3 3 3 2 2" xfId="51012" xr:uid="{00000000-0005-0000-0000-000003C80000}"/>
    <cellStyle name="SAPBEXstdItemX 4 3 3 3 3" xfId="51013" xr:uid="{00000000-0005-0000-0000-000004C80000}"/>
    <cellStyle name="SAPBEXstdItemX 4 3 3 4" xfId="51014" xr:uid="{00000000-0005-0000-0000-000005C80000}"/>
    <cellStyle name="SAPBEXstdItemX 4 3 3 4 2" xfId="51015" xr:uid="{00000000-0005-0000-0000-000006C80000}"/>
    <cellStyle name="SAPBEXstdItemX 4 3 3 5" xfId="51016" xr:uid="{00000000-0005-0000-0000-000007C80000}"/>
    <cellStyle name="SAPBEXstdItemX 4 3 4" xfId="51017" xr:uid="{00000000-0005-0000-0000-000008C80000}"/>
    <cellStyle name="SAPBEXstdItemX 4 3 4 2" xfId="51018" xr:uid="{00000000-0005-0000-0000-000009C80000}"/>
    <cellStyle name="SAPBEXstdItemX 4 3 4 2 2" xfId="51019" xr:uid="{00000000-0005-0000-0000-00000AC80000}"/>
    <cellStyle name="SAPBEXstdItemX 4 3 4 3" xfId="51020" xr:uid="{00000000-0005-0000-0000-00000BC80000}"/>
    <cellStyle name="SAPBEXstdItemX 4 3 5" xfId="51021" xr:uid="{00000000-0005-0000-0000-00000CC80000}"/>
    <cellStyle name="SAPBEXstdItemX 4 3 5 2" xfId="51022" xr:uid="{00000000-0005-0000-0000-00000DC80000}"/>
    <cellStyle name="SAPBEXstdItemX 4 3 5 2 2" xfId="51023" xr:uid="{00000000-0005-0000-0000-00000EC80000}"/>
    <cellStyle name="SAPBEXstdItemX 4 3 5 3" xfId="51024" xr:uid="{00000000-0005-0000-0000-00000FC80000}"/>
    <cellStyle name="SAPBEXstdItemX 4 3 6" xfId="51025" xr:uid="{00000000-0005-0000-0000-000010C80000}"/>
    <cellStyle name="SAPBEXstdItemX 4 3 6 2" xfId="51026" xr:uid="{00000000-0005-0000-0000-000011C80000}"/>
    <cellStyle name="SAPBEXstdItemX 4 3 6 2 2" xfId="51027" xr:uid="{00000000-0005-0000-0000-000012C80000}"/>
    <cellStyle name="SAPBEXstdItemX 4 3 6 3" xfId="51028" xr:uid="{00000000-0005-0000-0000-000013C80000}"/>
    <cellStyle name="SAPBEXstdItemX 4 3 7" xfId="51029" xr:uid="{00000000-0005-0000-0000-000014C80000}"/>
    <cellStyle name="SAPBEXstdItemX 4 3 7 2" xfId="51030" xr:uid="{00000000-0005-0000-0000-000015C80000}"/>
    <cellStyle name="SAPBEXstdItemX 4 3 8" xfId="51031" xr:uid="{00000000-0005-0000-0000-000016C80000}"/>
    <cellStyle name="SAPBEXstdItemX 4 4" xfId="51032" xr:uid="{00000000-0005-0000-0000-000017C80000}"/>
    <cellStyle name="SAPBEXstdItemX 4 4 2" xfId="51033" xr:uid="{00000000-0005-0000-0000-000018C80000}"/>
    <cellStyle name="SAPBEXstdItemX 4 4 2 2" xfId="51034" xr:uid="{00000000-0005-0000-0000-000019C80000}"/>
    <cellStyle name="SAPBEXstdItemX 4 4 2 2 2" xfId="51035" xr:uid="{00000000-0005-0000-0000-00001AC80000}"/>
    <cellStyle name="SAPBEXstdItemX 4 4 2 2 2 2" xfId="51036" xr:uid="{00000000-0005-0000-0000-00001BC80000}"/>
    <cellStyle name="SAPBEXstdItemX 4 4 2 2 3" xfId="51037" xr:uid="{00000000-0005-0000-0000-00001CC80000}"/>
    <cellStyle name="SAPBEXstdItemX 4 4 2 3" xfId="51038" xr:uid="{00000000-0005-0000-0000-00001DC80000}"/>
    <cellStyle name="SAPBEXstdItemX 4 4 2 3 2" xfId="51039" xr:uid="{00000000-0005-0000-0000-00001EC80000}"/>
    <cellStyle name="SAPBEXstdItemX 4 4 2 4" xfId="51040" xr:uid="{00000000-0005-0000-0000-00001FC80000}"/>
    <cellStyle name="SAPBEXstdItemX 4 4 3" xfId="51041" xr:uid="{00000000-0005-0000-0000-000020C80000}"/>
    <cellStyle name="SAPBEXstdItemX 4 4 3 2" xfId="51042" xr:uid="{00000000-0005-0000-0000-000021C80000}"/>
    <cellStyle name="SAPBEXstdItemX 4 4 3 2 2" xfId="51043" xr:uid="{00000000-0005-0000-0000-000022C80000}"/>
    <cellStyle name="SAPBEXstdItemX 4 4 3 3" xfId="51044" xr:uid="{00000000-0005-0000-0000-000023C80000}"/>
    <cellStyle name="SAPBEXstdItemX 4 4 4" xfId="51045" xr:uid="{00000000-0005-0000-0000-000024C80000}"/>
    <cellStyle name="SAPBEXstdItemX 4 4 4 2" xfId="51046" xr:uid="{00000000-0005-0000-0000-000025C80000}"/>
    <cellStyle name="SAPBEXstdItemX 4 4 5" xfId="51047" xr:uid="{00000000-0005-0000-0000-000026C80000}"/>
    <cellStyle name="SAPBEXstdItemX 4 5" xfId="51048" xr:uid="{00000000-0005-0000-0000-000027C80000}"/>
    <cellStyle name="SAPBEXstdItemX 4 5 2" xfId="51049" xr:uid="{00000000-0005-0000-0000-000028C80000}"/>
    <cellStyle name="SAPBEXstdItemX 4 5 2 2" xfId="51050" xr:uid="{00000000-0005-0000-0000-000029C80000}"/>
    <cellStyle name="SAPBEXstdItemX 4 5 3" xfId="51051" xr:uid="{00000000-0005-0000-0000-00002AC80000}"/>
    <cellStyle name="SAPBEXstdItemX 4 6" xfId="51052" xr:uid="{00000000-0005-0000-0000-00002BC80000}"/>
    <cellStyle name="SAPBEXstdItemX 4 6 2" xfId="51053" xr:uid="{00000000-0005-0000-0000-00002CC80000}"/>
    <cellStyle name="SAPBEXstdItemX 4 6 2 2" xfId="51054" xr:uid="{00000000-0005-0000-0000-00002DC80000}"/>
    <cellStyle name="SAPBEXstdItemX 4 6 3" xfId="51055" xr:uid="{00000000-0005-0000-0000-00002EC80000}"/>
    <cellStyle name="SAPBEXstdItemX 4 7" xfId="51056" xr:uid="{00000000-0005-0000-0000-00002FC80000}"/>
    <cellStyle name="SAPBEXstdItemX 4 7 2" xfId="51057" xr:uid="{00000000-0005-0000-0000-000030C80000}"/>
    <cellStyle name="SAPBEXstdItemX 4 7 2 2" xfId="51058" xr:uid="{00000000-0005-0000-0000-000031C80000}"/>
    <cellStyle name="SAPBEXstdItemX 4 7 3" xfId="51059" xr:uid="{00000000-0005-0000-0000-000032C80000}"/>
    <cellStyle name="SAPBEXstdItemX 4 8" xfId="51060" xr:uid="{00000000-0005-0000-0000-000033C80000}"/>
    <cellStyle name="SAPBEXstdItemX 4 8 2" xfId="51061" xr:uid="{00000000-0005-0000-0000-000034C80000}"/>
    <cellStyle name="SAPBEXstdItemX 4 9" xfId="51062" xr:uid="{00000000-0005-0000-0000-000035C80000}"/>
    <cellStyle name="SAPBEXstdItemX 5" xfId="51063" xr:uid="{00000000-0005-0000-0000-000036C80000}"/>
    <cellStyle name="SAPBEXstdItemX 5 2" xfId="51064" xr:uid="{00000000-0005-0000-0000-000037C80000}"/>
    <cellStyle name="SAPBEXstdItemX 5 2 2" xfId="51065" xr:uid="{00000000-0005-0000-0000-000038C80000}"/>
    <cellStyle name="SAPBEXstdItemX 5 2 2 2" xfId="51066" xr:uid="{00000000-0005-0000-0000-000039C80000}"/>
    <cellStyle name="SAPBEXstdItemX 5 2 2 2 2" xfId="51067" xr:uid="{00000000-0005-0000-0000-00003AC80000}"/>
    <cellStyle name="SAPBEXstdItemX 5 2 2 3" xfId="51068" xr:uid="{00000000-0005-0000-0000-00003BC80000}"/>
    <cellStyle name="SAPBEXstdItemX 5 2 3" xfId="51069" xr:uid="{00000000-0005-0000-0000-00003CC80000}"/>
    <cellStyle name="SAPBEXstdItemX 5 2 3 2" xfId="51070" xr:uid="{00000000-0005-0000-0000-00003DC80000}"/>
    <cellStyle name="SAPBEXstdItemX 5 2 4" xfId="51071" xr:uid="{00000000-0005-0000-0000-00003EC80000}"/>
    <cellStyle name="SAPBEXstdItemX 5 3" xfId="51072" xr:uid="{00000000-0005-0000-0000-00003FC80000}"/>
    <cellStyle name="SAPBEXstdItemX 5 3 2" xfId="51073" xr:uid="{00000000-0005-0000-0000-000040C80000}"/>
    <cellStyle name="SAPBEXstdItemX 5 3 2 2" xfId="51074" xr:uid="{00000000-0005-0000-0000-000041C80000}"/>
    <cellStyle name="SAPBEXstdItemX 5 3 3" xfId="51075" xr:uid="{00000000-0005-0000-0000-000042C80000}"/>
    <cellStyle name="SAPBEXstdItemX 5 4" xfId="51076" xr:uid="{00000000-0005-0000-0000-000043C80000}"/>
    <cellStyle name="SAPBEXstdItemX 5 4 2" xfId="51077" xr:uid="{00000000-0005-0000-0000-000044C80000}"/>
    <cellStyle name="SAPBEXstdItemX 5 4 2 2" xfId="51078" xr:uid="{00000000-0005-0000-0000-000045C80000}"/>
    <cellStyle name="SAPBEXstdItemX 5 4 3" xfId="51079" xr:uid="{00000000-0005-0000-0000-000046C80000}"/>
    <cellStyle name="SAPBEXstdItemX 5 5" xfId="51080" xr:uid="{00000000-0005-0000-0000-000047C80000}"/>
    <cellStyle name="SAPBEXstdItemX 5 5 2" xfId="51081" xr:uid="{00000000-0005-0000-0000-000048C80000}"/>
    <cellStyle name="SAPBEXstdItemX 5 5 2 2" xfId="51082" xr:uid="{00000000-0005-0000-0000-000049C80000}"/>
    <cellStyle name="SAPBEXstdItemX 5 5 3" xfId="51083" xr:uid="{00000000-0005-0000-0000-00004AC80000}"/>
    <cellStyle name="SAPBEXstdItemX 5 6" xfId="51084" xr:uid="{00000000-0005-0000-0000-00004BC80000}"/>
    <cellStyle name="SAPBEXstdItemX 5 6 2" xfId="51085" xr:uid="{00000000-0005-0000-0000-00004CC80000}"/>
    <cellStyle name="SAPBEXstdItemX 5 7" xfId="51086" xr:uid="{00000000-0005-0000-0000-00004DC80000}"/>
    <cellStyle name="SAPBEXstdItemX 6" xfId="51087" xr:uid="{00000000-0005-0000-0000-00004EC80000}"/>
    <cellStyle name="SAPBEXstdItemX 6 2" xfId="51088" xr:uid="{00000000-0005-0000-0000-00004FC80000}"/>
    <cellStyle name="SAPBEXstdItemX 6 2 2" xfId="51089" xr:uid="{00000000-0005-0000-0000-000050C80000}"/>
    <cellStyle name="SAPBEXstdItemX 6 3" xfId="51090" xr:uid="{00000000-0005-0000-0000-000051C80000}"/>
    <cellStyle name="SAPBEXstdItemX 6 3 2" xfId="51091" xr:uid="{00000000-0005-0000-0000-000052C80000}"/>
    <cellStyle name="SAPBEXstdItemX 6 3 2 2" xfId="51092" xr:uid="{00000000-0005-0000-0000-000053C80000}"/>
    <cellStyle name="SAPBEXstdItemX 6 3 3" xfId="51093" xr:uid="{00000000-0005-0000-0000-000054C80000}"/>
    <cellStyle name="SAPBEXstdItemX 6 4" xfId="51094" xr:uid="{00000000-0005-0000-0000-000055C80000}"/>
    <cellStyle name="SAPBEXstdItemX 6 4 2" xfId="51095" xr:uid="{00000000-0005-0000-0000-000056C80000}"/>
    <cellStyle name="SAPBEXstdItemX 6 4 2 2" xfId="51096" xr:uid="{00000000-0005-0000-0000-000057C80000}"/>
    <cellStyle name="SAPBEXstdItemX 6 4 3" xfId="51097" xr:uid="{00000000-0005-0000-0000-000058C80000}"/>
    <cellStyle name="SAPBEXstdItemX 6 5" xfId="51098" xr:uid="{00000000-0005-0000-0000-000059C80000}"/>
    <cellStyle name="SAPBEXstdItemX 7" xfId="51099" xr:uid="{00000000-0005-0000-0000-00005AC80000}"/>
    <cellStyle name="SAPBEXstdItemX 7 2" xfId="51100" xr:uid="{00000000-0005-0000-0000-00005BC80000}"/>
    <cellStyle name="SAPBEXstdItemX 7 2 2" xfId="51101" xr:uid="{00000000-0005-0000-0000-00005CC80000}"/>
    <cellStyle name="SAPBEXstdItemX 7 2 2 2" xfId="51102" xr:uid="{00000000-0005-0000-0000-00005DC80000}"/>
    <cellStyle name="SAPBEXstdItemX 7 2 3" xfId="51103" xr:uid="{00000000-0005-0000-0000-00005EC80000}"/>
    <cellStyle name="SAPBEXstdItemX 7 2 3 2" xfId="51104" xr:uid="{00000000-0005-0000-0000-00005FC80000}"/>
    <cellStyle name="SAPBEXstdItemX 7 2 3 2 2" xfId="51105" xr:uid="{00000000-0005-0000-0000-000060C80000}"/>
    <cellStyle name="SAPBEXstdItemX 7 2 3 3" xfId="51106" xr:uid="{00000000-0005-0000-0000-000061C80000}"/>
    <cellStyle name="SAPBEXstdItemX 7 2 4" xfId="51107" xr:uid="{00000000-0005-0000-0000-000062C80000}"/>
    <cellStyle name="SAPBEXstdItemX 7 3" xfId="51108" xr:uid="{00000000-0005-0000-0000-000063C80000}"/>
    <cellStyle name="SAPBEXstdItemX 7 3 2" xfId="51109" xr:uid="{00000000-0005-0000-0000-000064C80000}"/>
    <cellStyle name="SAPBEXstdItemX 7 3 2 2" xfId="51110" xr:uid="{00000000-0005-0000-0000-000065C80000}"/>
    <cellStyle name="SAPBEXstdItemX 7 3 3" xfId="51111" xr:uid="{00000000-0005-0000-0000-000066C80000}"/>
    <cellStyle name="SAPBEXstdItemX 7 4" xfId="51112" xr:uid="{00000000-0005-0000-0000-000067C80000}"/>
    <cellStyle name="SAPBEXstdItemX 7 4 2" xfId="51113" xr:uid="{00000000-0005-0000-0000-000068C80000}"/>
    <cellStyle name="SAPBEXstdItemX 7 4 2 2" xfId="51114" xr:uid="{00000000-0005-0000-0000-000069C80000}"/>
    <cellStyle name="SAPBEXstdItemX 7 4 3" xfId="51115" xr:uid="{00000000-0005-0000-0000-00006AC80000}"/>
    <cellStyle name="SAPBEXstdItemX 7 5" xfId="51116" xr:uid="{00000000-0005-0000-0000-00006BC80000}"/>
    <cellStyle name="SAPBEXstdItemX 7 5 2" xfId="51117" xr:uid="{00000000-0005-0000-0000-00006CC80000}"/>
    <cellStyle name="SAPBEXstdItemX 7 5 2 2" xfId="51118" xr:uid="{00000000-0005-0000-0000-00006DC80000}"/>
    <cellStyle name="SAPBEXstdItemX 7 5 3" xfId="51119" xr:uid="{00000000-0005-0000-0000-00006EC80000}"/>
    <cellStyle name="SAPBEXstdItemX 7 6" xfId="51120" xr:uid="{00000000-0005-0000-0000-00006FC80000}"/>
    <cellStyle name="SAPBEXstdItemX 8" xfId="51121" xr:uid="{00000000-0005-0000-0000-000070C80000}"/>
    <cellStyle name="SAPBEXstdItemX 8 2" xfId="51122" xr:uid="{00000000-0005-0000-0000-000071C80000}"/>
    <cellStyle name="SAPBEXstdItemX 8 2 2" xfId="51123" xr:uid="{00000000-0005-0000-0000-000072C80000}"/>
    <cellStyle name="SAPBEXstdItemX 8 3" xfId="51124" xr:uid="{00000000-0005-0000-0000-000073C80000}"/>
    <cellStyle name="SAPBEXstdItemX 9" xfId="51125" xr:uid="{00000000-0005-0000-0000-000074C80000}"/>
    <cellStyle name="SAPBEXstdItemX 9 2" xfId="51126" xr:uid="{00000000-0005-0000-0000-000075C80000}"/>
    <cellStyle name="SAPBEXstdItemX 9 2 2" xfId="51127" xr:uid="{00000000-0005-0000-0000-000076C80000}"/>
    <cellStyle name="SAPBEXstdItemX 9 3" xfId="51128" xr:uid="{00000000-0005-0000-0000-000077C80000}"/>
    <cellStyle name="SAPBEXtitle" xfId="77" xr:uid="{00000000-0005-0000-0000-000078C80000}"/>
    <cellStyle name="SAPBEXtitle 10" xfId="51129" xr:uid="{00000000-0005-0000-0000-000079C80000}"/>
    <cellStyle name="SAPBEXtitle 10 2" xfId="51130" xr:uid="{00000000-0005-0000-0000-00007AC80000}"/>
    <cellStyle name="SAPBEXtitle 11" xfId="51131" xr:uid="{00000000-0005-0000-0000-00007BC80000}"/>
    <cellStyle name="SAPBEXtitle 11 2" xfId="51132" xr:uid="{00000000-0005-0000-0000-00007CC80000}"/>
    <cellStyle name="SAPBEXtitle 12" xfId="51133" xr:uid="{00000000-0005-0000-0000-00007DC80000}"/>
    <cellStyle name="SAPBEXtitle 2" xfId="51134" xr:uid="{00000000-0005-0000-0000-00007EC80000}"/>
    <cellStyle name="SAPBEXtitle 2 2" xfId="51135" xr:uid="{00000000-0005-0000-0000-00007FC80000}"/>
    <cellStyle name="SAPBEXtitle 2 2 2" xfId="51136" xr:uid="{00000000-0005-0000-0000-000080C80000}"/>
    <cellStyle name="SAPBEXtitle 2 2 2 2" xfId="51137" xr:uid="{00000000-0005-0000-0000-000081C80000}"/>
    <cellStyle name="SAPBEXtitle 2 2 2 2 2" xfId="51138" xr:uid="{00000000-0005-0000-0000-000082C80000}"/>
    <cellStyle name="SAPBEXtitle 2 2 2 2 2 2" xfId="51139" xr:uid="{00000000-0005-0000-0000-000083C80000}"/>
    <cellStyle name="SAPBEXtitle 2 2 2 2 3" xfId="51140" xr:uid="{00000000-0005-0000-0000-000084C80000}"/>
    <cellStyle name="SAPBEXtitle 2 2 2 3" xfId="51141" xr:uid="{00000000-0005-0000-0000-000085C80000}"/>
    <cellStyle name="SAPBEXtitle 2 2 2 3 2" xfId="51142" xr:uid="{00000000-0005-0000-0000-000086C80000}"/>
    <cellStyle name="SAPBEXtitle 2 2 2 4" xfId="51143" xr:uid="{00000000-0005-0000-0000-000087C80000}"/>
    <cellStyle name="SAPBEXtitle 2 2 3" xfId="51144" xr:uid="{00000000-0005-0000-0000-000088C80000}"/>
    <cellStyle name="SAPBEXtitle 2 2 3 2" xfId="51145" xr:uid="{00000000-0005-0000-0000-000089C80000}"/>
    <cellStyle name="SAPBEXtitle 2 2 3 2 2" xfId="51146" xr:uid="{00000000-0005-0000-0000-00008AC80000}"/>
    <cellStyle name="SAPBEXtitle 2 2 3 3" xfId="51147" xr:uid="{00000000-0005-0000-0000-00008BC80000}"/>
    <cellStyle name="SAPBEXtitle 2 2 4" xfId="51148" xr:uid="{00000000-0005-0000-0000-00008CC80000}"/>
    <cellStyle name="SAPBEXtitle 2 2 4 2" xfId="51149" xr:uid="{00000000-0005-0000-0000-00008DC80000}"/>
    <cellStyle name="SAPBEXtitle 2 2 4 2 2" xfId="51150" xr:uid="{00000000-0005-0000-0000-00008EC80000}"/>
    <cellStyle name="SAPBEXtitle 2 2 4 3" xfId="51151" xr:uid="{00000000-0005-0000-0000-00008FC80000}"/>
    <cellStyle name="SAPBEXtitle 2 2 5" xfId="51152" xr:uid="{00000000-0005-0000-0000-000090C80000}"/>
    <cellStyle name="SAPBEXtitle 2 2 5 2" xfId="51153" xr:uid="{00000000-0005-0000-0000-000091C80000}"/>
    <cellStyle name="SAPBEXtitle 2 2 6" xfId="51154" xr:uid="{00000000-0005-0000-0000-000092C80000}"/>
    <cellStyle name="SAPBEXtitle 2 3" xfId="51155" xr:uid="{00000000-0005-0000-0000-000093C80000}"/>
    <cellStyle name="SAPBEXtitle 2 4" xfId="51156" xr:uid="{00000000-0005-0000-0000-000094C80000}"/>
    <cellStyle name="SAPBEXtitle 2 4 2" xfId="51157" xr:uid="{00000000-0005-0000-0000-000095C80000}"/>
    <cellStyle name="SAPBEXtitle 2 4 2 2" xfId="51158" xr:uid="{00000000-0005-0000-0000-000096C80000}"/>
    <cellStyle name="SAPBEXtitle 2 4 3" xfId="51159" xr:uid="{00000000-0005-0000-0000-000097C80000}"/>
    <cellStyle name="SAPBEXtitle 2 5" xfId="51160" xr:uid="{00000000-0005-0000-0000-000098C80000}"/>
    <cellStyle name="SAPBEXtitle 2 5 2" xfId="51161" xr:uid="{00000000-0005-0000-0000-000099C80000}"/>
    <cellStyle name="SAPBEXtitle 2 5 2 2" xfId="51162" xr:uid="{00000000-0005-0000-0000-00009AC80000}"/>
    <cellStyle name="SAPBEXtitle 2 5 3" xfId="51163" xr:uid="{00000000-0005-0000-0000-00009BC80000}"/>
    <cellStyle name="SAPBEXtitle 3" xfId="51164" xr:uid="{00000000-0005-0000-0000-00009CC80000}"/>
    <cellStyle name="SAPBEXtitle 3 2" xfId="51165" xr:uid="{00000000-0005-0000-0000-00009DC80000}"/>
    <cellStyle name="SAPBEXtitle 3 2 2" xfId="51166" xr:uid="{00000000-0005-0000-0000-00009EC80000}"/>
    <cellStyle name="SAPBEXtitle 3 3" xfId="51167" xr:uid="{00000000-0005-0000-0000-00009FC80000}"/>
    <cellStyle name="SAPBEXtitle 3 3 2" xfId="51168" xr:uid="{00000000-0005-0000-0000-0000A0C80000}"/>
    <cellStyle name="SAPBEXtitle 3 3 2 2" xfId="51169" xr:uid="{00000000-0005-0000-0000-0000A1C80000}"/>
    <cellStyle name="SAPBEXtitle 3 3 3" xfId="51170" xr:uid="{00000000-0005-0000-0000-0000A2C80000}"/>
    <cellStyle name="SAPBEXtitle 3 4" xfId="51171" xr:uid="{00000000-0005-0000-0000-0000A3C80000}"/>
    <cellStyle name="SAPBEXtitle 3 4 2" xfId="51172" xr:uid="{00000000-0005-0000-0000-0000A4C80000}"/>
    <cellStyle name="SAPBEXtitle 3 4 2 2" xfId="51173" xr:uid="{00000000-0005-0000-0000-0000A5C80000}"/>
    <cellStyle name="SAPBEXtitle 3 4 3" xfId="51174" xr:uid="{00000000-0005-0000-0000-0000A6C80000}"/>
    <cellStyle name="SAPBEXtitle 3 5" xfId="51175" xr:uid="{00000000-0005-0000-0000-0000A7C80000}"/>
    <cellStyle name="SAPBEXtitle 4" xfId="51176" xr:uid="{00000000-0005-0000-0000-0000A8C80000}"/>
    <cellStyle name="SAPBEXtitle 4 2" xfId="51177" xr:uid="{00000000-0005-0000-0000-0000A9C80000}"/>
    <cellStyle name="SAPBEXtitle 4 2 2" xfId="51178" xr:uid="{00000000-0005-0000-0000-0000AAC80000}"/>
    <cellStyle name="SAPBEXtitle 4 2 2 2" xfId="51179" xr:uid="{00000000-0005-0000-0000-0000ABC80000}"/>
    <cellStyle name="SAPBEXtitle 4 2 3" xfId="51180" xr:uid="{00000000-0005-0000-0000-0000ACC80000}"/>
    <cellStyle name="SAPBEXtitle 4 2 3 2" xfId="51181" xr:uid="{00000000-0005-0000-0000-0000ADC80000}"/>
    <cellStyle name="SAPBEXtitle 4 2 3 2 2" xfId="51182" xr:uid="{00000000-0005-0000-0000-0000AEC80000}"/>
    <cellStyle name="SAPBEXtitle 4 2 3 3" xfId="51183" xr:uid="{00000000-0005-0000-0000-0000AFC80000}"/>
    <cellStyle name="SAPBEXtitle 4 2 4" xfId="51184" xr:uid="{00000000-0005-0000-0000-0000B0C80000}"/>
    <cellStyle name="SAPBEXtitle 4 3" xfId="51185" xr:uid="{00000000-0005-0000-0000-0000B1C80000}"/>
    <cellStyle name="SAPBEXtitle 4 3 2" xfId="51186" xr:uid="{00000000-0005-0000-0000-0000B2C80000}"/>
    <cellStyle name="SAPBEXtitle 4 3 2 2" xfId="51187" xr:uid="{00000000-0005-0000-0000-0000B3C80000}"/>
    <cellStyle name="SAPBEXtitle 4 3 3" xfId="51188" xr:uid="{00000000-0005-0000-0000-0000B4C80000}"/>
    <cellStyle name="SAPBEXtitle 4 4" xfId="51189" xr:uid="{00000000-0005-0000-0000-0000B5C80000}"/>
    <cellStyle name="SAPBEXtitle 4 4 2" xfId="51190" xr:uid="{00000000-0005-0000-0000-0000B6C80000}"/>
    <cellStyle name="SAPBEXtitle 4 4 2 2" xfId="51191" xr:uid="{00000000-0005-0000-0000-0000B7C80000}"/>
    <cellStyle name="SAPBEXtitle 4 4 3" xfId="51192" xr:uid="{00000000-0005-0000-0000-0000B8C80000}"/>
    <cellStyle name="SAPBEXtitle 4 5" xfId="51193" xr:uid="{00000000-0005-0000-0000-0000B9C80000}"/>
    <cellStyle name="SAPBEXtitle 4 5 2" xfId="51194" xr:uid="{00000000-0005-0000-0000-0000BAC80000}"/>
    <cellStyle name="SAPBEXtitle 4 5 2 2" xfId="51195" xr:uid="{00000000-0005-0000-0000-0000BBC80000}"/>
    <cellStyle name="SAPBEXtitle 4 5 3" xfId="51196" xr:uid="{00000000-0005-0000-0000-0000BCC80000}"/>
    <cellStyle name="SAPBEXtitle 4 6" xfId="51197" xr:uid="{00000000-0005-0000-0000-0000BDC80000}"/>
    <cellStyle name="SAPBEXtitle 5" xfId="51198" xr:uid="{00000000-0005-0000-0000-0000BEC80000}"/>
    <cellStyle name="SAPBEXtitle 5 2" xfId="51199" xr:uid="{00000000-0005-0000-0000-0000BFC80000}"/>
    <cellStyle name="SAPBEXtitle 5 2 2" xfId="51200" xr:uid="{00000000-0005-0000-0000-0000C0C80000}"/>
    <cellStyle name="SAPBEXtitle 5 3" xfId="51201" xr:uid="{00000000-0005-0000-0000-0000C1C80000}"/>
    <cellStyle name="SAPBEXtitle 6" xfId="51202" xr:uid="{00000000-0005-0000-0000-0000C2C80000}"/>
    <cellStyle name="SAPBEXtitle 6 2" xfId="51203" xr:uid="{00000000-0005-0000-0000-0000C3C80000}"/>
    <cellStyle name="SAPBEXtitle 6 2 2" xfId="51204" xr:uid="{00000000-0005-0000-0000-0000C4C80000}"/>
    <cellStyle name="SAPBEXtitle 6 3" xfId="51205" xr:uid="{00000000-0005-0000-0000-0000C5C80000}"/>
    <cellStyle name="SAPBEXtitle 7" xfId="51206" xr:uid="{00000000-0005-0000-0000-0000C6C80000}"/>
    <cellStyle name="SAPBEXtitle 7 2" xfId="51207" xr:uid="{00000000-0005-0000-0000-0000C7C80000}"/>
    <cellStyle name="SAPBEXtitle 7 2 2" xfId="51208" xr:uid="{00000000-0005-0000-0000-0000C8C80000}"/>
    <cellStyle name="SAPBEXtitle 7 3" xfId="51209" xr:uid="{00000000-0005-0000-0000-0000C9C80000}"/>
    <cellStyle name="SAPBEXtitle 8" xfId="51210" xr:uid="{00000000-0005-0000-0000-0000CAC80000}"/>
    <cellStyle name="SAPBEXtitle 8 2" xfId="51211" xr:uid="{00000000-0005-0000-0000-0000CBC80000}"/>
    <cellStyle name="SAPBEXtitle 9" xfId="51212" xr:uid="{00000000-0005-0000-0000-0000CCC80000}"/>
    <cellStyle name="SAPBEXtitle 9 2" xfId="51213" xr:uid="{00000000-0005-0000-0000-0000CDC80000}"/>
    <cellStyle name="SAPBEXunassignedItem" xfId="51214" xr:uid="{00000000-0005-0000-0000-0000CEC80000}"/>
    <cellStyle name="SAPBEXunassignedItem 10" xfId="51215" xr:uid="{00000000-0005-0000-0000-0000CFC80000}"/>
    <cellStyle name="SAPBEXunassignedItem 11" xfId="51216" xr:uid="{00000000-0005-0000-0000-0000D0C80000}"/>
    <cellStyle name="SAPBEXunassignedItem 2" xfId="51217" xr:uid="{00000000-0005-0000-0000-0000D1C80000}"/>
    <cellStyle name="SAPBEXunassignedItem 2 2" xfId="51218" xr:uid="{00000000-0005-0000-0000-0000D2C80000}"/>
    <cellStyle name="SAPBEXunassignedItem 2 2 2" xfId="51219" xr:uid="{00000000-0005-0000-0000-0000D3C80000}"/>
    <cellStyle name="SAPBEXunassignedItem 2 2 2 2" xfId="51220" xr:uid="{00000000-0005-0000-0000-0000D4C80000}"/>
    <cellStyle name="SAPBEXunassignedItem 2 2 3" xfId="51221" xr:uid="{00000000-0005-0000-0000-0000D5C80000}"/>
    <cellStyle name="SAPBEXunassignedItem 2 2 3 2" xfId="51222" xr:uid="{00000000-0005-0000-0000-0000D6C80000}"/>
    <cellStyle name="SAPBEXunassignedItem 2 2 3 2 2" xfId="51223" xr:uid="{00000000-0005-0000-0000-0000D7C80000}"/>
    <cellStyle name="SAPBEXunassignedItem 2 2 3 3" xfId="51224" xr:uid="{00000000-0005-0000-0000-0000D8C80000}"/>
    <cellStyle name="SAPBEXunassignedItem 2 2 4" xfId="51225" xr:uid="{00000000-0005-0000-0000-0000D9C80000}"/>
    <cellStyle name="SAPBEXunassignedItem 2 2 4 2" xfId="51226" xr:uid="{00000000-0005-0000-0000-0000DAC80000}"/>
    <cellStyle name="SAPBEXunassignedItem 2 2 4 2 2" xfId="51227" xr:uid="{00000000-0005-0000-0000-0000DBC80000}"/>
    <cellStyle name="SAPBEXunassignedItem 2 2 4 3" xfId="51228" xr:uid="{00000000-0005-0000-0000-0000DCC80000}"/>
    <cellStyle name="SAPBEXunassignedItem 2 2 5" xfId="51229" xr:uid="{00000000-0005-0000-0000-0000DDC80000}"/>
    <cellStyle name="SAPBEXunassignedItem 2 3" xfId="51230" xr:uid="{00000000-0005-0000-0000-0000DEC80000}"/>
    <cellStyle name="SAPBEXunassignedItem 2 3 2" xfId="51231" xr:uid="{00000000-0005-0000-0000-0000DFC80000}"/>
    <cellStyle name="SAPBEXunassignedItem 2 3 2 2" xfId="51232" xr:uid="{00000000-0005-0000-0000-0000E0C80000}"/>
    <cellStyle name="SAPBEXunassignedItem 2 3 2 2 2" xfId="51233" xr:uid="{00000000-0005-0000-0000-0000E1C80000}"/>
    <cellStyle name="SAPBEXunassignedItem 2 3 2 3" xfId="51234" xr:uid="{00000000-0005-0000-0000-0000E2C80000}"/>
    <cellStyle name="SAPBEXunassignedItem 2 3 2 3 2" xfId="51235" xr:uid="{00000000-0005-0000-0000-0000E3C80000}"/>
    <cellStyle name="SAPBEXunassignedItem 2 3 2 3 2 2" xfId="51236" xr:uid="{00000000-0005-0000-0000-0000E4C80000}"/>
    <cellStyle name="SAPBEXunassignedItem 2 3 2 3 3" xfId="51237" xr:uid="{00000000-0005-0000-0000-0000E5C80000}"/>
    <cellStyle name="SAPBEXunassignedItem 2 3 2 4" xfId="51238" xr:uid="{00000000-0005-0000-0000-0000E6C80000}"/>
    <cellStyle name="SAPBEXunassignedItem 2 3 3" xfId="51239" xr:uid="{00000000-0005-0000-0000-0000E7C80000}"/>
    <cellStyle name="SAPBEXunassignedItem 2 3 3 2" xfId="51240" xr:uid="{00000000-0005-0000-0000-0000E8C80000}"/>
    <cellStyle name="SAPBEXunassignedItem 2 3 3 2 2" xfId="51241" xr:uid="{00000000-0005-0000-0000-0000E9C80000}"/>
    <cellStyle name="SAPBEXunassignedItem 2 3 3 3" xfId="51242" xr:uid="{00000000-0005-0000-0000-0000EAC80000}"/>
    <cellStyle name="SAPBEXunassignedItem 2 3 4" xfId="51243" xr:uid="{00000000-0005-0000-0000-0000EBC80000}"/>
    <cellStyle name="SAPBEXunassignedItem 2 3 4 2" xfId="51244" xr:uid="{00000000-0005-0000-0000-0000ECC80000}"/>
    <cellStyle name="SAPBEXunassignedItem 2 3 4 2 2" xfId="51245" xr:uid="{00000000-0005-0000-0000-0000EDC80000}"/>
    <cellStyle name="SAPBEXunassignedItem 2 3 4 3" xfId="51246" xr:uid="{00000000-0005-0000-0000-0000EEC80000}"/>
    <cellStyle name="SAPBEXunassignedItem 2 3 5" xfId="51247" xr:uid="{00000000-0005-0000-0000-0000EFC80000}"/>
    <cellStyle name="SAPBEXunassignedItem 2 3 5 2" xfId="51248" xr:uid="{00000000-0005-0000-0000-0000F0C80000}"/>
    <cellStyle name="SAPBEXunassignedItem 2 3 5 2 2" xfId="51249" xr:uid="{00000000-0005-0000-0000-0000F1C80000}"/>
    <cellStyle name="SAPBEXunassignedItem 2 3 5 3" xfId="51250" xr:uid="{00000000-0005-0000-0000-0000F2C80000}"/>
    <cellStyle name="SAPBEXunassignedItem 2 3 6" xfId="51251" xr:uid="{00000000-0005-0000-0000-0000F3C80000}"/>
    <cellStyle name="SAPBEXunassignedItem 2 4" xfId="51252" xr:uid="{00000000-0005-0000-0000-0000F4C80000}"/>
    <cellStyle name="SAPBEXunassignedItem 2 4 2" xfId="51253" xr:uid="{00000000-0005-0000-0000-0000F5C80000}"/>
    <cellStyle name="SAPBEXunassignedItem 2 4 2 2" xfId="51254" xr:uid="{00000000-0005-0000-0000-0000F6C80000}"/>
    <cellStyle name="SAPBEXunassignedItem 2 4 3" xfId="51255" xr:uid="{00000000-0005-0000-0000-0000F7C80000}"/>
    <cellStyle name="SAPBEXunassignedItem 2 5" xfId="51256" xr:uid="{00000000-0005-0000-0000-0000F8C80000}"/>
    <cellStyle name="SAPBEXunassignedItem 2 5 2" xfId="51257" xr:uid="{00000000-0005-0000-0000-0000F9C80000}"/>
    <cellStyle name="SAPBEXunassignedItem 2 5 2 2" xfId="51258" xr:uid="{00000000-0005-0000-0000-0000FAC80000}"/>
    <cellStyle name="SAPBEXunassignedItem 2 5 3" xfId="51259" xr:uid="{00000000-0005-0000-0000-0000FBC80000}"/>
    <cellStyle name="SAPBEXunassignedItem 2 6" xfId="51260" xr:uid="{00000000-0005-0000-0000-0000FCC80000}"/>
    <cellStyle name="SAPBEXunassignedItem 2 6 2" xfId="51261" xr:uid="{00000000-0005-0000-0000-0000FDC80000}"/>
    <cellStyle name="SAPBEXunassignedItem 2 6 2 2" xfId="51262" xr:uid="{00000000-0005-0000-0000-0000FEC80000}"/>
    <cellStyle name="SAPBEXunassignedItem 2 6 3" xfId="51263" xr:uid="{00000000-0005-0000-0000-0000FFC80000}"/>
    <cellStyle name="SAPBEXunassignedItem 2 7" xfId="51264" xr:uid="{00000000-0005-0000-0000-000000C90000}"/>
    <cellStyle name="SAPBEXunassignedItem 3" xfId="51265" xr:uid="{00000000-0005-0000-0000-000001C90000}"/>
    <cellStyle name="SAPBEXunassignedItem 3 2" xfId="51266" xr:uid="{00000000-0005-0000-0000-000002C90000}"/>
    <cellStyle name="SAPBEXunassignedItem 3 2 2" xfId="51267" xr:uid="{00000000-0005-0000-0000-000003C90000}"/>
    <cellStyle name="SAPBEXunassignedItem 3 2 2 2" xfId="51268" xr:uid="{00000000-0005-0000-0000-000004C90000}"/>
    <cellStyle name="SAPBEXunassignedItem 3 2 3" xfId="51269" xr:uid="{00000000-0005-0000-0000-000005C90000}"/>
    <cellStyle name="SAPBEXunassignedItem 3 2 3 2" xfId="51270" xr:uid="{00000000-0005-0000-0000-000006C90000}"/>
    <cellStyle name="SAPBEXunassignedItem 3 2 3 2 2" xfId="51271" xr:uid="{00000000-0005-0000-0000-000007C90000}"/>
    <cellStyle name="SAPBEXunassignedItem 3 2 3 3" xfId="51272" xr:uid="{00000000-0005-0000-0000-000008C90000}"/>
    <cellStyle name="SAPBEXunassignedItem 3 2 4" xfId="51273" xr:uid="{00000000-0005-0000-0000-000009C90000}"/>
    <cellStyle name="SAPBEXunassignedItem 3 2 4 2" xfId="51274" xr:uid="{00000000-0005-0000-0000-00000AC90000}"/>
    <cellStyle name="SAPBEXunassignedItem 3 2 4 2 2" xfId="51275" xr:uid="{00000000-0005-0000-0000-00000BC90000}"/>
    <cellStyle name="SAPBEXunassignedItem 3 2 4 3" xfId="51276" xr:uid="{00000000-0005-0000-0000-00000CC90000}"/>
    <cellStyle name="SAPBEXunassignedItem 3 2 5" xfId="51277" xr:uid="{00000000-0005-0000-0000-00000DC90000}"/>
    <cellStyle name="SAPBEXunassignedItem 3 3" xfId="51278" xr:uid="{00000000-0005-0000-0000-00000EC90000}"/>
    <cellStyle name="SAPBEXunassignedItem 3 3 2" xfId="51279" xr:uid="{00000000-0005-0000-0000-00000FC90000}"/>
    <cellStyle name="SAPBEXunassignedItem 3 3 2 2" xfId="51280" xr:uid="{00000000-0005-0000-0000-000010C90000}"/>
    <cellStyle name="SAPBEXunassignedItem 3 3 3" xfId="51281" xr:uid="{00000000-0005-0000-0000-000011C90000}"/>
    <cellStyle name="SAPBEXunassignedItem 3 4" xfId="51282" xr:uid="{00000000-0005-0000-0000-000012C90000}"/>
    <cellStyle name="SAPBEXunassignedItem 3 4 2" xfId="51283" xr:uid="{00000000-0005-0000-0000-000013C90000}"/>
    <cellStyle name="SAPBEXunassignedItem 3 4 2 2" xfId="51284" xr:uid="{00000000-0005-0000-0000-000014C90000}"/>
    <cellStyle name="SAPBEXunassignedItem 3 4 3" xfId="51285" xr:uid="{00000000-0005-0000-0000-000015C90000}"/>
    <cellStyle name="SAPBEXunassignedItem 3 5" xfId="51286" xr:uid="{00000000-0005-0000-0000-000016C90000}"/>
    <cellStyle name="SAPBEXunassignedItem 3 5 2" xfId="51287" xr:uid="{00000000-0005-0000-0000-000017C90000}"/>
    <cellStyle name="SAPBEXunassignedItem 3 5 2 2" xfId="51288" xr:uid="{00000000-0005-0000-0000-000018C90000}"/>
    <cellStyle name="SAPBEXunassignedItem 3 5 3" xfId="51289" xr:uid="{00000000-0005-0000-0000-000019C90000}"/>
    <cellStyle name="SAPBEXunassignedItem 3 6" xfId="51290" xr:uid="{00000000-0005-0000-0000-00001AC90000}"/>
    <cellStyle name="SAPBEXunassignedItem 4" xfId="51291" xr:uid="{00000000-0005-0000-0000-00001BC90000}"/>
    <cellStyle name="SAPBEXunassignedItem 4 2" xfId="51292" xr:uid="{00000000-0005-0000-0000-00001CC90000}"/>
    <cellStyle name="SAPBEXunassignedItem 4 2 2" xfId="51293" xr:uid="{00000000-0005-0000-0000-00001DC90000}"/>
    <cellStyle name="SAPBEXunassignedItem 4 3" xfId="51294" xr:uid="{00000000-0005-0000-0000-00001EC90000}"/>
    <cellStyle name="SAPBEXunassignedItem 4 3 2" xfId="51295" xr:uid="{00000000-0005-0000-0000-00001FC90000}"/>
    <cellStyle name="SAPBEXunassignedItem 4 3 2 2" xfId="51296" xr:uid="{00000000-0005-0000-0000-000020C90000}"/>
    <cellStyle name="SAPBEXunassignedItem 4 3 3" xfId="51297" xr:uid="{00000000-0005-0000-0000-000021C90000}"/>
    <cellStyle name="SAPBEXunassignedItem 4 4" xfId="51298" xr:uid="{00000000-0005-0000-0000-000022C90000}"/>
    <cellStyle name="SAPBEXunassignedItem 4 4 2" xfId="51299" xr:uid="{00000000-0005-0000-0000-000023C90000}"/>
    <cellStyle name="SAPBEXunassignedItem 4 4 2 2" xfId="51300" xr:uid="{00000000-0005-0000-0000-000024C90000}"/>
    <cellStyle name="SAPBEXunassignedItem 4 4 3" xfId="51301" xr:uid="{00000000-0005-0000-0000-000025C90000}"/>
    <cellStyle name="SAPBEXunassignedItem 4 5" xfId="51302" xr:uid="{00000000-0005-0000-0000-000026C90000}"/>
    <cellStyle name="SAPBEXunassignedItem 5" xfId="51303" xr:uid="{00000000-0005-0000-0000-000027C90000}"/>
    <cellStyle name="SAPBEXunassignedItem 5 2" xfId="51304" xr:uid="{00000000-0005-0000-0000-000028C90000}"/>
    <cellStyle name="SAPBEXunassignedItem 5 2 2" xfId="51305" xr:uid="{00000000-0005-0000-0000-000029C90000}"/>
    <cellStyle name="SAPBEXunassignedItem 5 3" xfId="51306" xr:uid="{00000000-0005-0000-0000-00002AC90000}"/>
    <cellStyle name="SAPBEXunassignedItem 6" xfId="51307" xr:uid="{00000000-0005-0000-0000-00002BC90000}"/>
    <cellStyle name="SAPBEXunassignedItem 6 2" xfId="51308" xr:uid="{00000000-0005-0000-0000-00002CC90000}"/>
    <cellStyle name="SAPBEXunassignedItem 6 2 2" xfId="51309" xr:uid="{00000000-0005-0000-0000-00002DC90000}"/>
    <cellStyle name="SAPBEXunassignedItem 6 3" xfId="51310" xr:uid="{00000000-0005-0000-0000-00002EC90000}"/>
    <cellStyle name="SAPBEXunassignedItem 7" xfId="51311" xr:uid="{00000000-0005-0000-0000-00002FC90000}"/>
    <cellStyle name="SAPBEXunassignedItem 7 2" xfId="51312" xr:uid="{00000000-0005-0000-0000-000030C90000}"/>
    <cellStyle name="SAPBEXunassignedItem 7 2 2" xfId="51313" xr:uid="{00000000-0005-0000-0000-000031C90000}"/>
    <cellStyle name="SAPBEXunassignedItem 7 3" xfId="51314" xr:uid="{00000000-0005-0000-0000-000032C90000}"/>
    <cellStyle name="SAPBEXunassignedItem 8" xfId="51315" xr:uid="{00000000-0005-0000-0000-000033C90000}"/>
    <cellStyle name="SAPBEXunassignedItem 8 2" xfId="51316" xr:uid="{00000000-0005-0000-0000-000034C90000}"/>
    <cellStyle name="SAPBEXunassignedItem 9" xfId="51317" xr:uid="{00000000-0005-0000-0000-000035C90000}"/>
    <cellStyle name="SAPBEXunassignedItem 9 2" xfId="51318" xr:uid="{00000000-0005-0000-0000-000036C90000}"/>
    <cellStyle name="SAPBEXundefined" xfId="78" xr:uid="{00000000-0005-0000-0000-000037C90000}"/>
    <cellStyle name="SAPBEXundefined 10" xfId="51319" xr:uid="{00000000-0005-0000-0000-000038C90000}"/>
    <cellStyle name="SAPBEXundefined 10 2" xfId="51320" xr:uid="{00000000-0005-0000-0000-000039C90000}"/>
    <cellStyle name="SAPBEXundefined 11" xfId="51321" xr:uid="{00000000-0005-0000-0000-00003AC90000}"/>
    <cellStyle name="SAPBEXundefined 11 2" xfId="51322" xr:uid="{00000000-0005-0000-0000-00003BC90000}"/>
    <cellStyle name="SAPBEXundefined 12" xfId="51323" xr:uid="{00000000-0005-0000-0000-00003CC90000}"/>
    <cellStyle name="SAPBEXundefined 13" xfId="51324" xr:uid="{00000000-0005-0000-0000-00003DC90000}"/>
    <cellStyle name="SAPBEXundefined 2" xfId="51325" xr:uid="{00000000-0005-0000-0000-00003EC90000}"/>
    <cellStyle name="SAPBEXundefined 2 2" xfId="51326" xr:uid="{00000000-0005-0000-0000-00003FC90000}"/>
    <cellStyle name="SAPBEXundefined 2 2 2" xfId="51327" xr:uid="{00000000-0005-0000-0000-000040C90000}"/>
    <cellStyle name="SAPBEXundefined 2 2 2 2" xfId="51328" xr:uid="{00000000-0005-0000-0000-000041C90000}"/>
    <cellStyle name="SAPBEXundefined 2 2 2 2 2" xfId="51329" xr:uid="{00000000-0005-0000-0000-000042C90000}"/>
    <cellStyle name="SAPBEXundefined 2 2 2 2 2 2" xfId="51330" xr:uid="{00000000-0005-0000-0000-000043C90000}"/>
    <cellStyle name="SAPBEXundefined 2 2 2 2 3" xfId="51331" xr:uid="{00000000-0005-0000-0000-000044C90000}"/>
    <cellStyle name="SAPBEXundefined 2 2 2 3" xfId="51332" xr:uid="{00000000-0005-0000-0000-000045C90000}"/>
    <cellStyle name="SAPBEXundefined 2 2 2 3 2" xfId="51333" xr:uid="{00000000-0005-0000-0000-000046C90000}"/>
    <cellStyle name="SAPBEXundefined 2 2 2 4" xfId="51334" xr:uid="{00000000-0005-0000-0000-000047C90000}"/>
    <cellStyle name="SAPBEXundefined 2 2 3" xfId="51335" xr:uid="{00000000-0005-0000-0000-000048C90000}"/>
    <cellStyle name="SAPBEXundefined 2 2 3 2" xfId="51336" xr:uid="{00000000-0005-0000-0000-000049C90000}"/>
    <cellStyle name="SAPBEXundefined 2 2 3 2 2" xfId="51337" xr:uid="{00000000-0005-0000-0000-00004AC90000}"/>
    <cellStyle name="SAPBEXundefined 2 2 3 3" xfId="51338" xr:uid="{00000000-0005-0000-0000-00004BC90000}"/>
    <cellStyle name="SAPBEXundefined 2 2 4" xfId="51339" xr:uid="{00000000-0005-0000-0000-00004CC90000}"/>
    <cellStyle name="SAPBEXundefined 2 2 4 2" xfId="51340" xr:uid="{00000000-0005-0000-0000-00004DC90000}"/>
    <cellStyle name="SAPBEXundefined 2 2 4 2 2" xfId="51341" xr:uid="{00000000-0005-0000-0000-00004EC90000}"/>
    <cellStyle name="SAPBEXundefined 2 2 4 3" xfId="51342" xr:uid="{00000000-0005-0000-0000-00004FC90000}"/>
    <cellStyle name="SAPBEXundefined 2 2 5" xfId="51343" xr:uid="{00000000-0005-0000-0000-000050C90000}"/>
    <cellStyle name="SAPBEXundefined 2 2 5 2" xfId="51344" xr:uid="{00000000-0005-0000-0000-000051C90000}"/>
    <cellStyle name="SAPBEXundefined 2 2 6" xfId="51345" xr:uid="{00000000-0005-0000-0000-000052C90000}"/>
    <cellStyle name="SAPBEXundefined 2 3" xfId="51346" xr:uid="{00000000-0005-0000-0000-000053C90000}"/>
    <cellStyle name="SAPBEXundefined 2 3 2" xfId="51347" xr:uid="{00000000-0005-0000-0000-000054C90000}"/>
    <cellStyle name="SAPBEXundefined 2 4" xfId="51348" xr:uid="{00000000-0005-0000-0000-000055C90000}"/>
    <cellStyle name="SAPBEXundefined 2 4 2" xfId="51349" xr:uid="{00000000-0005-0000-0000-000056C90000}"/>
    <cellStyle name="SAPBEXundefined 2 4 2 2" xfId="51350" xr:uid="{00000000-0005-0000-0000-000057C90000}"/>
    <cellStyle name="SAPBEXundefined 2 4 3" xfId="51351" xr:uid="{00000000-0005-0000-0000-000058C90000}"/>
    <cellStyle name="SAPBEXundefined 2 5" xfId="51352" xr:uid="{00000000-0005-0000-0000-000059C90000}"/>
    <cellStyle name="SAPBEXundefined 2 5 2" xfId="51353" xr:uid="{00000000-0005-0000-0000-00005AC90000}"/>
    <cellStyle name="SAPBEXundefined 2 5 2 2" xfId="51354" xr:uid="{00000000-0005-0000-0000-00005BC90000}"/>
    <cellStyle name="SAPBEXundefined 2 5 3" xfId="51355" xr:uid="{00000000-0005-0000-0000-00005CC90000}"/>
    <cellStyle name="SAPBEXundefined 2 6" xfId="51356" xr:uid="{00000000-0005-0000-0000-00005DC90000}"/>
    <cellStyle name="SAPBEXundefined 3" xfId="51357" xr:uid="{00000000-0005-0000-0000-00005EC90000}"/>
    <cellStyle name="SAPBEXundefined 3 2" xfId="51358" xr:uid="{00000000-0005-0000-0000-00005FC90000}"/>
    <cellStyle name="SAPBEXundefined 3 2 2" xfId="51359" xr:uid="{00000000-0005-0000-0000-000060C90000}"/>
    <cellStyle name="SAPBEXundefined 3 3" xfId="51360" xr:uid="{00000000-0005-0000-0000-000061C90000}"/>
    <cellStyle name="SAPBEXundefined 3 3 2" xfId="51361" xr:uid="{00000000-0005-0000-0000-000062C90000}"/>
    <cellStyle name="SAPBEXundefined 3 3 2 2" xfId="51362" xr:uid="{00000000-0005-0000-0000-000063C90000}"/>
    <cellStyle name="SAPBEXundefined 3 3 3" xfId="51363" xr:uid="{00000000-0005-0000-0000-000064C90000}"/>
    <cellStyle name="SAPBEXundefined 3 4" xfId="51364" xr:uid="{00000000-0005-0000-0000-000065C90000}"/>
    <cellStyle name="SAPBEXundefined 3 4 2" xfId="51365" xr:uid="{00000000-0005-0000-0000-000066C90000}"/>
    <cellStyle name="SAPBEXundefined 3 4 2 2" xfId="51366" xr:uid="{00000000-0005-0000-0000-000067C90000}"/>
    <cellStyle name="SAPBEXundefined 3 4 3" xfId="51367" xr:uid="{00000000-0005-0000-0000-000068C90000}"/>
    <cellStyle name="SAPBEXundefined 3 5" xfId="51368" xr:uid="{00000000-0005-0000-0000-000069C90000}"/>
    <cellStyle name="SAPBEXundefined 4" xfId="51369" xr:uid="{00000000-0005-0000-0000-00006AC90000}"/>
    <cellStyle name="SAPBEXundefined 4 2" xfId="51370" xr:uid="{00000000-0005-0000-0000-00006BC90000}"/>
    <cellStyle name="SAPBEXundefined 4 2 2" xfId="51371" xr:uid="{00000000-0005-0000-0000-00006CC90000}"/>
    <cellStyle name="SAPBEXundefined 4 2 2 2" xfId="51372" xr:uid="{00000000-0005-0000-0000-00006DC90000}"/>
    <cellStyle name="SAPBEXundefined 4 2 3" xfId="51373" xr:uid="{00000000-0005-0000-0000-00006EC90000}"/>
    <cellStyle name="SAPBEXundefined 4 2 3 2" xfId="51374" xr:uid="{00000000-0005-0000-0000-00006FC90000}"/>
    <cellStyle name="SAPBEXundefined 4 2 3 2 2" xfId="51375" xr:uid="{00000000-0005-0000-0000-000070C90000}"/>
    <cellStyle name="SAPBEXundefined 4 2 3 3" xfId="51376" xr:uid="{00000000-0005-0000-0000-000071C90000}"/>
    <cellStyle name="SAPBEXundefined 4 2 4" xfId="51377" xr:uid="{00000000-0005-0000-0000-000072C90000}"/>
    <cellStyle name="SAPBEXundefined 4 3" xfId="51378" xr:uid="{00000000-0005-0000-0000-000073C90000}"/>
    <cellStyle name="SAPBEXundefined 4 3 2" xfId="51379" xr:uid="{00000000-0005-0000-0000-000074C90000}"/>
    <cellStyle name="SAPBEXundefined 4 3 2 2" xfId="51380" xr:uid="{00000000-0005-0000-0000-000075C90000}"/>
    <cellStyle name="SAPBEXundefined 4 3 3" xfId="51381" xr:uid="{00000000-0005-0000-0000-000076C90000}"/>
    <cellStyle name="SAPBEXundefined 4 4" xfId="51382" xr:uid="{00000000-0005-0000-0000-000077C90000}"/>
    <cellStyle name="SAPBEXundefined 4 4 2" xfId="51383" xr:uid="{00000000-0005-0000-0000-000078C90000}"/>
    <cellStyle name="SAPBEXundefined 4 4 2 2" xfId="51384" xr:uid="{00000000-0005-0000-0000-000079C90000}"/>
    <cellStyle name="SAPBEXundefined 4 4 3" xfId="51385" xr:uid="{00000000-0005-0000-0000-00007AC90000}"/>
    <cellStyle name="SAPBEXundefined 4 5" xfId="51386" xr:uid="{00000000-0005-0000-0000-00007BC90000}"/>
    <cellStyle name="SAPBEXundefined 4 5 2" xfId="51387" xr:uid="{00000000-0005-0000-0000-00007CC90000}"/>
    <cellStyle name="SAPBEXundefined 4 5 2 2" xfId="51388" xr:uid="{00000000-0005-0000-0000-00007DC90000}"/>
    <cellStyle name="SAPBEXundefined 4 5 3" xfId="51389" xr:uid="{00000000-0005-0000-0000-00007EC90000}"/>
    <cellStyle name="SAPBEXundefined 4 6" xfId="51390" xr:uid="{00000000-0005-0000-0000-00007FC90000}"/>
    <cellStyle name="SAPBEXundefined 5" xfId="51391" xr:uid="{00000000-0005-0000-0000-000080C90000}"/>
    <cellStyle name="SAPBEXundefined 5 2" xfId="51392" xr:uid="{00000000-0005-0000-0000-000081C90000}"/>
    <cellStyle name="SAPBEXundefined 5 2 2" xfId="51393" xr:uid="{00000000-0005-0000-0000-000082C90000}"/>
    <cellStyle name="SAPBEXundefined 5 3" xfId="51394" xr:uid="{00000000-0005-0000-0000-000083C90000}"/>
    <cellStyle name="SAPBEXundefined 6" xfId="51395" xr:uid="{00000000-0005-0000-0000-000084C90000}"/>
    <cellStyle name="SAPBEXundefined 6 2" xfId="51396" xr:uid="{00000000-0005-0000-0000-000085C90000}"/>
    <cellStyle name="SAPBEXundefined 6 2 2" xfId="51397" xr:uid="{00000000-0005-0000-0000-000086C90000}"/>
    <cellStyle name="SAPBEXundefined 6 3" xfId="51398" xr:uid="{00000000-0005-0000-0000-000087C90000}"/>
    <cellStyle name="SAPBEXundefined 7" xfId="51399" xr:uid="{00000000-0005-0000-0000-000088C90000}"/>
    <cellStyle name="SAPBEXundefined 7 2" xfId="51400" xr:uid="{00000000-0005-0000-0000-000089C90000}"/>
    <cellStyle name="SAPBEXundefined 7 2 2" xfId="51401" xr:uid="{00000000-0005-0000-0000-00008AC90000}"/>
    <cellStyle name="SAPBEXundefined 7 3" xfId="51402" xr:uid="{00000000-0005-0000-0000-00008BC90000}"/>
    <cellStyle name="SAPBEXundefined 8" xfId="51403" xr:uid="{00000000-0005-0000-0000-00008CC90000}"/>
    <cellStyle name="SAPBEXundefined 8 2" xfId="51404" xr:uid="{00000000-0005-0000-0000-00008DC90000}"/>
    <cellStyle name="SAPBEXundefined 9" xfId="51405" xr:uid="{00000000-0005-0000-0000-00008EC90000}"/>
    <cellStyle name="SAPBEXundefined 9 2" xfId="51406" xr:uid="{00000000-0005-0000-0000-00008FC90000}"/>
    <cellStyle name="SHADEDSTORES" xfId="51407" xr:uid="{00000000-0005-0000-0000-000090C90000}"/>
    <cellStyle name="SHADEDSTORES 10" xfId="51408" xr:uid="{00000000-0005-0000-0000-000091C90000}"/>
    <cellStyle name="SHADEDSTORES 10 2" xfId="51409" xr:uid="{00000000-0005-0000-0000-000092C90000}"/>
    <cellStyle name="SHADEDSTORES 10 2 2" xfId="51410" xr:uid="{00000000-0005-0000-0000-000093C90000}"/>
    <cellStyle name="SHADEDSTORES 10 2 2 2" xfId="51411" xr:uid="{00000000-0005-0000-0000-000094C90000}"/>
    <cellStyle name="SHADEDSTORES 10 2 2 2 2" xfId="51412" xr:uid="{00000000-0005-0000-0000-000095C90000}"/>
    <cellStyle name="SHADEDSTORES 10 2 2 2 3" xfId="51413" xr:uid="{00000000-0005-0000-0000-000096C90000}"/>
    <cellStyle name="SHADEDSTORES 10 2 2 3" xfId="51414" xr:uid="{00000000-0005-0000-0000-000097C90000}"/>
    <cellStyle name="SHADEDSTORES 10 2 3" xfId="51415" xr:uid="{00000000-0005-0000-0000-000098C90000}"/>
    <cellStyle name="SHADEDSTORES 10 3" xfId="51416" xr:uid="{00000000-0005-0000-0000-000099C90000}"/>
    <cellStyle name="SHADEDSTORES 10 3 2" xfId="51417" xr:uid="{00000000-0005-0000-0000-00009AC90000}"/>
    <cellStyle name="SHADEDSTORES 10 3 2 2" xfId="51418" xr:uid="{00000000-0005-0000-0000-00009BC90000}"/>
    <cellStyle name="SHADEDSTORES 10 3 2 2 2" xfId="51419" xr:uid="{00000000-0005-0000-0000-00009CC90000}"/>
    <cellStyle name="SHADEDSTORES 10 3 2 2 3" xfId="51420" xr:uid="{00000000-0005-0000-0000-00009DC90000}"/>
    <cellStyle name="SHADEDSTORES 10 3 2 3" xfId="51421" xr:uid="{00000000-0005-0000-0000-00009EC90000}"/>
    <cellStyle name="SHADEDSTORES 10 3 3" xfId="51422" xr:uid="{00000000-0005-0000-0000-00009FC90000}"/>
    <cellStyle name="SHADEDSTORES 10 3 3 2" xfId="51423" xr:uid="{00000000-0005-0000-0000-0000A0C90000}"/>
    <cellStyle name="SHADEDSTORES 10 3 3 3" xfId="51424" xr:uid="{00000000-0005-0000-0000-0000A1C90000}"/>
    <cellStyle name="SHADEDSTORES 10 3 4" xfId="51425" xr:uid="{00000000-0005-0000-0000-0000A2C90000}"/>
    <cellStyle name="SHADEDSTORES 10 4" xfId="51426" xr:uid="{00000000-0005-0000-0000-0000A3C90000}"/>
    <cellStyle name="SHADEDSTORES 10 4 2" xfId="51427" xr:uid="{00000000-0005-0000-0000-0000A4C90000}"/>
    <cellStyle name="SHADEDSTORES 10 4 2 2" xfId="51428" xr:uid="{00000000-0005-0000-0000-0000A5C90000}"/>
    <cellStyle name="SHADEDSTORES 10 4 2 3" xfId="51429" xr:uid="{00000000-0005-0000-0000-0000A6C90000}"/>
    <cellStyle name="SHADEDSTORES 10 4 3" xfId="51430" xr:uid="{00000000-0005-0000-0000-0000A7C90000}"/>
    <cellStyle name="SHADEDSTORES 10 5" xfId="51431" xr:uid="{00000000-0005-0000-0000-0000A8C90000}"/>
    <cellStyle name="SHADEDSTORES 10 5 2" xfId="51432" xr:uid="{00000000-0005-0000-0000-0000A9C90000}"/>
    <cellStyle name="SHADEDSTORES 10 5 3" xfId="51433" xr:uid="{00000000-0005-0000-0000-0000AAC90000}"/>
    <cellStyle name="SHADEDSTORES 10 6" xfId="51434" xr:uid="{00000000-0005-0000-0000-0000ABC90000}"/>
    <cellStyle name="SHADEDSTORES 11" xfId="51435" xr:uid="{00000000-0005-0000-0000-0000ACC90000}"/>
    <cellStyle name="SHADEDSTORES 2" xfId="51436" xr:uid="{00000000-0005-0000-0000-0000ADC90000}"/>
    <cellStyle name="SHADEDSTORES 2 2" xfId="51437" xr:uid="{00000000-0005-0000-0000-0000AEC90000}"/>
    <cellStyle name="SHADEDSTORES 2 2 2" xfId="51438" xr:uid="{00000000-0005-0000-0000-0000AFC90000}"/>
    <cellStyle name="SHADEDSTORES 2 2 2 2" xfId="51439" xr:uid="{00000000-0005-0000-0000-0000B0C90000}"/>
    <cellStyle name="SHADEDSTORES 2 2 2 2 2" xfId="51440" xr:uid="{00000000-0005-0000-0000-0000B1C90000}"/>
    <cellStyle name="SHADEDSTORES 2 2 2 2 2 2" xfId="51441" xr:uid="{00000000-0005-0000-0000-0000B2C90000}"/>
    <cellStyle name="SHADEDSTORES 2 2 2 2 2 2 2" xfId="51442" xr:uid="{00000000-0005-0000-0000-0000B3C90000}"/>
    <cellStyle name="SHADEDSTORES 2 2 2 2 2 2 2 2" xfId="51443" xr:uid="{00000000-0005-0000-0000-0000B4C90000}"/>
    <cellStyle name="SHADEDSTORES 2 2 2 2 2 2 2 3" xfId="51444" xr:uid="{00000000-0005-0000-0000-0000B5C90000}"/>
    <cellStyle name="SHADEDSTORES 2 2 2 2 2 2 3" xfId="51445" xr:uid="{00000000-0005-0000-0000-0000B6C90000}"/>
    <cellStyle name="SHADEDSTORES 2 2 2 2 2 3" xfId="51446" xr:uid="{00000000-0005-0000-0000-0000B7C90000}"/>
    <cellStyle name="SHADEDSTORES 2 2 2 2 3" xfId="51447" xr:uid="{00000000-0005-0000-0000-0000B8C90000}"/>
    <cellStyle name="SHADEDSTORES 2 2 2 2 3 2" xfId="51448" xr:uid="{00000000-0005-0000-0000-0000B9C90000}"/>
    <cellStyle name="SHADEDSTORES 2 2 2 2 3 2 2" xfId="51449" xr:uid="{00000000-0005-0000-0000-0000BAC90000}"/>
    <cellStyle name="SHADEDSTORES 2 2 2 2 3 2 2 2" xfId="51450" xr:uid="{00000000-0005-0000-0000-0000BBC90000}"/>
    <cellStyle name="SHADEDSTORES 2 2 2 2 3 2 2 3" xfId="51451" xr:uid="{00000000-0005-0000-0000-0000BCC90000}"/>
    <cellStyle name="SHADEDSTORES 2 2 2 2 3 2 3" xfId="51452" xr:uid="{00000000-0005-0000-0000-0000BDC90000}"/>
    <cellStyle name="SHADEDSTORES 2 2 2 2 3 3" xfId="51453" xr:uid="{00000000-0005-0000-0000-0000BEC90000}"/>
    <cellStyle name="SHADEDSTORES 2 2 2 2 3 3 2" xfId="51454" xr:uid="{00000000-0005-0000-0000-0000BFC90000}"/>
    <cellStyle name="SHADEDSTORES 2 2 2 2 3 3 3" xfId="51455" xr:uid="{00000000-0005-0000-0000-0000C0C90000}"/>
    <cellStyle name="SHADEDSTORES 2 2 2 2 3 4" xfId="51456" xr:uid="{00000000-0005-0000-0000-0000C1C90000}"/>
    <cellStyle name="SHADEDSTORES 2 2 2 2 4" xfId="51457" xr:uid="{00000000-0005-0000-0000-0000C2C90000}"/>
    <cellStyle name="SHADEDSTORES 2 2 2 2 4 2" xfId="51458" xr:uid="{00000000-0005-0000-0000-0000C3C90000}"/>
    <cellStyle name="SHADEDSTORES 2 2 2 2 4 2 2" xfId="51459" xr:uid="{00000000-0005-0000-0000-0000C4C90000}"/>
    <cellStyle name="SHADEDSTORES 2 2 2 2 4 2 3" xfId="51460" xr:uid="{00000000-0005-0000-0000-0000C5C90000}"/>
    <cellStyle name="SHADEDSTORES 2 2 2 2 4 3" xfId="51461" xr:uid="{00000000-0005-0000-0000-0000C6C90000}"/>
    <cellStyle name="SHADEDSTORES 2 2 2 2 5" xfId="51462" xr:uid="{00000000-0005-0000-0000-0000C7C90000}"/>
    <cellStyle name="SHADEDSTORES 2 2 2 2 5 2" xfId="51463" xr:uid="{00000000-0005-0000-0000-0000C8C90000}"/>
    <cellStyle name="SHADEDSTORES 2 2 2 2 5 3" xfId="51464" xr:uid="{00000000-0005-0000-0000-0000C9C90000}"/>
    <cellStyle name="SHADEDSTORES 2 2 2 2 6" xfId="51465" xr:uid="{00000000-0005-0000-0000-0000CAC90000}"/>
    <cellStyle name="SHADEDSTORES 2 2 2 3" xfId="51466" xr:uid="{00000000-0005-0000-0000-0000CBC90000}"/>
    <cellStyle name="SHADEDSTORES 2 2 3" xfId="51467" xr:uid="{00000000-0005-0000-0000-0000CCC90000}"/>
    <cellStyle name="SHADEDSTORES 2 2 3 2" xfId="51468" xr:uid="{00000000-0005-0000-0000-0000CDC90000}"/>
    <cellStyle name="SHADEDSTORES 2 2 3 2 2" xfId="51469" xr:uid="{00000000-0005-0000-0000-0000CEC90000}"/>
    <cellStyle name="SHADEDSTORES 2 2 3 3" xfId="51470" xr:uid="{00000000-0005-0000-0000-0000CFC90000}"/>
    <cellStyle name="SHADEDSTORES 2 2 4" xfId="51471" xr:uid="{00000000-0005-0000-0000-0000D0C90000}"/>
    <cellStyle name="SHADEDSTORES 2 2 4 2" xfId="51472" xr:uid="{00000000-0005-0000-0000-0000D1C90000}"/>
    <cellStyle name="SHADEDSTORES 2 2 4 2 2" xfId="51473" xr:uid="{00000000-0005-0000-0000-0000D2C90000}"/>
    <cellStyle name="SHADEDSTORES 2 2 4 3" xfId="51474" xr:uid="{00000000-0005-0000-0000-0000D3C90000}"/>
    <cellStyle name="SHADEDSTORES 2 2 5" xfId="51475" xr:uid="{00000000-0005-0000-0000-0000D4C90000}"/>
    <cellStyle name="SHADEDSTORES 2 2 5 2" xfId="51476" xr:uid="{00000000-0005-0000-0000-0000D5C90000}"/>
    <cellStyle name="SHADEDSTORES 2 2 5 2 2" xfId="51477" xr:uid="{00000000-0005-0000-0000-0000D6C90000}"/>
    <cellStyle name="SHADEDSTORES 2 2 5 2 2 2" xfId="51478" xr:uid="{00000000-0005-0000-0000-0000D7C90000}"/>
    <cellStyle name="SHADEDSTORES 2 2 5 2 3" xfId="51479" xr:uid="{00000000-0005-0000-0000-0000D8C90000}"/>
    <cellStyle name="SHADEDSTORES 2 2 5 3" xfId="51480" xr:uid="{00000000-0005-0000-0000-0000D9C90000}"/>
    <cellStyle name="SHADEDSTORES 2 2 5 3 2" xfId="51481" xr:uid="{00000000-0005-0000-0000-0000DAC90000}"/>
    <cellStyle name="SHADEDSTORES 2 2 5 4" xfId="51482" xr:uid="{00000000-0005-0000-0000-0000DBC90000}"/>
    <cellStyle name="SHADEDSTORES 2 2 6" xfId="51483" xr:uid="{00000000-0005-0000-0000-0000DCC90000}"/>
    <cellStyle name="SHADEDSTORES 2 3" xfId="51484" xr:uid="{00000000-0005-0000-0000-0000DDC90000}"/>
    <cellStyle name="SHADEDSTORES 2 3 10" xfId="51485" xr:uid="{00000000-0005-0000-0000-0000DEC90000}"/>
    <cellStyle name="SHADEDSTORES 2 3 2" xfId="51486" xr:uid="{00000000-0005-0000-0000-0000DFC90000}"/>
    <cellStyle name="SHADEDSTORES 2 3 2 2" xfId="51487" xr:uid="{00000000-0005-0000-0000-0000E0C90000}"/>
    <cellStyle name="SHADEDSTORES 2 3 2 2 2" xfId="51488" xr:uid="{00000000-0005-0000-0000-0000E1C90000}"/>
    <cellStyle name="SHADEDSTORES 2 3 2 2 2 2" xfId="51489" xr:uid="{00000000-0005-0000-0000-0000E2C90000}"/>
    <cellStyle name="SHADEDSTORES 2 3 2 2 2 2 2" xfId="51490" xr:uid="{00000000-0005-0000-0000-0000E3C90000}"/>
    <cellStyle name="SHADEDSTORES 2 3 2 2 2 2 2 2" xfId="51491" xr:uid="{00000000-0005-0000-0000-0000E4C90000}"/>
    <cellStyle name="SHADEDSTORES 2 3 2 2 2 2 3" xfId="51492" xr:uid="{00000000-0005-0000-0000-0000E5C90000}"/>
    <cellStyle name="SHADEDSTORES 2 3 2 2 2 3" xfId="51493" xr:uid="{00000000-0005-0000-0000-0000E6C90000}"/>
    <cellStyle name="SHADEDSTORES 2 3 2 2 2 3 2" xfId="51494" xr:uid="{00000000-0005-0000-0000-0000E7C90000}"/>
    <cellStyle name="SHADEDSTORES 2 3 2 2 2 4" xfId="51495" xr:uid="{00000000-0005-0000-0000-0000E8C90000}"/>
    <cellStyle name="SHADEDSTORES 2 3 2 2 3" xfId="51496" xr:uid="{00000000-0005-0000-0000-0000E9C90000}"/>
    <cellStyle name="SHADEDSTORES 2 3 2 2 3 2" xfId="51497" xr:uid="{00000000-0005-0000-0000-0000EAC90000}"/>
    <cellStyle name="SHADEDSTORES 2 3 2 2 3 2 2" xfId="51498" xr:uid="{00000000-0005-0000-0000-0000EBC90000}"/>
    <cellStyle name="SHADEDSTORES 2 3 2 2 3 3" xfId="51499" xr:uid="{00000000-0005-0000-0000-0000ECC90000}"/>
    <cellStyle name="SHADEDSTORES 2 3 2 2 3 3 2" xfId="51500" xr:uid="{00000000-0005-0000-0000-0000EDC90000}"/>
    <cellStyle name="SHADEDSTORES 2 3 2 2 3 4" xfId="51501" xr:uid="{00000000-0005-0000-0000-0000EEC90000}"/>
    <cellStyle name="SHADEDSTORES 2 3 2 2 4" xfId="51502" xr:uid="{00000000-0005-0000-0000-0000EFC90000}"/>
    <cellStyle name="SHADEDSTORES 2 3 2 2 4 2" xfId="51503" xr:uid="{00000000-0005-0000-0000-0000F0C90000}"/>
    <cellStyle name="SHADEDSTORES 2 3 2 2 5" xfId="51504" xr:uid="{00000000-0005-0000-0000-0000F1C90000}"/>
    <cellStyle name="SHADEDSTORES 2 3 2 2 5 2" xfId="51505" xr:uid="{00000000-0005-0000-0000-0000F2C90000}"/>
    <cellStyle name="SHADEDSTORES 2 3 2 2 6" xfId="51506" xr:uid="{00000000-0005-0000-0000-0000F3C90000}"/>
    <cellStyle name="SHADEDSTORES 2 3 2 3" xfId="51507" xr:uid="{00000000-0005-0000-0000-0000F4C90000}"/>
    <cellStyle name="SHADEDSTORES 2 3 2 3 2" xfId="51508" xr:uid="{00000000-0005-0000-0000-0000F5C90000}"/>
    <cellStyle name="SHADEDSTORES 2 3 2 3 2 2" xfId="51509" xr:uid="{00000000-0005-0000-0000-0000F6C90000}"/>
    <cellStyle name="SHADEDSTORES 2 3 2 3 3" xfId="51510" xr:uid="{00000000-0005-0000-0000-0000F7C90000}"/>
    <cellStyle name="SHADEDSTORES 2 3 2 4" xfId="51511" xr:uid="{00000000-0005-0000-0000-0000F8C90000}"/>
    <cellStyle name="SHADEDSTORES 2 3 2 4 2" xfId="51512" xr:uid="{00000000-0005-0000-0000-0000F9C90000}"/>
    <cellStyle name="SHADEDSTORES 2 3 2 4 2 2" xfId="51513" xr:uid="{00000000-0005-0000-0000-0000FAC90000}"/>
    <cellStyle name="SHADEDSTORES 2 3 2 4 2 2 2" xfId="51514" xr:uid="{00000000-0005-0000-0000-0000FBC90000}"/>
    <cellStyle name="SHADEDSTORES 2 3 2 4 2 3" xfId="51515" xr:uid="{00000000-0005-0000-0000-0000FCC90000}"/>
    <cellStyle name="SHADEDSTORES 2 3 2 4 3" xfId="51516" xr:uid="{00000000-0005-0000-0000-0000FDC90000}"/>
    <cellStyle name="SHADEDSTORES 2 3 2 4 3 2" xfId="51517" xr:uid="{00000000-0005-0000-0000-0000FEC90000}"/>
    <cellStyle name="SHADEDSTORES 2 3 2 4 4" xfId="51518" xr:uid="{00000000-0005-0000-0000-0000FFC90000}"/>
    <cellStyle name="SHADEDSTORES 2 3 2 5" xfId="51519" xr:uid="{00000000-0005-0000-0000-000000CA0000}"/>
    <cellStyle name="SHADEDSTORES 2 3 2 5 2" xfId="51520" xr:uid="{00000000-0005-0000-0000-000001CA0000}"/>
    <cellStyle name="SHADEDSTORES 2 3 2 5 2 2" xfId="51521" xr:uid="{00000000-0005-0000-0000-000002CA0000}"/>
    <cellStyle name="SHADEDSTORES 2 3 2 5 3" xfId="51522" xr:uid="{00000000-0005-0000-0000-000003CA0000}"/>
    <cellStyle name="SHADEDSTORES 2 3 2 5 3 2" xfId="51523" xr:uid="{00000000-0005-0000-0000-000004CA0000}"/>
    <cellStyle name="SHADEDSTORES 2 3 2 5 4" xfId="51524" xr:uid="{00000000-0005-0000-0000-000005CA0000}"/>
    <cellStyle name="SHADEDSTORES 2 3 2 6" xfId="51525" xr:uid="{00000000-0005-0000-0000-000006CA0000}"/>
    <cellStyle name="SHADEDSTORES 2 3 2 6 2" xfId="51526" xr:uid="{00000000-0005-0000-0000-000007CA0000}"/>
    <cellStyle name="SHADEDSTORES 2 3 2 7" xfId="51527" xr:uid="{00000000-0005-0000-0000-000008CA0000}"/>
    <cellStyle name="SHADEDSTORES 2 3 2 7 2" xfId="51528" xr:uid="{00000000-0005-0000-0000-000009CA0000}"/>
    <cellStyle name="SHADEDSTORES 2 3 2 8" xfId="51529" xr:uid="{00000000-0005-0000-0000-00000ACA0000}"/>
    <cellStyle name="SHADEDSTORES 2 3 3" xfId="51530" xr:uid="{00000000-0005-0000-0000-00000BCA0000}"/>
    <cellStyle name="SHADEDSTORES 2 3 3 2" xfId="51531" xr:uid="{00000000-0005-0000-0000-00000CCA0000}"/>
    <cellStyle name="SHADEDSTORES 2 3 3 2 2" xfId="51532" xr:uid="{00000000-0005-0000-0000-00000DCA0000}"/>
    <cellStyle name="SHADEDSTORES 2 3 3 2 2 2" xfId="51533" xr:uid="{00000000-0005-0000-0000-00000ECA0000}"/>
    <cellStyle name="SHADEDSTORES 2 3 3 2 2 2 2" xfId="51534" xr:uid="{00000000-0005-0000-0000-00000FCA0000}"/>
    <cellStyle name="SHADEDSTORES 2 3 3 2 2 2 2 2" xfId="51535" xr:uid="{00000000-0005-0000-0000-000010CA0000}"/>
    <cellStyle name="SHADEDSTORES 2 3 3 2 2 2 3" xfId="51536" xr:uid="{00000000-0005-0000-0000-000011CA0000}"/>
    <cellStyle name="SHADEDSTORES 2 3 3 2 2 3" xfId="51537" xr:uid="{00000000-0005-0000-0000-000012CA0000}"/>
    <cellStyle name="SHADEDSTORES 2 3 3 2 2 3 2" xfId="51538" xr:uid="{00000000-0005-0000-0000-000013CA0000}"/>
    <cellStyle name="SHADEDSTORES 2 3 3 2 2 4" xfId="51539" xr:uid="{00000000-0005-0000-0000-000014CA0000}"/>
    <cellStyle name="SHADEDSTORES 2 3 3 2 3" xfId="51540" xr:uid="{00000000-0005-0000-0000-000015CA0000}"/>
    <cellStyle name="SHADEDSTORES 2 3 3 2 3 2" xfId="51541" xr:uid="{00000000-0005-0000-0000-000016CA0000}"/>
    <cellStyle name="SHADEDSTORES 2 3 3 2 3 2 2" xfId="51542" xr:uid="{00000000-0005-0000-0000-000017CA0000}"/>
    <cellStyle name="SHADEDSTORES 2 3 3 2 3 3" xfId="51543" xr:uid="{00000000-0005-0000-0000-000018CA0000}"/>
    <cellStyle name="SHADEDSTORES 2 3 3 2 3 3 2" xfId="51544" xr:uid="{00000000-0005-0000-0000-000019CA0000}"/>
    <cellStyle name="SHADEDSTORES 2 3 3 2 3 4" xfId="51545" xr:uid="{00000000-0005-0000-0000-00001ACA0000}"/>
    <cellStyle name="SHADEDSTORES 2 3 3 2 4" xfId="51546" xr:uid="{00000000-0005-0000-0000-00001BCA0000}"/>
    <cellStyle name="SHADEDSTORES 2 3 3 2 4 2" xfId="51547" xr:uid="{00000000-0005-0000-0000-00001CCA0000}"/>
    <cellStyle name="SHADEDSTORES 2 3 3 2 5" xfId="51548" xr:uid="{00000000-0005-0000-0000-00001DCA0000}"/>
    <cellStyle name="SHADEDSTORES 2 3 3 2 5 2" xfId="51549" xr:uid="{00000000-0005-0000-0000-00001ECA0000}"/>
    <cellStyle name="SHADEDSTORES 2 3 3 2 6" xfId="51550" xr:uid="{00000000-0005-0000-0000-00001FCA0000}"/>
    <cellStyle name="SHADEDSTORES 2 3 3 3" xfId="51551" xr:uid="{00000000-0005-0000-0000-000020CA0000}"/>
    <cellStyle name="SHADEDSTORES 2 3 3 3 2" xfId="51552" xr:uid="{00000000-0005-0000-0000-000021CA0000}"/>
    <cellStyle name="SHADEDSTORES 2 3 3 3 2 2" xfId="51553" xr:uid="{00000000-0005-0000-0000-000022CA0000}"/>
    <cellStyle name="SHADEDSTORES 2 3 3 3 2 2 2" xfId="51554" xr:uid="{00000000-0005-0000-0000-000023CA0000}"/>
    <cellStyle name="SHADEDSTORES 2 3 3 3 2 3" xfId="51555" xr:uid="{00000000-0005-0000-0000-000024CA0000}"/>
    <cellStyle name="SHADEDSTORES 2 3 3 3 3" xfId="51556" xr:uid="{00000000-0005-0000-0000-000025CA0000}"/>
    <cellStyle name="SHADEDSTORES 2 3 3 3 3 2" xfId="51557" xr:uid="{00000000-0005-0000-0000-000026CA0000}"/>
    <cellStyle name="SHADEDSTORES 2 3 3 3 4" xfId="51558" xr:uid="{00000000-0005-0000-0000-000027CA0000}"/>
    <cellStyle name="SHADEDSTORES 2 3 3 4" xfId="51559" xr:uid="{00000000-0005-0000-0000-000028CA0000}"/>
    <cellStyle name="SHADEDSTORES 2 3 3 4 2" xfId="51560" xr:uid="{00000000-0005-0000-0000-000029CA0000}"/>
    <cellStyle name="SHADEDSTORES 2 3 3 4 2 2" xfId="51561" xr:uid="{00000000-0005-0000-0000-00002ACA0000}"/>
    <cellStyle name="SHADEDSTORES 2 3 3 4 3" xfId="51562" xr:uid="{00000000-0005-0000-0000-00002BCA0000}"/>
    <cellStyle name="SHADEDSTORES 2 3 3 4 3 2" xfId="51563" xr:uid="{00000000-0005-0000-0000-00002CCA0000}"/>
    <cellStyle name="SHADEDSTORES 2 3 3 4 4" xfId="51564" xr:uid="{00000000-0005-0000-0000-00002DCA0000}"/>
    <cellStyle name="SHADEDSTORES 2 3 3 5" xfId="51565" xr:uid="{00000000-0005-0000-0000-00002ECA0000}"/>
    <cellStyle name="SHADEDSTORES 2 3 3 5 2" xfId="51566" xr:uid="{00000000-0005-0000-0000-00002FCA0000}"/>
    <cellStyle name="SHADEDSTORES 2 3 3 6" xfId="51567" xr:uid="{00000000-0005-0000-0000-000030CA0000}"/>
    <cellStyle name="SHADEDSTORES 2 3 3 6 2" xfId="51568" xr:uid="{00000000-0005-0000-0000-000031CA0000}"/>
    <cellStyle name="SHADEDSTORES 2 3 3 7" xfId="51569" xr:uid="{00000000-0005-0000-0000-000032CA0000}"/>
    <cellStyle name="SHADEDSTORES 2 3 4" xfId="51570" xr:uid="{00000000-0005-0000-0000-000033CA0000}"/>
    <cellStyle name="SHADEDSTORES 2 3 4 2" xfId="51571" xr:uid="{00000000-0005-0000-0000-000034CA0000}"/>
    <cellStyle name="SHADEDSTORES 2 3 4 2 2" xfId="51572" xr:uid="{00000000-0005-0000-0000-000035CA0000}"/>
    <cellStyle name="SHADEDSTORES 2 3 4 3" xfId="51573" xr:uid="{00000000-0005-0000-0000-000036CA0000}"/>
    <cellStyle name="SHADEDSTORES 2 3 5" xfId="51574" xr:uid="{00000000-0005-0000-0000-000037CA0000}"/>
    <cellStyle name="SHADEDSTORES 2 3 5 2" xfId="51575" xr:uid="{00000000-0005-0000-0000-000038CA0000}"/>
    <cellStyle name="SHADEDSTORES 2 3 5 2 2" xfId="51576" xr:uid="{00000000-0005-0000-0000-000039CA0000}"/>
    <cellStyle name="SHADEDSTORES 2 3 5 3" xfId="51577" xr:uid="{00000000-0005-0000-0000-00003ACA0000}"/>
    <cellStyle name="SHADEDSTORES 2 3 6" xfId="51578" xr:uid="{00000000-0005-0000-0000-00003BCA0000}"/>
    <cellStyle name="SHADEDSTORES 2 3 6 2" xfId="51579" xr:uid="{00000000-0005-0000-0000-00003CCA0000}"/>
    <cellStyle name="SHADEDSTORES 2 3 6 2 2" xfId="51580" xr:uid="{00000000-0005-0000-0000-00003DCA0000}"/>
    <cellStyle name="SHADEDSTORES 2 3 6 2 2 2" xfId="51581" xr:uid="{00000000-0005-0000-0000-00003ECA0000}"/>
    <cellStyle name="SHADEDSTORES 2 3 6 2 3" xfId="51582" xr:uid="{00000000-0005-0000-0000-00003FCA0000}"/>
    <cellStyle name="SHADEDSTORES 2 3 6 3" xfId="51583" xr:uid="{00000000-0005-0000-0000-000040CA0000}"/>
    <cellStyle name="SHADEDSTORES 2 3 6 3 2" xfId="51584" xr:uid="{00000000-0005-0000-0000-000041CA0000}"/>
    <cellStyle name="SHADEDSTORES 2 3 6 4" xfId="51585" xr:uid="{00000000-0005-0000-0000-000042CA0000}"/>
    <cellStyle name="SHADEDSTORES 2 3 7" xfId="51586" xr:uid="{00000000-0005-0000-0000-000043CA0000}"/>
    <cellStyle name="SHADEDSTORES 2 3 7 2" xfId="51587" xr:uid="{00000000-0005-0000-0000-000044CA0000}"/>
    <cellStyle name="SHADEDSTORES 2 3 7 2 2" xfId="51588" xr:uid="{00000000-0005-0000-0000-000045CA0000}"/>
    <cellStyle name="SHADEDSTORES 2 3 7 3" xfId="51589" xr:uid="{00000000-0005-0000-0000-000046CA0000}"/>
    <cellStyle name="SHADEDSTORES 2 3 7 3 2" xfId="51590" xr:uid="{00000000-0005-0000-0000-000047CA0000}"/>
    <cellStyle name="SHADEDSTORES 2 3 7 4" xfId="51591" xr:uid="{00000000-0005-0000-0000-000048CA0000}"/>
    <cellStyle name="SHADEDSTORES 2 3 8" xfId="51592" xr:uid="{00000000-0005-0000-0000-000049CA0000}"/>
    <cellStyle name="SHADEDSTORES 2 3 8 2" xfId="51593" xr:uid="{00000000-0005-0000-0000-00004ACA0000}"/>
    <cellStyle name="SHADEDSTORES 2 3 9" xfId="51594" xr:uid="{00000000-0005-0000-0000-00004BCA0000}"/>
    <cellStyle name="SHADEDSTORES 2 3 9 2" xfId="51595" xr:uid="{00000000-0005-0000-0000-00004CCA0000}"/>
    <cellStyle name="SHADEDSTORES 2 4" xfId="51596" xr:uid="{00000000-0005-0000-0000-00004DCA0000}"/>
    <cellStyle name="SHADEDSTORES 2 4 2" xfId="51597" xr:uid="{00000000-0005-0000-0000-00004ECA0000}"/>
    <cellStyle name="SHADEDSTORES 2 4 2 2" xfId="51598" xr:uid="{00000000-0005-0000-0000-00004FCA0000}"/>
    <cellStyle name="SHADEDSTORES 2 4 2 2 2" xfId="51599" xr:uid="{00000000-0005-0000-0000-000050CA0000}"/>
    <cellStyle name="SHADEDSTORES 2 4 2 2 2 2" xfId="51600" xr:uid="{00000000-0005-0000-0000-000051CA0000}"/>
    <cellStyle name="SHADEDSTORES 2 4 2 2 2 2 2" xfId="51601" xr:uid="{00000000-0005-0000-0000-000052CA0000}"/>
    <cellStyle name="SHADEDSTORES 2 4 2 2 2 3" xfId="51602" xr:uid="{00000000-0005-0000-0000-000053CA0000}"/>
    <cellStyle name="SHADEDSTORES 2 4 2 2 3" xfId="51603" xr:uid="{00000000-0005-0000-0000-000054CA0000}"/>
    <cellStyle name="SHADEDSTORES 2 4 2 2 3 2" xfId="51604" xr:uid="{00000000-0005-0000-0000-000055CA0000}"/>
    <cellStyle name="SHADEDSTORES 2 4 2 2 4" xfId="51605" xr:uid="{00000000-0005-0000-0000-000056CA0000}"/>
    <cellStyle name="SHADEDSTORES 2 4 2 3" xfId="51606" xr:uid="{00000000-0005-0000-0000-000057CA0000}"/>
    <cellStyle name="SHADEDSTORES 2 4 2 3 2" xfId="51607" xr:uid="{00000000-0005-0000-0000-000058CA0000}"/>
    <cellStyle name="SHADEDSTORES 2 4 2 3 2 2" xfId="51608" xr:uid="{00000000-0005-0000-0000-000059CA0000}"/>
    <cellStyle name="SHADEDSTORES 2 4 2 3 3" xfId="51609" xr:uid="{00000000-0005-0000-0000-00005ACA0000}"/>
    <cellStyle name="SHADEDSTORES 2 4 2 3 3 2" xfId="51610" xr:uid="{00000000-0005-0000-0000-00005BCA0000}"/>
    <cellStyle name="SHADEDSTORES 2 4 2 3 4" xfId="51611" xr:uid="{00000000-0005-0000-0000-00005CCA0000}"/>
    <cellStyle name="SHADEDSTORES 2 4 2 4" xfId="51612" xr:uid="{00000000-0005-0000-0000-00005DCA0000}"/>
    <cellStyle name="SHADEDSTORES 2 4 2 4 2" xfId="51613" xr:uid="{00000000-0005-0000-0000-00005ECA0000}"/>
    <cellStyle name="SHADEDSTORES 2 4 2 5" xfId="51614" xr:uid="{00000000-0005-0000-0000-00005FCA0000}"/>
    <cellStyle name="SHADEDSTORES 2 4 2 5 2" xfId="51615" xr:uid="{00000000-0005-0000-0000-000060CA0000}"/>
    <cellStyle name="SHADEDSTORES 2 4 2 6" xfId="51616" xr:uid="{00000000-0005-0000-0000-000061CA0000}"/>
    <cellStyle name="SHADEDSTORES 2 4 3" xfId="51617" xr:uid="{00000000-0005-0000-0000-000062CA0000}"/>
    <cellStyle name="SHADEDSTORES 2 4 3 2" xfId="51618" xr:uid="{00000000-0005-0000-0000-000063CA0000}"/>
    <cellStyle name="SHADEDSTORES 2 4 3 2 2" xfId="51619" xr:uid="{00000000-0005-0000-0000-000064CA0000}"/>
    <cellStyle name="SHADEDSTORES 2 4 3 2 2 2" xfId="51620" xr:uid="{00000000-0005-0000-0000-000065CA0000}"/>
    <cellStyle name="SHADEDSTORES 2 4 3 2 3" xfId="51621" xr:uid="{00000000-0005-0000-0000-000066CA0000}"/>
    <cellStyle name="SHADEDSTORES 2 4 3 3" xfId="51622" xr:uid="{00000000-0005-0000-0000-000067CA0000}"/>
    <cellStyle name="SHADEDSTORES 2 4 3 3 2" xfId="51623" xr:uid="{00000000-0005-0000-0000-000068CA0000}"/>
    <cellStyle name="SHADEDSTORES 2 4 3 4" xfId="51624" xr:uid="{00000000-0005-0000-0000-000069CA0000}"/>
    <cellStyle name="SHADEDSTORES 2 4 4" xfId="51625" xr:uid="{00000000-0005-0000-0000-00006ACA0000}"/>
    <cellStyle name="SHADEDSTORES 2 4 4 2" xfId="51626" xr:uid="{00000000-0005-0000-0000-00006BCA0000}"/>
    <cellStyle name="SHADEDSTORES 2 4 4 2 2" xfId="51627" xr:uid="{00000000-0005-0000-0000-00006CCA0000}"/>
    <cellStyle name="SHADEDSTORES 2 4 4 3" xfId="51628" xr:uid="{00000000-0005-0000-0000-00006DCA0000}"/>
    <cellStyle name="SHADEDSTORES 2 4 4 3 2" xfId="51629" xr:uid="{00000000-0005-0000-0000-00006ECA0000}"/>
    <cellStyle name="SHADEDSTORES 2 4 4 4" xfId="51630" xr:uid="{00000000-0005-0000-0000-00006FCA0000}"/>
    <cellStyle name="SHADEDSTORES 2 4 5" xfId="51631" xr:uid="{00000000-0005-0000-0000-000070CA0000}"/>
    <cellStyle name="SHADEDSTORES 2 4 5 2" xfId="51632" xr:uid="{00000000-0005-0000-0000-000071CA0000}"/>
    <cellStyle name="SHADEDSTORES 2 4 6" xfId="51633" xr:uid="{00000000-0005-0000-0000-000072CA0000}"/>
    <cellStyle name="SHADEDSTORES 2 4 6 2" xfId="51634" xr:uid="{00000000-0005-0000-0000-000073CA0000}"/>
    <cellStyle name="SHADEDSTORES 2 4 7" xfId="51635" xr:uid="{00000000-0005-0000-0000-000074CA0000}"/>
    <cellStyle name="SHADEDSTORES 2 5" xfId="51636" xr:uid="{00000000-0005-0000-0000-000075CA0000}"/>
    <cellStyle name="SHADEDSTORES 2 5 2" xfId="51637" xr:uid="{00000000-0005-0000-0000-000076CA0000}"/>
    <cellStyle name="SHADEDSTORES 2 5 2 2" xfId="51638" xr:uid="{00000000-0005-0000-0000-000077CA0000}"/>
    <cellStyle name="SHADEDSTORES 2 5 3" xfId="51639" xr:uid="{00000000-0005-0000-0000-000078CA0000}"/>
    <cellStyle name="SHADEDSTORES 2 6" xfId="51640" xr:uid="{00000000-0005-0000-0000-000079CA0000}"/>
    <cellStyle name="SHADEDSTORES 2 6 2" xfId="51641" xr:uid="{00000000-0005-0000-0000-00007ACA0000}"/>
    <cellStyle name="SHADEDSTORES 2 6 2 2" xfId="51642" xr:uid="{00000000-0005-0000-0000-00007BCA0000}"/>
    <cellStyle name="SHADEDSTORES 2 6 3" xfId="51643" xr:uid="{00000000-0005-0000-0000-00007CCA0000}"/>
    <cellStyle name="SHADEDSTORES 2 7" xfId="51644" xr:uid="{00000000-0005-0000-0000-00007DCA0000}"/>
    <cellStyle name="SHADEDSTORES 2 7 2" xfId="51645" xr:uid="{00000000-0005-0000-0000-00007ECA0000}"/>
    <cellStyle name="SHADEDSTORES 2 7 2 2" xfId="51646" xr:uid="{00000000-0005-0000-0000-00007FCA0000}"/>
    <cellStyle name="SHADEDSTORES 2 7 2 2 2" xfId="51647" xr:uid="{00000000-0005-0000-0000-000080CA0000}"/>
    <cellStyle name="SHADEDSTORES 2 7 2 3" xfId="51648" xr:uid="{00000000-0005-0000-0000-000081CA0000}"/>
    <cellStyle name="SHADEDSTORES 2 7 3" xfId="51649" xr:uid="{00000000-0005-0000-0000-000082CA0000}"/>
    <cellStyle name="SHADEDSTORES 2 7 3 2" xfId="51650" xr:uid="{00000000-0005-0000-0000-000083CA0000}"/>
    <cellStyle name="SHADEDSTORES 2 7 4" xfId="51651" xr:uid="{00000000-0005-0000-0000-000084CA0000}"/>
    <cellStyle name="SHADEDSTORES 2 8" xfId="51652" xr:uid="{00000000-0005-0000-0000-000085CA0000}"/>
    <cellStyle name="SHADEDSTORES 3" xfId="51653" xr:uid="{00000000-0005-0000-0000-000086CA0000}"/>
    <cellStyle name="SHADEDSTORES 3 10" xfId="51654" xr:uid="{00000000-0005-0000-0000-000087CA0000}"/>
    <cellStyle name="SHADEDSTORES 3 11" xfId="51655" xr:uid="{00000000-0005-0000-0000-000088CA0000}"/>
    <cellStyle name="SHADEDSTORES 3 2" xfId="51656" xr:uid="{00000000-0005-0000-0000-000089CA0000}"/>
    <cellStyle name="SHADEDSTORES 3 2 2" xfId="51657" xr:uid="{00000000-0005-0000-0000-00008ACA0000}"/>
    <cellStyle name="SHADEDSTORES 3 2 2 2" xfId="51658" xr:uid="{00000000-0005-0000-0000-00008BCA0000}"/>
    <cellStyle name="SHADEDSTORES 3 2 2 2 2" xfId="51659" xr:uid="{00000000-0005-0000-0000-00008CCA0000}"/>
    <cellStyle name="SHADEDSTORES 3 2 2 2 2 2" xfId="51660" xr:uid="{00000000-0005-0000-0000-00008DCA0000}"/>
    <cellStyle name="SHADEDSTORES 3 2 2 2 2 2 2" xfId="51661" xr:uid="{00000000-0005-0000-0000-00008ECA0000}"/>
    <cellStyle name="SHADEDSTORES 3 2 2 2 2 3" xfId="51662" xr:uid="{00000000-0005-0000-0000-00008FCA0000}"/>
    <cellStyle name="SHADEDSTORES 3 2 2 2 3" xfId="51663" xr:uid="{00000000-0005-0000-0000-000090CA0000}"/>
    <cellStyle name="SHADEDSTORES 3 2 2 2 3 2" xfId="51664" xr:uid="{00000000-0005-0000-0000-000091CA0000}"/>
    <cellStyle name="SHADEDSTORES 3 2 2 2 4" xfId="51665" xr:uid="{00000000-0005-0000-0000-000092CA0000}"/>
    <cellStyle name="SHADEDSTORES 3 2 2 3" xfId="51666" xr:uid="{00000000-0005-0000-0000-000093CA0000}"/>
    <cellStyle name="SHADEDSTORES 3 2 2 3 2" xfId="51667" xr:uid="{00000000-0005-0000-0000-000094CA0000}"/>
    <cellStyle name="SHADEDSTORES 3 2 2 3 2 2" xfId="51668" xr:uid="{00000000-0005-0000-0000-000095CA0000}"/>
    <cellStyle name="SHADEDSTORES 3 2 2 3 3" xfId="51669" xr:uid="{00000000-0005-0000-0000-000096CA0000}"/>
    <cellStyle name="SHADEDSTORES 3 2 2 3 3 2" xfId="51670" xr:uid="{00000000-0005-0000-0000-000097CA0000}"/>
    <cellStyle name="SHADEDSTORES 3 2 2 3 4" xfId="51671" xr:uid="{00000000-0005-0000-0000-000098CA0000}"/>
    <cellStyle name="SHADEDSTORES 3 2 2 4" xfId="51672" xr:uid="{00000000-0005-0000-0000-000099CA0000}"/>
    <cellStyle name="SHADEDSTORES 3 2 2 4 2" xfId="51673" xr:uid="{00000000-0005-0000-0000-00009ACA0000}"/>
    <cellStyle name="SHADEDSTORES 3 2 2 5" xfId="51674" xr:uid="{00000000-0005-0000-0000-00009BCA0000}"/>
    <cellStyle name="SHADEDSTORES 3 2 2 5 2" xfId="51675" xr:uid="{00000000-0005-0000-0000-00009CCA0000}"/>
    <cellStyle name="SHADEDSTORES 3 2 2 6" xfId="51676" xr:uid="{00000000-0005-0000-0000-00009DCA0000}"/>
    <cellStyle name="SHADEDSTORES 3 2 3" xfId="51677" xr:uid="{00000000-0005-0000-0000-00009ECA0000}"/>
    <cellStyle name="SHADEDSTORES 3 2 3 2" xfId="51678" xr:uid="{00000000-0005-0000-0000-00009FCA0000}"/>
    <cellStyle name="SHADEDSTORES 3 2 3 2 2" xfId="51679" xr:uid="{00000000-0005-0000-0000-0000A0CA0000}"/>
    <cellStyle name="SHADEDSTORES 3 2 3 3" xfId="51680" xr:uid="{00000000-0005-0000-0000-0000A1CA0000}"/>
    <cellStyle name="SHADEDSTORES 3 2 4" xfId="51681" xr:uid="{00000000-0005-0000-0000-0000A2CA0000}"/>
    <cellStyle name="SHADEDSTORES 3 2 4 2" xfId="51682" xr:uid="{00000000-0005-0000-0000-0000A3CA0000}"/>
    <cellStyle name="SHADEDSTORES 3 2 4 2 2" xfId="51683" xr:uid="{00000000-0005-0000-0000-0000A4CA0000}"/>
    <cellStyle name="SHADEDSTORES 3 2 4 3" xfId="51684" xr:uid="{00000000-0005-0000-0000-0000A5CA0000}"/>
    <cellStyle name="SHADEDSTORES 3 2 5" xfId="51685" xr:uid="{00000000-0005-0000-0000-0000A6CA0000}"/>
    <cellStyle name="SHADEDSTORES 3 2 5 2" xfId="51686" xr:uid="{00000000-0005-0000-0000-0000A7CA0000}"/>
    <cellStyle name="SHADEDSTORES 3 2 5 2 2" xfId="51687" xr:uid="{00000000-0005-0000-0000-0000A8CA0000}"/>
    <cellStyle name="SHADEDSTORES 3 2 5 2 2 2" xfId="51688" xr:uid="{00000000-0005-0000-0000-0000A9CA0000}"/>
    <cellStyle name="SHADEDSTORES 3 2 5 2 3" xfId="51689" xr:uid="{00000000-0005-0000-0000-0000AACA0000}"/>
    <cellStyle name="SHADEDSTORES 3 2 5 3" xfId="51690" xr:uid="{00000000-0005-0000-0000-0000ABCA0000}"/>
    <cellStyle name="SHADEDSTORES 3 2 5 3 2" xfId="51691" xr:uid="{00000000-0005-0000-0000-0000ACCA0000}"/>
    <cellStyle name="SHADEDSTORES 3 2 5 4" xfId="51692" xr:uid="{00000000-0005-0000-0000-0000ADCA0000}"/>
    <cellStyle name="SHADEDSTORES 3 2 6" xfId="51693" xr:uid="{00000000-0005-0000-0000-0000AECA0000}"/>
    <cellStyle name="SHADEDSTORES 3 2 6 2" xfId="51694" xr:uid="{00000000-0005-0000-0000-0000AFCA0000}"/>
    <cellStyle name="SHADEDSTORES 3 2 6 2 2" xfId="51695" xr:uid="{00000000-0005-0000-0000-0000B0CA0000}"/>
    <cellStyle name="SHADEDSTORES 3 2 6 3" xfId="51696" xr:uid="{00000000-0005-0000-0000-0000B1CA0000}"/>
    <cellStyle name="SHADEDSTORES 3 2 6 3 2" xfId="51697" xr:uid="{00000000-0005-0000-0000-0000B2CA0000}"/>
    <cellStyle name="SHADEDSTORES 3 2 6 4" xfId="51698" xr:uid="{00000000-0005-0000-0000-0000B3CA0000}"/>
    <cellStyle name="SHADEDSTORES 3 2 7" xfId="51699" xr:uid="{00000000-0005-0000-0000-0000B4CA0000}"/>
    <cellStyle name="SHADEDSTORES 3 2 7 2" xfId="51700" xr:uid="{00000000-0005-0000-0000-0000B5CA0000}"/>
    <cellStyle name="SHADEDSTORES 3 2 8" xfId="51701" xr:uid="{00000000-0005-0000-0000-0000B6CA0000}"/>
    <cellStyle name="SHADEDSTORES 3 2 8 2" xfId="51702" xr:uid="{00000000-0005-0000-0000-0000B7CA0000}"/>
    <cellStyle name="SHADEDSTORES 3 2 9" xfId="51703" xr:uid="{00000000-0005-0000-0000-0000B8CA0000}"/>
    <cellStyle name="SHADEDSTORES 3 3" xfId="51704" xr:uid="{00000000-0005-0000-0000-0000B9CA0000}"/>
    <cellStyle name="SHADEDSTORES 3 3 2" xfId="51705" xr:uid="{00000000-0005-0000-0000-0000BACA0000}"/>
    <cellStyle name="SHADEDSTORES 3 3 2 2" xfId="51706" xr:uid="{00000000-0005-0000-0000-0000BBCA0000}"/>
    <cellStyle name="SHADEDSTORES 3 3 2 2 2" xfId="51707" xr:uid="{00000000-0005-0000-0000-0000BCCA0000}"/>
    <cellStyle name="SHADEDSTORES 3 3 2 2 2 2" xfId="51708" xr:uid="{00000000-0005-0000-0000-0000BDCA0000}"/>
    <cellStyle name="SHADEDSTORES 3 3 2 2 2 2 2" xfId="51709" xr:uid="{00000000-0005-0000-0000-0000BECA0000}"/>
    <cellStyle name="SHADEDSTORES 3 3 2 2 2 3" xfId="51710" xr:uid="{00000000-0005-0000-0000-0000BFCA0000}"/>
    <cellStyle name="SHADEDSTORES 3 3 2 2 3" xfId="51711" xr:uid="{00000000-0005-0000-0000-0000C0CA0000}"/>
    <cellStyle name="SHADEDSTORES 3 3 2 2 3 2" xfId="51712" xr:uid="{00000000-0005-0000-0000-0000C1CA0000}"/>
    <cellStyle name="SHADEDSTORES 3 3 2 2 4" xfId="51713" xr:uid="{00000000-0005-0000-0000-0000C2CA0000}"/>
    <cellStyle name="SHADEDSTORES 3 3 2 3" xfId="51714" xr:uid="{00000000-0005-0000-0000-0000C3CA0000}"/>
    <cellStyle name="SHADEDSTORES 3 3 2 3 2" xfId="51715" xr:uid="{00000000-0005-0000-0000-0000C4CA0000}"/>
    <cellStyle name="SHADEDSTORES 3 3 2 3 2 2" xfId="51716" xr:uid="{00000000-0005-0000-0000-0000C5CA0000}"/>
    <cellStyle name="SHADEDSTORES 3 3 2 3 3" xfId="51717" xr:uid="{00000000-0005-0000-0000-0000C6CA0000}"/>
    <cellStyle name="SHADEDSTORES 3 3 2 3 3 2" xfId="51718" xr:uid="{00000000-0005-0000-0000-0000C7CA0000}"/>
    <cellStyle name="SHADEDSTORES 3 3 2 3 4" xfId="51719" xr:uid="{00000000-0005-0000-0000-0000C8CA0000}"/>
    <cellStyle name="SHADEDSTORES 3 3 2 4" xfId="51720" xr:uid="{00000000-0005-0000-0000-0000C9CA0000}"/>
    <cellStyle name="SHADEDSTORES 3 3 2 4 2" xfId="51721" xr:uid="{00000000-0005-0000-0000-0000CACA0000}"/>
    <cellStyle name="SHADEDSTORES 3 3 2 5" xfId="51722" xr:uid="{00000000-0005-0000-0000-0000CBCA0000}"/>
    <cellStyle name="SHADEDSTORES 3 3 2 5 2" xfId="51723" xr:uid="{00000000-0005-0000-0000-0000CCCA0000}"/>
    <cellStyle name="SHADEDSTORES 3 3 2 6" xfId="51724" xr:uid="{00000000-0005-0000-0000-0000CDCA0000}"/>
    <cellStyle name="SHADEDSTORES 3 3 3" xfId="51725" xr:uid="{00000000-0005-0000-0000-0000CECA0000}"/>
    <cellStyle name="SHADEDSTORES 3 3 3 2" xfId="51726" xr:uid="{00000000-0005-0000-0000-0000CFCA0000}"/>
    <cellStyle name="SHADEDSTORES 3 3 3 2 2" xfId="51727" xr:uid="{00000000-0005-0000-0000-0000D0CA0000}"/>
    <cellStyle name="SHADEDSTORES 3 3 3 2 2 2" xfId="51728" xr:uid="{00000000-0005-0000-0000-0000D1CA0000}"/>
    <cellStyle name="SHADEDSTORES 3 3 3 2 3" xfId="51729" xr:uid="{00000000-0005-0000-0000-0000D2CA0000}"/>
    <cellStyle name="SHADEDSTORES 3 3 3 3" xfId="51730" xr:uid="{00000000-0005-0000-0000-0000D3CA0000}"/>
    <cellStyle name="SHADEDSTORES 3 3 3 3 2" xfId="51731" xr:uid="{00000000-0005-0000-0000-0000D4CA0000}"/>
    <cellStyle name="SHADEDSTORES 3 3 3 4" xfId="51732" xr:uid="{00000000-0005-0000-0000-0000D5CA0000}"/>
    <cellStyle name="SHADEDSTORES 3 3 4" xfId="51733" xr:uid="{00000000-0005-0000-0000-0000D6CA0000}"/>
    <cellStyle name="SHADEDSTORES 3 3 4 2" xfId="51734" xr:uid="{00000000-0005-0000-0000-0000D7CA0000}"/>
    <cellStyle name="SHADEDSTORES 3 3 4 2 2" xfId="51735" xr:uid="{00000000-0005-0000-0000-0000D8CA0000}"/>
    <cellStyle name="SHADEDSTORES 3 3 4 3" xfId="51736" xr:uid="{00000000-0005-0000-0000-0000D9CA0000}"/>
    <cellStyle name="SHADEDSTORES 3 3 4 3 2" xfId="51737" xr:uid="{00000000-0005-0000-0000-0000DACA0000}"/>
    <cellStyle name="SHADEDSTORES 3 3 4 4" xfId="51738" xr:uid="{00000000-0005-0000-0000-0000DBCA0000}"/>
    <cellStyle name="SHADEDSTORES 3 3 5" xfId="51739" xr:uid="{00000000-0005-0000-0000-0000DCCA0000}"/>
    <cellStyle name="SHADEDSTORES 3 3 5 2" xfId="51740" xr:uid="{00000000-0005-0000-0000-0000DDCA0000}"/>
    <cellStyle name="SHADEDSTORES 3 3 6" xfId="51741" xr:uid="{00000000-0005-0000-0000-0000DECA0000}"/>
    <cellStyle name="SHADEDSTORES 3 3 6 2" xfId="51742" xr:uid="{00000000-0005-0000-0000-0000DFCA0000}"/>
    <cellStyle name="SHADEDSTORES 3 3 7" xfId="51743" xr:uid="{00000000-0005-0000-0000-0000E0CA0000}"/>
    <cellStyle name="SHADEDSTORES 3 4" xfId="51744" xr:uid="{00000000-0005-0000-0000-0000E1CA0000}"/>
    <cellStyle name="SHADEDSTORES 3 4 2" xfId="51745" xr:uid="{00000000-0005-0000-0000-0000E2CA0000}"/>
    <cellStyle name="SHADEDSTORES 3 4 2 2" xfId="51746" xr:uid="{00000000-0005-0000-0000-0000E3CA0000}"/>
    <cellStyle name="SHADEDSTORES 3 4 3" xfId="51747" xr:uid="{00000000-0005-0000-0000-0000E4CA0000}"/>
    <cellStyle name="SHADEDSTORES 3 5" xfId="51748" xr:uid="{00000000-0005-0000-0000-0000E5CA0000}"/>
    <cellStyle name="SHADEDSTORES 3 5 2" xfId="51749" xr:uid="{00000000-0005-0000-0000-0000E6CA0000}"/>
    <cellStyle name="SHADEDSTORES 3 5 2 2" xfId="51750" xr:uid="{00000000-0005-0000-0000-0000E7CA0000}"/>
    <cellStyle name="SHADEDSTORES 3 5 3" xfId="51751" xr:uid="{00000000-0005-0000-0000-0000E8CA0000}"/>
    <cellStyle name="SHADEDSTORES 3 6" xfId="51752" xr:uid="{00000000-0005-0000-0000-0000E9CA0000}"/>
    <cellStyle name="SHADEDSTORES 3 6 2" xfId="51753" xr:uid="{00000000-0005-0000-0000-0000EACA0000}"/>
    <cellStyle name="SHADEDSTORES 3 6 2 2" xfId="51754" xr:uid="{00000000-0005-0000-0000-0000EBCA0000}"/>
    <cellStyle name="SHADEDSTORES 3 6 2 2 2" xfId="51755" xr:uid="{00000000-0005-0000-0000-0000ECCA0000}"/>
    <cellStyle name="SHADEDSTORES 3 6 2 3" xfId="51756" xr:uid="{00000000-0005-0000-0000-0000EDCA0000}"/>
    <cellStyle name="SHADEDSTORES 3 6 3" xfId="51757" xr:uid="{00000000-0005-0000-0000-0000EECA0000}"/>
    <cellStyle name="SHADEDSTORES 3 6 3 2" xfId="51758" xr:uid="{00000000-0005-0000-0000-0000EFCA0000}"/>
    <cellStyle name="SHADEDSTORES 3 6 4" xfId="51759" xr:uid="{00000000-0005-0000-0000-0000F0CA0000}"/>
    <cellStyle name="SHADEDSTORES 3 7" xfId="51760" xr:uid="{00000000-0005-0000-0000-0000F1CA0000}"/>
    <cellStyle name="SHADEDSTORES 3 7 2" xfId="51761" xr:uid="{00000000-0005-0000-0000-0000F2CA0000}"/>
    <cellStyle name="SHADEDSTORES 3 7 2 2" xfId="51762" xr:uid="{00000000-0005-0000-0000-0000F3CA0000}"/>
    <cellStyle name="SHADEDSTORES 3 7 3" xfId="51763" xr:uid="{00000000-0005-0000-0000-0000F4CA0000}"/>
    <cellStyle name="SHADEDSTORES 3 7 3 2" xfId="51764" xr:uid="{00000000-0005-0000-0000-0000F5CA0000}"/>
    <cellStyle name="SHADEDSTORES 3 7 4" xfId="51765" xr:uid="{00000000-0005-0000-0000-0000F6CA0000}"/>
    <cellStyle name="SHADEDSTORES 3 8" xfId="51766" xr:uid="{00000000-0005-0000-0000-0000F7CA0000}"/>
    <cellStyle name="SHADEDSTORES 3 8 2" xfId="51767" xr:uid="{00000000-0005-0000-0000-0000F8CA0000}"/>
    <cellStyle name="SHADEDSTORES 3 9" xfId="51768" xr:uid="{00000000-0005-0000-0000-0000F9CA0000}"/>
    <cellStyle name="SHADEDSTORES 3 9 2" xfId="51769" xr:uid="{00000000-0005-0000-0000-0000FACA0000}"/>
    <cellStyle name="SHADEDSTORES 4" xfId="51770" xr:uid="{00000000-0005-0000-0000-0000FBCA0000}"/>
    <cellStyle name="SHADEDSTORES 4 10" xfId="51771" xr:uid="{00000000-0005-0000-0000-0000FCCA0000}"/>
    <cellStyle name="SHADEDSTORES 4 11" xfId="51772" xr:uid="{00000000-0005-0000-0000-0000FDCA0000}"/>
    <cellStyle name="SHADEDSTORES 4 2" xfId="51773" xr:uid="{00000000-0005-0000-0000-0000FECA0000}"/>
    <cellStyle name="SHADEDSTORES 4 2 2" xfId="51774" xr:uid="{00000000-0005-0000-0000-0000FFCA0000}"/>
    <cellStyle name="SHADEDSTORES 4 2 2 2" xfId="51775" xr:uid="{00000000-0005-0000-0000-000000CB0000}"/>
    <cellStyle name="SHADEDSTORES 4 2 2 2 2" xfId="51776" xr:uid="{00000000-0005-0000-0000-000001CB0000}"/>
    <cellStyle name="SHADEDSTORES 4 2 2 2 2 2" xfId="51777" xr:uid="{00000000-0005-0000-0000-000002CB0000}"/>
    <cellStyle name="SHADEDSTORES 4 2 2 2 2 2 2" xfId="51778" xr:uid="{00000000-0005-0000-0000-000003CB0000}"/>
    <cellStyle name="SHADEDSTORES 4 2 2 2 2 3" xfId="51779" xr:uid="{00000000-0005-0000-0000-000004CB0000}"/>
    <cellStyle name="SHADEDSTORES 4 2 2 2 3" xfId="51780" xr:uid="{00000000-0005-0000-0000-000005CB0000}"/>
    <cellStyle name="SHADEDSTORES 4 2 2 2 3 2" xfId="51781" xr:uid="{00000000-0005-0000-0000-000006CB0000}"/>
    <cellStyle name="SHADEDSTORES 4 2 2 2 4" xfId="51782" xr:uid="{00000000-0005-0000-0000-000007CB0000}"/>
    <cellStyle name="SHADEDSTORES 4 2 2 3" xfId="51783" xr:uid="{00000000-0005-0000-0000-000008CB0000}"/>
    <cellStyle name="SHADEDSTORES 4 2 2 3 2" xfId="51784" xr:uid="{00000000-0005-0000-0000-000009CB0000}"/>
    <cellStyle name="SHADEDSTORES 4 2 2 3 2 2" xfId="51785" xr:uid="{00000000-0005-0000-0000-00000ACB0000}"/>
    <cellStyle name="SHADEDSTORES 4 2 2 3 3" xfId="51786" xr:uid="{00000000-0005-0000-0000-00000BCB0000}"/>
    <cellStyle name="SHADEDSTORES 4 2 2 3 3 2" xfId="51787" xr:uid="{00000000-0005-0000-0000-00000CCB0000}"/>
    <cellStyle name="SHADEDSTORES 4 2 2 3 4" xfId="51788" xr:uid="{00000000-0005-0000-0000-00000DCB0000}"/>
    <cellStyle name="SHADEDSTORES 4 2 2 4" xfId="51789" xr:uid="{00000000-0005-0000-0000-00000ECB0000}"/>
    <cellStyle name="SHADEDSTORES 4 2 2 4 2" xfId="51790" xr:uid="{00000000-0005-0000-0000-00000FCB0000}"/>
    <cellStyle name="SHADEDSTORES 4 2 2 5" xfId="51791" xr:uid="{00000000-0005-0000-0000-000010CB0000}"/>
    <cellStyle name="SHADEDSTORES 4 2 2 5 2" xfId="51792" xr:uid="{00000000-0005-0000-0000-000011CB0000}"/>
    <cellStyle name="SHADEDSTORES 4 2 2 6" xfId="51793" xr:uid="{00000000-0005-0000-0000-000012CB0000}"/>
    <cellStyle name="SHADEDSTORES 4 2 3" xfId="51794" xr:uid="{00000000-0005-0000-0000-000013CB0000}"/>
    <cellStyle name="SHADEDSTORES 4 2 3 2" xfId="51795" xr:uid="{00000000-0005-0000-0000-000014CB0000}"/>
    <cellStyle name="SHADEDSTORES 4 2 3 2 2" xfId="51796" xr:uid="{00000000-0005-0000-0000-000015CB0000}"/>
    <cellStyle name="SHADEDSTORES 4 2 3 3" xfId="51797" xr:uid="{00000000-0005-0000-0000-000016CB0000}"/>
    <cellStyle name="SHADEDSTORES 4 2 4" xfId="51798" xr:uid="{00000000-0005-0000-0000-000017CB0000}"/>
    <cellStyle name="SHADEDSTORES 4 2 4 2" xfId="51799" xr:uid="{00000000-0005-0000-0000-000018CB0000}"/>
    <cellStyle name="SHADEDSTORES 4 2 4 2 2" xfId="51800" xr:uid="{00000000-0005-0000-0000-000019CB0000}"/>
    <cellStyle name="SHADEDSTORES 4 2 4 3" xfId="51801" xr:uid="{00000000-0005-0000-0000-00001ACB0000}"/>
    <cellStyle name="SHADEDSTORES 4 2 5" xfId="51802" xr:uid="{00000000-0005-0000-0000-00001BCB0000}"/>
    <cellStyle name="SHADEDSTORES 4 2 5 2" xfId="51803" xr:uid="{00000000-0005-0000-0000-00001CCB0000}"/>
    <cellStyle name="SHADEDSTORES 4 2 5 2 2" xfId="51804" xr:uid="{00000000-0005-0000-0000-00001DCB0000}"/>
    <cellStyle name="SHADEDSTORES 4 2 5 2 2 2" xfId="51805" xr:uid="{00000000-0005-0000-0000-00001ECB0000}"/>
    <cellStyle name="SHADEDSTORES 4 2 5 2 3" xfId="51806" xr:uid="{00000000-0005-0000-0000-00001FCB0000}"/>
    <cellStyle name="SHADEDSTORES 4 2 5 3" xfId="51807" xr:uid="{00000000-0005-0000-0000-000020CB0000}"/>
    <cellStyle name="SHADEDSTORES 4 2 5 3 2" xfId="51808" xr:uid="{00000000-0005-0000-0000-000021CB0000}"/>
    <cellStyle name="SHADEDSTORES 4 2 5 4" xfId="51809" xr:uid="{00000000-0005-0000-0000-000022CB0000}"/>
    <cellStyle name="SHADEDSTORES 4 2 6" xfId="51810" xr:uid="{00000000-0005-0000-0000-000023CB0000}"/>
    <cellStyle name="SHADEDSTORES 4 2 6 2" xfId="51811" xr:uid="{00000000-0005-0000-0000-000024CB0000}"/>
    <cellStyle name="SHADEDSTORES 4 2 6 2 2" xfId="51812" xr:uid="{00000000-0005-0000-0000-000025CB0000}"/>
    <cellStyle name="SHADEDSTORES 4 2 6 3" xfId="51813" xr:uid="{00000000-0005-0000-0000-000026CB0000}"/>
    <cellStyle name="SHADEDSTORES 4 2 6 3 2" xfId="51814" xr:uid="{00000000-0005-0000-0000-000027CB0000}"/>
    <cellStyle name="SHADEDSTORES 4 2 6 4" xfId="51815" xr:uid="{00000000-0005-0000-0000-000028CB0000}"/>
    <cellStyle name="SHADEDSTORES 4 2 7" xfId="51816" xr:uid="{00000000-0005-0000-0000-000029CB0000}"/>
    <cellStyle name="SHADEDSTORES 4 2 7 2" xfId="51817" xr:uid="{00000000-0005-0000-0000-00002ACB0000}"/>
    <cellStyle name="SHADEDSTORES 4 2 8" xfId="51818" xr:uid="{00000000-0005-0000-0000-00002BCB0000}"/>
    <cellStyle name="SHADEDSTORES 4 2 8 2" xfId="51819" xr:uid="{00000000-0005-0000-0000-00002CCB0000}"/>
    <cellStyle name="SHADEDSTORES 4 2 9" xfId="51820" xr:uid="{00000000-0005-0000-0000-00002DCB0000}"/>
    <cellStyle name="SHADEDSTORES 4 3" xfId="51821" xr:uid="{00000000-0005-0000-0000-00002ECB0000}"/>
    <cellStyle name="SHADEDSTORES 4 3 2" xfId="51822" xr:uid="{00000000-0005-0000-0000-00002FCB0000}"/>
    <cellStyle name="SHADEDSTORES 4 3 2 2" xfId="51823" xr:uid="{00000000-0005-0000-0000-000030CB0000}"/>
    <cellStyle name="SHADEDSTORES 4 3 2 2 2" xfId="51824" xr:uid="{00000000-0005-0000-0000-000031CB0000}"/>
    <cellStyle name="SHADEDSTORES 4 3 2 2 2 2" xfId="51825" xr:uid="{00000000-0005-0000-0000-000032CB0000}"/>
    <cellStyle name="SHADEDSTORES 4 3 2 2 2 2 2" xfId="51826" xr:uid="{00000000-0005-0000-0000-000033CB0000}"/>
    <cellStyle name="SHADEDSTORES 4 3 2 2 2 3" xfId="51827" xr:uid="{00000000-0005-0000-0000-000034CB0000}"/>
    <cellStyle name="SHADEDSTORES 4 3 2 2 3" xfId="51828" xr:uid="{00000000-0005-0000-0000-000035CB0000}"/>
    <cellStyle name="SHADEDSTORES 4 3 2 2 3 2" xfId="51829" xr:uid="{00000000-0005-0000-0000-000036CB0000}"/>
    <cellStyle name="SHADEDSTORES 4 3 2 2 4" xfId="51830" xr:uid="{00000000-0005-0000-0000-000037CB0000}"/>
    <cellStyle name="SHADEDSTORES 4 3 2 3" xfId="51831" xr:uid="{00000000-0005-0000-0000-000038CB0000}"/>
    <cellStyle name="SHADEDSTORES 4 3 2 3 2" xfId="51832" xr:uid="{00000000-0005-0000-0000-000039CB0000}"/>
    <cellStyle name="SHADEDSTORES 4 3 2 3 2 2" xfId="51833" xr:uid="{00000000-0005-0000-0000-00003ACB0000}"/>
    <cellStyle name="SHADEDSTORES 4 3 2 3 3" xfId="51834" xr:uid="{00000000-0005-0000-0000-00003BCB0000}"/>
    <cellStyle name="SHADEDSTORES 4 3 2 3 3 2" xfId="51835" xr:uid="{00000000-0005-0000-0000-00003CCB0000}"/>
    <cellStyle name="SHADEDSTORES 4 3 2 3 4" xfId="51836" xr:uid="{00000000-0005-0000-0000-00003DCB0000}"/>
    <cellStyle name="SHADEDSTORES 4 3 2 4" xfId="51837" xr:uid="{00000000-0005-0000-0000-00003ECB0000}"/>
    <cellStyle name="SHADEDSTORES 4 3 2 4 2" xfId="51838" xr:uid="{00000000-0005-0000-0000-00003FCB0000}"/>
    <cellStyle name="SHADEDSTORES 4 3 2 5" xfId="51839" xr:uid="{00000000-0005-0000-0000-000040CB0000}"/>
    <cellStyle name="SHADEDSTORES 4 3 2 5 2" xfId="51840" xr:uid="{00000000-0005-0000-0000-000041CB0000}"/>
    <cellStyle name="SHADEDSTORES 4 3 2 6" xfId="51841" xr:uid="{00000000-0005-0000-0000-000042CB0000}"/>
    <cellStyle name="SHADEDSTORES 4 3 3" xfId="51842" xr:uid="{00000000-0005-0000-0000-000043CB0000}"/>
    <cellStyle name="SHADEDSTORES 4 3 3 2" xfId="51843" xr:uid="{00000000-0005-0000-0000-000044CB0000}"/>
    <cellStyle name="SHADEDSTORES 4 3 3 2 2" xfId="51844" xr:uid="{00000000-0005-0000-0000-000045CB0000}"/>
    <cellStyle name="SHADEDSTORES 4 3 3 2 2 2" xfId="51845" xr:uid="{00000000-0005-0000-0000-000046CB0000}"/>
    <cellStyle name="SHADEDSTORES 4 3 3 2 3" xfId="51846" xr:uid="{00000000-0005-0000-0000-000047CB0000}"/>
    <cellStyle name="SHADEDSTORES 4 3 3 3" xfId="51847" xr:uid="{00000000-0005-0000-0000-000048CB0000}"/>
    <cellStyle name="SHADEDSTORES 4 3 3 3 2" xfId="51848" xr:uid="{00000000-0005-0000-0000-000049CB0000}"/>
    <cellStyle name="SHADEDSTORES 4 3 3 4" xfId="51849" xr:uid="{00000000-0005-0000-0000-00004ACB0000}"/>
    <cellStyle name="SHADEDSTORES 4 3 4" xfId="51850" xr:uid="{00000000-0005-0000-0000-00004BCB0000}"/>
    <cellStyle name="SHADEDSTORES 4 3 4 2" xfId="51851" xr:uid="{00000000-0005-0000-0000-00004CCB0000}"/>
    <cellStyle name="SHADEDSTORES 4 3 4 2 2" xfId="51852" xr:uid="{00000000-0005-0000-0000-00004DCB0000}"/>
    <cellStyle name="SHADEDSTORES 4 3 4 3" xfId="51853" xr:uid="{00000000-0005-0000-0000-00004ECB0000}"/>
    <cellStyle name="SHADEDSTORES 4 3 4 3 2" xfId="51854" xr:uid="{00000000-0005-0000-0000-00004FCB0000}"/>
    <cellStyle name="SHADEDSTORES 4 3 4 4" xfId="51855" xr:uid="{00000000-0005-0000-0000-000050CB0000}"/>
    <cellStyle name="SHADEDSTORES 4 3 5" xfId="51856" xr:uid="{00000000-0005-0000-0000-000051CB0000}"/>
    <cellStyle name="SHADEDSTORES 4 3 5 2" xfId="51857" xr:uid="{00000000-0005-0000-0000-000052CB0000}"/>
    <cellStyle name="SHADEDSTORES 4 3 6" xfId="51858" xr:uid="{00000000-0005-0000-0000-000053CB0000}"/>
    <cellStyle name="SHADEDSTORES 4 3 6 2" xfId="51859" xr:uid="{00000000-0005-0000-0000-000054CB0000}"/>
    <cellStyle name="SHADEDSTORES 4 3 7" xfId="51860" xr:uid="{00000000-0005-0000-0000-000055CB0000}"/>
    <cellStyle name="SHADEDSTORES 4 4" xfId="51861" xr:uid="{00000000-0005-0000-0000-000056CB0000}"/>
    <cellStyle name="SHADEDSTORES 4 4 2" xfId="51862" xr:uid="{00000000-0005-0000-0000-000057CB0000}"/>
    <cellStyle name="SHADEDSTORES 4 4 2 2" xfId="51863" xr:uid="{00000000-0005-0000-0000-000058CB0000}"/>
    <cellStyle name="SHADEDSTORES 4 4 3" xfId="51864" xr:uid="{00000000-0005-0000-0000-000059CB0000}"/>
    <cellStyle name="SHADEDSTORES 4 5" xfId="51865" xr:uid="{00000000-0005-0000-0000-00005ACB0000}"/>
    <cellStyle name="SHADEDSTORES 4 5 2" xfId="51866" xr:uid="{00000000-0005-0000-0000-00005BCB0000}"/>
    <cellStyle name="SHADEDSTORES 4 5 2 2" xfId="51867" xr:uid="{00000000-0005-0000-0000-00005CCB0000}"/>
    <cellStyle name="SHADEDSTORES 4 5 3" xfId="51868" xr:uid="{00000000-0005-0000-0000-00005DCB0000}"/>
    <cellStyle name="SHADEDSTORES 4 6" xfId="51869" xr:uid="{00000000-0005-0000-0000-00005ECB0000}"/>
    <cellStyle name="SHADEDSTORES 4 6 2" xfId="51870" xr:uid="{00000000-0005-0000-0000-00005FCB0000}"/>
    <cellStyle name="SHADEDSTORES 4 6 2 2" xfId="51871" xr:uid="{00000000-0005-0000-0000-000060CB0000}"/>
    <cellStyle name="SHADEDSTORES 4 6 2 2 2" xfId="51872" xr:uid="{00000000-0005-0000-0000-000061CB0000}"/>
    <cellStyle name="SHADEDSTORES 4 6 2 3" xfId="51873" xr:uid="{00000000-0005-0000-0000-000062CB0000}"/>
    <cellStyle name="SHADEDSTORES 4 6 3" xfId="51874" xr:uid="{00000000-0005-0000-0000-000063CB0000}"/>
    <cellStyle name="SHADEDSTORES 4 6 3 2" xfId="51875" xr:uid="{00000000-0005-0000-0000-000064CB0000}"/>
    <cellStyle name="SHADEDSTORES 4 6 4" xfId="51876" xr:uid="{00000000-0005-0000-0000-000065CB0000}"/>
    <cellStyle name="SHADEDSTORES 4 7" xfId="51877" xr:uid="{00000000-0005-0000-0000-000066CB0000}"/>
    <cellStyle name="SHADEDSTORES 4 7 2" xfId="51878" xr:uid="{00000000-0005-0000-0000-000067CB0000}"/>
    <cellStyle name="SHADEDSTORES 4 7 2 2" xfId="51879" xr:uid="{00000000-0005-0000-0000-000068CB0000}"/>
    <cellStyle name="SHADEDSTORES 4 7 3" xfId="51880" xr:uid="{00000000-0005-0000-0000-000069CB0000}"/>
    <cellStyle name="SHADEDSTORES 4 7 3 2" xfId="51881" xr:uid="{00000000-0005-0000-0000-00006ACB0000}"/>
    <cellStyle name="SHADEDSTORES 4 7 4" xfId="51882" xr:uid="{00000000-0005-0000-0000-00006BCB0000}"/>
    <cellStyle name="SHADEDSTORES 4 8" xfId="51883" xr:uid="{00000000-0005-0000-0000-00006CCB0000}"/>
    <cellStyle name="SHADEDSTORES 4 8 2" xfId="51884" xr:uid="{00000000-0005-0000-0000-00006DCB0000}"/>
    <cellStyle name="SHADEDSTORES 4 9" xfId="51885" xr:uid="{00000000-0005-0000-0000-00006ECB0000}"/>
    <cellStyle name="SHADEDSTORES 4 9 2" xfId="51886" xr:uid="{00000000-0005-0000-0000-00006FCB0000}"/>
    <cellStyle name="SHADEDSTORES 5" xfId="51887" xr:uid="{00000000-0005-0000-0000-000070CB0000}"/>
    <cellStyle name="SHADEDSTORES 5 2" xfId="51888" xr:uid="{00000000-0005-0000-0000-000071CB0000}"/>
    <cellStyle name="SHADEDSTORES 5 2 2" xfId="51889" xr:uid="{00000000-0005-0000-0000-000072CB0000}"/>
    <cellStyle name="SHADEDSTORES 5 2 2 2" xfId="51890" xr:uid="{00000000-0005-0000-0000-000073CB0000}"/>
    <cellStyle name="SHADEDSTORES 5 2 2 2 2" xfId="51891" xr:uid="{00000000-0005-0000-0000-000074CB0000}"/>
    <cellStyle name="SHADEDSTORES 5 2 2 2 2 2" xfId="51892" xr:uid="{00000000-0005-0000-0000-000075CB0000}"/>
    <cellStyle name="SHADEDSTORES 5 2 2 2 3" xfId="51893" xr:uid="{00000000-0005-0000-0000-000076CB0000}"/>
    <cellStyle name="SHADEDSTORES 5 2 2 3" xfId="51894" xr:uid="{00000000-0005-0000-0000-000077CB0000}"/>
    <cellStyle name="SHADEDSTORES 5 2 2 3 2" xfId="51895" xr:uid="{00000000-0005-0000-0000-000078CB0000}"/>
    <cellStyle name="SHADEDSTORES 5 2 2 4" xfId="51896" xr:uid="{00000000-0005-0000-0000-000079CB0000}"/>
    <cellStyle name="SHADEDSTORES 5 2 3" xfId="51897" xr:uid="{00000000-0005-0000-0000-00007ACB0000}"/>
    <cellStyle name="SHADEDSTORES 5 2 3 2" xfId="51898" xr:uid="{00000000-0005-0000-0000-00007BCB0000}"/>
    <cellStyle name="SHADEDSTORES 5 2 3 2 2" xfId="51899" xr:uid="{00000000-0005-0000-0000-00007CCB0000}"/>
    <cellStyle name="SHADEDSTORES 5 2 3 3" xfId="51900" xr:uid="{00000000-0005-0000-0000-00007DCB0000}"/>
    <cellStyle name="SHADEDSTORES 5 2 3 3 2" xfId="51901" xr:uid="{00000000-0005-0000-0000-00007ECB0000}"/>
    <cellStyle name="SHADEDSTORES 5 2 3 4" xfId="51902" xr:uid="{00000000-0005-0000-0000-00007FCB0000}"/>
    <cellStyle name="SHADEDSTORES 5 2 4" xfId="51903" xr:uid="{00000000-0005-0000-0000-000080CB0000}"/>
    <cellStyle name="SHADEDSTORES 5 2 4 2" xfId="51904" xr:uid="{00000000-0005-0000-0000-000081CB0000}"/>
    <cellStyle name="SHADEDSTORES 5 2 5" xfId="51905" xr:uid="{00000000-0005-0000-0000-000082CB0000}"/>
    <cellStyle name="SHADEDSTORES 5 2 5 2" xfId="51906" xr:uid="{00000000-0005-0000-0000-000083CB0000}"/>
    <cellStyle name="SHADEDSTORES 5 2 6" xfId="51907" xr:uid="{00000000-0005-0000-0000-000084CB0000}"/>
    <cellStyle name="SHADEDSTORES 5 3" xfId="51908" xr:uid="{00000000-0005-0000-0000-000085CB0000}"/>
    <cellStyle name="SHADEDSTORES 5 3 2" xfId="51909" xr:uid="{00000000-0005-0000-0000-000086CB0000}"/>
    <cellStyle name="SHADEDSTORES 5 3 2 2" xfId="51910" xr:uid="{00000000-0005-0000-0000-000087CB0000}"/>
    <cellStyle name="SHADEDSTORES 5 3 3" xfId="51911" xr:uid="{00000000-0005-0000-0000-000088CB0000}"/>
    <cellStyle name="SHADEDSTORES 5 4" xfId="51912" xr:uid="{00000000-0005-0000-0000-000089CB0000}"/>
    <cellStyle name="SHADEDSTORES 5 4 2" xfId="51913" xr:uid="{00000000-0005-0000-0000-00008ACB0000}"/>
    <cellStyle name="SHADEDSTORES 5 4 2 2" xfId="51914" xr:uid="{00000000-0005-0000-0000-00008BCB0000}"/>
    <cellStyle name="SHADEDSTORES 5 4 3" xfId="51915" xr:uid="{00000000-0005-0000-0000-00008CCB0000}"/>
    <cellStyle name="SHADEDSTORES 5 5" xfId="51916" xr:uid="{00000000-0005-0000-0000-00008DCB0000}"/>
    <cellStyle name="SHADEDSTORES 5 5 2" xfId="51917" xr:uid="{00000000-0005-0000-0000-00008ECB0000}"/>
    <cellStyle name="SHADEDSTORES 5 5 2 2" xfId="51918" xr:uid="{00000000-0005-0000-0000-00008FCB0000}"/>
    <cellStyle name="SHADEDSTORES 5 5 2 2 2" xfId="51919" xr:uid="{00000000-0005-0000-0000-000090CB0000}"/>
    <cellStyle name="SHADEDSTORES 5 5 2 3" xfId="51920" xr:uid="{00000000-0005-0000-0000-000091CB0000}"/>
    <cellStyle name="SHADEDSTORES 5 5 3" xfId="51921" xr:uid="{00000000-0005-0000-0000-000092CB0000}"/>
    <cellStyle name="SHADEDSTORES 5 5 3 2" xfId="51922" xr:uid="{00000000-0005-0000-0000-000093CB0000}"/>
    <cellStyle name="SHADEDSTORES 5 5 4" xfId="51923" xr:uid="{00000000-0005-0000-0000-000094CB0000}"/>
    <cellStyle name="SHADEDSTORES 5 6" xfId="51924" xr:uid="{00000000-0005-0000-0000-000095CB0000}"/>
    <cellStyle name="SHADEDSTORES 5 6 2" xfId="51925" xr:uid="{00000000-0005-0000-0000-000096CB0000}"/>
    <cellStyle name="SHADEDSTORES 5 6 2 2" xfId="51926" xr:uid="{00000000-0005-0000-0000-000097CB0000}"/>
    <cellStyle name="SHADEDSTORES 5 6 3" xfId="51927" xr:uid="{00000000-0005-0000-0000-000098CB0000}"/>
    <cellStyle name="SHADEDSTORES 5 6 3 2" xfId="51928" xr:uid="{00000000-0005-0000-0000-000099CB0000}"/>
    <cellStyle name="SHADEDSTORES 5 6 4" xfId="51929" xr:uid="{00000000-0005-0000-0000-00009ACB0000}"/>
    <cellStyle name="SHADEDSTORES 5 7" xfId="51930" xr:uid="{00000000-0005-0000-0000-00009BCB0000}"/>
    <cellStyle name="SHADEDSTORES 5 7 2" xfId="51931" xr:uid="{00000000-0005-0000-0000-00009CCB0000}"/>
    <cellStyle name="SHADEDSTORES 5 8" xfId="51932" xr:uid="{00000000-0005-0000-0000-00009DCB0000}"/>
    <cellStyle name="SHADEDSTORES 5 8 2" xfId="51933" xr:uid="{00000000-0005-0000-0000-00009ECB0000}"/>
    <cellStyle name="SHADEDSTORES 5 9" xfId="51934" xr:uid="{00000000-0005-0000-0000-00009FCB0000}"/>
    <cellStyle name="SHADEDSTORES 6" xfId="51935" xr:uid="{00000000-0005-0000-0000-0000A0CB0000}"/>
    <cellStyle name="SHADEDSTORES 6 2" xfId="51936" xr:uid="{00000000-0005-0000-0000-0000A1CB0000}"/>
    <cellStyle name="SHADEDSTORES 6 2 2" xfId="51937" xr:uid="{00000000-0005-0000-0000-0000A2CB0000}"/>
    <cellStyle name="SHADEDSTORES 6 2 2 2" xfId="51938" xr:uid="{00000000-0005-0000-0000-0000A3CB0000}"/>
    <cellStyle name="SHADEDSTORES 6 2 2 2 2" xfId="51939" xr:uid="{00000000-0005-0000-0000-0000A4CB0000}"/>
    <cellStyle name="SHADEDSTORES 6 2 2 2 2 2" xfId="51940" xr:uid="{00000000-0005-0000-0000-0000A5CB0000}"/>
    <cellStyle name="SHADEDSTORES 6 2 2 2 3" xfId="51941" xr:uid="{00000000-0005-0000-0000-0000A6CB0000}"/>
    <cellStyle name="SHADEDSTORES 6 2 2 3" xfId="51942" xr:uid="{00000000-0005-0000-0000-0000A7CB0000}"/>
    <cellStyle name="SHADEDSTORES 6 2 2 3 2" xfId="51943" xr:uid="{00000000-0005-0000-0000-0000A8CB0000}"/>
    <cellStyle name="SHADEDSTORES 6 2 2 4" xfId="51944" xr:uid="{00000000-0005-0000-0000-0000A9CB0000}"/>
    <cellStyle name="SHADEDSTORES 6 2 3" xfId="51945" xr:uid="{00000000-0005-0000-0000-0000AACB0000}"/>
    <cellStyle name="SHADEDSTORES 6 2 3 2" xfId="51946" xr:uid="{00000000-0005-0000-0000-0000ABCB0000}"/>
    <cellStyle name="SHADEDSTORES 6 2 3 2 2" xfId="51947" xr:uid="{00000000-0005-0000-0000-0000ACCB0000}"/>
    <cellStyle name="SHADEDSTORES 6 2 3 3" xfId="51948" xr:uid="{00000000-0005-0000-0000-0000ADCB0000}"/>
    <cellStyle name="SHADEDSTORES 6 2 3 3 2" xfId="51949" xr:uid="{00000000-0005-0000-0000-0000AECB0000}"/>
    <cellStyle name="SHADEDSTORES 6 2 3 4" xfId="51950" xr:uid="{00000000-0005-0000-0000-0000AFCB0000}"/>
    <cellStyle name="SHADEDSTORES 6 2 4" xfId="51951" xr:uid="{00000000-0005-0000-0000-0000B0CB0000}"/>
    <cellStyle name="SHADEDSTORES 6 2 4 2" xfId="51952" xr:uid="{00000000-0005-0000-0000-0000B1CB0000}"/>
    <cellStyle name="SHADEDSTORES 6 2 5" xfId="51953" xr:uid="{00000000-0005-0000-0000-0000B2CB0000}"/>
    <cellStyle name="SHADEDSTORES 6 2 5 2" xfId="51954" xr:uid="{00000000-0005-0000-0000-0000B3CB0000}"/>
    <cellStyle name="SHADEDSTORES 6 2 6" xfId="51955" xr:uid="{00000000-0005-0000-0000-0000B4CB0000}"/>
    <cellStyle name="SHADEDSTORES 6 3" xfId="51956" xr:uid="{00000000-0005-0000-0000-0000B5CB0000}"/>
    <cellStyle name="SHADEDSTORES 6 3 2" xfId="51957" xr:uid="{00000000-0005-0000-0000-0000B6CB0000}"/>
    <cellStyle name="SHADEDSTORES 6 3 2 2" xfId="51958" xr:uid="{00000000-0005-0000-0000-0000B7CB0000}"/>
    <cellStyle name="SHADEDSTORES 6 3 2 2 2" xfId="51959" xr:uid="{00000000-0005-0000-0000-0000B8CB0000}"/>
    <cellStyle name="SHADEDSTORES 6 3 2 3" xfId="51960" xr:uid="{00000000-0005-0000-0000-0000B9CB0000}"/>
    <cellStyle name="SHADEDSTORES 6 3 3" xfId="51961" xr:uid="{00000000-0005-0000-0000-0000BACB0000}"/>
    <cellStyle name="SHADEDSTORES 6 3 3 2" xfId="51962" xr:uid="{00000000-0005-0000-0000-0000BBCB0000}"/>
    <cellStyle name="SHADEDSTORES 6 3 4" xfId="51963" xr:uid="{00000000-0005-0000-0000-0000BCCB0000}"/>
    <cellStyle name="SHADEDSTORES 6 4" xfId="51964" xr:uid="{00000000-0005-0000-0000-0000BDCB0000}"/>
    <cellStyle name="SHADEDSTORES 6 4 2" xfId="51965" xr:uid="{00000000-0005-0000-0000-0000BECB0000}"/>
    <cellStyle name="SHADEDSTORES 6 4 2 2" xfId="51966" xr:uid="{00000000-0005-0000-0000-0000BFCB0000}"/>
    <cellStyle name="SHADEDSTORES 6 4 3" xfId="51967" xr:uid="{00000000-0005-0000-0000-0000C0CB0000}"/>
    <cellStyle name="SHADEDSTORES 6 4 3 2" xfId="51968" xr:uid="{00000000-0005-0000-0000-0000C1CB0000}"/>
    <cellStyle name="SHADEDSTORES 6 4 4" xfId="51969" xr:uid="{00000000-0005-0000-0000-0000C2CB0000}"/>
    <cellStyle name="SHADEDSTORES 6 5" xfId="51970" xr:uid="{00000000-0005-0000-0000-0000C3CB0000}"/>
    <cellStyle name="SHADEDSTORES 6 5 2" xfId="51971" xr:uid="{00000000-0005-0000-0000-0000C4CB0000}"/>
    <cellStyle name="SHADEDSTORES 6 6" xfId="51972" xr:uid="{00000000-0005-0000-0000-0000C5CB0000}"/>
    <cellStyle name="SHADEDSTORES 6 6 2" xfId="51973" xr:uid="{00000000-0005-0000-0000-0000C6CB0000}"/>
    <cellStyle name="SHADEDSTORES 6 7" xfId="51974" xr:uid="{00000000-0005-0000-0000-0000C7CB0000}"/>
    <cellStyle name="SHADEDSTORES 7" xfId="51975" xr:uid="{00000000-0005-0000-0000-0000C8CB0000}"/>
    <cellStyle name="SHADEDSTORES 7 2" xfId="51976" xr:uid="{00000000-0005-0000-0000-0000C9CB0000}"/>
    <cellStyle name="SHADEDSTORES 7 2 2" xfId="51977" xr:uid="{00000000-0005-0000-0000-0000CACB0000}"/>
    <cellStyle name="SHADEDSTORES 7 3" xfId="51978" xr:uid="{00000000-0005-0000-0000-0000CBCB0000}"/>
    <cellStyle name="SHADEDSTORES 8" xfId="51979" xr:uid="{00000000-0005-0000-0000-0000CCCB0000}"/>
    <cellStyle name="SHADEDSTORES 8 2" xfId="51980" xr:uid="{00000000-0005-0000-0000-0000CDCB0000}"/>
    <cellStyle name="SHADEDSTORES 8 2 2" xfId="51981" xr:uid="{00000000-0005-0000-0000-0000CECB0000}"/>
    <cellStyle name="SHADEDSTORES 8 3" xfId="51982" xr:uid="{00000000-0005-0000-0000-0000CFCB0000}"/>
    <cellStyle name="SHADEDSTORES 9" xfId="51983" xr:uid="{00000000-0005-0000-0000-0000D0CB0000}"/>
    <cellStyle name="SHADEDSTORES 9 2" xfId="51984" xr:uid="{00000000-0005-0000-0000-0000D1CB0000}"/>
    <cellStyle name="SHADEDSTORES 9 2 2" xfId="51985" xr:uid="{00000000-0005-0000-0000-0000D2CB0000}"/>
    <cellStyle name="SHADEDSTORES 9 2 2 2" xfId="51986" xr:uid="{00000000-0005-0000-0000-0000D3CB0000}"/>
    <cellStyle name="SHADEDSTORES 9 2 2 2 2" xfId="51987" xr:uid="{00000000-0005-0000-0000-0000D4CB0000}"/>
    <cellStyle name="SHADEDSTORES 9 2 2 3" xfId="51988" xr:uid="{00000000-0005-0000-0000-0000D5CB0000}"/>
    <cellStyle name="SHADEDSTORES 9 2 3" xfId="51989" xr:uid="{00000000-0005-0000-0000-0000D6CB0000}"/>
    <cellStyle name="SHADEDSTORES 9 2 3 2" xfId="51990" xr:uid="{00000000-0005-0000-0000-0000D7CB0000}"/>
    <cellStyle name="SHADEDSTORES 9 2 4" xfId="51991" xr:uid="{00000000-0005-0000-0000-0000D8CB0000}"/>
    <cellStyle name="SHADEDSTORES 9 3" xfId="51992" xr:uid="{00000000-0005-0000-0000-0000D9CB0000}"/>
    <cellStyle name="SHADEDSTORES 9 3 2" xfId="51993" xr:uid="{00000000-0005-0000-0000-0000DACB0000}"/>
    <cellStyle name="SHADEDSTORES 9 3 2 2" xfId="51994" xr:uid="{00000000-0005-0000-0000-0000DBCB0000}"/>
    <cellStyle name="SHADEDSTORES 9 3 3" xfId="51995" xr:uid="{00000000-0005-0000-0000-0000DCCB0000}"/>
    <cellStyle name="SHADEDSTORES 9 3 3 2" xfId="51996" xr:uid="{00000000-0005-0000-0000-0000DDCB0000}"/>
    <cellStyle name="SHADEDSTORES 9 3 4" xfId="51997" xr:uid="{00000000-0005-0000-0000-0000DECB0000}"/>
    <cellStyle name="SHADEDSTORES 9 4" xfId="51998" xr:uid="{00000000-0005-0000-0000-0000DFCB0000}"/>
    <cellStyle name="SHADEDSTORES 9 4 2" xfId="51999" xr:uid="{00000000-0005-0000-0000-0000E0CB0000}"/>
    <cellStyle name="SHADEDSTORES 9 5" xfId="52000" xr:uid="{00000000-0005-0000-0000-0000E1CB0000}"/>
    <cellStyle name="SHADEDSTORES 9 5 2" xfId="52001" xr:uid="{00000000-0005-0000-0000-0000E2CB0000}"/>
    <cellStyle name="SHADEDSTORES 9 6" xfId="52002" xr:uid="{00000000-0005-0000-0000-0000E3CB0000}"/>
    <cellStyle name="Sheet Title" xfId="79" xr:uid="{00000000-0005-0000-0000-0000E4CB0000}"/>
    <cellStyle name="Sheet Title 10" xfId="52003" xr:uid="{00000000-0005-0000-0000-0000E5CB0000}"/>
    <cellStyle name="Sheet Title 2" xfId="52004" xr:uid="{00000000-0005-0000-0000-0000E6CB0000}"/>
    <cellStyle name="Sheet Title 2 2" xfId="52005" xr:uid="{00000000-0005-0000-0000-0000E7CB0000}"/>
    <cellStyle name="Sheet Title 2 2 2" xfId="52006" xr:uid="{00000000-0005-0000-0000-0000E8CB0000}"/>
    <cellStyle name="Sheet Title 2 2 2 2" xfId="52007" xr:uid="{00000000-0005-0000-0000-0000E9CB0000}"/>
    <cellStyle name="Sheet Title 2 2 3" xfId="52008" xr:uid="{00000000-0005-0000-0000-0000EACB0000}"/>
    <cellStyle name="Sheet Title 2 2 3 2" xfId="52009" xr:uid="{00000000-0005-0000-0000-0000EBCB0000}"/>
    <cellStyle name="Sheet Title 2 2 3 2 2" xfId="52010" xr:uid="{00000000-0005-0000-0000-0000ECCB0000}"/>
    <cellStyle name="Sheet Title 2 2 3 3" xfId="52011" xr:uid="{00000000-0005-0000-0000-0000EDCB0000}"/>
    <cellStyle name="Sheet Title 2 2 4" xfId="52012" xr:uid="{00000000-0005-0000-0000-0000EECB0000}"/>
    <cellStyle name="Sheet Title 2 2 4 2" xfId="52013" xr:uid="{00000000-0005-0000-0000-0000EFCB0000}"/>
    <cellStyle name="Sheet Title 2 2 4 2 2" xfId="52014" xr:uid="{00000000-0005-0000-0000-0000F0CB0000}"/>
    <cellStyle name="Sheet Title 2 2 4 3" xfId="52015" xr:uid="{00000000-0005-0000-0000-0000F1CB0000}"/>
    <cellStyle name="Sheet Title 2 2 5" xfId="52016" xr:uid="{00000000-0005-0000-0000-0000F2CB0000}"/>
    <cellStyle name="Sheet Title 2 3" xfId="52017" xr:uid="{00000000-0005-0000-0000-0000F3CB0000}"/>
    <cellStyle name="Sheet Title 2 3 2" xfId="52018" xr:uid="{00000000-0005-0000-0000-0000F4CB0000}"/>
    <cellStyle name="Sheet Title 2 3 2 2" xfId="52019" xr:uid="{00000000-0005-0000-0000-0000F5CB0000}"/>
    <cellStyle name="Sheet Title 2 3 2 2 2" xfId="52020" xr:uid="{00000000-0005-0000-0000-0000F6CB0000}"/>
    <cellStyle name="Sheet Title 2 3 2 3" xfId="52021" xr:uid="{00000000-0005-0000-0000-0000F7CB0000}"/>
    <cellStyle name="Sheet Title 2 3 2 3 2" xfId="52022" xr:uid="{00000000-0005-0000-0000-0000F8CB0000}"/>
    <cellStyle name="Sheet Title 2 3 2 3 2 2" xfId="52023" xr:uid="{00000000-0005-0000-0000-0000F9CB0000}"/>
    <cellStyle name="Sheet Title 2 3 2 3 3" xfId="52024" xr:uid="{00000000-0005-0000-0000-0000FACB0000}"/>
    <cellStyle name="Sheet Title 2 3 2 4" xfId="52025" xr:uid="{00000000-0005-0000-0000-0000FBCB0000}"/>
    <cellStyle name="Sheet Title 2 3 3" xfId="52026" xr:uid="{00000000-0005-0000-0000-0000FCCB0000}"/>
    <cellStyle name="Sheet Title 2 3 3 2" xfId="52027" xr:uid="{00000000-0005-0000-0000-0000FDCB0000}"/>
    <cellStyle name="Sheet Title 2 3 3 2 2" xfId="52028" xr:uid="{00000000-0005-0000-0000-0000FECB0000}"/>
    <cellStyle name="Sheet Title 2 3 3 3" xfId="52029" xr:uid="{00000000-0005-0000-0000-0000FFCB0000}"/>
    <cellStyle name="Sheet Title 2 3 4" xfId="52030" xr:uid="{00000000-0005-0000-0000-000000CC0000}"/>
    <cellStyle name="Sheet Title 2 3 4 2" xfId="52031" xr:uid="{00000000-0005-0000-0000-000001CC0000}"/>
    <cellStyle name="Sheet Title 2 3 4 2 2" xfId="52032" xr:uid="{00000000-0005-0000-0000-000002CC0000}"/>
    <cellStyle name="Sheet Title 2 3 4 3" xfId="52033" xr:uid="{00000000-0005-0000-0000-000003CC0000}"/>
    <cellStyle name="Sheet Title 2 3 5" xfId="52034" xr:uid="{00000000-0005-0000-0000-000004CC0000}"/>
    <cellStyle name="Sheet Title 2 3 5 2" xfId="52035" xr:uid="{00000000-0005-0000-0000-000005CC0000}"/>
    <cellStyle name="Sheet Title 2 3 5 2 2" xfId="52036" xr:uid="{00000000-0005-0000-0000-000006CC0000}"/>
    <cellStyle name="Sheet Title 2 3 5 3" xfId="52037" xr:uid="{00000000-0005-0000-0000-000007CC0000}"/>
    <cellStyle name="Sheet Title 2 3 6" xfId="52038" xr:uid="{00000000-0005-0000-0000-000008CC0000}"/>
    <cellStyle name="Sheet Title 2 4" xfId="52039" xr:uid="{00000000-0005-0000-0000-000009CC0000}"/>
    <cellStyle name="Sheet Title 2 4 2" xfId="52040" xr:uid="{00000000-0005-0000-0000-00000ACC0000}"/>
    <cellStyle name="Sheet Title 2 4 2 2" xfId="52041" xr:uid="{00000000-0005-0000-0000-00000BCC0000}"/>
    <cellStyle name="Sheet Title 2 4 3" xfId="52042" xr:uid="{00000000-0005-0000-0000-00000CCC0000}"/>
    <cellStyle name="Sheet Title 2 5" xfId="52043" xr:uid="{00000000-0005-0000-0000-00000DCC0000}"/>
    <cellStyle name="Sheet Title 2 5 2" xfId="52044" xr:uid="{00000000-0005-0000-0000-00000ECC0000}"/>
    <cellStyle name="Sheet Title 2 5 2 2" xfId="52045" xr:uid="{00000000-0005-0000-0000-00000FCC0000}"/>
    <cellStyle name="Sheet Title 2 5 3" xfId="52046" xr:uid="{00000000-0005-0000-0000-000010CC0000}"/>
    <cellStyle name="Sheet Title 2 6" xfId="52047" xr:uid="{00000000-0005-0000-0000-000011CC0000}"/>
    <cellStyle name="Sheet Title 2 6 2" xfId="52048" xr:uid="{00000000-0005-0000-0000-000012CC0000}"/>
    <cellStyle name="Sheet Title 2 6 2 2" xfId="52049" xr:uid="{00000000-0005-0000-0000-000013CC0000}"/>
    <cellStyle name="Sheet Title 2 6 3" xfId="52050" xr:uid="{00000000-0005-0000-0000-000014CC0000}"/>
    <cellStyle name="Sheet Title 2 7" xfId="52051" xr:uid="{00000000-0005-0000-0000-000015CC0000}"/>
    <cellStyle name="Sheet Title 3" xfId="52052" xr:uid="{00000000-0005-0000-0000-000016CC0000}"/>
    <cellStyle name="Sheet Title 3 2" xfId="52053" xr:uid="{00000000-0005-0000-0000-000017CC0000}"/>
    <cellStyle name="Sheet Title 3 2 2" xfId="52054" xr:uid="{00000000-0005-0000-0000-000018CC0000}"/>
    <cellStyle name="Sheet Title 3 2 2 2" xfId="52055" xr:uid="{00000000-0005-0000-0000-000019CC0000}"/>
    <cellStyle name="Sheet Title 3 2 3" xfId="52056" xr:uid="{00000000-0005-0000-0000-00001ACC0000}"/>
    <cellStyle name="Sheet Title 3 2 3 2" xfId="52057" xr:uid="{00000000-0005-0000-0000-00001BCC0000}"/>
    <cellStyle name="Sheet Title 3 2 3 2 2" xfId="52058" xr:uid="{00000000-0005-0000-0000-00001CCC0000}"/>
    <cellStyle name="Sheet Title 3 2 3 3" xfId="52059" xr:uid="{00000000-0005-0000-0000-00001DCC0000}"/>
    <cellStyle name="Sheet Title 3 2 4" xfId="52060" xr:uid="{00000000-0005-0000-0000-00001ECC0000}"/>
    <cellStyle name="Sheet Title 3 2 4 2" xfId="52061" xr:uid="{00000000-0005-0000-0000-00001FCC0000}"/>
    <cellStyle name="Sheet Title 3 2 4 2 2" xfId="52062" xr:uid="{00000000-0005-0000-0000-000020CC0000}"/>
    <cellStyle name="Sheet Title 3 2 4 3" xfId="52063" xr:uid="{00000000-0005-0000-0000-000021CC0000}"/>
    <cellStyle name="Sheet Title 3 2 5" xfId="52064" xr:uid="{00000000-0005-0000-0000-000022CC0000}"/>
    <cellStyle name="Sheet Title 3 3" xfId="52065" xr:uid="{00000000-0005-0000-0000-000023CC0000}"/>
    <cellStyle name="Sheet Title 3 3 2" xfId="52066" xr:uid="{00000000-0005-0000-0000-000024CC0000}"/>
    <cellStyle name="Sheet Title 3 3 2 2" xfId="52067" xr:uid="{00000000-0005-0000-0000-000025CC0000}"/>
    <cellStyle name="Sheet Title 3 3 3" xfId="52068" xr:uid="{00000000-0005-0000-0000-000026CC0000}"/>
    <cellStyle name="Sheet Title 3 4" xfId="52069" xr:uid="{00000000-0005-0000-0000-000027CC0000}"/>
    <cellStyle name="Sheet Title 3 4 2" xfId="52070" xr:uid="{00000000-0005-0000-0000-000028CC0000}"/>
    <cellStyle name="Sheet Title 3 4 2 2" xfId="52071" xr:uid="{00000000-0005-0000-0000-000029CC0000}"/>
    <cellStyle name="Sheet Title 3 4 3" xfId="52072" xr:uid="{00000000-0005-0000-0000-00002ACC0000}"/>
    <cellStyle name="Sheet Title 3 5" xfId="52073" xr:uid="{00000000-0005-0000-0000-00002BCC0000}"/>
    <cellStyle name="Sheet Title 3 5 2" xfId="52074" xr:uid="{00000000-0005-0000-0000-00002CCC0000}"/>
    <cellStyle name="Sheet Title 3 5 2 2" xfId="52075" xr:uid="{00000000-0005-0000-0000-00002DCC0000}"/>
    <cellStyle name="Sheet Title 3 5 3" xfId="52076" xr:uid="{00000000-0005-0000-0000-00002ECC0000}"/>
    <cellStyle name="Sheet Title 3 6" xfId="52077" xr:uid="{00000000-0005-0000-0000-00002FCC0000}"/>
    <cellStyle name="Sheet Title 4" xfId="52078" xr:uid="{00000000-0005-0000-0000-000030CC0000}"/>
    <cellStyle name="Sheet Title 4 2" xfId="52079" xr:uid="{00000000-0005-0000-0000-000031CC0000}"/>
    <cellStyle name="Sheet Title 4 2 2" xfId="52080" xr:uid="{00000000-0005-0000-0000-000032CC0000}"/>
    <cellStyle name="Sheet Title 4 3" xfId="52081" xr:uid="{00000000-0005-0000-0000-000033CC0000}"/>
    <cellStyle name="Sheet Title 4 3 2" xfId="52082" xr:uid="{00000000-0005-0000-0000-000034CC0000}"/>
    <cellStyle name="Sheet Title 4 3 2 2" xfId="52083" xr:uid="{00000000-0005-0000-0000-000035CC0000}"/>
    <cellStyle name="Sheet Title 4 3 3" xfId="52084" xr:uid="{00000000-0005-0000-0000-000036CC0000}"/>
    <cellStyle name="Sheet Title 4 4" xfId="52085" xr:uid="{00000000-0005-0000-0000-000037CC0000}"/>
    <cellStyle name="Sheet Title 4 4 2" xfId="52086" xr:uid="{00000000-0005-0000-0000-000038CC0000}"/>
    <cellStyle name="Sheet Title 4 4 2 2" xfId="52087" xr:uid="{00000000-0005-0000-0000-000039CC0000}"/>
    <cellStyle name="Sheet Title 4 4 3" xfId="52088" xr:uid="{00000000-0005-0000-0000-00003ACC0000}"/>
    <cellStyle name="Sheet Title 4 5" xfId="52089" xr:uid="{00000000-0005-0000-0000-00003BCC0000}"/>
    <cellStyle name="Sheet Title 5" xfId="52090" xr:uid="{00000000-0005-0000-0000-00003CCC0000}"/>
    <cellStyle name="Sheet Title 5 2" xfId="52091" xr:uid="{00000000-0005-0000-0000-00003DCC0000}"/>
    <cellStyle name="Sheet Title 5 2 2" xfId="52092" xr:uid="{00000000-0005-0000-0000-00003ECC0000}"/>
    <cellStyle name="Sheet Title 5 3" xfId="52093" xr:uid="{00000000-0005-0000-0000-00003FCC0000}"/>
    <cellStyle name="Sheet Title 6" xfId="52094" xr:uid="{00000000-0005-0000-0000-000040CC0000}"/>
    <cellStyle name="Sheet Title 6 2" xfId="52095" xr:uid="{00000000-0005-0000-0000-000041CC0000}"/>
    <cellStyle name="Sheet Title 6 2 2" xfId="52096" xr:uid="{00000000-0005-0000-0000-000042CC0000}"/>
    <cellStyle name="Sheet Title 6 3" xfId="52097" xr:uid="{00000000-0005-0000-0000-000043CC0000}"/>
    <cellStyle name="Sheet Title 7" xfId="52098" xr:uid="{00000000-0005-0000-0000-000044CC0000}"/>
    <cellStyle name="Sheet Title 7 2" xfId="52099" xr:uid="{00000000-0005-0000-0000-000045CC0000}"/>
    <cellStyle name="Sheet Title 7 2 2" xfId="52100" xr:uid="{00000000-0005-0000-0000-000046CC0000}"/>
    <cellStyle name="Sheet Title 7 3" xfId="52101" xr:uid="{00000000-0005-0000-0000-000047CC0000}"/>
    <cellStyle name="Sheet Title 8" xfId="52102" xr:uid="{00000000-0005-0000-0000-000048CC0000}"/>
    <cellStyle name="Sheet Title 8 2" xfId="52103" xr:uid="{00000000-0005-0000-0000-000049CC0000}"/>
    <cellStyle name="Sheet Title 9" xfId="52104" xr:uid="{00000000-0005-0000-0000-00004ACC0000}"/>
    <cellStyle name="specstores" xfId="52105" xr:uid="{00000000-0005-0000-0000-00004BCC0000}"/>
    <cellStyle name="specstores 10" xfId="52106" xr:uid="{00000000-0005-0000-0000-00004CCC0000}"/>
    <cellStyle name="specstores 2" xfId="52107" xr:uid="{00000000-0005-0000-0000-00004DCC0000}"/>
    <cellStyle name="specstores 2 2" xfId="52108" xr:uid="{00000000-0005-0000-0000-00004ECC0000}"/>
    <cellStyle name="specstores 2 2 2" xfId="52109" xr:uid="{00000000-0005-0000-0000-00004FCC0000}"/>
    <cellStyle name="specstores 2 2 2 2" xfId="52110" xr:uid="{00000000-0005-0000-0000-000050CC0000}"/>
    <cellStyle name="specstores 2 2 3" xfId="52111" xr:uid="{00000000-0005-0000-0000-000051CC0000}"/>
    <cellStyle name="specstores 2 2 3 2" xfId="52112" xr:uid="{00000000-0005-0000-0000-000052CC0000}"/>
    <cellStyle name="specstores 2 2 3 2 2" xfId="52113" xr:uid="{00000000-0005-0000-0000-000053CC0000}"/>
    <cellStyle name="specstores 2 2 3 3" xfId="52114" xr:uid="{00000000-0005-0000-0000-000054CC0000}"/>
    <cellStyle name="specstores 2 2 4" xfId="52115" xr:uid="{00000000-0005-0000-0000-000055CC0000}"/>
    <cellStyle name="specstores 2 2 4 2" xfId="52116" xr:uid="{00000000-0005-0000-0000-000056CC0000}"/>
    <cellStyle name="specstores 2 2 4 2 2" xfId="52117" xr:uid="{00000000-0005-0000-0000-000057CC0000}"/>
    <cellStyle name="specstores 2 2 4 3" xfId="52118" xr:uid="{00000000-0005-0000-0000-000058CC0000}"/>
    <cellStyle name="specstores 2 2 5" xfId="52119" xr:uid="{00000000-0005-0000-0000-000059CC0000}"/>
    <cellStyle name="specstores 2 3" xfId="52120" xr:uid="{00000000-0005-0000-0000-00005ACC0000}"/>
    <cellStyle name="specstores 2 3 2" xfId="52121" xr:uid="{00000000-0005-0000-0000-00005BCC0000}"/>
    <cellStyle name="specstores 2 3 2 2" xfId="52122" xr:uid="{00000000-0005-0000-0000-00005CCC0000}"/>
    <cellStyle name="specstores 2 3 2 2 2" xfId="52123" xr:uid="{00000000-0005-0000-0000-00005DCC0000}"/>
    <cellStyle name="specstores 2 3 2 3" xfId="52124" xr:uid="{00000000-0005-0000-0000-00005ECC0000}"/>
    <cellStyle name="specstores 2 3 2 3 2" xfId="52125" xr:uid="{00000000-0005-0000-0000-00005FCC0000}"/>
    <cellStyle name="specstores 2 3 2 3 2 2" xfId="52126" xr:uid="{00000000-0005-0000-0000-000060CC0000}"/>
    <cellStyle name="specstores 2 3 2 3 3" xfId="52127" xr:uid="{00000000-0005-0000-0000-000061CC0000}"/>
    <cellStyle name="specstores 2 3 2 4" xfId="52128" xr:uid="{00000000-0005-0000-0000-000062CC0000}"/>
    <cellStyle name="specstores 2 3 3" xfId="52129" xr:uid="{00000000-0005-0000-0000-000063CC0000}"/>
    <cellStyle name="specstores 2 3 3 2" xfId="52130" xr:uid="{00000000-0005-0000-0000-000064CC0000}"/>
    <cellStyle name="specstores 2 3 3 2 2" xfId="52131" xr:uid="{00000000-0005-0000-0000-000065CC0000}"/>
    <cellStyle name="specstores 2 3 3 3" xfId="52132" xr:uid="{00000000-0005-0000-0000-000066CC0000}"/>
    <cellStyle name="specstores 2 3 4" xfId="52133" xr:uid="{00000000-0005-0000-0000-000067CC0000}"/>
    <cellStyle name="specstores 2 3 4 2" xfId="52134" xr:uid="{00000000-0005-0000-0000-000068CC0000}"/>
    <cellStyle name="specstores 2 3 4 2 2" xfId="52135" xr:uid="{00000000-0005-0000-0000-000069CC0000}"/>
    <cellStyle name="specstores 2 3 4 3" xfId="52136" xr:uid="{00000000-0005-0000-0000-00006ACC0000}"/>
    <cellStyle name="specstores 2 3 5" xfId="52137" xr:uid="{00000000-0005-0000-0000-00006BCC0000}"/>
    <cellStyle name="specstores 2 3 5 2" xfId="52138" xr:uid="{00000000-0005-0000-0000-00006CCC0000}"/>
    <cellStyle name="specstores 2 3 5 2 2" xfId="52139" xr:uid="{00000000-0005-0000-0000-00006DCC0000}"/>
    <cellStyle name="specstores 2 3 5 3" xfId="52140" xr:uid="{00000000-0005-0000-0000-00006ECC0000}"/>
    <cellStyle name="specstores 2 3 6" xfId="52141" xr:uid="{00000000-0005-0000-0000-00006FCC0000}"/>
    <cellStyle name="specstores 2 4" xfId="52142" xr:uid="{00000000-0005-0000-0000-000070CC0000}"/>
    <cellStyle name="specstores 2 4 2" xfId="52143" xr:uid="{00000000-0005-0000-0000-000071CC0000}"/>
    <cellStyle name="specstores 2 4 2 2" xfId="52144" xr:uid="{00000000-0005-0000-0000-000072CC0000}"/>
    <cellStyle name="specstores 2 4 3" xfId="52145" xr:uid="{00000000-0005-0000-0000-000073CC0000}"/>
    <cellStyle name="specstores 2 5" xfId="52146" xr:uid="{00000000-0005-0000-0000-000074CC0000}"/>
    <cellStyle name="specstores 2 5 2" xfId="52147" xr:uid="{00000000-0005-0000-0000-000075CC0000}"/>
    <cellStyle name="specstores 2 5 2 2" xfId="52148" xr:uid="{00000000-0005-0000-0000-000076CC0000}"/>
    <cellStyle name="specstores 2 5 3" xfId="52149" xr:uid="{00000000-0005-0000-0000-000077CC0000}"/>
    <cellStyle name="specstores 2 6" xfId="52150" xr:uid="{00000000-0005-0000-0000-000078CC0000}"/>
    <cellStyle name="specstores 2 6 2" xfId="52151" xr:uid="{00000000-0005-0000-0000-000079CC0000}"/>
    <cellStyle name="specstores 2 6 2 2" xfId="52152" xr:uid="{00000000-0005-0000-0000-00007ACC0000}"/>
    <cellStyle name="specstores 2 6 3" xfId="52153" xr:uid="{00000000-0005-0000-0000-00007BCC0000}"/>
    <cellStyle name="specstores 2 7" xfId="52154" xr:uid="{00000000-0005-0000-0000-00007CCC0000}"/>
    <cellStyle name="specstores 3" xfId="52155" xr:uid="{00000000-0005-0000-0000-00007DCC0000}"/>
    <cellStyle name="specstores 3 2" xfId="52156" xr:uid="{00000000-0005-0000-0000-00007ECC0000}"/>
    <cellStyle name="specstores 3 2 2" xfId="52157" xr:uid="{00000000-0005-0000-0000-00007FCC0000}"/>
    <cellStyle name="specstores 3 2 2 2" xfId="52158" xr:uid="{00000000-0005-0000-0000-000080CC0000}"/>
    <cellStyle name="specstores 3 2 3" xfId="52159" xr:uid="{00000000-0005-0000-0000-000081CC0000}"/>
    <cellStyle name="specstores 3 2 3 2" xfId="52160" xr:uid="{00000000-0005-0000-0000-000082CC0000}"/>
    <cellStyle name="specstores 3 2 3 2 2" xfId="52161" xr:uid="{00000000-0005-0000-0000-000083CC0000}"/>
    <cellStyle name="specstores 3 2 3 3" xfId="52162" xr:uid="{00000000-0005-0000-0000-000084CC0000}"/>
    <cellStyle name="specstores 3 2 4" xfId="52163" xr:uid="{00000000-0005-0000-0000-000085CC0000}"/>
    <cellStyle name="specstores 3 2 4 2" xfId="52164" xr:uid="{00000000-0005-0000-0000-000086CC0000}"/>
    <cellStyle name="specstores 3 2 4 2 2" xfId="52165" xr:uid="{00000000-0005-0000-0000-000087CC0000}"/>
    <cellStyle name="specstores 3 2 4 3" xfId="52166" xr:uid="{00000000-0005-0000-0000-000088CC0000}"/>
    <cellStyle name="specstores 3 2 5" xfId="52167" xr:uid="{00000000-0005-0000-0000-000089CC0000}"/>
    <cellStyle name="specstores 3 3" xfId="52168" xr:uid="{00000000-0005-0000-0000-00008ACC0000}"/>
    <cellStyle name="specstores 3 3 2" xfId="52169" xr:uid="{00000000-0005-0000-0000-00008BCC0000}"/>
    <cellStyle name="specstores 3 3 2 2" xfId="52170" xr:uid="{00000000-0005-0000-0000-00008CCC0000}"/>
    <cellStyle name="specstores 3 3 3" xfId="52171" xr:uid="{00000000-0005-0000-0000-00008DCC0000}"/>
    <cellStyle name="specstores 3 4" xfId="52172" xr:uid="{00000000-0005-0000-0000-00008ECC0000}"/>
    <cellStyle name="specstores 3 4 2" xfId="52173" xr:uid="{00000000-0005-0000-0000-00008FCC0000}"/>
    <cellStyle name="specstores 3 4 2 2" xfId="52174" xr:uid="{00000000-0005-0000-0000-000090CC0000}"/>
    <cellStyle name="specstores 3 4 3" xfId="52175" xr:uid="{00000000-0005-0000-0000-000091CC0000}"/>
    <cellStyle name="specstores 3 5" xfId="52176" xr:uid="{00000000-0005-0000-0000-000092CC0000}"/>
    <cellStyle name="specstores 3 5 2" xfId="52177" xr:uid="{00000000-0005-0000-0000-000093CC0000}"/>
    <cellStyle name="specstores 3 5 2 2" xfId="52178" xr:uid="{00000000-0005-0000-0000-000094CC0000}"/>
    <cellStyle name="specstores 3 5 3" xfId="52179" xr:uid="{00000000-0005-0000-0000-000095CC0000}"/>
    <cellStyle name="specstores 3 6" xfId="52180" xr:uid="{00000000-0005-0000-0000-000096CC0000}"/>
    <cellStyle name="specstores 4" xfId="52181" xr:uid="{00000000-0005-0000-0000-000097CC0000}"/>
    <cellStyle name="specstores 4 2" xfId="52182" xr:uid="{00000000-0005-0000-0000-000098CC0000}"/>
    <cellStyle name="specstores 4 2 2" xfId="52183" xr:uid="{00000000-0005-0000-0000-000099CC0000}"/>
    <cellStyle name="specstores 4 2 2 2" xfId="52184" xr:uid="{00000000-0005-0000-0000-00009ACC0000}"/>
    <cellStyle name="specstores 4 2 3" xfId="52185" xr:uid="{00000000-0005-0000-0000-00009BCC0000}"/>
    <cellStyle name="specstores 4 2 3 2" xfId="52186" xr:uid="{00000000-0005-0000-0000-00009CCC0000}"/>
    <cellStyle name="specstores 4 2 3 2 2" xfId="52187" xr:uid="{00000000-0005-0000-0000-00009DCC0000}"/>
    <cellStyle name="specstores 4 2 3 3" xfId="52188" xr:uid="{00000000-0005-0000-0000-00009ECC0000}"/>
    <cellStyle name="specstores 4 2 4" xfId="52189" xr:uid="{00000000-0005-0000-0000-00009FCC0000}"/>
    <cellStyle name="specstores 4 2 4 2" xfId="52190" xr:uid="{00000000-0005-0000-0000-0000A0CC0000}"/>
    <cellStyle name="specstores 4 2 4 2 2" xfId="52191" xr:uid="{00000000-0005-0000-0000-0000A1CC0000}"/>
    <cellStyle name="specstores 4 2 4 3" xfId="52192" xr:uid="{00000000-0005-0000-0000-0000A2CC0000}"/>
    <cellStyle name="specstores 4 2 5" xfId="52193" xr:uid="{00000000-0005-0000-0000-0000A3CC0000}"/>
    <cellStyle name="specstores 4 3" xfId="52194" xr:uid="{00000000-0005-0000-0000-0000A4CC0000}"/>
    <cellStyle name="specstores 4 3 2" xfId="52195" xr:uid="{00000000-0005-0000-0000-0000A5CC0000}"/>
    <cellStyle name="specstores 4 3 2 2" xfId="52196" xr:uid="{00000000-0005-0000-0000-0000A6CC0000}"/>
    <cellStyle name="specstores 4 3 3" xfId="52197" xr:uid="{00000000-0005-0000-0000-0000A7CC0000}"/>
    <cellStyle name="specstores 4 4" xfId="52198" xr:uid="{00000000-0005-0000-0000-0000A8CC0000}"/>
    <cellStyle name="specstores 4 4 2" xfId="52199" xr:uid="{00000000-0005-0000-0000-0000A9CC0000}"/>
    <cellStyle name="specstores 4 4 2 2" xfId="52200" xr:uid="{00000000-0005-0000-0000-0000AACC0000}"/>
    <cellStyle name="specstores 4 4 3" xfId="52201" xr:uid="{00000000-0005-0000-0000-0000ABCC0000}"/>
    <cellStyle name="specstores 4 5" xfId="52202" xr:uid="{00000000-0005-0000-0000-0000ACCC0000}"/>
    <cellStyle name="specstores 4 5 2" xfId="52203" xr:uid="{00000000-0005-0000-0000-0000ADCC0000}"/>
    <cellStyle name="specstores 4 5 2 2" xfId="52204" xr:uid="{00000000-0005-0000-0000-0000AECC0000}"/>
    <cellStyle name="specstores 4 5 3" xfId="52205" xr:uid="{00000000-0005-0000-0000-0000AFCC0000}"/>
    <cellStyle name="specstores 4 6" xfId="52206" xr:uid="{00000000-0005-0000-0000-0000B0CC0000}"/>
    <cellStyle name="specstores 5" xfId="52207" xr:uid="{00000000-0005-0000-0000-0000B1CC0000}"/>
    <cellStyle name="specstores 5 2" xfId="52208" xr:uid="{00000000-0005-0000-0000-0000B2CC0000}"/>
    <cellStyle name="specstores 5 2 2" xfId="52209" xr:uid="{00000000-0005-0000-0000-0000B3CC0000}"/>
    <cellStyle name="specstores 5 3" xfId="52210" xr:uid="{00000000-0005-0000-0000-0000B4CC0000}"/>
    <cellStyle name="specstores 5 3 2" xfId="52211" xr:uid="{00000000-0005-0000-0000-0000B5CC0000}"/>
    <cellStyle name="specstores 5 3 2 2" xfId="52212" xr:uid="{00000000-0005-0000-0000-0000B6CC0000}"/>
    <cellStyle name="specstores 5 3 3" xfId="52213" xr:uid="{00000000-0005-0000-0000-0000B7CC0000}"/>
    <cellStyle name="specstores 5 4" xfId="52214" xr:uid="{00000000-0005-0000-0000-0000B8CC0000}"/>
    <cellStyle name="specstores 5 4 2" xfId="52215" xr:uid="{00000000-0005-0000-0000-0000B9CC0000}"/>
    <cellStyle name="specstores 5 4 2 2" xfId="52216" xr:uid="{00000000-0005-0000-0000-0000BACC0000}"/>
    <cellStyle name="specstores 5 4 3" xfId="52217" xr:uid="{00000000-0005-0000-0000-0000BBCC0000}"/>
    <cellStyle name="specstores 5 5" xfId="52218" xr:uid="{00000000-0005-0000-0000-0000BCCC0000}"/>
    <cellStyle name="specstores 6" xfId="52219" xr:uid="{00000000-0005-0000-0000-0000BDCC0000}"/>
    <cellStyle name="specstores 6 2" xfId="52220" xr:uid="{00000000-0005-0000-0000-0000BECC0000}"/>
    <cellStyle name="specstores 6 2 2" xfId="52221" xr:uid="{00000000-0005-0000-0000-0000BFCC0000}"/>
    <cellStyle name="specstores 6 3" xfId="52222" xr:uid="{00000000-0005-0000-0000-0000C0CC0000}"/>
    <cellStyle name="specstores 7" xfId="52223" xr:uid="{00000000-0005-0000-0000-0000C1CC0000}"/>
    <cellStyle name="specstores 7 2" xfId="52224" xr:uid="{00000000-0005-0000-0000-0000C2CC0000}"/>
    <cellStyle name="specstores 7 2 2" xfId="52225" xr:uid="{00000000-0005-0000-0000-0000C3CC0000}"/>
    <cellStyle name="specstores 7 3" xfId="52226" xr:uid="{00000000-0005-0000-0000-0000C4CC0000}"/>
    <cellStyle name="specstores 8" xfId="52227" xr:uid="{00000000-0005-0000-0000-0000C5CC0000}"/>
    <cellStyle name="specstores 8 2" xfId="52228" xr:uid="{00000000-0005-0000-0000-0000C6CC0000}"/>
    <cellStyle name="specstores 8 2 2" xfId="52229" xr:uid="{00000000-0005-0000-0000-0000C7CC0000}"/>
    <cellStyle name="specstores 8 3" xfId="52230" xr:uid="{00000000-0005-0000-0000-0000C8CC0000}"/>
    <cellStyle name="specstores 9" xfId="52231" xr:uid="{00000000-0005-0000-0000-0000C9CC0000}"/>
    <cellStyle name="specstores 9 2" xfId="52232" xr:uid="{00000000-0005-0000-0000-0000CACC0000}"/>
    <cellStyle name="StrategyDependent" xfId="52233" xr:uid="{00000000-0005-0000-0000-0000CBCC0000}"/>
    <cellStyle name="StrategyDependent 2" xfId="52234" xr:uid="{00000000-0005-0000-0000-0000CCCC0000}"/>
    <cellStyle name="StrategyDependent 2 2" xfId="52235" xr:uid="{00000000-0005-0000-0000-0000CDCC0000}"/>
    <cellStyle name="StrategyDependent 3" xfId="52236" xr:uid="{00000000-0005-0000-0000-0000CECC0000}"/>
    <cellStyle name="StrategyDependent 3 2" xfId="52237" xr:uid="{00000000-0005-0000-0000-0000CFCC0000}"/>
    <cellStyle name="StrategyDependent 3 2 2" xfId="52238" xr:uid="{00000000-0005-0000-0000-0000D0CC0000}"/>
    <cellStyle name="StrategyDependent 3 3" xfId="52239" xr:uid="{00000000-0005-0000-0000-0000D1CC0000}"/>
    <cellStyle name="StrategyDependent 4" xfId="52240" xr:uid="{00000000-0005-0000-0000-0000D2CC0000}"/>
    <cellStyle name="StrategyDependent 4 2" xfId="52241" xr:uid="{00000000-0005-0000-0000-0000D3CC0000}"/>
    <cellStyle name="StrategyDependent 4 2 2" xfId="52242" xr:uid="{00000000-0005-0000-0000-0000D4CC0000}"/>
    <cellStyle name="StrategyDependent 4 3" xfId="52243" xr:uid="{00000000-0005-0000-0000-0000D5CC0000}"/>
    <cellStyle name="StrategyDependent 5" xfId="52244" xr:uid="{00000000-0005-0000-0000-0000D6CC0000}"/>
    <cellStyle name="Style 1" xfId="52245" xr:uid="{00000000-0005-0000-0000-0000D7CC0000}"/>
    <cellStyle name="Style 1 2" xfId="52246" xr:uid="{00000000-0005-0000-0000-0000D8CC0000}"/>
    <cellStyle name="Style 1 2 2" xfId="52247" xr:uid="{00000000-0005-0000-0000-0000D9CC0000}"/>
    <cellStyle name="Style 1 2 3" xfId="52248" xr:uid="{00000000-0005-0000-0000-0000DACC0000}"/>
    <cellStyle name="Style 1 2 3 2" xfId="52249" xr:uid="{00000000-0005-0000-0000-0000DBCC0000}"/>
    <cellStyle name="Style 1 2 3 2 2" xfId="52250" xr:uid="{00000000-0005-0000-0000-0000DCCC0000}"/>
    <cellStyle name="Style 1 2 3 3" xfId="52251" xr:uid="{00000000-0005-0000-0000-0000DDCC0000}"/>
    <cellStyle name="Style 1 2 4" xfId="52252" xr:uid="{00000000-0005-0000-0000-0000DECC0000}"/>
    <cellStyle name="Style 1 2 4 2" xfId="52253" xr:uid="{00000000-0005-0000-0000-0000DFCC0000}"/>
    <cellStyle name="Style 1 2 4 2 2" xfId="52254" xr:uid="{00000000-0005-0000-0000-0000E0CC0000}"/>
    <cellStyle name="Style 1 2 4 3" xfId="52255" xr:uid="{00000000-0005-0000-0000-0000E1CC0000}"/>
    <cellStyle name="Style 1 3" xfId="52256" xr:uid="{00000000-0005-0000-0000-0000E2CC0000}"/>
    <cellStyle name="Style 1 4" xfId="52257" xr:uid="{00000000-0005-0000-0000-0000E3CC0000}"/>
    <cellStyle name="Style 1 4 2" xfId="52258" xr:uid="{00000000-0005-0000-0000-0000E4CC0000}"/>
    <cellStyle name="Style 1 4 2 2" xfId="52259" xr:uid="{00000000-0005-0000-0000-0000E5CC0000}"/>
    <cellStyle name="Style 1 4 3" xfId="52260" xr:uid="{00000000-0005-0000-0000-0000E6CC0000}"/>
    <cellStyle name="Style 1 5" xfId="52261" xr:uid="{00000000-0005-0000-0000-0000E7CC0000}"/>
    <cellStyle name="Style 1 5 2" xfId="52262" xr:uid="{00000000-0005-0000-0000-0000E8CC0000}"/>
    <cellStyle name="Style 1 5 2 2" xfId="52263" xr:uid="{00000000-0005-0000-0000-0000E9CC0000}"/>
    <cellStyle name="Style 1 5 3" xfId="52264" xr:uid="{00000000-0005-0000-0000-0000EACC0000}"/>
    <cellStyle name="Subtotal" xfId="52265" xr:uid="{00000000-0005-0000-0000-0000EBCC0000}"/>
    <cellStyle name="Subtotal 2" xfId="52266" xr:uid="{00000000-0005-0000-0000-0000ECCC0000}"/>
    <cellStyle name="Subtotal 3" xfId="52267" xr:uid="{00000000-0005-0000-0000-0000EDCC0000}"/>
    <cellStyle name="Subtotal 3 2" xfId="52268" xr:uid="{00000000-0005-0000-0000-0000EECC0000}"/>
    <cellStyle name="Subtotal 3 2 2" xfId="52269" xr:uid="{00000000-0005-0000-0000-0000EFCC0000}"/>
    <cellStyle name="Subtotal 3 3" xfId="52270" xr:uid="{00000000-0005-0000-0000-0000F0CC0000}"/>
    <cellStyle name="Subtotal 4" xfId="52271" xr:uid="{00000000-0005-0000-0000-0000F1CC0000}"/>
    <cellStyle name="Subtotal 4 2" xfId="52272" xr:uid="{00000000-0005-0000-0000-0000F2CC0000}"/>
    <cellStyle name="Subtotal 4 2 2" xfId="52273" xr:uid="{00000000-0005-0000-0000-0000F3CC0000}"/>
    <cellStyle name="Subtotal 4 3" xfId="52274" xr:uid="{00000000-0005-0000-0000-0000F4CC0000}"/>
    <cellStyle name="Task" xfId="52275" xr:uid="{00000000-0005-0000-0000-0000F5CC0000}"/>
    <cellStyle name="Task 2" xfId="52276" xr:uid="{00000000-0005-0000-0000-0000F6CC0000}"/>
    <cellStyle name="Task 3" xfId="52277" xr:uid="{00000000-0005-0000-0000-0000F7CC0000}"/>
    <cellStyle name="Task 3 2" xfId="52278" xr:uid="{00000000-0005-0000-0000-0000F8CC0000}"/>
    <cellStyle name="Task 3 2 2" xfId="52279" xr:uid="{00000000-0005-0000-0000-0000F9CC0000}"/>
    <cellStyle name="Task 3 3" xfId="52280" xr:uid="{00000000-0005-0000-0000-0000FACC0000}"/>
    <cellStyle name="Task 4" xfId="52281" xr:uid="{00000000-0005-0000-0000-0000FBCC0000}"/>
    <cellStyle name="Task 4 2" xfId="52282" xr:uid="{00000000-0005-0000-0000-0000FCCC0000}"/>
    <cellStyle name="Task 4 2 2" xfId="52283" xr:uid="{00000000-0005-0000-0000-0000FDCC0000}"/>
    <cellStyle name="Task 4 3" xfId="52284" xr:uid="{00000000-0005-0000-0000-0000FECC0000}"/>
    <cellStyle name="Temp" xfId="52285" xr:uid="{00000000-0005-0000-0000-0000FFCC0000}"/>
    <cellStyle name="Temp 2" xfId="52286" xr:uid="{00000000-0005-0000-0000-000000CD0000}"/>
    <cellStyle name="Temp 2 2" xfId="52287" xr:uid="{00000000-0005-0000-0000-000001CD0000}"/>
    <cellStyle name="Temp 3" xfId="52288" xr:uid="{00000000-0005-0000-0000-000002CD0000}"/>
    <cellStyle name="Temp 3 2" xfId="52289" xr:uid="{00000000-0005-0000-0000-000003CD0000}"/>
    <cellStyle name="Temp 3 2 2" xfId="52290" xr:uid="{00000000-0005-0000-0000-000004CD0000}"/>
    <cellStyle name="Temp 3 3" xfId="52291" xr:uid="{00000000-0005-0000-0000-000005CD0000}"/>
    <cellStyle name="Temp 4" xfId="52292" xr:uid="{00000000-0005-0000-0000-000006CD0000}"/>
    <cellStyle name="Temp 4 2" xfId="52293" xr:uid="{00000000-0005-0000-0000-000007CD0000}"/>
    <cellStyle name="Temp 4 2 2" xfId="52294" xr:uid="{00000000-0005-0000-0000-000008CD0000}"/>
    <cellStyle name="Temp 4 3" xfId="52295" xr:uid="{00000000-0005-0000-0000-000009CD0000}"/>
    <cellStyle name="Temp 5" xfId="52296" xr:uid="{00000000-0005-0000-0000-00000ACD0000}"/>
    <cellStyle name="Title 2" xfId="52297" xr:uid="{00000000-0005-0000-0000-00000BCD0000}"/>
    <cellStyle name="Title 2 10" xfId="52298" xr:uid="{00000000-0005-0000-0000-00000CCD0000}"/>
    <cellStyle name="Title 2 10 2" xfId="52299" xr:uid="{00000000-0005-0000-0000-00000DCD0000}"/>
    <cellStyle name="Title 2 10 2 2" xfId="52300" xr:uid="{00000000-0005-0000-0000-00000ECD0000}"/>
    <cellStyle name="Title 2 10 3" xfId="52301" xr:uid="{00000000-0005-0000-0000-00000FCD0000}"/>
    <cellStyle name="Title 2 11" xfId="52302" xr:uid="{00000000-0005-0000-0000-000010CD0000}"/>
    <cellStyle name="Title 2 11 2" xfId="52303" xr:uid="{00000000-0005-0000-0000-000011CD0000}"/>
    <cellStyle name="Title 2 11 2 2" xfId="52304" xr:uid="{00000000-0005-0000-0000-000012CD0000}"/>
    <cellStyle name="Title 2 11 3" xfId="52305" xr:uid="{00000000-0005-0000-0000-000013CD0000}"/>
    <cellStyle name="Title 2 12" xfId="52306" xr:uid="{00000000-0005-0000-0000-000014CD0000}"/>
    <cellStyle name="Title 2 12 2" xfId="52307" xr:uid="{00000000-0005-0000-0000-000015CD0000}"/>
    <cellStyle name="Title 2 12 2 2" xfId="52308" xr:uid="{00000000-0005-0000-0000-000016CD0000}"/>
    <cellStyle name="Title 2 12 3" xfId="52309" xr:uid="{00000000-0005-0000-0000-000017CD0000}"/>
    <cellStyle name="Title 2 13" xfId="52310" xr:uid="{00000000-0005-0000-0000-000018CD0000}"/>
    <cellStyle name="Title 2 2" xfId="52311" xr:uid="{00000000-0005-0000-0000-000019CD0000}"/>
    <cellStyle name="Title 2 2 2" xfId="52312" xr:uid="{00000000-0005-0000-0000-00001ACD0000}"/>
    <cellStyle name="Title 2 2 2 2" xfId="52313" xr:uid="{00000000-0005-0000-0000-00001BCD0000}"/>
    <cellStyle name="Title 2 2 2 2 2" xfId="52314" xr:uid="{00000000-0005-0000-0000-00001CCD0000}"/>
    <cellStyle name="Title 2 2 2 3" xfId="52315" xr:uid="{00000000-0005-0000-0000-00001DCD0000}"/>
    <cellStyle name="Title 2 2 2 3 2" xfId="52316" xr:uid="{00000000-0005-0000-0000-00001ECD0000}"/>
    <cellStyle name="Title 2 2 2 3 2 2" xfId="52317" xr:uid="{00000000-0005-0000-0000-00001FCD0000}"/>
    <cellStyle name="Title 2 2 2 3 3" xfId="52318" xr:uid="{00000000-0005-0000-0000-000020CD0000}"/>
    <cellStyle name="Title 2 2 2 4" xfId="52319" xr:uid="{00000000-0005-0000-0000-000021CD0000}"/>
    <cellStyle name="Title 2 2 2 4 2" xfId="52320" xr:uid="{00000000-0005-0000-0000-000022CD0000}"/>
    <cellStyle name="Title 2 2 2 4 2 2" xfId="52321" xr:uid="{00000000-0005-0000-0000-000023CD0000}"/>
    <cellStyle name="Title 2 2 2 4 3" xfId="52322" xr:uid="{00000000-0005-0000-0000-000024CD0000}"/>
    <cellStyle name="Title 2 2 2 5" xfId="52323" xr:uid="{00000000-0005-0000-0000-000025CD0000}"/>
    <cellStyle name="Title 2 2 3" xfId="52324" xr:uid="{00000000-0005-0000-0000-000026CD0000}"/>
    <cellStyle name="Title 2 2 3 2" xfId="52325" xr:uid="{00000000-0005-0000-0000-000027CD0000}"/>
    <cellStyle name="Title 2 2 3 2 2" xfId="52326" xr:uid="{00000000-0005-0000-0000-000028CD0000}"/>
    <cellStyle name="Title 2 2 3 2 2 2" xfId="52327" xr:uid="{00000000-0005-0000-0000-000029CD0000}"/>
    <cellStyle name="Title 2 2 3 2 3" xfId="52328" xr:uid="{00000000-0005-0000-0000-00002ACD0000}"/>
    <cellStyle name="Title 2 2 3 2 3 2" xfId="52329" xr:uid="{00000000-0005-0000-0000-00002BCD0000}"/>
    <cellStyle name="Title 2 2 3 2 3 2 2" xfId="52330" xr:uid="{00000000-0005-0000-0000-00002CCD0000}"/>
    <cellStyle name="Title 2 2 3 2 3 3" xfId="52331" xr:uid="{00000000-0005-0000-0000-00002DCD0000}"/>
    <cellStyle name="Title 2 2 3 2 4" xfId="52332" xr:uid="{00000000-0005-0000-0000-00002ECD0000}"/>
    <cellStyle name="Title 2 2 3 3" xfId="52333" xr:uid="{00000000-0005-0000-0000-00002FCD0000}"/>
    <cellStyle name="Title 2 2 3 3 2" xfId="52334" xr:uid="{00000000-0005-0000-0000-000030CD0000}"/>
    <cellStyle name="Title 2 2 3 3 2 2" xfId="52335" xr:uid="{00000000-0005-0000-0000-000031CD0000}"/>
    <cellStyle name="Title 2 2 3 3 3" xfId="52336" xr:uid="{00000000-0005-0000-0000-000032CD0000}"/>
    <cellStyle name="Title 2 2 3 4" xfId="52337" xr:uid="{00000000-0005-0000-0000-000033CD0000}"/>
    <cellStyle name="Title 2 2 3 4 2" xfId="52338" xr:uid="{00000000-0005-0000-0000-000034CD0000}"/>
    <cellStyle name="Title 2 2 3 4 2 2" xfId="52339" xr:uid="{00000000-0005-0000-0000-000035CD0000}"/>
    <cellStyle name="Title 2 2 3 4 3" xfId="52340" xr:uid="{00000000-0005-0000-0000-000036CD0000}"/>
    <cellStyle name="Title 2 2 3 5" xfId="52341" xr:uid="{00000000-0005-0000-0000-000037CD0000}"/>
    <cellStyle name="Title 2 2 3 5 2" xfId="52342" xr:uid="{00000000-0005-0000-0000-000038CD0000}"/>
    <cellStyle name="Title 2 2 3 5 2 2" xfId="52343" xr:uid="{00000000-0005-0000-0000-000039CD0000}"/>
    <cellStyle name="Title 2 2 3 5 3" xfId="52344" xr:uid="{00000000-0005-0000-0000-00003ACD0000}"/>
    <cellStyle name="Title 2 2 3 6" xfId="52345" xr:uid="{00000000-0005-0000-0000-00003BCD0000}"/>
    <cellStyle name="Title 2 2 4" xfId="52346" xr:uid="{00000000-0005-0000-0000-00003CCD0000}"/>
    <cellStyle name="Title 2 2 4 2" xfId="52347" xr:uid="{00000000-0005-0000-0000-00003DCD0000}"/>
    <cellStyle name="Title 2 2 4 2 2" xfId="52348" xr:uid="{00000000-0005-0000-0000-00003ECD0000}"/>
    <cellStyle name="Title 2 2 4 3" xfId="52349" xr:uid="{00000000-0005-0000-0000-00003FCD0000}"/>
    <cellStyle name="Title 2 2 5" xfId="52350" xr:uid="{00000000-0005-0000-0000-000040CD0000}"/>
    <cellStyle name="Title 2 2 5 2" xfId="52351" xr:uid="{00000000-0005-0000-0000-000041CD0000}"/>
    <cellStyle name="Title 2 2 5 2 2" xfId="52352" xr:uid="{00000000-0005-0000-0000-000042CD0000}"/>
    <cellStyle name="Title 2 2 5 3" xfId="52353" xr:uid="{00000000-0005-0000-0000-000043CD0000}"/>
    <cellStyle name="Title 2 2 6" xfId="52354" xr:uid="{00000000-0005-0000-0000-000044CD0000}"/>
    <cellStyle name="Title 2 2 6 2" xfId="52355" xr:uid="{00000000-0005-0000-0000-000045CD0000}"/>
    <cellStyle name="Title 2 2 6 2 2" xfId="52356" xr:uid="{00000000-0005-0000-0000-000046CD0000}"/>
    <cellStyle name="Title 2 2 6 3" xfId="52357" xr:uid="{00000000-0005-0000-0000-000047CD0000}"/>
    <cellStyle name="Title 2 2 7" xfId="52358" xr:uid="{00000000-0005-0000-0000-000048CD0000}"/>
    <cellStyle name="Title 2 3" xfId="52359" xr:uid="{00000000-0005-0000-0000-000049CD0000}"/>
    <cellStyle name="Title 2 3 2" xfId="52360" xr:uid="{00000000-0005-0000-0000-00004ACD0000}"/>
    <cellStyle name="Title 2 3 2 2" xfId="52361" xr:uid="{00000000-0005-0000-0000-00004BCD0000}"/>
    <cellStyle name="Title 2 3 2 2 2" xfId="52362" xr:uid="{00000000-0005-0000-0000-00004CCD0000}"/>
    <cellStyle name="Title 2 3 2 3" xfId="52363" xr:uid="{00000000-0005-0000-0000-00004DCD0000}"/>
    <cellStyle name="Title 2 3 2 3 2" xfId="52364" xr:uid="{00000000-0005-0000-0000-00004ECD0000}"/>
    <cellStyle name="Title 2 3 2 3 2 2" xfId="52365" xr:uid="{00000000-0005-0000-0000-00004FCD0000}"/>
    <cellStyle name="Title 2 3 2 3 3" xfId="52366" xr:uid="{00000000-0005-0000-0000-000050CD0000}"/>
    <cellStyle name="Title 2 3 2 4" xfId="52367" xr:uid="{00000000-0005-0000-0000-000051CD0000}"/>
    <cellStyle name="Title 2 3 2 4 2" xfId="52368" xr:uid="{00000000-0005-0000-0000-000052CD0000}"/>
    <cellStyle name="Title 2 3 2 4 2 2" xfId="52369" xr:uid="{00000000-0005-0000-0000-000053CD0000}"/>
    <cellStyle name="Title 2 3 2 4 3" xfId="52370" xr:uid="{00000000-0005-0000-0000-000054CD0000}"/>
    <cellStyle name="Title 2 3 2 5" xfId="52371" xr:uid="{00000000-0005-0000-0000-000055CD0000}"/>
    <cellStyle name="Title 2 3 3" xfId="52372" xr:uid="{00000000-0005-0000-0000-000056CD0000}"/>
    <cellStyle name="Title 2 3 3 2" xfId="52373" xr:uid="{00000000-0005-0000-0000-000057CD0000}"/>
    <cellStyle name="Title 2 3 3 2 2" xfId="52374" xr:uid="{00000000-0005-0000-0000-000058CD0000}"/>
    <cellStyle name="Title 2 3 3 2 2 2" xfId="52375" xr:uid="{00000000-0005-0000-0000-000059CD0000}"/>
    <cellStyle name="Title 2 3 3 2 3" xfId="52376" xr:uid="{00000000-0005-0000-0000-00005ACD0000}"/>
    <cellStyle name="Title 2 3 3 2 3 2" xfId="52377" xr:uid="{00000000-0005-0000-0000-00005BCD0000}"/>
    <cellStyle name="Title 2 3 3 2 3 2 2" xfId="52378" xr:uid="{00000000-0005-0000-0000-00005CCD0000}"/>
    <cellStyle name="Title 2 3 3 2 3 3" xfId="52379" xr:uid="{00000000-0005-0000-0000-00005DCD0000}"/>
    <cellStyle name="Title 2 3 3 2 4" xfId="52380" xr:uid="{00000000-0005-0000-0000-00005ECD0000}"/>
    <cellStyle name="Title 2 3 3 3" xfId="52381" xr:uid="{00000000-0005-0000-0000-00005FCD0000}"/>
    <cellStyle name="Title 2 3 3 3 2" xfId="52382" xr:uid="{00000000-0005-0000-0000-000060CD0000}"/>
    <cellStyle name="Title 2 3 3 3 2 2" xfId="52383" xr:uid="{00000000-0005-0000-0000-000061CD0000}"/>
    <cellStyle name="Title 2 3 3 3 3" xfId="52384" xr:uid="{00000000-0005-0000-0000-000062CD0000}"/>
    <cellStyle name="Title 2 3 3 4" xfId="52385" xr:uid="{00000000-0005-0000-0000-000063CD0000}"/>
    <cellStyle name="Title 2 3 3 4 2" xfId="52386" xr:uid="{00000000-0005-0000-0000-000064CD0000}"/>
    <cellStyle name="Title 2 3 3 4 2 2" xfId="52387" xr:uid="{00000000-0005-0000-0000-000065CD0000}"/>
    <cellStyle name="Title 2 3 3 4 3" xfId="52388" xr:uid="{00000000-0005-0000-0000-000066CD0000}"/>
    <cellStyle name="Title 2 3 3 5" xfId="52389" xr:uid="{00000000-0005-0000-0000-000067CD0000}"/>
    <cellStyle name="Title 2 3 3 5 2" xfId="52390" xr:uid="{00000000-0005-0000-0000-000068CD0000}"/>
    <cellStyle name="Title 2 3 3 5 2 2" xfId="52391" xr:uid="{00000000-0005-0000-0000-000069CD0000}"/>
    <cellStyle name="Title 2 3 3 5 3" xfId="52392" xr:uid="{00000000-0005-0000-0000-00006ACD0000}"/>
    <cellStyle name="Title 2 3 3 6" xfId="52393" xr:uid="{00000000-0005-0000-0000-00006BCD0000}"/>
    <cellStyle name="Title 2 3 4" xfId="52394" xr:uid="{00000000-0005-0000-0000-00006CCD0000}"/>
    <cellStyle name="Title 2 3 4 2" xfId="52395" xr:uid="{00000000-0005-0000-0000-00006DCD0000}"/>
    <cellStyle name="Title 2 3 4 2 2" xfId="52396" xr:uid="{00000000-0005-0000-0000-00006ECD0000}"/>
    <cellStyle name="Title 2 3 4 3" xfId="52397" xr:uid="{00000000-0005-0000-0000-00006FCD0000}"/>
    <cellStyle name="Title 2 3 5" xfId="52398" xr:uid="{00000000-0005-0000-0000-000070CD0000}"/>
    <cellStyle name="Title 2 3 5 2" xfId="52399" xr:uid="{00000000-0005-0000-0000-000071CD0000}"/>
    <cellStyle name="Title 2 3 5 2 2" xfId="52400" xr:uid="{00000000-0005-0000-0000-000072CD0000}"/>
    <cellStyle name="Title 2 3 5 3" xfId="52401" xr:uid="{00000000-0005-0000-0000-000073CD0000}"/>
    <cellStyle name="Title 2 3 6" xfId="52402" xr:uid="{00000000-0005-0000-0000-000074CD0000}"/>
    <cellStyle name="Title 2 3 6 2" xfId="52403" xr:uid="{00000000-0005-0000-0000-000075CD0000}"/>
    <cellStyle name="Title 2 3 6 2 2" xfId="52404" xr:uid="{00000000-0005-0000-0000-000076CD0000}"/>
    <cellStyle name="Title 2 3 6 3" xfId="52405" xr:uid="{00000000-0005-0000-0000-000077CD0000}"/>
    <cellStyle name="Title 2 3 7" xfId="52406" xr:uid="{00000000-0005-0000-0000-000078CD0000}"/>
    <cellStyle name="Title 2 4" xfId="52407" xr:uid="{00000000-0005-0000-0000-000079CD0000}"/>
    <cellStyle name="Title 2 4 2" xfId="52408" xr:uid="{00000000-0005-0000-0000-00007ACD0000}"/>
    <cellStyle name="Title 2 4 2 2" xfId="52409" xr:uid="{00000000-0005-0000-0000-00007BCD0000}"/>
    <cellStyle name="Title 2 4 2 2 2" xfId="52410" xr:uid="{00000000-0005-0000-0000-00007CCD0000}"/>
    <cellStyle name="Title 2 4 2 3" xfId="52411" xr:uid="{00000000-0005-0000-0000-00007DCD0000}"/>
    <cellStyle name="Title 2 4 2 3 2" xfId="52412" xr:uid="{00000000-0005-0000-0000-00007ECD0000}"/>
    <cellStyle name="Title 2 4 2 3 2 2" xfId="52413" xr:uid="{00000000-0005-0000-0000-00007FCD0000}"/>
    <cellStyle name="Title 2 4 2 3 3" xfId="52414" xr:uid="{00000000-0005-0000-0000-000080CD0000}"/>
    <cellStyle name="Title 2 4 2 4" xfId="52415" xr:uid="{00000000-0005-0000-0000-000081CD0000}"/>
    <cellStyle name="Title 2 4 2 4 2" xfId="52416" xr:uid="{00000000-0005-0000-0000-000082CD0000}"/>
    <cellStyle name="Title 2 4 2 4 2 2" xfId="52417" xr:uid="{00000000-0005-0000-0000-000083CD0000}"/>
    <cellStyle name="Title 2 4 2 4 3" xfId="52418" xr:uid="{00000000-0005-0000-0000-000084CD0000}"/>
    <cellStyle name="Title 2 4 2 5" xfId="52419" xr:uid="{00000000-0005-0000-0000-000085CD0000}"/>
    <cellStyle name="Title 2 4 3" xfId="52420" xr:uid="{00000000-0005-0000-0000-000086CD0000}"/>
    <cellStyle name="Title 2 4 3 2" xfId="52421" xr:uid="{00000000-0005-0000-0000-000087CD0000}"/>
    <cellStyle name="Title 2 4 3 2 2" xfId="52422" xr:uid="{00000000-0005-0000-0000-000088CD0000}"/>
    <cellStyle name="Title 2 4 3 3" xfId="52423" xr:uid="{00000000-0005-0000-0000-000089CD0000}"/>
    <cellStyle name="Title 2 4 4" xfId="52424" xr:uid="{00000000-0005-0000-0000-00008ACD0000}"/>
    <cellStyle name="Title 2 4 4 2" xfId="52425" xr:uid="{00000000-0005-0000-0000-00008BCD0000}"/>
    <cellStyle name="Title 2 4 4 2 2" xfId="52426" xr:uid="{00000000-0005-0000-0000-00008CCD0000}"/>
    <cellStyle name="Title 2 4 4 3" xfId="52427" xr:uid="{00000000-0005-0000-0000-00008DCD0000}"/>
    <cellStyle name="Title 2 4 5" xfId="52428" xr:uid="{00000000-0005-0000-0000-00008ECD0000}"/>
    <cellStyle name="Title 2 4 5 2" xfId="52429" xr:uid="{00000000-0005-0000-0000-00008FCD0000}"/>
    <cellStyle name="Title 2 4 5 2 2" xfId="52430" xr:uid="{00000000-0005-0000-0000-000090CD0000}"/>
    <cellStyle name="Title 2 4 5 3" xfId="52431" xr:uid="{00000000-0005-0000-0000-000091CD0000}"/>
    <cellStyle name="Title 2 4 6" xfId="52432" xr:uid="{00000000-0005-0000-0000-000092CD0000}"/>
    <cellStyle name="Title 2 5" xfId="52433" xr:uid="{00000000-0005-0000-0000-000093CD0000}"/>
    <cellStyle name="Title 2 5 2" xfId="52434" xr:uid="{00000000-0005-0000-0000-000094CD0000}"/>
    <cellStyle name="Title 2 5 2 2" xfId="52435" xr:uid="{00000000-0005-0000-0000-000095CD0000}"/>
    <cellStyle name="Title 2 5 2 2 2" xfId="52436" xr:uid="{00000000-0005-0000-0000-000096CD0000}"/>
    <cellStyle name="Title 2 5 2 3" xfId="52437" xr:uid="{00000000-0005-0000-0000-000097CD0000}"/>
    <cellStyle name="Title 2 5 2 3 2" xfId="52438" xr:uid="{00000000-0005-0000-0000-000098CD0000}"/>
    <cellStyle name="Title 2 5 2 3 2 2" xfId="52439" xr:uid="{00000000-0005-0000-0000-000099CD0000}"/>
    <cellStyle name="Title 2 5 2 3 3" xfId="52440" xr:uid="{00000000-0005-0000-0000-00009ACD0000}"/>
    <cellStyle name="Title 2 5 2 4" xfId="52441" xr:uid="{00000000-0005-0000-0000-00009BCD0000}"/>
    <cellStyle name="Title 2 5 2 4 2" xfId="52442" xr:uid="{00000000-0005-0000-0000-00009CCD0000}"/>
    <cellStyle name="Title 2 5 2 4 2 2" xfId="52443" xr:uid="{00000000-0005-0000-0000-00009DCD0000}"/>
    <cellStyle name="Title 2 5 2 4 3" xfId="52444" xr:uid="{00000000-0005-0000-0000-00009ECD0000}"/>
    <cellStyle name="Title 2 5 2 5" xfId="52445" xr:uid="{00000000-0005-0000-0000-00009FCD0000}"/>
    <cellStyle name="Title 2 5 3" xfId="52446" xr:uid="{00000000-0005-0000-0000-0000A0CD0000}"/>
    <cellStyle name="Title 2 5 3 2" xfId="52447" xr:uid="{00000000-0005-0000-0000-0000A1CD0000}"/>
    <cellStyle name="Title 2 5 3 2 2" xfId="52448" xr:uid="{00000000-0005-0000-0000-0000A2CD0000}"/>
    <cellStyle name="Title 2 5 3 2 2 2" xfId="52449" xr:uid="{00000000-0005-0000-0000-0000A3CD0000}"/>
    <cellStyle name="Title 2 5 3 2 3" xfId="52450" xr:uid="{00000000-0005-0000-0000-0000A4CD0000}"/>
    <cellStyle name="Title 2 5 3 2 3 2" xfId="52451" xr:uid="{00000000-0005-0000-0000-0000A5CD0000}"/>
    <cellStyle name="Title 2 5 3 2 3 2 2" xfId="52452" xr:uid="{00000000-0005-0000-0000-0000A6CD0000}"/>
    <cellStyle name="Title 2 5 3 2 3 3" xfId="52453" xr:uid="{00000000-0005-0000-0000-0000A7CD0000}"/>
    <cellStyle name="Title 2 5 3 2 4" xfId="52454" xr:uid="{00000000-0005-0000-0000-0000A8CD0000}"/>
    <cellStyle name="Title 2 5 3 3" xfId="52455" xr:uid="{00000000-0005-0000-0000-0000A9CD0000}"/>
    <cellStyle name="Title 2 5 3 3 2" xfId="52456" xr:uid="{00000000-0005-0000-0000-0000AACD0000}"/>
    <cellStyle name="Title 2 5 3 3 2 2" xfId="52457" xr:uid="{00000000-0005-0000-0000-0000ABCD0000}"/>
    <cellStyle name="Title 2 5 3 3 3" xfId="52458" xr:uid="{00000000-0005-0000-0000-0000ACCD0000}"/>
    <cellStyle name="Title 2 5 3 4" xfId="52459" xr:uid="{00000000-0005-0000-0000-0000ADCD0000}"/>
    <cellStyle name="Title 2 5 3 4 2" xfId="52460" xr:uid="{00000000-0005-0000-0000-0000AECD0000}"/>
    <cellStyle name="Title 2 5 3 4 2 2" xfId="52461" xr:uid="{00000000-0005-0000-0000-0000AFCD0000}"/>
    <cellStyle name="Title 2 5 3 4 3" xfId="52462" xr:uid="{00000000-0005-0000-0000-0000B0CD0000}"/>
    <cellStyle name="Title 2 5 3 5" xfId="52463" xr:uid="{00000000-0005-0000-0000-0000B1CD0000}"/>
    <cellStyle name="Title 2 5 3 5 2" xfId="52464" xr:uid="{00000000-0005-0000-0000-0000B2CD0000}"/>
    <cellStyle name="Title 2 5 3 5 2 2" xfId="52465" xr:uid="{00000000-0005-0000-0000-0000B3CD0000}"/>
    <cellStyle name="Title 2 5 3 5 3" xfId="52466" xr:uid="{00000000-0005-0000-0000-0000B4CD0000}"/>
    <cellStyle name="Title 2 5 3 6" xfId="52467" xr:uid="{00000000-0005-0000-0000-0000B5CD0000}"/>
    <cellStyle name="Title 2 5 4" xfId="52468" xr:uid="{00000000-0005-0000-0000-0000B6CD0000}"/>
    <cellStyle name="Title 2 5 4 2" xfId="52469" xr:uid="{00000000-0005-0000-0000-0000B7CD0000}"/>
    <cellStyle name="Title 2 5 4 2 2" xfId="52470" xr:uid="{00000000-0005-0000-0000-0000B8CD0000}"/>
    <cellStyle name="Title 2 5 4 3" xfId="52471" xr:uid="{00000000-0005-0000-0000-0000B9CD0000}"/>
    <cellStyle name="Title 2 5 5" xfId="52472" xr:uid="{00000000-0005-0000-0000-0000BACD0000}"/>
    <cellStyle name="Title 2 5 5 2" xfId="52473" xr:uid="{00000000-0005-0000-0000-0000BBCD0000}"/>
    <cellStyle name="Title 2 5 5 2 2" xfId="52474" xr:uid="{00000000-0005-0000-0000-0000BCCD0000}"/>
    <cellStyle name="Title 2 5 5 3" xfId="52475" xr:uid="{00000000-0005-0000-0000-0000BDCD0000}"/>
    <cellStyle name="Title 2 5 6" xfId="52476" xr:uid="{00000000-0005-0000-0000-0000BECD0000}"/>
    <cellStyle name="Title 2 5 6 2" xfId="52477" xr:uid="{00000000-0005-0000-0000-0000BFCD0000}"/>
    <cellStyle name="Title 2 5 6 2 2" xfId="52478" xr:uid="{00000000-0005-0000-0000-0000C0CD0000}"/>
    <cellStyle name="Title 2 5 6 3" xfId="52479" xr:uid="{00000000-0005-0000-0000-0000C1CD0000}"/>
    <cellStyle name="Title 2 5 7" xfId="52480" xr:uid="{00000000-0005-0000-0000-0000C2CD0000}"/>
    <cellStyle name="Title 2 6" xfId="52481" xr:uid="{00000000-0005-0000-0000-0000C3CD0000}"/>
    <cellStyle name="Title 2 6 2" xfId="52482" xr:uid="{00000000-0005-0000-0000-0000C4CD0000}"/>
    <cellStyle name="Title 2 6 2 2" xfId="52483" xr:uid="{00000000-0005-0000-0000-0000C5CD0000}"/>
    <cellStyle name="Title 2 6 3" xfId="52484" xr:uid="{00000000-0005-0000-0000-0000C6CD0000}"/>
    <cellStyle name="Title 2 6 3 2" xfId="52485" xr:uid="{00000000-0005-0000-0000-0000C7CD0000}"/>
    <cellStyle name="Title 2 6 3 2 2" xfId="52486" xr:uid="{00000000-0005-0000-0000-0000C8CD0000}"/>
    <cellStyle name="Title 2 6 3 3" xfId="52487" xr:uid="{00000000-0005-0000-0000-0000C9CD0000}"/>
    <cellStyle name="Title 2 6 4" xfId="52488" xr:uid="{00000000-0005-0000-0000-0000CACD0000}"/>
    <cellStyle name="Title 2 6 4 2" xfId="52489" xr:uid="{00000000-0005-0000-0000-0000CBCD0000}"/>
    <cellStyle name="Title 2 6 4 2 2" xfId="52490" xr:uid="{00000000-0005-0000-0000-0000CCCD0000}"/>
    <cellStyle name="Title 2 6 4 3" xfId="52491" xr:uid="{00000000-0005-0000-0000-0000CDCD0000}"/>
    <cellStyle name="Title 2 6 5" xfId="52492" xr:uid="{00000000-0005-0000-0000-0000CECD0000}"/>
    <cellStyle name="Title 2 7" xfId="52493" xr:uid="{00000000-0005-0000-0000-0000CFCD0000}"/>
    <cellStyle name="Title 2 7 2" xfId="52494" xr:uid="{00000000-0005-0000-0000-0000D0CD0000}"/>
    <cellStyle name="Title 2 7 2 2" xfId="52495" xr:uid="{00000000-0005-0000-0000-0000D1CD0000}"/>
    <cellStyle name="Title 2 7 3" xfId="52496" xr:uid="{00000000-0005-0000-0000-0000D2CD0000}"/>
    <cellStyle name="Title 2 7 3 2" xfId="52497" xr:uid="{00000000-0005-0000-0000-0000D3CD0000}"/>
    <cellStyle name="Title 2 7 3 2 2" xfId="52498" xr:uid="{00000000-0005-0000-0000-0000D4CD0000}"/>
    <cellStyle name="Title 2 7 3 3" xfId="52499" xr:uid="{00000000-0005-0000-0000-0000D5CD0000}"/>
    <cellStyle name="Title 2 7 4" xfId="52500" xr:uid="{00000000-0005-0000-0000-0000D6CD0000}"/>
    <cellStyle name="Title 2 7 4 2" xfId="52501" xr:uid="{00000000-0005-0000-0000-0000D7CD0000}"/>
    <cellStyle name="Title 2 7 4 2 2" xfId="52502" xr:uid="{00000000-0005-0000-0000-0000D8CD0000}"/>
    <cellStyle name="Title 2 7 4 3" xfId="52503" xr:uid="{00000000-0005-0000-0000-0000D9CD0000}"/>
    <cellStyle name="Title 2 7 5" xfId="52504" xr:uid="{00000000-0005-0000-0000-0000DACD0000}"/>
    <cellStyle name="Title 2 8" xfId="52505" xr:uid="{00000000-0005-0000-0000-0000DBCD0000}"/>
    <cellStyle name="Title 2 8 2" xfId="52506" xr:uid="{00000000-0005-0000-0000-0000DCCD0000}"/>
    <cellStyle name="Title 2 8 2 2" xfId="52507" xr:uid="{00000000-0005-0000-0000-0000DDCD0000}"/>
    <cellStyle name="Title 2 8 2 2 2" xfId="52508" xr:uid="{00000000-0005-0000-0000-0000DECD0000}"/>
    <cellStyle name="Title 2 8 2 3" xfId="52509" xr:uid="{00000000-0005-0000-0000-0000DFCD0000}"/>
    <cellStyle name="Title 2 8 2 3 2" xfId="52510" xr:uid="{00000000-0005-0000-0000-0000E0CD0000}"/>
    <cellStyle name="Title 2 8 2 3 2 2" xfId="52511" xr:uid="{00000000-0005-0000-0000-0000E1CD0000}"/>
    <cellStyle name="Title 2 8 2 3 3" xfId="52512" xr:uid="{00000000-0005-0000-0000-0000E2CD0000}"/>
    <cellStyle name="Title 2 8 2 4" xfId="52513" xr:uid="{00000000-0005-0000-0000-0000E3CD0000}"/>
    <cellStyle name="Title 2 8 3" xfId="52514" xr:uid="{00000000-0005-0000-0000-0000E4CD0000}"/>
    <cellStyle name="Title 2 8 3 2" xfId="52515" xr:uid="{00000000-0005-0000-0000-0000E5CD0000}"/>
    <cellStyle name="Title 2 8 3 2 2" xfId="52516" xr:uid="{00000000-0005-0000-0000-0000E6CD0000}"/>
    <cellStyle name="Title 2 8 3 3" xfId="52517" xr:uid="{00000000-0005-0000-0000-0000E7CD0000}"/>
    <cellStyle name="Title 2 8 4" xfId="52518" xr:uid="{00000000-0005-0000-0000-0000E8CD0000}"/>
    <cellStyle name="Title 2 8 4 2" xfId="52519" xr:uid="{00000000-0005-0000-0000-0000E9CD0000}"/>
    <cellStyle name="Title 2 8 4 2 2" xfId="52520" xr:uid="{00000000-0005-0000-0000-0000EACD0000}"/>
    <cellStyle name="Title 2 8 4 3" xfId="52521" xr:uid="{00000000-0005-0000-0000-0000EBCD0000}"/>
    <cellStyle name="Title 2 8 5" xfId="52522" xr:uid="{00000000-0005-0000-0000-0000ECCD0000}"/>
    <cellStyle name="Title 2 8 5 2" xfId="52523" xr:uid="{00000000-0005-0000-0000-0000EDCD0000}"/>
    <cellStyle name="Title 2 8 5 2 2" xfId="52524" xr:uid="{00000000-0005-0000-0000-0000EECD0000}"/>
    <cellStyle name="Title 2 8 5 3" xfId="52525" xr:uid="{00000000-0005-0000-0000-0000EFCD0000}"/>
    <cellStyle name="Title 2 8 6" xfId="52526" xr:uid="{00000000-0005-0000-0000-0000F0CD0000}"/>
    <cellStyle name="Title 2 9" xfId="52527" xr:uid="{00000000-0005-0000-0000-0000F1CD0000}"/>
    <cellStyle name="Title 2 9 2" xfId="52528" xr:uid="{00000000-0005-0000-0000-0000F2CD0000}"/>
    <cellStyle name="Title 2 9 2 2" xfId="52529" xr:uid="{00000000-0005-0000-0000-0000F3CD0000}"/>
    <cellStyle name="Title 2 9 3" xfId="52530" xr:uid="{00000000-0005-0000-0000-0000F4CD0000}"/>
    <cellStyle name="Title 3" xfId="52531" xr:uid="{00000000-0005-0000-0000-0000F5CD0000}"/>
    <cellStyle name="Title 3 2" xfId="52532" xr:uid="{00000000-0005-0000-0000-0000F6CD0000}"/>
    <cellStyle name="Title 3 2 2" xfId="52533" xr:uid="{00000000-0005-0000-0000-0000F7CD0000}"/>
    <cellStyle name="Title 3 2 2 2" xfId="52534" xr:uid="{00000000-0005-0000-0000-0000F8CD0000}"/>
    <cellStyle name="Title 3 2 3" xfId="52535" xr:uid="{00000000-0005-0000-0000-0000F9CD0000}"/>
    <cellStyle name="Title 3 2 3 2" xfId="52536" xr:uid="{00000000-0005-0000-0000-0000FACD0000}"/>
    <cellStyle name="Title 3 2 3 2 2" xfId="52537" xr:uid="{00000000-0005-0000-0000-0000FBCD0000}"/>
    <cellStyle name="Title 3 2 3 3" xfId="52538" xr:uid="{00000000-0005-0000-0000-0000FCCD0000}"/>
    <cellStyle name="Title 3 2 4" xfId="52539" xr:uid="{00000000-0005-0000-0000-0000FDCD0000}"/>
    <cellStyle name="Title 3 2 4 2" xfId="52540" xr:uid="{00000000-0005-0000-0000-0000FECD0000}"/>
    <cellStyle name="Title 3 2 4 2 2" xfId="52541" xr:uid="{00000000-0005-0000-0000-0000FFCD0000}"/>
    <cellStyle name="Title 3 2 4 3" xfId="52542" xr:uid="{00000000-0005-0000-0000-000000CE0000}"/>
    <cellStyle name="Title 3 2 5" xfId="52543" xr:uid="{00000000-0005-0000-0000-000001CE0000}"/>
    <cellStyle name="Title 3 3" xfId="52544" xr:uid="{00000000-0005-0000-0000-000002CE0000}"/>
    <cellStyle name="Title 3 3 2" xfId="52545" xr:uid="{00000000-0005-0000-0000-000003CE0000}"/>
    <cellStyle name="Title 3 3 2 2" xfId="52546" xr:uid="{00000000-0005-0000-0000-000004CE0000}"/>
    <cellStyle name="Title 3 3 3" xfId="52547" xr:uid="{00000000-0005-0000-0000-000005CE0000}"/>
    <cellStyle name="Title 3 3 3 2" xfId="52548" xr:uid="{00000000-0005-0000-0000-000006CE0000}"/>
    <cellStyle name="Title 3 3 3 2 2" xfId="52549" xr:uid="{00000000-0005-0000-0000-000007CE0000}"/>
    <cellStyle name="Title 3 3 3 3" xfId="52550" xr:uid="{00000000-0005-0000-0000-000008CE0000}"/>
    <cellStyle name="Title 3 3 4" xfId="52551" xr:uid="{00000000-0005-0000-0000-000009CE0000}"/>
    <cellStyle name="Title 3 3 4 2" xfId="52552" xr:uid="{00000000-0005-0000-0000-00000ACE0000}"/>
    <cellStyle name="Title 3 3 4 2 2" xfId="52553" xr:uid="{00000000-0005-0000-0000-00000BCE0000}"/>
    <cellStyle name="Title 3 3 4 3" xfId="52554" xr:uid="{00000000-0005-0000-0000-00000CCE0000}"/>
    <cellStyle name="Title 3 3 5" xfId="52555" xr:uid="{00000000-0005-0000-0000-00000DCE0000}"/>
    <cellStyle name="Title 3 4" xfId="52556" xr:uid="{00000000-0005-0000-0000-00000ECE0000}"/>
    <cellStyle name="Title 3 4 2" xfId="52557" xr:uid="{00000000-0005-0000-0000-00000FCE0000}"/>
    <cellStyle name="Title 3 4 2 2" xfId="52558" xr:uid="{00000000-0005-0000-0000-000010CE0000}"/>
    <cellStyle name="Title 3 4 2 2 2" xfId="52559" xr:uid="{00000000-0005-0000-0000-000011CE0000}"/>
    <cellStyle name="Title 3 4 2 3" xfId="52560" xr:uid="{00000000-0005-0000-0000-000012CE0000}"/>
    <cellStyle name="Title 3 4 2 3 2" xfId="52561" xr:uid="{00000000-0005-0000-0000-000013CE0000}"/>
    <cellStyle name="Title 3 4 2 3 2 2" xfId="52562" xr:uid="{00000000-0005-0000-0000-000014CE0000}"/>
    <cellStyle name="Title 3 4 2 3 3" xfId="52563" xr:uid="{00000000-0005-0000-0000-000015CE0000}"/>
    <cellStyle name="Title 3 4 2 4" xfId="52564" xr:uid="{00000000-0005-0000-0000-000016CE0000}"/>
    <cellStyle name="Title 3 4 3" xfId="52565" xr:uid="{00000000-0005-0000-0000-000017CE0000}"/>
    <cellStyle name="Title 3 4 3 2" xfId="52566" xr:uid="{00000000-0005-0000-0000-000018CE0000}"/>
    <cellStyle name="Title 3 4 3 2 2" xfId="52567" xr:uid="{00000000-0005-0000-0000-000019CE0000}"/>
    <cellStyle name="Title 3 4 3 3" xfId="52568" xr:uid="{00000000-0005-0000-0000-00001ACE0000}"/>
    <cellStyle name="Title 3 4 4" xfId="52569" xr:uid="{00000000-0005-0000-0000-00001BCE0000}"/>
    <cellStyle name="Title 3 4 4 2" xfId="52570" xr:uid="{00000000-0005-0000-0000-00001CCE0000}"/>
    <cellStyle name="Title 3 4 4 2 2" xfId="52571" xr:uid="{00000000-0005-0000-0000-00001DCE0000}"/>
    <cellStyle name="Title 3 4 4 3" xfId="52572" xr:uid="{00000000-0005-0000-0000-00001ECE0000}"/>
    <cellStyle name="Title 3 4 5" xfId="52573" xr:uid="{00000000-0005-0000-0000-00001FCE0000}"/>
    <cellStyle name="Title 3 4 5 2" xfId="52574" xr:uid="{00000000-0005-0000-0000-000020CE0000}"/>
    <cellStyle name="Title 3 4 5 2 2" xfId="52575" xr:uid="{00000000-0005-0000-0000-000021CE0000}"/>
    <cellStyle name="Title 3 4 5 3" xfId="52576" xr:uid="{00000000-0005-0000-0000-000022CE0000}"/>
    <cellStyle name="Title 3 4 6" xfId="52577" xr:uid="{00000000-0005-0000-0000-000023CE0000}"/>
    <cellStyle name="Title 3 5" xfId="52578" xr:uid="{00000000-0005-0000-0000-000024CE0000}"/>
    <cellStyle name="Title 3 5 2" xfId="52579" xr:uid="{00000000-0005-0000-0000-000025CE0000}"/>
    <cellStyle name="Title 3 5 2 2" xfId="52580" xr:uid="{00000000-0005-0000-0000-000026CE0000}"/>
    <cellStyle name="Title 3 5 3" xfId="52581" xr:uid="{00000000-0005-0000-0000-000027CE0000}"/>
    <cellStyle name="Title 3 6" xfId="52582" xr:uid="{00000000-0005-0000-0000-000028CE0000}"/>
    <cellStyle name="Title 3 6 2" xfId="52583" xr:uid="{00000000-0005-0000-0000-000029CE0000}"/>
    <cellStyle name="Title 3 6 2 2" xfId="52584" xr:uid="{00000000-0005-0000-0000-00002ACE0000}"/>
    <cellStyle name="Title 3 6 3" xfId="52585" xr:uid="{00000000-0005-0000-0000-00002BCE0000}"/>
    <cellStyle name="Title 3 7" xfId="52586" xr:uid="{00000000-0005-0000-0000-00002CCE0000}"/>
    <cellStyle name="Title 3 7 2" xfId="52587" xr:uid="{00000000-0005-0000-0000-00002DCE0000}"/>
    <cellStyle name="Title 3 7 2 2" xfId="52588" xr:uid="{00000000-0005-0000-0000-00002ECE0000}"/>
    <cellStyle name="Title 3 7 3" xfId="52589" xr:uid="{00000000-0005-0000-0000-00002FCE0000}"/>
    <cellStyle name="Title 3 8" xfId="52590" xr:uid="{00000000-0005-0000-0000-000030CE0000}"/>
    <cellStyle name="Title 4" xfId="52591" xr:uid="{00000000-0005-0000-0000-000031CE0000}"/>
    <cellStyle name="Title 4 2" xfId="52592" xr:uid="{00000000-0005-0000-0000-000032CE0000}"/>
    <cellStyle name="Title 4 2 2" xfId="52593" xr:uid="{00000000-0005-0000-0000-000033CE0000}"/>
    <cellStyle name="Title 4 2 2 2" xfId="52594" xr:uid="{00000000-0005-0000-0000-000034CE0000}"/>
    <cellStyle name="Title 4 2 3" xfId="52595" xr:uid="{00000000-0005-0000-0000-000035CE0000}"/>
    <cellStyle name="Title 4 2 3 2" xfId="52596" xr:uid="{00000000-0005-0000-0000-000036CE0000}"/>
    <cellStyle name="Title 4 2 3 2 2" xfId="52597" xr:uid="{00000000-0005-0000-0000-000037CE0000}"/>
    <cellStyle name="Title 4 2 3 3" xfId="52598" xr:uid="{00000000-0005-0000-0000-000038CE0000}"/>
    <cellStyle name="Title 4 2 4" xfId="52599" xr:uid="{00000000-0005-0000-0000-000039CE0000}"/>
    <cellStyle name="Title 4 2 4 2" xfId="52600" xr:uid="{00000000-0005-0000-0000-00003ACE0000}"/>
    <cellStyle name="Title 4 2 4 2 2" xfId="52601" xr:uid="{00000000-0005-0000-0000-00003BCE0000}"/>
    <cellStyle name="Title 4 2 4 3" xfId="52602" xr:uid="{00000000-0005-0000-0000-00003CCE0000}"/>
    <cellStyle name="Title 4 2 5" xfId="52603" xr:uid="{00000000-0005-0000-0000-00003DCE0000}"/>
    <cellStyle name="Title 4 3" xfId="52604" xr:uid="{00000000-0005-0000-0000-00003ECE0000}"/>
    <cellStyle name="Title 4 3 2" xfId="52605" xr:uid="{00000000-0005-0000-0000-00003FCE0000}"/>
    <cellStyle name="Title 4 3 2 2" xfId="52606" xr:uid="{00000000-0005-0000-0000-000040CE0000}"/>
    <cellStyle name="Title 4 3 2 2 2" xfId="52607" xr:uid="{00000000-0005-0000-0000-000041CE0000}"/>
    <cellStyle name="Title 4 3 2 3" xfId="52608" xr:uid="{00000000-0005-0000-0000-000042CE0000}"/>
    <cellStyle name="Title 4 3 2 3 2" xfId="52609" xr:uid="{00000000-0005-0000-0000-000043CE0000}"/>
    <cellStyle name="Title 4 3 2 3 2 2" xfId="52610" xr:uid="{00000000-0005-0000-0000-000044CE0000}"/>
    <cellStyle name="Title 4 3 2 3 3" xfId="52611" xr:uid="{00000000-0005-0000-0000-000045CE0000}"/>
    <cellStyle name="Title 4 3 2 4" xfId="52612" xr:uid="{00000000-0005-0000-0000-000046CE0000}"/>
    <cellStyle name="Title 4 3 3" xfId="52613" xr:uid="{00000000-0005-0000-0000-000047CE0000}"/>
    <cellStyle name="Title 4 3 3 2" xfId="52614" xr:uid="{00000000-0005-0000-0000-000048CE0000}"/>
    <cellStyle name="Title 4 3 3 2 2" xfId="52615" xr:uid="{00000000-0005-0000-0000-000049CE0000}"/>
    <cellStyle name="Title 4 3 3 3" xfId="52616" xr:uid="{00000000-0005-0000-0000-00004ACE0000}"/>
    <cellStyle name="Title 4 3 4" xfId="52617" xr:uid="{00000000-0005-0000-0000-00004BCE0000}"/>
    <cellStyle name="Title 4 3 4 2" xfId="52618" xr:uid="{00000000-0005-0000-0000-00004CCE0000}"/>
    <cellStyle name="Title 4 3 4 2 2" xfId="52619" xr:uid="{00000000-0005-0000-0000-00004DCE0000}"/>
    <cellStyle name="Title 4 3 4 3" xfId="52620" xr:uid="{00000000-0005-0000-0000-00004ECE0000}"/>
    <cellStyle name="Title 4 3 5" xfId="52621" xr:uid="{00000000-0005-0000-0000-00004FCE0000}"/>
    <cellStyle name="Title 4 3 5 2" xfId="52622" xr:uid="{00000000-0005-0000-0000-000050CE0000}"/>
    <cellStyle name="Title 4 3 5 2 2" xfId="52623" xr:uid="{00000000-0005-0000-0000-000051CE0000}"/>
    <cellStyle name="Title 4 3 5 3" xfId="52624" xr:uid="{00000000-0005-0000-0000-000052CE0000}"/>
    <cellStyle name="Title 4 3 6" xfId="52625" xr:uid="{00000000-0005-0000-0000-000053CE0000}"/>
    <cellStyle name="Title 4 4" xfId="52626" xr:uid="{00000000-0005-0000-0000-000054CE0000}"/>
    <cellStyle name="Title 4 4 2" xfId="52627" xr:uid="{00000000-0005-0000-0000-000055CE0000}"/>
    <cellStyle name="Title 4 4 2 2" xfId="52628" xr:uid="{00000000-0005-0000-0000-000056CE0000}"/>
    <cellStyle name="Title 4 4 3" xfId="52629" xr:uid="{00000000-0005-0000-0000-000057CE0000}"/>
    <cellStyle name="Title 4 5" xfId="52630" xr:uid="{00000000-0005-0000-0000-000058CE0000}"/>
    <cellStyle name="Title 4 5 2" xfId="52631" xr:uid="{00000000-0005-0000-0000-000059CE0000}"/>
    <cellStyle name="Title 4 5 2 2" xfId="52632" xr:uid="{00000000-0005-0000-0000-00005ACE0000}"/>
    <cellStyle name="Title 4 5 3" xfId="52633" xr:uid="{00000000-0005-0000-0000-00005BCE0000}"/>
    <cellStyle name="Title 4 6" xfId="52634" xr:uid="{00000000-0005-0000-0000-00005CCE0000}"/>
    <cellStyle name="Title 4 6 2" xfId="52635" xr:uid="{00000000-0005-0000-0000-00005DCE0000}"/>
    <cellStyle name="Title 4 6 2 2" xfId="52636" xr:uid="{00000000-0005-0000-0000-00005ECE0000}"/>
    <cellStyle name="Title 4 6 3" xfId="52637" xr:uid="{00000000-0005-0000-0000-00005FCE0000}"/>
    <cellStyle name="Title 4 7" xfId="52638" xr:uid="{00000000-0005-0000-0000-000060CE0000}"/>
    <cellStyle name="Title 5" xfId="52639" xr:uid="{00000000-0005-0000-0000-000061CE0000}"/>
    <cellStyle name="Title 5 2" xfId="52640" xr:uid="{00000000-0005-0000-0000-000062CE0000}"/>
    <cellStyle name="Title 5 2 2" xfId="52641" xr:uid="{00000000-0005-0000-0000-000063CE0000}"/>
    <cellStyle name="Title 5 2 2 2" xfId="52642" xr:uid="{00000000-0005-0000-0000-000064CE0000}"/>
    <cellStyle name="Title 5 2 3" xfId="52643" xr:uid="{00000000-0005-0000-0000-000065CE0000}"/>
    <cellStyle name="Title 5 2 3 2" xfId="52644" xr:uid="{00000000-0005-0000-0000-000066CE0000}"/>
    <cellStyle name="Title 5 2 3 2 2" xfId="52645" xr:uid="{00000000-0005-0000-0000-000067CE0000}"/>
    <cellStyle name="Title 5 2 3 3" xfId="52646" xr:uid="{00000000-0005-0000-0000-000068CE0000}"/>
    <cellStyle name="Title 5 2 4" xfId="52647" xr:uid="{00000000-0005-0000-0000-000069CE0000}"/>
    <cellStyle name="Title 5 2 4 2" xfId="52648" xr:uid="{00000000-0005-0000-0000-00006ACE0000}"/>
    <cellStyle name="Title 5 2 4 2 2" xfId="52649" xr:uid="{00000000-0005-0000-0000-00006BCE0000}"/>
    <cellStyle name="Title 5 2 4 3" xfId="52650" xr:uid="{00000000-0005-0000-0000-00006CCE0000}"/>
    <cellStyle name="Title 5 2 5" xfId="52651" xr:uid="{00000000-0005-0000-0000-00006DCE0000}"/>
    <cellStyle name="Title 5 3" xfId="52652" xr:uid="{00000000-0005-0000-0000-00006ECE0000}"/>
    <cellStyle name="Title 5 3 2" xfId="52653" xr:uid="{00000000-0005-0000-0000-00006FCE0000}"/>
    <cellStyle name="Title 5 3 2 2" xfId="52654" xr:uid="{00000000-0005-0000-0000-000070CE0000}"/>
    <cellStyle name="Title 5 3 2 2 2" xfId="52655" xr:uid="{00000000-0005-0000-0000-000071CE0000}"/>
    <cellStyle name="Title 5 3 2 3" xfId="52656" xr:uid="{00000000-0005-0000-0000-000072CE0000}"/>
    <cellStyle name="Title 5 3 2 3 2" xfId="52657" xr:uid="{00000000-0005-0000-0000-000073CE0000}"/>
    <cellStyle name="Title 5 3 2 3 2 2" xfId="52658" xr:uid="{00000000-0005-0000-0000-000074CE0000}"/>
    <cellStyle name="Title 5 3 2 3 3" xfId="52659" xr:uid="{00000000-0005-0000-0000-000075CE0000}"/>
    <cellStyle name="Title 5 3 2 4" xfId="52660" xr:uid="{00000000-0005-0000-0000-000076CE0000}"/>
    <cellStyle name="Title 5 3 3" xfId="52661" xr:uid="{00000000-0005-0000-0000-000077CE0000}"/>
    <cellStyle name="Title 5 3 3 2" xfId="52662" xr:uid="{00000000-0005-0000-0000-000078CE0000}"/>
    <cellStyle name="Title 5 3 3 2 2" xfId="52663" xr:uid="{00000000-0005-0000-0000-000079CE0000}"/>
    <cellStyle name="Title 5 3 3 3" xfId="52664" xr:uid="{00000000-0005-0000-0000-00007ACE0000}"/>
    <cellStyle name="Title 5 3 4" xfId="52665" xr:uid="{00000000-0005-0000-0000-00007BCE0000}"/>
    <cellStyle name="Title 5 3 4 2" xfId="52666" xr:uid="{00000000-0005-0000-0000-00007CCE0000}"/>
    <cellStyle name="Title 5 3 4 2 2" xfId="52667" xr:uid="{00000000-0005-0000-0000-00007DCE0000}"/>
    <cellStyle name="Title 5 3 4 3" xfId="52668" xr:uid="{00000000-0005-0000-0000-00007ECE0000}"/>
    <cellStyle name="Title 5 3 5" xfId="52669" xr:uid="{00000000-0005-0000-0000-00007FCE0000}"/>
    <cellStyle name="Title 5 3 5 2" xfId="52670" xr:uid="{00000000-0005-0000-0000-000080CE0000}"/>
    <cellStyle name="Title 5 3 5 2 2" xfId="52671" xr:uid="{00000000-0005-0000-0000-000081CE0000}"/>
    <cellStyle name="Title 5 3 5 3" xfId="52672" xr:uid="{00000000-0005-0000-0000-000082CE0000}"/>
    <cellStyle name="Title 5 3 6" xfId="52673" xr:uid="{00000000-0005-0000-0000-000083CE0000}"/>
    <cellStyle name="Title 5 4" xfId="52674" xr:uid="{00000000-0005-0000-0000-000084CE0000}"/>
    <cellStyle name="Title 5 4 2" xfId="52675" xr:uid="{00000000-0005-0000-0000-000085CE0000}"/>
    <cellStyle name="Title 5 4 2 2" xfId="52676" xr:uid="{00000000-0005-0000-0000-000086CE0000}"/>
    <cellStyle name="Title 5 4 3" xfId="52677" xr:uid="{00000000-0005-0000-0000-000087CE0000}"/>
    <cellStyle name="Title 5 5" xfId="52678" xr:uid="{00000000-0005-0000-0000-000088CE0000}"/>
    <cellStyle name="Title 5 5 2" xfId="52679" xr:uid="{00000000-0005-0000-0000-000089CE0000}"/>
    <cellStyle name="Title 5 5 2 2" xfId="52680" xr:uid="{00000000-0005-0000-0000-00008ACE0000}"/>
    <cellStyle name="Title 5 5 3" xfId="52681" xr:uid="{00000000-0005-0000-0000-00008BCE0000}"/>
    <cellStyle name="Title 5 6" xfId="52682" xr:uid="{00000000-0005-0000-0000-00008CCE0000}"/>
    <cellStyle name="Title 5 6 2" xfId="52683" xr:uid="{00000000-0005-0000-0000-00008DCE0000}"/>
    <cellStyle name="Title 5 6 2 2" xfId="52684" xr:uid="{00000000-0005-0000-0000-00008ECE0000}"/>
    <cellStyle name="Title 5 6 3" xfId="52685" xr:uid="{00000000-0005-0000-0000-00008FCE0000}"/>
    <cellStyle name="Title 5 7" xfId="52686" xr:uid="{00000000-0005-0000-0000-000090CE0000}"/>
    <cellStyle name="Title 6" xfId="52687" xr:uid="{00000000-0005-0000-0000-000091CE0000}"/>
    <cellStyle name="Title 6 2" xfId="52688" xr:uid="{00000000-0005-0000-0000-000092CE0000}"/>
    <cellStyle name="Title 6 2 2" xfId="52689" xr:uid="{00000000-0005-0000-0000-000093CE0000}"/>
    <cellStyle name="Title 6 2 2 2" xfId="52690" xr:uid="{00000000-0005-0000-0000-000094CE0000}"/>
    <cellStyle name="Title 6 2 3" xfId="52691" xr:uid="{00000000-0005-0000-0000-000095CE0000}"/>
    <cellStyle name="Title 6 2 3 2" xfId="52692" xr:uid="{00000000-0005-0000-0000-000096CE0000}"/>
    <cellStyle name="Title 6 2 3 2 2" xfId="52693" xr:uid="{00000000-0005-0000-0000-000097CE0000}"/>
    <cellStyle name="Title 6 2 3 3" xfId="52694" xr:uid="{00000000-0005-0000-0000-000098CE0000}"/>
    <cellStyle name="Title 6 2 4" xfId="52695" xr:uid="{00000000-0005-0000-0000-000099CE0000}"/>
    <cellStyle name="Title 6 2 4 2" xfId="52696" xr:uid="{00000000-0005-0000-0000-00009ACE0000}"/>
    <cellStyle name="Title 6 2 4 2 2" xfId="52697" xr:uid="{00000000-0005-0000-0000-00009BCE0000}"/>
    <cellStyle name="Title 6 2 4 3" xfId="52698" xr:uid="{00000000-0005-0000-0000-00009CCE0000}"/>
    <cellStyle name="Title 6 2 5" xfId="52699" xr:uid="{00000000-0005-0000-0000-00009DCE0000}"/>
    <cellStyle name="Title 6 3" xfId="52700" xr:uid="{00000000-0005-0000-0000-00009ECE0000}"/>
    <cellStyle name="Title 6 3 2" xfId="52701" xr:uid="{00000000-0005-0000-0000-00009FCE0000}"/>
    <cellStyle name="Title 6 3 2 2" xfId="52702" xr:uid="{00000000-0005-0000-0000-0000A0CE0000}"/>
    <cellStyle name="Title 6 3 3" xfId="52703" xr:uid="{00000000-0005-0000-0000-0000A1CE0000}"/>
    <cellStyle name="Title 6 4" xfId="52704" xr:uid="{00000000-0005-0000-0000-0000A2CE0000}"/>
    <cellStyle name="Title 6 4 2" xfId="52705" xr:uid="{00000000-0005-0000-0000-0000A3CE0000}"/>
    <cellStyle name="Title 6 4 2 2" xfId="52706" xr:uid="{00000000-0005-0000-0000-0000A4CE0000}"/>
    <cellStyle name="Title 6 4 3" xfId="52707" xr:uid="{00000000-0005-0000-0000-0000A5CE0000}"/>
    <cellStyle name="Title 6 5" xfId="52708" xr:uid="{00000000-0005-0000-0000-0000A6CE0000}"/>
    <cellStyle name="Title 6 5 2" xfId="52709" xr:uid="{00000000-0005-0000-0000-0000A7CE0000}"/>
    <cellStyle name="Title 6 5 2 2" xfId="52710" xr:uid="{00000000-0005-0000-0000-0000A8CE0000}"/>
    <cellStyle name="Title 6 5 3" xfId="52711" xr:uid="{00000000-0005-0000-0000-0000A9CE0000}"/>
    <cellStyle name="Title 6 6" xfId="52712" xr:uid="{00000000-0005-0000-0000-0000AACE0000}"/>
    <cellStyle name="Title 7" xfId="52713" xr:uid="{00000000-0005-0000-0000-0000ABCE0000}"/>
    <cellStyle name="Title 8" xfId="52714" xr:uid="{00000000-0005-0000-0000-0000ACCE0000}"/>
    <cellStyle name="Total 10" xfId="52715" xr:uid="{00000000-0005-0000-0000-0000ADCE0000}"/>
    <cellStyle name="Total 2" xfId="52716" xr:uid="{00000000-0005-0000-0000-0000AECE0000}"/>
    <cellStyle name="Total 2 10" xfId="52717" xr:uid="{00000000-0005-0000-0000-0000AFCE0000}"/>
    <cellStyle name="Total 2 10 2" xfId="52718" xr:uid="{00000000-0005-0000-0000-0000B0CE0000}"/>
    <cellStyle name="Total 2 10 2 2" xfId="52719" xr:uid="{00000000-0005-0000-0000-0000B1CE0000}"/>
    <cellStyle name="Total 2 10 3" xfId="52720" xr:uid="{00000000-0005-0000-0000-0000B2CE0000}"/>
    <cellStyle name="Total 2 11" xfId="52721" xr:uid="{00000000-0005-0000-0000-0000B3CE0000}"/>
    <cellStyle name="Total 2 11 2" xfId="52722" xr:uid="{00000000-0005-0000-0000-0000B4CE0000}"/>
    <cellStyle name="Total 2 11 2 2" xfId="52723" xr:uid="{00000000-0005-0000-0000-0000B5CE0000}"/>
    <cellStyle name="Total 2 11 3" xfId="52724" xr:uid="{00000000-0005-0000-0000-0000B6CE0000}"/>
    <cellStyle name="Total 2 12" xfId="52725" xr:uid="{00000000-0005-0000-0000-0000B7CE0000}"/>
    <cellStyle name="Total 2 12 2" xfId="52726" xr:uid="{00000000-0005-0000-0000-0000B8CE0000}"/>
    <cellStyle name="Total 2 12 2 2" xfId="52727" xr:uid="{00000000-0005-0000-0000-0000B9CE0000}"/>
    <cellStyle name="Total 2 12 2 2 2" xfId="52728" xr:uid="{00000000-0005-0000-0000-0000BACE0000}"/>
    <cellStyle name="Total 2 12 2 3" xfId="52729" xr:uid="{00000000-0005-0000-0000-0000BBCE0000}"/>
    <cellStyle name="Total 2 12 3" xfId="52730" xr:uid="{00000000-0005-0000-0000-0000BCCE0000}"/>
    <cellStyle name="Total 2 12 3 2" xfId="52731" xr:uid="{00000000-0005-0000-0000-0000BDCE0000}"/>
    <cellStyle name="Total 2 12 4" xfId="52732" xr:uid="{00000000-0005-0000-0000-0000BECE0000}"/>
    <cellStyle name="Total 2 12 4 2" xfId="52733" xr:uid="{00000000-0005-0000-0000-0000BFCE0000}"/>
    <cellStyle name="Total 2 12 5" xfId="52734" xr:uid="{00000000-0005-0000-0000-0000C0CE0000}"/>
    <cellStyle name="Total 2 13" xfId="52735" xr:uid="{00000000-0005-0000-0000-0000C1CE0000}"/>
    <cellStyle name="Total 2 13 2" xfId="52736" xr:uid="{00000000-0005-0000-0000-0000C2CE0000}"/>
    <cellStyle name="Total 2 13 3" xfId="52737" xr:uid="{00000000-0005-0000-0000-0000C3CE0000}"/>
    <cellStyle name="Total 2 14" xfId="52738" xr:uid="{00000000-0005-0000-0000-0000C4CE0000}"/>
    <cellStyle name="Total 2 14 2" xfId="52739" xr:uid="{00000000-0005-0000-0000-0000C5CE0000}"/>
    <cellStyle name="Total 2 15" xfId="52740" xr:uid="{00000000-0005-0000-0000-0000C6CE0000}"/>
    <cellStyle name="Total 2 16" xfId="52741" xr:uid="{00000000-0005-0000-0000-0000C7CE0000}"/>
    <cellStyle name="Total 2 2" xfId="52742" xr:uid="{00000000-0005-0000-0000-0000C8CE0000}"/>
    <cellStyle name="Total 2 2 2" xfId="52743" xr:uid="{00000000-0005-0000-0000-0000C9CE0000}"/>
    <cellStyle name="Total 2 2 2 2" xfId="52744" xr:uid="{00000000-0005-0000-0000-0000CACE0000}"/>
    <cellStyle name="Total 2 2 2 2 2" xfId="52745" xr:uid="{00000000-0005-0000-0000-0000CBCE0000}"/>
    <cellStyle name="Total 2 2 2 3" xfId="52746" xr:uid="{00000000-0005-0000-0000-0000CCCE0000}"/>
    <cellStyle name="Total 2 2 2 3 2" xfId="52747" xr:uid="{00000000-0005-0000-0000-0000CDCE0000}"/>
    <cellStyle name="Total 2 2 2 3 2 2" xfId="52748" xr:uid="{00000000-0005-0000-0000-0000CECE0000}"/>
    <cellStyle name="Total 2 2 2 3 3" xfId="52749" xr:uid="{00000000-0005-0000-0000-0000CFCE0000}"/>
    <cellStyle name="Total 2 2 2 4" xfId="52750" xr:uid="{00000000-0005-0000-0000-0000D0CE0000}"/>
    <cellStyle name="Total 2 2 2 4 2" xfId="52751" xr:uid="{00000000-0005-0000-0000-0000D1CE0000}"/>
    <cellStyle name="Total 2 2 2 4 2 2" xfId="52752" xr:uid="{00000000-0005-0000-0000-0000D2CE0000}"/>
    <cellStyle name="Total 2 2 2 4 3" xfId="52753" xr:uid="{00000000-0005-0000-0000-0000D3CE0000}"/>
    <cellStyle name="Total 2 2 2 5" xfId="52754" xr:uid="{00000000-0005-0000-0000-0000D4CE0000}"/>
    <cellStyle name="Total 2 2 3" xfId="52755" xr:uid="{00000000-0005-0000-0000-0000D5CE0000}"/>
    <cellStyle name="Total 2 2 3 2" xfId="52756" xr:uid="{00000000-0005-0000-0000-0000D6CE0000}"/>
    <cellStyle name="Total 2 2 3 2 2" xfId="52757" xr:uid="{00000000-0005-0000-0000-0000D7CE0000}"/>
    <cellStyle name="Total 2 2 3 2 2 2" xfId="52758" xr:uid="{00000000-0005-0000-0000-0000D8CE0000}"/>
    <cellStyle name="Total 2 2 3 2 3" xfId="52759" xr:uid="{00000000-0005-0000-0000-0000D9CE0000}"/>
    <cellStyle name="Total 2 2 3 2 3 2" xfId="52760" xr:uid="{00000000-0005-0000-0000-0000DACE0000}"/>
    <cellStyle name="Total 2 2 3 2 3 2 2" xfId="52761" xr:uid="{00000000-0005-0000-0000-0000DBCE0000}"/>
    <cellStyle name="Total 2 2 3 2 3 3" xfId="52762" xr:uid="{00000000-0005-0000-0000-0000DCCE0000}"/>
    <cellStyle name="Total 2 2 3 2 4" xfId="52763" xr:uid="{00000000-0005-0000-0000-0000DDCE0000}"/>
    <cellStyle name="Total 2 2 3 3" xfId="52764" xr:uid="{00000000-0005-0000-0000-0000DECE0000}"/>
    <cellStyle name="Total 2 2 3 3 2" xfId="52765" xr:uid="{00000000-0005-0000-0000-0000DFCE0000}"/>
    <cellStyle name="Total 2 2 3 3 2 2" xfId="52766" xr:uid="{00000000-0005-0000-0000-0000E0CE0000}"/>
    <cellStyle name="Total 2 2 3 3 3" xfId="52767" xr:uid="{00000000-0005-0000-0000-0000E1CE0000}"/>
    <cellStyle name="Total 2 2 3 4" xfId="52768" xr:uid="{00000000-0005-0000-0000-0000E2CE0000}"/>
    <cellStyle name="Total 2 2 3 4 2" xfId="52769" xr:uid="{00000000-0005-0000-0000-0000E3CE0000}"/>
    <cellStyle name="Total 2 2 3 4 2 2" xfId="52770" xr:uid="{00000000-0005-0000-0000-0000E4CE0000}"/>
    <cellStyle name="Total 2 2 3 4 3" xfId="52771" xr:uid="{00000000-0005-0000-0000-0000E5CE0000}"/>
    <cellStyle name="Total 2 2 3 5" xfId="52772" xr:uid="{00000000-0005-0000-0000-0000E6CE0000}"/>
    <cellStyle name="Total 2 2 3 5 2" xfId="52773" xr:uid="{00000000-0005-0000-0000-0000E7CE0000}"/>
    <cellStyle name="Total 2 2 3 5 2 2" xfId="52774" xr:uid="{00000000-0005-0000-0000-0000E8CE0000}"/>
    <cellStyle name="Total 2 2 3 5 3" xfId="52775" xr:uid="{00000000-0005-0000-0000-0000E9CE0000}"/>
    <cellStyle name="Total 2 2 3 6" xfId="52776" xr:uid="{00000000-0005-0000-0000-0000EACE0000}"/>
    <cellStyle name="Total 2 2 4" xfId="52777" xr:uid="{00000000-0005-0000-0000-0000EBCE0000}"/>
    <cellStyle name="Total 2 2 4 2" xfId="52778" xr:uid="{00000000-0005-0000-0000-0000ECCE0000}"/>
    <cellStyle name="Total 2 2 4 2 2" xfId="52779" xr:uid="{00000000-0005-0000-0000-0000EDCE0000}"/>
    <cellStyle name="Total 2 2 4 3" xfId="52780" xr:uid="{00000000-0005-0000-0000-0000EECE0000}"/>
    <cellStyle name="Total 2 2 5" xfId="52781" xr:uid="{00000000-0005-0000-0000-0000EFCE0000}"/>
    <cellStyle name="Total 2 2 5 2" xfId="52782" xr:uid="{00000000-0005-0000-0000-0000F0CE0000}"/>
    <cellStyle name="Total 2 2 5 2 2" xfId="52783" xr:uid="{00000000-0005-0000-0000-0000F1CE0000}"/>
    <cellStyle name="Total 2 2 5 3" xfId="52784" xr:uid="{00000000-0005-0000-0000-0000F2CE0000}"/>
    <cellStyle name="Total 2 2 6" xfId="52785" xr:uid="{00000000-0005-0000-0000-0000F3CE0000}"/>
    <cellStyle name="Total 2 2 6 2" xfId="52786" xr:uid="{00000000-0005-0000-0000-0000F4CE0000}"/>
    <cellStyle name="Total 2 2 6 2 2" xfId="52787" xr:uid="{00000000-0005-0000-0000-0000F5CE0000}"/>
    <cellStyle name="Total 2 2 6 3" xfId="52788" xr:uid="{00000000-0005-0000-0000-0000F6CE0000}"/>
    <cellStyle name="Total 2 2 7" xfId="52789" xr:uid="{00000000-0005-0000-0000-0000F7CE0000}"/>
    <cellStyle name="Total 2 3" xfId="52790" xr:uid="{00000000-0005-0000-0000-0000F8CE0000}"/>
    <cellStyle name="Total 2 3 2" xfId="52791" xr:uid="{00000000-0005-0000-0000-0000F9CE0000}"/>
    <cellStyle name="Total 2 3 2 2" xfId="52792" xr:uid="{00000000-0005-0000-0000-0000FACE0000}"/>
    <cellStyle name="Total 2 3 2 2 2" xfId="52793" xr:uid="{00000000-0005-0000-0000-0000FBCE0000}"/>
    <cellStyle name="Total 2 3 2 2 2 2" xfId="52794" xr:uid="{00000000-0005-0000-0000-0000FCCE0000}"/>
    <cellStyle name="Total 2 3 2 2 3" xfId="52795" xr:uid="{00000000-0005-0000-0000-0000FDCE0000}"/>
    <cellStyle name="Total 2 3 2 3" xfId="52796" xr:uid="{00000000-0005-0000-0000-0000FECE0000}"/>
    <cellStyle name="Total 2 3 2 3 2" xfId="52797" xr:uid="{00000000-0005-0000-0000-0000FFCE0000}"/>
    <cellStyle name="Total 2 3 2 3 2 2" xfId="52798" xr:uid="{00000000-0005-0000-0000-000000CF0000}"/>
    <cellStyle name="Total 2 3 2 3 3" xfId="52799" xr:uid="{00000000-0005-0000-0000-000001CF0000}"/>
    <cellStyle name="Total 2 3 2 4" xfId="52800" xr:uid="{00000000-0005-0000-0000-000002CF0000}"/>
    <cellStyle name="Total 2 3 2 4 2" xfId="52801" xr:uid="{00000000-0005-0000-0000-000003CF0000}"/>
    <cellStyle name="Total 2 3 2 4 2 2" xfId="52802" xr:uid="{00000000-0005-0000-0000-000004CF0000}"/>
    <cellStyle name="Total 2 3 2 4 3" xfId="52803" xr:uid="{00000000-0005-0000-0000-000005CF0000}"/>
    <cellStyle name="Total 2 3 2 5" xfId="52804" xr:uid="{00000000-0005-0000-0000-000006CF0000}"/>
    <cellStyle name="Total 2 3 2 5 2" xfId="52805" xr:uid="{00000000-0005-0000-0000-000007CF0000}"/>
    <cellStyle name="Total 2 3 2 6" xfId="52806" xr:uid="{00000000-0005-0000-0000-000008CF0000}"/>
    <cellStyle name="Total 2 3 3" xfId="52807" xr:uid="{00000000-0005-0000-0000-000009CF0000}"/>
    <cellStyle name="Total 2 3 3 2" xfId="52808" xr:uid="{00000000-0005-0000-0000-00000ACF0000}"/>
    <cellStyle name="Total 2 3 3 2 2" xfId="52809" xr:uid="{00000000-0005-0000-0000-00000BCF0000}"/>
    <cellStyle name="Total 2 3 3 2 2 2" xfId="52810" xr:uid="{00000000-0005-0000-0000-00000CCF0000}"/>
    <cellStyle name="Total 2 3 3 2 2 2 2" xfId="52811" xr:uid="{00000000-0005-0000-0000-00000DCF0000}"/>
    <cellStyle name="Total 2 3 3 2 2 3" xfId="52812" xr:uid="{00000000-0005-0000-0000-00000ECF0000}"/>
    <cellStyle name="Total 2 3 3 2 3" xfId="52813" xr:uid="{00000000-0005-0000-0000-00000FCF0000}"/>
    <cellStyle name="Total 2 3 3 2 3 2" xfId="52814" xr:uid="{00000000-0005-0000-0000-000010CF0000}"/>
    <cellStyle name="Total 2 3 3 2 3 2 2" xfId="52815" xr:uid="{00000000-0005-0000-0000-000011CF0000}"/>
    <cellStyle name="Total 2 3 3 2 3 3" xfId="52816" xr:uid="{00000000-0005-0000-0000-000012CF0000}"/>
    <cellStyle name="Total 2 3 3 2 4" xfId="52817" xr:uid="{00000000-0005-0000-0000-000013CF0000}"/>
    <cellStyle name="Total 2 3 3 2 4 2" xfId="52818" xr:uid="{00000000-0005-0000-0000-000014CF0000}"/>
    <cellStyle name="Total 2 3 3 2 5" xfId="52819" xr:uid="{00000000-0005-0000-0000-000015CF0000}"/>
    <cellStyle name="Total 2 3 3 3" xfId="52820" xr:uid="{00000000-0005-0000-0000-000016CF0000}"/>
    <cellStyle name="Total 2 3 3 3 2" xfId="52821" xr:uid="{00000000-0005-0000-0000-000017CF0000}"/>
    <cellStyle name="Total 2 3 3 3 2 2" xfId="52822" xr:uid="{00000000-0005-0000-0000-000018CF0000}"/>
    <cellStyle name="Total 2 3 3 3 2 2 2" xfId="52823" xr:uid="{00000000-0005-0000-0000-000019CF0000}"/>
    <cellStyle name="Total 2 3 3 3 2 3" xfId="52824" xr:uid="{00000000-0005-0000-0000-00001ACF0000}"/>
    <cellStyle name="Total 2 3 3 3 3" xfId="52825" xr:uid="{00000000-0005-0000-0000-00001BCF0000}"/>
    <cellStyle name="Total 2 3 3 3 3 2" xfId="52826" xr:uid="{00000000-0005-0000-0000-00001CCF0000}"/>
    <cellStyle name="Total 2 3 3 3 4" xfId="52827" xr:uid="{00000000-0005-0000-0000-00001DCF0000}"/>
    <cellStyle name="Total 2 3 3 4" xfId="52828" xr:uid="{00000000-0005-0000-0000-00001ECF0000}"/>
    <cellStyle name="Total 2 3 3 4 2" xfId="52829" xr:uid="{00000000-0005-0000-0000-00001FCF0000}"/>
    <cellStyle name="Total 2 3 3 4 2 2" xfId="52830" xr:uid="{00000000-0005-0000-0000-000020CF0000}"/>
    <cellStyle name="Total 2 3 3 4 3" xfId="52831" xr:uid="{00000000-0005-0000-0000-000021CF0000}"/>
    <cellStyle name="Total 2 3 3 5" xfId="52832" xr:uid="{00000000-0005-0000-0000-000022CF0000}"/>
    <cellStyle name="Total 2 3 3 5 2" xfId="52833" xr:uid="{00000000-0005-0000-0000-000023CF0000}"/>
    <cellStyle name="Total 2 3 3 5 2 2" xfId="52834" xr:uid="{00000000-0005-0000-0000-000024CF0000}"/>
    <cellStyle name="Total 2 3 3 5 3" xfId="52835" xr:uid="{00000000-0005-0000-0000-000025CF0000}"/>
    <cellStyle name="Total 2 3 3 6" xfId="52836" xr:uid="{00000000-0005-0000-0000-000026CF0000}"/>
    <cellStyle name="Total 2 3 3 6 2" xfId="52837" xr:uid="{00000000-0005-0000-0000-000027CF0000}"/>
    <cellStyle name="Total 2 3 3 7" xfId="52838" xr:uid="{00000000-0005-0000-0000-000028CF0000}"/>
    <cellStyle name="Total 2 3 4" xfId="52839" xr:uid="{00000000-0005-0000-0000-000029CF0000}"/>
    <cellStyle name="Total 2 3 4 2" xfId="52840" xr:uid="{00000000-0005-0000-0000-00002ACF0000}"/>
    <cellStyle name="Total 2 3 4 2 2" xfId="52841" xr:uid="{00000000-0005-0000-0000-00002BCF0000}"/>
    <cellStyle name="Total 2 3 4 2 2 2" xfId="52842" xr:uid="{00000000-0005-0000-0000-00002CCF0000}"/>
    <cellStyle name="Total 2 3 4 2 3" xfId="52843" xr:uid="{00000000-0005-0000-0000-00002DCF0000}"/>
    <cellStyle name="Total 2 3 4 3" xfId="52844" xr:uid="{00000000-0005-0000-0000-00002ECF0000}"/>
    <cellStyle name="Total 2 3 4 3 2" xfId="52845" xr:uid="{00000000-0005-0000-0000-00002FCF0000}"/>
    <cellStyle name="Total 2 3 4 4" xfId="52846" xr:uid="{00000000-0005-0000-0000-000030CF0000}"/>
    <cellStyle name="Total 2 3 5" xfId="52847" xr:uid="{00000000-0005-0000-0000-000031CF0000}"/>
    <cellStyle name="Total 2 3 5 2" xfId="52848" xr:uid="{00000000-0005-0000-0000-000032CF0000}"/>
    <cellStyle name="Total 2 3 5 2 2" xfId="52849" xr:uid="{00000000-0005-0000-0000-000033CF0000}"/>
    <cellStyle name="Total 2 3 5 3" xfId="52850" xr:uid="{00000000-0005-0000-0000-000034CF0000}"/>
    <cellStyle name="Total 2 3 6" xfId="52851" xr:uid="{00000000-0005-0000-0000-000035CF0000}"/>
    <cellStyle name="Total 2 3 6 2" xfId="52852" xr:uid="{00000000-0005-0000-0000-000036CF0000}"/>
    <cellStyle name="Total 2 3 6 2 2" xfId="52853" xr:uid="{00000000-0005-0000-0000-000037CF0000}"/>
    <cellStyle name="Total 2 3 6 3" xfId="52854" xr:uid="{00000000-0005-0000-0000-000038CF0000}"/>
    <cellStyle name="Total 2 3 7" xfId="52855" xr:uid="{00000000-0005-0000-0000-000039CF0000}"/>
    <cellStyle name="Total 2 3 7 2" xfId="52856" xr:uid="{00000000-0005-0000-0000-00003ACF0000}"/>
    <cellStyle name="Total 2 3 8" xfId="52857" xr:uid="{00000000-0005-0000-0000-00003BCF0000}"/>
    <cellStyle name="Total 2 4" xfId="52858" xr:uid="{00000000-0005-0000-0000-00003CCF0000}"/>
    <cellStyle name="Total 2 4 2" xfId="52859" xr:uid="{00000000-0005-0000-0000-00003DCF0000}"/>
    <cellStyle name="Total 2 4 2 2" xfId="52860" xr:uid="{00000000-0005-0000-0000-00003ECF0000}"/>
    <cellStyle name="Total 2 4 2 2 2" xfId="52861" xr:uid="{00000000-0005-0000-0000-00003FCF0000}"/>
    <cellStyle name="Total 2 4 2 2 2 2" xfId="52862" xr:uid="{00000000-0005-0000-0000-000040CF0000}"/>
    <cellStyle name="Total 2 4 2 2 3" xfId="52863" xr:uid="{00000000-0005-0000-0000-000041CF0000}"/>
    <cellStyle name="Total 2 4 2 3" xfId="52864" xr:uid="{00000000-0005-0000-0000-000042CF0000}"/>
    <cellStyle name="Total 2 4 2 3 2" xfId="52865" xr:uid="{00000000-0005-0000-0000-000043CF0000}"/>
    <cellStyle name="Total 2 4 2 3 2 2" xfId="52866" xr:uid="{00000000-0005-0000-0000-000044CF0000}"/>
    <cellStyle name="Total 2 4 2 3 3" xfId="52867" xr:uid="{00000000-0005-0000-0000-000045CF0000}"/>
    <cellStyle name="Total 2 4 2 4" xfId="52868" xr:uid="{00000000-0005-0000-0000-000046CF0000}"/>
    <cellStyle name="Total 2 4 2 4 2" xfId="52869" xr:uid="{00000000-0005-0000-0000-000047CF0000}"/>
    <cellStyle name="Total 2 4 2 4 2 2" xfId="52870" xr:uid="{00000000-0005-0000-0000-000048CF0000}"/>
    <cellStyle name="Total 2 4 2 4 3" xfId="52871" xr:uid="{00000000-0005-0000-0000-000049CF0000}"/>
    <cellStyle name="Total 2 4 2 5" xfId="52872" xr:uid="{00000000-0005-0000-0000-00004ACF0000}"/>
    <cellStyle name="Total 2 4 2 5 2" xfId="52873" xr:uid="{00000000-0005-0000-0000-00004BCF0000}"/>
    <cellStyle name="Total 2 4 2 6" xfId="52874" xr:uid="{00000000-0005-0000-0000-00004CCF0000}"/>
    <cellStyle name="Total 2 4 3" xfId="52875" xr:uid="{00000000-0005-0000-0000-00004DCF0000}"/>
    <cellStyle name="Total 2 4 3 2" xfId="52876" xr:uid="{00000000-0005-0000-0000-00004ECF0000}"/>
    <cellStyle name="Total 2 4 3 2 2" xfId="52877" xr:uid="{00000000-0005-0000-0000-00004FCF0000}"/>
    <cellStyle name="Total 2 4 3 2 2 2" xfId="52878" xr:uid="{00000000-0005-0000-0000-000050CF0000}"/>
    <cellStyle name="Total 2 4 3 2 3" xfId="52879" xr:uid="{00000000-0005-0000-0000-000051CF0000}"/>
    <cellStyle name="Total 2 4 3 3" xfId="52880" xr:uid="{00000000-0005-0000-0000-000052CF0000}"/>
    <cellStyle name="Total 2 4 3 3 2" xfId="52881" xr:uid="{00000000-0005-0000-0000-000053CF0000}"/>
    <cellStyle name="Total 2 4 3 4" xfId="52882" xr:uid="{00000000-0005-0000-0000-000054CF0000}"/>
    <cellStyle name="Total 2 4 4" xfId="52883" xr:uid="{00000000-0005-0000-0000-000055CF0000}"/>
    <cellStyle name="Total 2 4 4 2" xfId="52884" xr:uid="{00000000-0005-0000-0000-000056CF0000}"/>
    <cellStyle name="Total 2 4 4 2 2" xfId="52885" xr:uid="{00000000-0005-0000-0000-000057CF0000}"/>
    <cellStyle name="Total 2 4 4 3" xfId="52886" xr:uid="{00000000-0005-0000-0000-000058CF0000}"/>
    <cellStyle name="Total 2 4 5" xfId="52887" xr:uid="{00000000-0005-0000-0000-000059CF0000}"/>
    <cellStyle name="Total 2 4 5 2" xfId="52888" xr:uid="{00000000-0005-0000-0000-00005ACF0000}"/>
    <cellStyle name="Total 2 4 5 2 2" xfId="52889" xr:uid="{00000000-0005-0000-0000-00005BCF0000}"/>
    <cellStyle name="Total 2 4 5 3" xfId="52890" xr:uid="{00000000-0005-0000-0000-00005CCF0000}"/>
    <cellStyle name="Total 2 4 6" xfId="52891" xr:uid="{00000000-0005-0000-0000-00005DCF0000}"/>
    <cellStyle name="Total 2 4 6 2" xfId="52892" xr:uid="{00000000-0005-0000-0000-00005ECF0000}"/>
    <cellStyle name="Total 2 4 7" xfId="52893" xr:uid="{00000000-0005-0000-0000-00005FCF0000}"/>
    <cellStyle name="Total 2 5" xfId="52894" xr:uid="{00000000-0005-0000-0000-000060CF0000}"/>
    <cellStyle name="Total 2 5 2" xfId="52895" xr:uid="{00000000-0005-0000-0000-000061CF0000}"/>
    <cellStyle name="Total 2 5 2 2" xfId="52896" xr:uid="{00000000-0005-0000-0000-000062CF0000}"/>
    <cellStyle name="Total 2 5 2 2 2" xfId="52897" xr:uid="{00000000-0005-0000-0000-000063CF0000}"/>
    <cellStyle name="Total 2 5 2 2 2 2" xfId="52898" xr:uid="{00000000-0005-0000-0000-000064CF0000}"/>
    <cellStyle name="Total 2 5 2 2 3" xfId="52899" xr:uid="{00000000-0005-0000-0000-000065CF0000}"/>
    <cellStyle name="Total 2 5 2 3" xfId="52900" xr:uid="{00000000-0005-0000-0000-000066CF0000}"/>
    <cellStyle name="Total 2 5 2 3 2" xfId="52901" xr:uid="{00000000-0005-0000-0000-000067CF0000}"/>
    <cellStyle name="Total 2 5 2 3 2 2" xfId="52902" xr:uid="{00000000-0005-0000-0000-000068CF0000}"/>
    <cellStyle name="Total 2 5 2 3 3" xfId="52903" xr:uid="{00000000-0005-0000-0000-000069CF0000}"/>
    <cellStyle name="Total 2 5 2 4" xfId="52904" xr:uid="{00000000-0005-0000-0000-00006ACF0000}"/>
    <cellStyle name="Total 2 5 2 4 2" xfId="52905" xr:uid="{00000000-0005-0000-0000-00006BCF0000}"/>
    <cellStyle name="Total 2 5 2 4 2 2" xfId="52906" xr:uid="{00000000-0005-0000-0000-00006CCF0000}"/>
    <cellStyle name="Total 2 5 2 4 3" xfId="52907" xr:uid="{00000000-0005-0000-0000-00006DCF0000}"/>
    <cellStyle name="Total 2 5 2 5" xfId="52908" xr:uid="{00000000-0005-0000-0000-00006ECF0000}"/>
    <cellStyle name="Total 2 5 2 5 2" xfId="52909" xr:uid="{00000000-0005-0000-0000-00006FCF0000}"/>
    <cellStyle name="Total 2 5 2 6" xfId="52910" xr:uid="{00000000-0005-0000-0000-000070CF0000}"/>
    <cellStyle name="Total 2 5 3" xfId="52911" xr:uid="{00000000-0005-0000-0000-000071CF0000}"/>
    <cellStyle name="Total 2 5 3 2" xfId="52912" xr:uid="{00000000-0005-0000-0000-000072CF0000}"/>
    <cellStyle name="Total 2 5 3 2 2" xfId="52913" xr:uid="{00000000-0005-0000-0000-000073CF0000}"/>
    <cellStyle name="Total 2 5 3 2 2 2" xfId="52914" xr:uid="{00000000-0005-0000-0000-000074CF0000}"/>
    <cellStyle name="Total 2 5 3 2 2 2 2" xfId="52915" xr:uid="{00000000-0005-0000-0000-000075CF0000}"/>
    <cellStyle name="Total 2 5 3 2 2 3" xfId="52916" xr:uid="{00000000-0005-0000-0000-000076CF0000}"/>
    <cellStyle name="Total 2 5 3 2 3" xfId="52917" xr:uid="{00000000-0005-0000-0000-000077CF0000}"/>
    <cellStyle name="Total 2 5 3 2 3 2" xfId="52918" xr:uid="{00000000-0005-0000-0000-000078CF0000}"/>
    <cellStyle name="Total 2 5 3 2 3 2 2" xfId="52919" xr:uid="{00000000-0005-0000-0000-000079CF0000}"/>
    <cellStyle name="Total 2 5 3 2 3 3" xfId="52920" xr:uid="{00000000-0005-0000-0000-00007ACF0000}"/>
    <cellStyle name="Total 2 5 3 2 4" xfId="52921" xr:uid="{00000000-0005-0000-0000-00007BCF0000}"/>
    <cellStyle name="Total 2 5 3 2 4 2" xfId="52922" xr:uid="{00000000-0005-0000-0000-00007CCF0000}"/>
    <cellStyle name="Total 2 5 3 2 5" xfId="52923" xr:uid="{00000000-0005-0000-0000-00007DCF0000}"/>
    <cellStyle name="Total 2 5 3 3" xfId="52924" xr:uid="{00000000-0005-0000-0000-00007ECF0000}"/>
    <cellStyle name="Total 2 5 3 3 2" xfId="52925" xr:uid="{00000000-0005-0000-0000-00007FCF0000}"/>
    <cellStyle name="Total 2 5 3 3 2 2" xfId="52926" xr:uid="{00000000-0005-0000-0000-000080CF0000}"/>
    <cellStyle name="Total 2 5 3 3 2 2 2" xfId="52927" xr:uid="{00000000-0005-0000-0000-000081CF0000}"/>
    <cellStyle name="Total 2 5 3 3 2 3" xfId="52928" xr:uid="{00000000-0005-0000-0000-000082CF0000}"/>
    <cellStyle name="Total 2 5 3 3 3" xfId="52929" xr:uid="{00000000-0005-0000-0000-000083CF0000}"/>
    <cellStyle name="Total 2 5 3 3 3 2" xfId="52930" xr:uid="{00000000-0005-0000-0000-000084CF0000}"/>
    <cellStyle name="Total 2 5 3 3 4" xfId="52931" xr:uid="{00000000-0005-0000-0000-000085CF0000}"/>
    <cellStyle name="Total 2 5 3 4" xfId="52932" xr:uid="{00000000-0005-0000-0000-000086CF0000}"/>
    <cellStyle name="Total 2 5 3 4 2" xfId="52933" xr:uid="{00000000-0005-0000-0000-000087CF0000}"/>
    <cellStyle name="Total 2 5 3 4 2 2" xfId="52934" xr:uid="{00000000-0005-0000-0000-000088CF0000}"/>
    <cellStyle name="Total 2 5 3 4 3" xfId="52935" xr:uid="{00000000-0005-0000-0000-000089CF0000}"/>
    <cellStyle name="Total 2 5 3 5" xfId="52936" xr:uid="{00000000-0005-0000-0000-00008ACF0000}"/>
    <cellStyle name="Total 2 5 3 5 2" xfId="52937" xr:uid="{00000000-0005-0000-0000-00008BCF0000}"/>
    <cellStyle name="Total 2 5 3 5 2 2" xfId="52938" xr:uid="{00000000-0005-0000-0000-00008CCF0000}"/>
    <cellStyle name="Total 2 5 3 5 3" xfId="52939" xr:uid="{00000000-0005-0000-0000-00008DCF0000}"/>
    <cellStyle name="Total 2 5 3 6" xfId="52940" xr:uid="{00000000-0005-0000-0000-00008ECF0000}"/>
    <cellStyle name="Total 2 5 3 6 2" xfId="52941" xr:uid="{00000000-0005-0000-0000-00008FCF0000}"/>
    <cellStyle name="Total 2 5 3 7" xfId="52942" xr:uid="{00000000-0005-0000-0000-000090CF0000}"/>
    <cellStyle name="Total 2 5 4" xfId="52943" xr:uid="{00000000-0005-0000-0000-000091CF0000}"/>
    <cellStyle name="Total 2 5 4 2" xfId="52944" xr:uid="{00000000-0005-0000-0000-000092CF0000}"/>
    <cellStyle name="Total 2 5 4 2 2" xfId="52945" xr:uid="{00000000-0005-0000-0000-000093CF0000}"/>
    <cellStyle name="Total 2 5 4 2 2 2" xfId="52946" xr:uid="{00000000-0005-0000-0000-000094CF0000}"/>
    <cellStyle name="Total 2 5 4 2 3" xfId="52947" xr:uid="{00000000-0005-0000-0000-000095CF0000}"/>
    <cellStyle name="Total 2 5 4 3" xfId="52948" xr:uid="{00000000-0005-0000-0000-000096CF0000}"/>
    <cellStyle name="Total 2 5 4 3 2" xfId="52949" xr:uid="{00000000-0005-0000-0000-000097CF0000}"/>
    <cellStyle name="Total 2 5 4 4" xfId="52950" xr:uid="{00000000-0005-0000-0000-000098CF0000}"/>
    <cellStyle name="Total 2 5 5" xfId="52951" xr:uid="{00000000-0005-0000-0000-000099CF0000}"/>
    <cellStyle name="Total 2 5 5 2" xfId="52952" xr:uid="{00000000-0005-0000-0000-00009ACF0000}"/>
    <cellStyle name="Total 2 5 5 2 2" xfId="52953" xr:uid="{00000000-0005-0000-0000-00009BCF0000}"/>
    <cellStyle name="Total 2 5 5 3" xfId="52954" xr:uid="{00000000-0005-0000-0000-00009CCF0000}"/>
    <cellStyle name="Total 2 5 6" xfId="52955" xr:uid="{00000000-0005-0000-0000-00009DCF0000}"/>
    <cellStyle name="Total 2 5 6 2" xfId="52956" xr:uid="{00000000-0005-0000-0000-00009ECF0000}"/>
    <cellStyle name="Total 2 5 6 2 2" xfId="52957" xr:uid="{00000000-0005-0000-0000-00009FCF0000}"/>
    <cellStyle name="Total 2 5 6 3" xfId="52958" xr:uid="{00000000-0005-0000-0000-0000A0CF0000}"/>
    <cellStyle name="Total 2 5 7" xfId="52959" xr:uid="{00000000-0005-0000-0000-0000A1CF0000}"/>
    <cellStyle name="Total 2 5 7 2" xfId="52960" xr:uid="{00000000-0005-0000-0000-0000A2CF0000}"/>
    <cellStyle name="Total 2 5 8" xfId="52961" xr:uid="{00000000-0005-0000-0000-0000A3CF0000}"/>
    <cellStyle name="Total 2 6" xfId="52962" xr:uid="{00000000-0005-0000-0000-0000A4CF0000}"/>
    <cellStyle name="Total 2 6 2" xfId="52963" xr:uid="{00000000-0005-0000-0000-0000A5CF0000}"/>
    <cellStyle name="Total 2 6 2 2" xfId="52964" xr:uid="{00000000-0005-0000-0000-0000A6CF0000}"/>
    <cellStyle name="Total 2 6 2 2 2" xfId="52965" xr:uid="{00000000-0005-0000-0000-0000A7CF0000}"/>
    <cellStyle name="Total 2 6 2 3" xfId="52966" xr:uid="{00000000-0005-0000-0000-0000A8CF0000}"/>
    <cellStyle name="Total 2 6 3" xfId="52967" xr:uid="{00000000-0005-0000-0000-0000A9CF0000}"/>
    <cellStyle name="Total 2 6 3 2" xfId="52968" xr:uid="{00000000-0005-0000-0000-0000AACF0000}"/>
    <cellStyle name="Total 2 6 3 2 2" xfId="52969" xr:uid="{00000000-0005-0000-0000-0000ABCF0000}"/>
    <cellStyle name="Total 2 6 3 3" xfId="52970" xr:uid="{00000000-0005-0000-0000-0000ACCF0000}"/>
    <cellStyle name="Total 2 6 4" xfId="52971" xr:uid="{00000000-0005-0000-0000-0000ADCF0000}"/>
    <cellStyle name="Total 2 6 4 2" xfId="52972" xr:uid="{00000000-0005-0000-0000-0000AECF0000}"/>
    <cellStyle name="Total 2 6 4 2 2" xfId="52973" xr:uid="{00000000-0005-0000-0000-0000AFCF0000}"/>
    <cellStyle name="Total 2 6 4 3" xfId="52974" xr:uid="{00000000-0005-0000-0000-0000B0CF0000}"/>
    <cellStyle name="Total 2 6 5" xfId="52975" xr:uid="{00000000-0005-0000-0000-0000B1CF0000}"/>
    <cellStyle name="Total 2 6 5 2" xfId="52976" xr:uid="{00000000-0005-0000-0000-0000B2CF0000}"/>
    <cellStyle name="Total 2 6 6" xfId="52977" xr:uid="{00000000-0005-0000-0000-0000B3CF0000}"/>
    <cellStyle name="Total 2 7" xfId="52978" xr:uid="{00000000-0005-0000-0000-0000B4CF0000}"/>
    <cellStyle name="Total 2 7 2" xfId="52979" xr:uid="{00000000-0005-0000-0000-0000B5CF0000}"/>
    <cellStyle name="Total 2 7 2 2" xfId="52980" xr:uid="{00000000-0005-0000-0000-0000B6CF0000}"/>
    <cellStyle name="Total 2 7 2 2 2" xfId="52981" xr:uid="{00000000-0005-0000-0000-0000B7CF0000}"/>
    <cellStyle name="Total 2 7 2 3" xfId="52982" xr:uid="{00000000-0005-0000-0000-0000B8CF0000}"/>
    <cellStyle name="Total 2 7 3" xfId="52983" xr:uid="{00000000-0005-0000-0000-0000B9CF0000}"/>
    <cellStyle name="Total 2 7 3 2" xfId="52984" xr:uid="{00000000-0005-0000-0000-0000BACF0000}"/>
    <cellStyle name="Total 2 7 3 2 2" xfId="52985" xr:uid="{00000000-0005-0000-0000-0000BBCF0000}"/>
    <cellStyle name="Total 2 7 3 3" xfId="52986" xr:uid="{00000000-0005-0000-0000-0000BCCF0000}"/>
    <cellStyle name="Total 2 7 4" xfId="52987" xr:uid="{00000000-0005-0000-0000-0000BDCF0000}"/>
    <cellStyle name="Total 2 7 4 2" xfId="52988" xr:uid="{00000000-0005-0000-0000-0000BECF0000}"/>
    <cellStyle name="Total 2 7 4 2 2" xfId="52989" xr:uid="{00000000-0005-0000-0000-0000BFCF0000}"/>
    <cellStyle name="Total 2 7 4 3" xfId="52990" xr:uid="{00000000-0005-0000-0000-0000C0CF0000}"/>
    <cellStyle name="Total 2 7 5" xfId="52991" xr:uid="{00000000-0005-0000-0000-0000C1CF0000}"/>
    <cellStyle name="Total 2 7 5 2" xfId="52992" xr:uid="{00000000-0005-0000-0000-0000C2CF0000}"/>
    <cellStyle name="Total 2 7 6" xfId="52993" xr:uid="{00000000-0005-0000-0000-0000C3CF0000}"/>
    <cellStyle name="Total 2 8" xfId="52994" xr:uid="{00000000-0005-0000-0000-0000C4CF0000}"/>
    <cellStyle name="Total 2 8 2" xfId="52995" xr:uid="{00000000-0005-0000-0000-0000C5CF0000}"/>
    <cellStyle name="Total 2 8 2 2" xfId="52996" xr:uid="{00000000-0005-0000-0000-0000C6CF0000}"/>
    <cellStyle name="Total 2 8 2 2 2" xfId="52997" xr:uid="{00000000-0005-0000-0000-0000C7CF0000}"/>
    <cellStyle name="Total 2 8 2 2 2 2" xfId="52998" xr:uid="{00000000-0005-0000-0000-0000C8CF0000}"/>
    <cellStyle name="Total 2 8 2 2 3" xfId="52999" xr:uid="{00000000-0005-0000-0000-0000C9CF0000}"/>
    <cellStyle name="Total 2 8 2 3" xfId="53000" xr:uid="{00000000-0005-0000-0000-0000CACF0000}"/>
    <cellStyle name="Total 2 8 2 3 2" xfId="53001" xr:uid="{00000000-0005-0000-0000-0000CBCF0000}"/>
    <cellStyle name="Total 2 8 2 3 2 2" xfId="53002" xr:uid="{00000000-0005-0000-0000-0000CCCF0000}"/>
    <cellStyle name="Total 2 8 2 3 3" xfId="53003" xr:uid="{00000000-0005-0000-0000-0000CDCF0000}"/>
    <cellStyle name="Total 2 8 2 4" xfId="53004" xr:uid="{00000000-0005-0000-0000-0000CECF0000}"/>
    <cellStyle name="Total 2 8 2 4 2" xfId="53005" xr:uid="{00000000-0005-0000-0000-0000CFCF0000}"/>
    <cellStyle name="Total 2 8 2 5" xfId="53006" xr:uid="{00000000-0005-0000-0000-0000D0CF0000}"/>
    <cellStyle name="Total 2 8 3" xfId="53007" xr:uid="{00000000-0005-0000-0000-0000D1CF0000}"/>
    <cellStyle name="Total 2 8 3 2" xfId="53008" xr:uid="{00000000-0005-0000-0000-0000D2CF0000}"/>
    <cellStyle name="Total 2 8 3 2 2" xfId="53009" xr:uid="{00000000-0005-0000-0000-0000D3CF0000}"/>
    <cellStyle name="Total 2 8 3 2 2 2" xfId="53010" xr:uid="{00000000-0005-0000-0000-0000D4CF0000}"/>
    <cellStyle name="Total 2 8 3 2 3" xfId="53011" xr:uid="{00000000-0005-0000-0000-0000D5CF0000}"/>
    <cellStyle name="Total 2 8 3 3" xfId="53012" xr:uid="{00000000-0005-0000-0000-0000D6CF0000}"/>
    <cellStyle name="Total 2 8 3 3 2" xfId="53013" xr:uid="{00000000-0005-0000-0000-0000D7CF0000}"/>
    <cellStyle name="Total 2 8 3 4" xfId="53014" xr:uid="{00000000-0005-0000-0000-0000D8CF0000}"/>
    <cellStyle name="Total 2 8 4" xfId="53015" xr:uid="{00000000-0005-0000-0000-0000D9CF0000}"/>
    <cellStyle name="Total 2 8 4 2" xfId="53016" xr:uid="{00000000-0005-0000-0000-0000DACF0000}"/>
    <cellStyle name="Total 2 8 4 2 2" xfId="53017" xr:uid="{00000000-0005-0000-0000-0000DBCF0000}"/>
    <cellStyle name="Total 2 8 4 3" xfId="53018" xr:uid="{00000000-0005-0000-0000-0000DCCF0000}"/>
    <cellStyle name="Total 2 8 5" xfId="53019" xr:uid="{00000000-0005-0000-0000-0000DDCF0000}"/>
    <cellStyle name="Total 2 8 5 2" xfId="53020" xr:uid="{00000000-0005-0000-0000-0000DECF0000}"/>
    <cellStyle name="Total 2 8 5 2 2" xfId="53021" xr:uid="{00000000-0005-0000-0000-0000DFCF0000}"/>
    <cellStyle name="Total 2 8 5 3" xfId="53022" xr:uid="{00000000-0005-0000-0000-0000E0CF0000}"/>
    <cellStyle name="Total 2 8 6" xfId="53023" xr:uid="{00000000-0005-0000-0000-0000E1CF0000}"/>
    <cellStyle name="Total 2 8 6 2" xfId="53024" xr:uid="{00000000-0005-0000-0000-0000E2CF0000}"/>
    <cellStyle name="Total 2 8 7" xfId="53025" xr:uid="{00000000-0005-0000-0000-0000E3CF0000}"/>
    <cellStyle name="Total 2 9" xfId="53026" xr:uid="{00000000-0005-0000-0000-0000E4CF0000}"/>
    <cellStyle name="Total 2 9 2" xfId="53027" xr:uid="{00000000-0005-0000-0000-0000E5CF0000}"/>
    <cellStyle name="Total 2 9 2 2" xfId="53028" xr:uid="{00000000-0005-0000-0000-0000E6CF0000}"/>
    <cellStyle name="Total 2 9 2 2 2" xfId="53029" xr:uid="{00000000-0005-0000-0000-0000E7CF0000}"/>
    <cellStyle name="Total 2 9 2 3" xfId="53030" xr:uid="{00000000-0005-0000-0000-0000E8CF0000}"/>
    <cellStyle name="Total 2 9 3" xfId="53031" xr:uid="{00000000-0005-0000-0000-0000E9CF0000}"/>
    <cellStyle name="Total 2 9 3 2" xfId="53032" xr:uid="{00000000-0005-0000-0000-0000EACF0000}"/>
    <cellStyle name="Total 2 9 4" xfId="53033" xr:uid="{00000000-0005-0000-0000-0000EBCF0000}"/>
    <cellStyle name="Total 3" xfId="53034" xr:uid="{00000000-0005-0000-0000-0000ECCF0000}"/>
    <cellStyle name="Total 3 2" xfId="53035" xr:uid="{00000000-0005-0000-0000-0000EDCF0000}"/>
    <cellStyle name="Total 3 2 2" xfId="53036" xr:uid="{00000000-0005-0000-0000-0000EECF0000}"/>
    <cellStyle name="Total 3 2 2 2" xfId="53037" xr:uid="{00000000-0005-0000-0000-0000EFCF0000}"/>
    <cellStyle name="Total 3 2 2 2 2" xfId="53038" xr:uid="{00000000-0005-0000-0000-0000F0CF0000}"/>
    <cellStyle name="Total 3 2 2 3" xfId="53039" xr:uid="{00000000-0005-0000-0000-0000F1CF0000}"/>
    <cellStyle name="Total 3 2 3" xfId="53040" xr:uid="{00000000-0005-0000-0000-0000F2CF0000}"/>
    <cellStyle name="Total 3 2 3 2" xfId="53041" xr:uid="{00000000-0005-0000-0000-0000F3CF0000}"/>
    <cellStyle name="Total 3 2 3 2 2" xfId="53042" xr:uid="{00000000-0005-0000-0000-0000F4CF0000}"/>
    <cellStyle name="Total 3 2 3 3" xfId="53043" xr:uid="{00000000-0005-0000-0000-0000F5CF0000}"/>
    <cellStyle name="Total 3 2 4" xfId="53044" xr:uid="{00000000-0005-0000-0000-0000F6CF0000}"/>
    <cellStyle name="Total 3 2 4 2" xfId="53045" xr:uid="{00000000-0005-0000-0000-0000F7CF0000}"/>
    <cellStyle name="Total 3 2 4 2 2" xfId="53046" xr:uid="{00000000-0005-0000-0000-0000F8CF0000}"/>
    <cellStyle name="Total 3 2 4 3" xfId="53047" xr:uid="{00000000-0005-0000-0000-0000F9CF0000}"/>
    <cellStyle name="Total 3 2 5" xfId="53048" xr:uid="{00000000-0005-0000-0000-0000FACF0000}"/>
    <cellStyle name="Total 3 2 5 2" xfId="53049" xr:uid="{00000000-0005-0000-0000-0000FBCF0000}"/>
    <cellStyle name="Total 3 2 6" xfId="53050" xr:uid="{00000000-0005-0000-0000-0000FCCF0000}"/>
    <cellStyle name="Total 3 3" xfId="53051" xr:uid="{00000000-0005-0000-0000-0000FDCF0000}"/>
    <cellStyle name="Total 3 3 2" xfId="53052" xr:uid="{00000000-0005-0000-0000-0000FECF0000}"/>
    <cellStyle name="Total 3 3 2 2" xfId="53053" xr:uid="{00000000-0005-0000-0000-0000FFCF0000}"/>
    <cellStyle name="Total 3 3 3" xfId="53054" xr:uid="{00000000-0005-0000-0000-000000D00000}"/>
    <cellStyle name="Total 3 3 3 2" xfId="53055" xr:uid="{00000000-0005-0000-0000-000001D00000}"/>
    <cellStyle name="Total 3 3 3 2 2" xfId="53056" xr:uid="{00000000-0005-0000-0000-000002D00000}"/>
    <cellStyle name="Total 3 3 3 3" xfId="53057" xr:uid="{00000000-0005-0000-0000-000003D00000}"/>
    <cellStyle name="Total 3 3 4" xfId="53058" xr:uid="{00000000-0005-0000-0000-000004D00000}"/>
    <cellStyle name="Total 3 3 4 2" xfId="53059" xr:uid="{00000000-0005-0000-0000-000005D00000}"/>
    <cellStyle name="Total 3 3 4 2 2" xfId="53060" xr:uid="{00000000-0005-0000-0000-000006D00000}"/>
    <cellStyle name="Total 3 3 4 3" xfId="53061" xr:uid="{00000000-0005-0000-0000-000007D00000}"/>
    <cellStyle name="Total 3 3 5" xfId="53062" xr:uid="{00000000-0005-0000-0000-000008D00000}"/>
    <cellStyle name="Total 3 4" xfId="53063" xr:uid="{00000000-0005-0000-0000-000009D00000}"/>
    <cellStyle name="Total 3 4 2" xfId="53064" xr:uid="{00000000-0005-0000-0000-00000AD00000}"/>
    <cellStyle name="Total 3 4 2 2" xfId="53065" xr:uid="{00000000-0005-0000-0000-00000BD00000}"/>
    <cellStyle name="Total 3 4 2 2 2" xfId="53066" xr:uid="{00000000-0005-0000-0000-00000CD00000}"/>
    <cellStyle name="Total 3 4 2 3" xfId="53067" xr:uid="{00000000-0005-0000-0000-00000DD00000}"/>
    <cellStyle name="Total 3 4 2 3 2" xfId="53068" xr:uid="{00000000-0005-0000-0000-00000ED00000}"/>
    <cellStyle name="Total 3 4 2 3 2 2" xfId="53069" xr:uid="{00000000-0005-0000-0000-00000FD00000}"/>
    <cellStyle name="Total 3 4 2 3 3" xfId="53070" xr:uid="{00000000-0005-0000-0000-000010D00000}"/>
    <cellStyle name="Total 3 4 2 4" xfId="53071" xr:uid="{00000000-0005-0000-0000-000011D00000}"/>
    <cellStyle name="Total 3 4 3" xfId="53072" xr:uid="{00000000-0005-0000-0000-000012D00000}"/>
    <cellStyle name="Total 3 4 3 2" xfId="53073" xr:uid="{00000000-0005-0000-0000-000013D00000}"/>
    <cellStyle name="Total 3 4 3 2 2" xfId="53074" xr:uid="{00000000-0005-0000-0000-000014D00000}"/>
    <cellStyle name="Total 3 4 3 3" xfId="53075" xr:uid="{00000000-0005-0000-0000-000015D00000}"/>
    <cellStyle name="Total 3 4 4" xfId="53076" xr:uid="{00000000-0005-0000-0000-000016D00000}"/>
    <cellStyle name="Total 3 4 4 2" xfId="53077" xr:uid="{00000000-0005-0000-0000-000017D00000}"/>
    <cellStyle name="Total 3 4 4 2 2" xfId="53078" xr:uid="{00000000-0005-0000-0000-000018D00000}"/>
    <cellStyle name="Total 3 4 4 3" xfId="53079" xr:uid="{00000000-0005-0000-0000-000019D00000}"/>
    <cellStyle name="Total 3 4 5" xfId="53080" xr:uid="{00000000-0005-0000-0000-00001AD00000}"/>
    <cellStyle name="Total 3 4 5 2" xfId="53081" xr:uid="{00000000-0005-0000-0000-00001BD00000}"/>
    <cellStyle name="Total 3 4 5 2 2" xfId="53082" xr:uid="{00000000-0005-0000-0000-00001CD00000}"/>
    <cellStyle name="Total 3 4 5 3" xfId="53083" xr:uid="{00000000-0005-0000-0000-00001DD00000}"/>
    <cellStyle name="Total 3 4 6" xfId="53084" xr:uid="{00000000-0005-0000-0000-00001ED00000}"/>
    <cellStyle name="Total 3 5" xfId="53085" xr:uid="{00000000-0005-0000-0000-00001FD00000}"/>
    <cellStyle name="Total 3 5 2" xfId="53086" xr:uid="{00000000-0005-0000-0000-000020D00000}"/>
    <cellStyle name="Total 3 5 2 2" xfId="53087" xr:uid="{00000000-0005-0000-0000-000021D00000}"/>
    <cellStyle name="Total 3 5 3" xfId="53088" xr:uid="{00000000-0005-0000-0000-000022D00000}"/>
    <cellStyle name="Total 3 6" xfId="53089" xr:uid="{00000000-0005-0000-0000-000023D00000}"/>
    <cellStyle name="Total 3 6 2" xfId="53090" xr:uid="{00000000-0005-0000-0000-000024D00000}"/>
    <cellStyle name="Total 3 6 2 2" xfId="53091" xr:uid="{00000000-0005-0000-0000-000025D00000}"/>
    <cellStyle name="Total 3 6 3" xfId="53092" xr:uid="{00000000-0005-0000-0000-000026D00000}"/>
    <cellStyle name="Total 3 7" xfId="53093" xr:uid="{00000000-0005-0000-0000-000027D00000}"/>
    <cellStyle name="Total 3 7 2" xfId="53094" xr:uid="{00000000-0005-0000-0000-000028D00000}"/>
    <cellStyle name="Total 3 7 2 2" xfId="53095" xr:uid="{00000000-0005-0000-0000-000029D00000}"/>
    <cellStyle name="Total 3 7 3" xfId="53096" xr:uid="{00000000-0005-0000-0000-00002AD00000}"/>
    <cellStyle name="Total 3 8" xfId="53097" xr:uid="{00000000-0005-0000-0000-00002BD00000}"/>
    <cellStyle name="Total 4" xfId="53098" xr:uid="{00000000-0005-0000-0000-00002CD00000}"/>
    <cellStyle name="Total 4 2" xfId="53099" xr:uid="{00000000-0005-0000-0000-00002DD00000}"/>
    <cellStyle name="Total 4 2 2" xfId="53100" xr:uid="{00000000-0005-0000-0000-00002ED00000}"/>
    <cellStyle name="Total 4 2 2 2" xfId="53101" xr:uid="{00000000-0005-0000-0000-00002FD00000}"/>
    <cellStyle name="Total 4 2 3" xfId="53102" xr:uid="{00000000-0005-0000-0000-000030D00000}"/>
    <cellStyle name="Total 4 2 3 2" xfId="53103" xr:uid="{00000000-0005-0000-0000-000031D00000}"/>
    <cellStyle name="Total 4 2 3 2 2" xfId="53104" xr:uid="{00000000-0005-0000-0000-000032D00000}"/>
    <cellStyle name="Total 4 2 3 3" xfId="53105" xr:uid="{00000000-0005-0000-0000-000033D00000}"/>
    <cellStyle name="Total 4 2 4" xfId="53106" xr:uid="{00000000-0005-0000-0000-000034D00000}"/>
    <cellStyle name="Total 4 2 4 2" xfId="53107" xr:uid="{00000000-0005-0000-0000-000035D00000}"/>
    <cellStyle name="Total 4 2 4 2 2" xfId="53108" xr:uid="{00000000-0005-0000-0000-000036D00000}"/>
    <cellStyle name="Total 4 2 4 3" xfId="53109" xr:uid="{00000000-0005-0000-0000-000037D00000}"/>
    <cellStyle name="Total 4 2 5" xfId="53110" xr:uid="{00000000-0005-0000-0000-000038D00000}"/>
    <cellStyle name="Total 4 3" xfId="53111" xr:uid="{00000000-0005-0000-0000-000039D00000}"/>
    <cellStyle name="Total 4 3 2" xfId="53112" xr:uid="{00000000-0005-0000-0000-00003AD00000}"/>
    <cellStyle name="Total 4 3 2 2" xfId="53113" xr:uid="{00000000-0005-0000-0000-00003BD00000}"/>
    <cellStyle name="Total 4 3 2 2 2" xfId="53114" xr:uid="{00000000-0005-0000-0000-00003CD00000}"/>
    <cellStyle name="Total 4 3 2 3" xfId="53115" xr:uid="{00000000-0005-0000-0000-00003DD00000}"/>
    <cellStyle name="Total 4 3 2 3 2" xfId="53116" xr:uid="{00000000-0005-0000-0000-00003ED00000}"/>
    <cellStyle name="Total 4 3 2 3 2 2" xfId="53117" xr:uid="{00000000-0005-0000-0000-00003FD00000}"/>
    <cellStyle name="Total 4 3 2 3 3" xfId="53118" xr:uid="{00000000-0005-0000-0000-000040D00000}"/>
    <cellStyle name="Total 4 3 2 4" xfId="53119" xr:uid="{00000000-0005-0000-0000-000041D00000}"/>
    <cellStyle name="Total 4 3 3" xfId="53120" xr:uid="{00000000-0005-0000-0000-000042D00000}"/>
    <cellStyle name="Total 4 3 3 2" xfId="53121" xr:uid="{00000000-0005-0000-0000-000043D00000}"/>
    <cellStyle name="Total 4 3 3 2 2" xfId="53122" xr:uid="{00000000-0005-0000-0000-000044D00000}"/>
    <cellStyle name="Total 4 3 3 3" xfId="53123" xr:uid="{00000000-0005-0000-0000-000045D00000}"/>
    <cellStyle name="Total 4 3 4" xfId="53124" xr:uid="{00000000-0005-0000-0000-000046D00000}"/>
    <cellStyle name="Total 4 3 4 2" xfId="53125" xr:uid="{00000000-0005-0000-0000-000047D00000}"/>
    <cellStyle name="Total 4 3 4 2 2" xfId="53126" xr:uid="{00000000-0005-0000-0000-000048D00000}"/>
    <cellStyle name="Total 4 3 4 3" xfId="53127" xr:uid="{00000000-0005-0000-0000-000049D00000}"/>
    <cellStyle name="Total 4 3 5" xfId="53128" xr:uid="{00000000-0005-0000-0000-00004AD00000}"/>
    <cellStyle name="Total 4 3 5 2" xfId="53129" xr:uid="{00000000-0005-0000-0000-00004BD00000}"/>
    <cellStyle name="Total 4 3 5 2 2" xfId="53130" xr:uid="{00000000-0005-0000-0000-00004CD00000}"/>
    <cellStyle name="Total 4 3 5 3" xfId="53131" xr:uid="{00000000-0005-0000-0000-00004DD00000}"/>
    <cellStyle name="Total 4 3 6" xfId="53132" xr:uid="{00000000-0005-0000-0000-00004ED00000}"/>
    <cellStyle name="Total 4 4" xfId="53133" xr:uid="{00000000-0005-0000-0000-00004FD00000}"/>
    <cellStyle name="Total 4 4 2" xfId="53134" xr:uid="{00000000-0005-0000-0000-000050D00000}"/>
    <cellStyle name="Total 4 4 2 2" xfId="53135" xr:uid="{00000000-0005-0000-0000-000051D00000}"/>
    <cellStyle name="Total 4 4 3" xfId="53136" xr:uid="{00000000-0005-0000-0000-000052D00000}"/>
    <cellStyle name="Total 4 5" xfId="53137" xr:uid="{00000000-0005-0000-0000-000053D00000}"/>
    <cellStyle name="Total 4 5 2" xfId="53138" xr:uid="{00000000-0005-0000-0000-000054D00000}"/>
    <cellStyle name="Total 4 5 2 2" xfId="53139" xr:uid="{00000000-0005-0000-0000-000055D00000}"/>
    <cellStyle name="Total 4 5 3" xfId="53140" xr:uid="{00000000-0005-0000-0000-000056D00000}"/>
    <cellStyle name="Total 4 6" xfId="53141" xr:uid="{00000000-0005-0000-0000-000057D00000}"/>
    <cellStyle name="Total 4 6 2" xfId="53142" xr:uid="{00000000-0005-0000-0000-000058D00000}"/>
    <cellStyle name="Total 4 6 2 2" xfId="53143" xr:uid="{00000000-0005-0000-0000-000059D00000}"/>
    <cellStyle name="Total 4 6 3" xfId="53144" xr:uid="{00000000-0005-0000-0000-00005AD00000}"/>
    <cellStyle name="Total 4 7" xfId="53145" xr:uid="{00000000-0005-0000-0000-00005BD00000}"/>
    <cellStyle name="Total 5" xfId="53146" xr:uid="{00000000-0005-0000-0000-00005CD00000}"/>
    <cellStyle name="Total 5 2" xfId="53147" xr:uid="{00000000-0005-0000-0000-00005DD00000}"/>
    <cellStyle name="Total 5 2 2" xfId="53148" xr:uid="{00000000-0005-0000-0000-00005ED00000}"/>
    <cellStyle name="Total 5 2 2 2" xfId="53149" xr:uid="{00000000-0005-0000-0000-00005FD00000}"/>
    <cellStyle name="Total 5 2 2 2 2" xfId="53150" xr:uid="{00000000-0005-0000-0000-000060D00000}"/>
    <cellStyle name="Total 5 2 2 3" xfId="53151" xr:uid="{00000000-0005-0000-0000-000061D00000}"/>
    <cellStyle name="Total 5 2 3" xfId="53152" xr:uid="{00000000-0005-0000-0000-000062D00000}"/>
    <cellStyle name="Total 5 2 3 2" xfId="53153" xr:uid="{00000000-0005-0000-0000-000063D00000}"/>
    <cellStyle name="Total 5 2 3 2 2" xfId="53154" xr:uid="{00000000-0005-0000-0000-000064D00000}"/>
    <cellStyle name="Total 5 2 3 3" xfId="53155" xr:uid="{00000000-0005-0000-0000-000065D00000}"/>
    <cellStyle name="Total 5 2 4" xfId="53156" xr:uid="{00000000-0005-0000-0000-000066D00000}"/>
    <cellStyle name="Total 5 2 4 2" xfId="53157" xr:uid="{00000000-0005-0000-0000-000067D00000}"/>
    <cellStyle name="Total 5 2 4 2 2" xfId="53158" xr:uid="{00000000-0005-0000-0000-000068D00000}"/>
    <cellStyle name="Total 5 2 4 3" xfId="53159" xr:uid="{00000000-0005-0000-0000-000069D00000}"/>
    <cellStyle name="Total 5 2 5" xfId="53160" xr:uid="{00000000-0005-0000-0000-00006AD00000}"/>
    <cellStyle name="Total 5 2 5 2" xfId="53161" xr:uid="{00000000-0005-0000-0000-00006BD00000}"/>
    <cellStyle name="Total 5 2 6" xfId="53162" xr:uid="{00000000-0005-0000-0000-00006CD00000}"/>
    <cellStyle name="Total 5 3" xfId="53163" xr:uid="{00000000-0005-0000-0000-00006DD00000}"/>
    <cellStyle name="Total 5 3 2" xfId="53164" xr:uid="{00000000-0005-0000-0000-00006ED00000}"/>
    <cellStyle name="Total 5 3 2 2" xfId="53165" xr:uid="{00000000-0005-0000-0000-00006FD00000}"/>
    <cellStyle name="Total 5 3 2 2 2" xfId="53166" xr:uid="{00000000-0005-0000-0000-000070D00000}"/>
    <cellStyle name="Total 5 3 2 2 2 2" xfId="53167" xr:uid="{00000000-0005-0000-0000-000071D00000}"/>
    <cellStyle name="Total 5 3 2 2 3" xfId="53168" xr:uid="{00000000-0005-0000-0000-000072D00000}"/>
    <cellStyle name="Total 5 3 2 3" xfId="53169" xr:uid="{00000000-0005-0000-0000-000073D00000}"/>
    <cellStyle name="Total 5 3 2 3 2" xfId="53170" xr:uid="{00000000-0005-0000-0000-000074D00000}"/>
    <cellStyle name="Total 5 3 2 3 2 2" xfId="53171" xr:uid="{00000000-0005-0000-0000-000075D00000}"/>
    <cellStyle name="Total 5 3 2 3 3" xfId="53172" xr:uid="{00000000-0005-0000-0000-000076D00000}"/>
    <cellStyle name="Total 5 3 2 4" xfId="53173" xr:uid="{00000000-0005-0000-0000-000077D00000}"/>
    <cellStyle name="Total 5 3 2 4 2" xfId="53174" xr:uid="{00000000-0005-0000-0000-000078D00000}"/>
    <cellStyle name="Total 5 3 2 5" xfId="53175" xr:uid="{00000000-0005-0000-0000-000079D00000}"/>
    <cellStyle name="Total 5 3 3" xfId="53176" xr:uid="{00000000-0005-0000-0000-00007AD00000}"/>
    <cellStyle name="Total 5 3 3 2" xfId="53177" xr:uid="{00000000-0005-0000-0000-00007BD00000}"/>
    <cellStyle name="Total 5 3 3 2 2" xfId="53178" xr:uid="{00000000-0005-0000-0000-00007CD00000}"/>
    <cellStyle name="Total 5 3 3 2 2 2" xfId="53179" xr:uid="{00000000-0005-0000-0000-00007DD00000}"/>
    <cellStyle name="Total 5 3 3 2 3" xfId="53180" xr:uid="{00000000-0005-0000-0000-00007ED00000}"/>
    <cellStyle name="Total 5 3 3 3" xfId="53181" xr:uid="{00000000-0005-0000-0000-00007FD00000}"/>
    <cellStyle name="Total 5 3 3 3 2" xfId="53182" xr:uid="{00000000-0005-0000-0000-000080D00000}"/>
    <cellStyle name="Total 5 3 3 4" xfId="53183" xr:uid="{00000000-0005-0000-0000-000081D00000}"/>
    <cellStyle name="Total 5 3 4" xfId="53184" xr:uid="{00000000-0005-0000-0000-000082D00000}"/>
    <cellStyle name="Total 5 3 4 2" xfId="53185" xr:uid="{00000000-0005-0000-0000-000083D00000}"/>
    <cellStyle name="Total 5 3 4 2 2" xfId="53186" xr:uid="{00000000-0005-0000-0000-000084D00000}"/>
    <cellStyle name="Total 5 3 4 3" xfId="53187" xr:uid="{00000000-0005-0000-0000-000085D00000}"/>
    <cellStyle name="Total 5 3 5" xfId="53188" xr:uid="{00000000-0005-0000-0000-000086D00000}"/>
    <cellStyle name="Total 5 3 5 2" xfId="53189" xr:uid="{00000000-0005-0000-0000-000087D00000}"/>
    <cellStyle name="Total 5 3 5 2 2" xfId="53190" xr:uid="{00000000-0005-0000-0000-000088D00000}"/>
    <cellStyle name="Total 5 3 5 3" xfId="53191" xr:uid="{00000000-0005-0000-0000-000089D00000}"/>
    <cellStyle name="Total 5 3 6" xfId="53192" xr:uid="{00000000-0005-0000-0000-00008AD00000}"/>
    <cellStyle name="Total 5 3 6 2" xfId="53193" xr:uid="{00000000-0005-0000-0000-00008BD00000}"/>
    <cellStyle name="Total 5 3 7" xfId="53194" xr:uid="{00000000-0005-0000-0000-00008CD00000}"/>
    <cellStyle name="Total 5 4" xfId="53195" xr:uid="{00000000-0005-0000-0000-00008DD00000}"/>
    <cellStyle name="Total 5 4 2" xfId="53196" xr:uid="{00000000-0005-0000-0000-00008ED00000}"/>
    <cellStyle name="Total 5 4 2 2" xfId="53197" xr:uid="{00000000-0005-0000-0000-00008FD00000}"/>
    <cellStyle name="Total 5 4 2 2 2" xfId="53198" xr:uid="{00000000-0005-0000-0000-000090D00000}"/>
    <cellStyle name="Total 5 4 2 3" xfId="53199" xr:uid="{00000000-0005-0000-0000-000091D00000}"/>
    <cellStyle name="Total 5 4 3" xfId="53200" xr:uid="{00000000-0005-0000-0000-000092D00000}"/>
    <cellStyle name="Total 5 4 3 2" xfId="53201" xr:uid="{00000000-0005-0000-0000-000093D00000}"/>
    <cellStyle name="Total 5 4 4" xfId="53202" xr:uid="{00000000-0005-0000-0000-000094D00000}"/>
    <cellStyle name="Total 5 5" xfId="53203" xr:uid="{00000000-0005-0000-0000-000095D00000}"/>
    <cellStyle name="Total 5 5 2" xfId="53204" xr:uid="{00000000-0005-0000-0000-000096D00000}"/>
    <cellStyle name="Total 5 5 2 2" xfId="53205" xr:uid="{00000000-0005-0000-0000-000097D00000}"/>
    <cellStyle name="Total 5 5 3" xfId="53206" xr:uid="{00000000-0005-0000-0000-000098D00000}"/>
    <cellStyle name="Total 5 6" xfId="53207" xr:uid="{00000000-0005-0000-0000-000099D00000}"/>
    <cellStyle name="Total 5 6 2" xfId="53208" xr:uid="{00000000-0005-0000-0000-00009AD00000}"/>
    <cellStyle name="Total 5 6 2 2" xfId="53209" xr:uid="{00000000-0005-0000-0000-00009BD00000}"/>
    <cellStyle name="Total 5 6 3" xfId="53210" xr:uid="{00000000-0005-0000-0000-00009CD00000}"/>
    <cellStyle name="Total 5 7" xfId="53211" xr:uid="{00000000-0005-0000-0000-00009DD00000}"/>
    <cellStyle name="Total 5 7 2" xfId="53212" xr:uid="{00000000-0005-0000-0000-00009ED00000}"/>
    <cellStyle name="Total 5 8" xfId="53213" xr:uid="{00000000-0005-0000-0000-00009FD00000}"/>
    <cellStyle name="Total 6" xfId="53214" xr:uid="{00000000-0005-0000-0000-0000A0D00000}"/>
    <cellStyle name="Total 6 2" xfId="53215" xr:uid="{00000000-0005-0000-0000-0000A1D00000}"/>
    <cellStyle name="Total 6 2 2" xfId="53216" xr:uid="{00000000-0005-0000-0000-0000A2D00000}"/>
    <cellStyle name="Total 6 2 2 2" xfId="53217" xr:uid="{00000000-0005-0000-0000-0000A3D00000}"/>
    <cellStyle name="Total 6 2 2 2 2" xfId="53218" xr:uid="{00000000-0005-0000-0000-0000A4D00000}"/>
    <cellStyle name="Total 6 2 2 2 2 2" xfId="53219" xr:uid="{00000000-0005-0000-0000-0000A5D00000}"/>
    <cellStyle name="Total 6 2 2 2 3" xfId="53220" xr:uid="{00000000-0005-0000-0000-0000A6D00000}"/>
    <cellStyle name="Total 6 2 2 3" xfId="53221" xr:uid="{00000000-0005-0000-0000-0000A7D00000}"/>
    <cellStyle name="Total 6 2 2 3 2" xfId="53222" xr:uid="{00000000-0005-0000-0000-0000A8D00000}"/>
    <cellStyle name="Total 6 2 2 3 2 2" xfId="53223" xr:uid="{00000000-0005-0000-0000-0000A9D00000}"/>
    <cellStyle name="Total 6 2 2 3 3" xfId="53224" xr:uid="{00000000-0005-0000-0000-0000AAD00000}"/>
    <cellStyle name="Total 6 2 2 4" xfId="53225" xr:uid="{00000000-0005-0000-0000-0000ABD00000}"/>
    <cellStyle name="Total 6 2 2 4 2" xfId="53226" xr:uid="{00000000-0005-0000-0000-0000ACD00000}"/>
    <cellStyle name="Total 6 2 2 4 2 2" xfId="53227" xr:uid="{00000000-0005-0000-0000-0000ADD00000}"/>
    <cellStyle name="Total 6 2 2 4 3" xfId="53228" xr:uid="{00000000-0005-0000-0000-0000AED00000}"/>
    <cellStyle name="Total 6 2 2 5" xfId="53229" xr:uid="{00000000-0005-0000-0000-0000AFD00000}"/>
    <cellStyle name="Total 6 2 2 5 2" xfId="53230" xr:uid="{00000000-0005-0000-0000-0000B0D00000}"/>
    <cellStyle name="Total 6 2 2 6" xfId="53231" xr:uid="{00000000-0005-0000-0000-0000B1D00000}"/>
    <cellStyle name="Total 6 2 3" xfId="53232" xr:uid="{00000000-0005-0000-0000-0000B2D00000}"/>
    <cellStyle name="Total 6 2 3 2" xfId="53233" xr:uid="{00000000-0005-0000-0000-0000B3D00000}"/>
    <cellStyle name="Total 6 2 3 2 2" xfId="53234" xr:uid="{00000000-0005-0000-0000-0000B4D00000}"/>
    <cellStyle name="Total 6 2 3 2 2 2" xfId="53235" xr:uid="{00000000-0005-0000-0000-0000B5D00000}"/>
    <cellStyle name="Total 6 2 3 2 3" xfId="53236" xr:uid="{00000000-0005-0000-0000-0000B6D00000}"/>
    <cellStyle name="Total 6 2 3 3" xfId="53237" xr:uid="{00000000-0005-0000-0000-0000B7D00000}"/>
    <cellStyle name="Total 6 2 3 3 2" xfId="53238" xr:uid="{00000000-0005-0000-0000-0000B8D00000}"/>
    <cellStyle name="Total 6 2 3 4" xfId="53239" xr:uid="{00000000-0005-0000-0000-0000B9D00000}"/>
    <cellStyle name="Total 6 2 4" xfId="53240" xr:uid="{00000000-0005-0000-0000-0000BAD00000}"/>
    <cellStyle name="Total 6 2 4 2" xfId="53241" xr:uid="{00000000-0005-0000-0000-0000BBD00000}"/>
    <cellStyle name="Total 6 2 4 2 2" xfId="53242" xr:uid="{00000000-0005-0000-0000-0000BCD00000}"/>
    <cellStyle name="Total 6 2 4 3" xfId="53243" xr:uid="{00000000-0005-0000-0000-0000BDD00000}"/>
    <cellStyle name="Total 6 2 5" xfId="53244" xr:uid="{00000000-0005-0000-0000-0000BED00000}"/>
    <cellStyle name="Total 6 2 5 2" xfId="53245" xr:uid="{00000000-0005-0000-0000-0000BFD00000}"/>
    <cellStyle name="Total 6 2 5 2 2" xfId="53246" xr:uid="{00000000-0005-0000-0000-0000C0D00000}"/>
    <cellStyle name="Total 6 2 5 3" xfId="53247" xr:uid="{00000000-0005-0000-0000-0000C1D00000}"/>
    <cellStyle name="Total 6 2 6" xfId="53248" xr:uid="{00000000-0005-0000-0000-0000C2D00000}"/>
    <cellStyle name="Total 6 2 6 2" xfId="53249" xr:uid="{00000000-0005-0000-0000-0000C3D00000}"/>
    <cellStyle name="Total 6 2 7" xfId="53250" xr:uid="{00000000-0005-0000-0000-0000C4D00000}"/>
    <cellStyle name="Total 6 3" xfId="53251" xr:uid="{00000000-0005-0000-0000-0000C5D00000}"/>
    <cellStyle name="Total 6 4" xfId="53252" xr:uid="{00000000-0005-0000-0000-0000C6D00000}"/>
    <cellStyle name="Total 6 4 2" xfId="53253" xr:uid="{00000000-0005-0000-0000-0000C7D00000}"/>
    <cellStyle name="Total 6 4 2 2" xfId="53254" xr:uid="{00000000-0005-0000-0000-0000C8D00000}"/>
    <cellStyle name="Total 6 4 3" xfId="53255" xr:uid="{00000000-0005-0000-0000-0000C9D00000}"/>
    <cellStyle name="Total 6 5" xfId="53256" xr:uid="{00000000-0005-0000-0000-0000CAD00000}"/>
    <cellStyle name="Total 6 5 2" xfId="53257" xr:uid="{00000000-0005-0000-0000-0000CBD00000}"/>
    <cellStyle name="Total 6 5 2 2" xfId="53258" xr:uid="{00000000-0005-0000-0000-0000CCD00000}"/>
    <cellStyle name="Total 6 5 3" xfId="53259" xr:uid="{00000000-0005-0000-0000-0000CDD00000}"/>
    <cellStyle name="Total 7" xfId="53260" xr:uid="{00000000-0005-0000-0000-0000CED00000}"/>
    <cellStyle name="Total 7 2" xfId="53261" xr:uid="{00000000-0005-0000-0000-0000CFD00000}"/>
    <cellStyle name="Total 8" xfId="53262" xr:uid="{00000000-0005-0000-0000-0000D0D00000}"/>
    <cellStyle name="Total 8 2" xfId="53263" xr:uid="{00000000-0005-0000-0000-0000D1D00000}"/>
    <cellStyle name="Total 9" xfId="53264" xr:uid="{00000000-0005-0000-0000-0000D2D00000}"/>
    <cellStyle name="Unprot" xfId="53265" xr:uid="{00000000-0005-0000-0000-0000D3D00000}"/>
    <cellStyle name="Unprot 2" xfId="53266" xr:uid="{00000000-0005-0000-0000-0000D4D00000}"/>
    <cellStyle name="Unprot 2 2" xfId="53267" xr:uid="{00000000-0005-0000-0000-0000D5D00000}"/>
    <cellStyle name="Unprot 2 3" xfId="53268" xr:uid="{00000000-0005-0000-0000-0000D6D00000}"/>
    <cellStyle name="Unprot 2 3 2" xfId="53269" xr:uid="{00000000-0005-0000-0000-0000D7D00000}"/>
    <cellStyle name="Unprot 2 3 2 2" xfId="53270" xr:uid="{00000000-0005-0000-0000-0000D8D00000}"/>
    <cellStyle name="Unprot 2 3 3" xfId="53271" xr:uid="{00000000-0005-0000-0000-0000D9D00000}"/>
    <cellStyle name="Unprot 2 4" xfId="53272" xr:uid="{00000000-0005-0000-0000-0000DAD00000}"/>
    <cellStyle name="Unprot 2 4 2" xfId="53273" xr:uid="{00000000-0005-0000-0000-0000DBD00000}"/>
    <cellStyle name="Unprot 2 4 2 2" xfId="53274" xr:uid="{00000000-0005-0000-0000-0000DCD00000}"/>
    <cellStyle name="Unprot 2 4 3" xfId="53275" xr:uid="{00000000-0005-0000-0000-0000DDD00000}"/>
    <cellStyle name="Unprot 3" xfId="53276" xr:uid="{00000000-0005-0000-0000-0000DED00000}"/>
    <cellStyle name="Unprot 4" xfId="53277" xr:uid="{00000000-0005-0000-0000-0000DFD00000}"/>
    <cellStyle name="Unprot 4 2" xfId="53278" xr:uid="{00000000-0005-0000-0000-0000E0D00000}"/>
    <cellStyle name="Unprot 4 2 2" xfId="53279" xr:uid="{00000000-0005-0000-0000-0000E1D00000}"/>
    <cellStyle name="Unprot 4 3" xfId="53280" xr:uid="{00000000-0005-0000-0000-0000E2D00000}"/>
    <cellStyle name="Unprot 5" xfId="53281" xr:uid="{00000000-0005-0000-0000-0000E3D00000}"/>
    <cellStyle name="Unprot 5 2" xfId="53282" xr:uid="{00000000-0005-0000-0000-0000E4D00000}"/>
    <cellStyle name="Unprot 5 2 2" xfId="53283" xr:uid="{00000000-0005-0000-0000-0000E5D00000}"/>
    <cellStyle name="Unprot 5 3" xfId="53284" xr:uid="{00000000-0005-0000-0000-0000E6D00000}"/>
    <cellStyle name="Unprot$" xfId="53285" xr:uid="{00000000-0005-0000-0000-0000E7D00000}"/>
    <cellStyle name="Unprot$ 2" xfId="53286" xr:uid="{00000000-0005-0000-0000-0000E8D00000}"/>
    <cellStyle name="Unprot$ 2 2" xfId="53287" xr:uid="{00000000-0005-0000-0000-0000E9D00000}"/>
    <cellStyle name="Unprot$ 2 3" xfId="53288" xr:uid="{00000000-0005-0000-0000-0000EAD00000}"/>
    <cellStyle name="Unprot$ 2 3 2" xfId="53289" xr:uid="{00000000-0005-0000-0000-0000EBD00000}"/>
    <cellStyle name="Unprot$ 2 3 2 2" xfId="53290" xr:uid="{00000000-0005-0000-0000-0000ECD00000}"/>
    <cellStyle name="Unprot$ 2 3 3" xfId="53291" xr:uid="{00000000-0005-0000-0000-0000EDD00000}"/>
    <cellStyle name="Unprot$ 2 4" xfId="53292" xr:uid="{00000000-0005-0000-0000-0000EED00000}"/>
    <cellStyle name="Unprot$ 2 4 2" xfId="53293" xr:uid="{00000000-0005-0000-0000-0000EFD00000}"/>
    <cellStyle name="Unprot$ 2 4 2 2" xfId="53294" xr:uid="{00000000-0005-0000-0000-0000F0D00000}"/>
    <cellStyle name="Unprot$ 2 4 3" xfId="53295" xr:uid="{00000000-0005-0000-0000-0000F1D00000}"/>
    <cellStyle name="Unprot$ 3" xfId="53296" xr:uid="{00000000-0005-0000-0000-0000F2D00000}"/>
    <cellStyle name="Unprot$ 4" xfId="53297" xr:uid="{00000000-0005-0000-0000-0000F3D00000}"/>
    <cellStyle name="Unprot$ 4 2" xfId="53298" xr:uid="{00000000-0005-0000-0000-0000F4D00000}"/>
    <cellStyle name="Unprot$ 4 2 2" xfId="53299" xr:uid="{00000000-0005-0000-0000-0000F5D00000}"/>
    <cellStyle name="Unprot$ 4 3" xfId="53300" xr:uid="{00000000-0005-0000-0000-0000F6D00000}"/>
    <cellStyle name="Unprot$ 5" xfId="53301" xr:uid="{00000000-0005-0000-0000-0000F7D00000}"/>
    <cellStyle name="Unprot$ 5 2" xfId="53302" xr:uid="{00000000-0005-0000-0000-0000F8D00000}"/>
    <cellStyle name="Unprot$ 5 2 2" xfId="53303" xr:uid="{00000000-0005-0000-0000-0000F9D00000}"/>
    <cellStyle name="Unprot$ 5 3" xfId="53304" xr:uid="{00000000-0005-0000-0000-0000FAD00000}"/>
    <cellStyle name="Unprot$ 6" xfId="53305" xr:uid="{00000000-0005-0000-0000-0000FBD00000}"/>
    <cellStyle name="Unprot_Atlas" xfId="53306" xr:uid="{00000000-0005-0000-0000-0000FCD00000}"/>
    <cellStyle name="Unprotect" xfId="53307" xr:uid="{00000000-0005-0000-0000-0000FDD00000}"/>
    <cellStyle name="Unprotect 2" xfId="53308" xr:uid="{00000000-0005-0000-0000-0000FED00000}"/>
    <cellStyle name="Unprotect 3" xfId="53309" xr:uid="{00000000-0005-0000-0000-0000FFD00000}"/>
    <cellStyle name="Unprotect 3 2" xfId="53310" xr:uid="{00000000-0005-0000-0000-000000D10000}"/>
    <cellStyle name="Unprotect 3 2 2" xfId="53311" xr:uid="{00000000-0005-0000-0000-000001D10000}"/>
    <cellStyle name="Unprotect 3 3" xfId="53312" xr:uid="{00000000-0005-0000-0000-000002D10000}"/>
    <cellStyle name="Unprotect 4" xfId="53313" xr:uid="{00000000-0005-0000-0000-000003D10000}"/>
    <cellStyle name="Unprotect 4 2" xfId="53314" xr:uid="{00000000-0005-0000-0000-000004D10000}"/>
    <cellStyle name="Unprotect 4 2 2" xfId="53315" xr:uid="{00000000-0005-0000-0000-000005D10000}"/>
    <cellStyle name="Unprotect 4 3" xfId="53316" xr:uid="{00000000-0005-0000-0000-000006D10000}"/>
    <cellStyle name="Warning Text 2" xfId="53317" xr:uid="{00000000-0005-0000-0000-000007D10000}"/>
    <cellStyle name="Warning Text 2 10" xfId="53318" xr:uid="{00000000-0005-0000-0000-000008D10000}"/>
    <cellStyle name="Warning Text 2 10 2" xfId="53319" xr:uid="{00000000-0005-0000-0000-000009D10000}"/>
    <cellStyle name="Warning Text 2 11" xfId="53320" xr:uid="{00000000-0005-0000-0000-00000AD10000}"/>
    <cellStyle name="Warning Text 2 12" xfId="53321" xr:uid="{00000000-0005-0000-0000-00000BD10000}"/>
    <cellStyle name="Warning Text 2 2" xfId="53322" xr:uid="{00000000-0005-0000-0000-00000CD10000}"/>
    <cellStyle name="Warning Text 2 2 2" xfId="53323" xr:uid="{00000000-0005-0000-0000-00000DD10000}"/>
    <cellStyle name="Warning Text 2 2 2 2" xfId="53324" xr:uid="{00000000-0005-0000-0000-00000ED10000}"/>
    <cellStyle name="Warning Text 2 2 2 2 2" xfId="53325" xr:uid="{00000000-0005-0000-0000-00000FD10000}"/>
    <cellStyle name="Warning Text 2 2 2 3" xfId="53326" xr:uid="{00000000-0005-0000-0000-000010D10000}"/>
    <cellStyle name="Warning Text 2 2 2 3 2" xfId="53327" xr:uid="{00000000-0005-0000-0000-000011D10000}"/>
    <cellStyle name="Warning Text 2 2 2 3 2 2" xfId="53328" xr:uid="{00000000-0005-0000-0000-000012D10000}"/>
    <cellStyle name="Warning Text 2 2 2 3 3" xfId="53329" xr:uid="{00000000-0005-0000-0000-000013D10000}"/>
    <cellStyle name="Warning Text 2 2 2 4" xfId="53330" xr:uid="{00000000-0005-0000-0000-000014D10000}"/>
    <cellStyle name="Warning Text 2 2 2 4 2" xfId="53331" xr:uid="{00000000-0005-0000-0000-000015D10000}"/>
    <cellStyle name="Warning Text 2 2 2 4 2 2" xfId="53332" xr:uid="{00000000-0005-0000-0000-000016D10000}"/>
    <cellStyle name="Warning Text 2 2 2 4 3" xfId="53333" xr:uid="{00000000-0005-0000-0000-000017D10000}"/>
    <cellStyle name="Warning Text 2 2 2 5" xfId="53334" xr:uid="{00000000-0005-0000-0000-000018D10000}"/>
    <cellStyle name="Warning Text 2 2 3" xfId="53335" xr:uid="{00000000-0005-0000-0000-000019D10000}"/>
    <cellStyle name="Warning Text 2 2 3 2" xfId="53336" xr:uid="{00000000-0005-0000-0000-00001AD10000}"/>
    <cellStyle name="Warning Text 2 2 3 2 2" xfId="53337" xr:uid="{00000000-0005-0000-0000-00001BD10000}"/>
    <cellStyle name="Warning Text 2 2 3 2 2 2" xfId="53338" xr:uid="{00000000-0005-0000-0000-00001CD10000}"/>
    <cellStyle name="Warning Text 2 2 3 2 3" xfId="53339" xr:uid="{00000000-0005-0000-0000-00001DD10000}"/>
    <cellStyle name="Warning Text 2 2 3 2 3 2" xfId="53340" xr:uid="{00000000-0005-0000-0000-00001ED10000}"/>
    <cellStyle name="Warning Text 2 2 3 2 3 2 2" xfId="53341" xr:uid="{00000000-0005-0000-0000-00001FD10000}"/>
    <cellStyle name="Warning Text 2 2 3 2 3 3" xfId="53342" xr:uid="{00000000-0005-0000-0000-000020D10000}"/>
    <cellStyle name="Warning Text 2 2 3 2 4" xfId="53343" xr:uid="{00000000-0005-0000-0000-000021D10000}"/>
    <cellStyle name="Warning Text 2 2 3 3" xfId="53344" xr:uid="{00000000-0005-0000-0000-000022D10000}"/>
    <cellStyle name="Warning Text 2 2 3 3 2" xfId="53345" xr:uid="{00000000-0005-0000-0000-000023D10000}"/>
    <cellStyle name="Warning Text 2 2 3 3 2 2" xfId="53346" xr:uid="{00000000-0005-0000-0000-000024D10000}"/>
    <cellStyle name="Warning Text 2 2 3 3 3" xfId="53347" xr:uid="{00000000-0005-0000-0000-000025D10000}"/>
    <cellStyle name="Warning Text 2 2 3 4" xfId="53348" xr:uid="{00000000-0005-0000-0000-000026D10000}"/>
    <cellStyle name="Warning Text 2 2 3 4 2" xfId="53349" xr:uid="{00000000-0005-0000-0000-000027D10000}"/>
    <cellStyle name="Warning Text 2 2 3 4 2 2" xfId="53350" xr:uid="{00000000-0005-0000-0000-000028D10000}"/>
    <cellStyle name="Warning Text 2 2 3 4 3" xfId="53351" xr:uid="{00000000-0005-0000-0000-000029D10000}"/>
    <cellStyle name="Warning Text 2 2 3 5" xfId="53352" xr:uid="{00000000-0005-0000-0000-00002AD10000}"/>
    <cellStyle name="Warning Text 2 2 3 5 2" xfId="53353" xr:uid="{00000000-0005-0000-0000-00002BD10000}"/>
    <cellStyle name="Warning Text 2 2 3 5 2 2" xfId="53354" xr:uid="{00000000-0005-0000-0000-00002CD10000}"/>
    <cellStyle name="Warning Text 2 2 3 5 3" xfId="53355" xr:uid="{00000000-0005-0000-0000-00002DD10000}"/>
    <cellStyle name="Warning Text 2 2 3 6" xfId="53356" xr:uid="{00000000-0005-0000-0000-00002ED10000}"/>
    <cellStyle name="Warning Text 2 2 4" xfId="53357" xr:uid="{00000000-0005-0000-0000-00002FD10000}"/>
    <cellStyle name="Warning Text 2 2 4 2" xfId="53358" xr:uid="{00000000-0005-0000-0000-000030D10000}"/>
    <cellStyle name="Warning Text 2 2 4 2 2" xfId="53359" xr:uid="{00000000-0005-0000-0000-000031D10000}"/>
    <cellStyle name="Warning Text 2 2 4 3" xfId="53360" xr:uid="{00000000-0005-0000-0000-000032D10000}"/>
    <cellStyle name="Warning Text 2 2 5" xfId="53361" xr:uid="{00000000-0005-0000-0000-000033D10000}"/>
    <cellStyle name="Warning Text 2 2 5 2" xfId="53362" xr:uid="{00000000-0005-0000-0000-000034D10000}"/>
    <cellStyle name="Warning Text 2 2 5 2 2" xfId="53363" xr:uid="{00000000-0005-0000-0000-000035D10000}"/>
    <cellStyle name="Warning Text 2 2 5 3" xfId="53364" xr:uid="{00000000-0005-0000-0000-000036D10000}"/>
    <cellStyle name="Warning Text 2 2 6" xfId="53365" xr:uid="{00000000-0005-0000-0000-000037D10000}"/>
    <cellStyle name="Warning Text 2 2 6 2" xfId="53366" xr:uid="{00000000-0005-0000-0000-000038D10000}"/>
    <cellStyle name="Warning Text 2 2 6 2 2" xfId="53367" xr:uid="{00000000-0005-0000-0000-000039D10000}"/>
    <cellStyle name="Warning Text 2 2 6 3" xfId="53368" xr:uid="{00000000-0005-0000-0000-00003AD10000}"/>
    <cellStyle name="Warning Text 2 2 7" xfId="53369" xr:uid="{00000000-0005-0000-0000-00003BD10000}"/>
    <cellStyle name="Warning Text 2 3" xfId="53370" xr:uid="{00000000-0005-0000-0000-00003CD10000}"/>
    <cellStyle name="Warning Text 2 3 2" xfId="53371" xr:uid="{00000000-0005-0000-0000-00003DD10000}"/>
    <cellStyle name="Warning Text 2 3 2 2" xfId="53372" xr:uid="{00000000-0005-0000-0000-00003ED10000}"/>
    <cellStyle name="Warning Text 2 3 2 2 2" xfId="53373" xr:uid="{00000000-0005-0000-0000-00003FD10000}"/>
    <cellStyle name="Warning Text 2 3 2 3" xfId="53374" xr:uid="{00000000-0005-0000-0000-000040D10000}"/>
    <cellStyle name="Warning Text 2 3 2 3 2" xfId="53375" xr:uid="{00000000-0005-0000-0000-000041D10000}"/>
    <cellStyle name="Warning Text 2 3 2 3 2 2" xfId="53376" xr:uid="{00000000-0005-0000-0000-000042D10000}"/>
    <cellStyle name="Warning Text 2 3 2 3 3" xfId="53377" xr:uid="{00000000-0005-0000-0000-000043D10000}"/>
    <cellStyle name="Warning Text 2 3 2 4" xfId="53378" xr:uid="{00000000-0005-0000-0000-000044D10000}"/>
    <cellStyle name="Warning Text 2 3 2 4 2" xfId="53379" xr:uid="{00000000-0005-0000-0000-000045D10000}"/>
    <cellStyle name="Warning Text 2 3 2 4 2 2" xfId="53380" xr:uid="{00000000-0005-0000-0000-000046D10000}"/>
    <cellStyle name="Warning Text 2 3 2 4 3" xfId="53381" xr:uid="{00000000-0005-0000-0000-000047D10000}"/>
    <cellStyle name="Warning Text 2 3 2 5" xfId="53382" xr:uid="{00000000-0005-0000-0000-000048D10000}"/>
    <cellStyle name="Warning Text 2 3 3" xfId="53383" xr:uid="{00000000-0005-0000-0000-000049D10000}"/>
    <cellStyle name="Warning Text 2 3 3 2" xfId="53384" xr:uid="{00000000-0005-0000-0000-00004AD10000}"/>
    <cellStyle name="Warning Text 2 3 3 2 2" xfId="53385" xr:uid="{00000000-0005-0000-0000-00004BD10000}"/>
    <cellStyle name="Warning Text 2 3 3 2 2 2" xfId="53386" xr:uid="{00000000-0005-0000-0000-00004CD10000}"/>
    <cellStyle name="Warning Text 2 3 3 2 3" xfId="53387" xr:uid="{00000000-0005-0000-0000-00004DD10000}"/>
    <cellStyle name="Warning Text 2 3 3 2 3 2" xfId="53388" xr:uid="{00000000-0005-0000-0000-00004ED10000}"/>
    <cellStyle name="Warning Text 2 3 3 2 3 2 2" xfId="53389" xr:uid="{00000000-0005-0000-0000-00004FD10000}"/>
    <cellStyle name="Warning Text 2 3 3 2 3 3" xfId="53390" xr:uid="{00000000-0005-0000-0000-000050D10000}"/>
    <cellStyle name="Warning Text 2 3 3 2 4" xfId="53391" xr:uid="{00000000-0005-0000-0000-000051D10000}"/>
    <cellStyle name="Warning Text 2 3 3 3" xfId="53392" xr:uid="{00000000-0005-0000-0000-000052D10000}"/>
    <cellStyle name="Warning Text 2 3 3 3 2" xfId="53393" xr:uid="{00000000-0005-0000-0000-000053D10000}"/>
    <cellStyle name="Warning Text 2 3 3 3 2 2" xfId="53394" xr:uid="{00000000-0005-0000-0000-000054D10000}"/>
    <cellStyle name="Warning Text 2 3 3 3 3" xfId="53395" xr:uid="{00000000-0005-0000-0000-000055D10000}"/>
    <cellStyle name="Warning Text 2 3 3 4" xfId="53396" xr:uid="{00000000-0005-0000-0000-000056D10000}"/>
    <cellStyle name="Warning Text 2 3 3 4 2" xfId="53397" xr:uid="{00000000-0005-0000-0000-000057D10000}"/>
    <cellStyle name="Warning Text 2 3 3 4 2 2" xfId="53398" xr:uid="{00000000-0005-0000-0000-000058D10000}"/>
    <cellStyle name="Warning Text 2 3 3 4 3" xfId="53399" xr:uid="{00000000-0005-0000-0000-000059D10000}"/>
    <cellStyle name="Warning Text 2 3 3 5" xfId="53400" xr:uid="{00000000-0005-0000-0000-00005AD10000}"/>
    <cellStyle name="Warning Text 2 3 3 5 2" xfId="53401" xr:uid="{00000000-0005-0000-0000-00005BD10000}"/>
    <cellStyle name="Warning Text 2 3 3 5 2 2" xfId="53402" xr:uid="{00000000-0005-0000-0000-00005CD10000}"/>
    <cellStyle name="Warning Text 2 3 3 5 3" xfId="53403" xr:uid="{00000000-0005-0000-0000-00005DD10000}"/>
    <cellStyle name="Warning Text 2 3 3 6" xfId="53404" xr:uid="{00000000-0005-0000-0000-00005ED10000}"/>
    <cellStyle name="Warning Text 2 3 4" xfId="53405" xr:uid="{00000000-0005-0000-0000-00005FD10000}"/>
    <cellStyle name="Warning Text 2 3 4 2" xfId="53406" xr:uid="{00000000-0005-0000-0000-000060D10000}"/>
    <cellStyle name="Warning Text 2 3 4 2 2" xfId="53407" xr:uid="{00000000-0005-0000-0000-000061D10000}"/>
    <cellStyle name="Warning Text 2 3 4 3" xfId="53408" xr:uid="{00000000-0005-0000-0000-000062D10000}"/>
    <cellStyle name="Warning Text 2 3 5" xfId="53409" xr:uid="{00000000-0005-0000-0000-000063D10000}"/>
    <cellStyle name="Warning Text 2 3 5 2" xfId="53410" xr:uid="{00000000-0005-0000-0000-000064D10000}"/>
    <cellStyle name="Warning Text 2 3 5 2 2" xfId="53411" xr:uid="{00000000-0005-0000-0000-000065D10000}"/>
    <cellStyle name="Warning Text 2 3 5 3" xfId="53412" xr:uid="{00000000-0005-0000-0000-000066D10000}"/>
    <cellStyle name="Warning Text 2 3 6" xfId="53413" xr:uid="{00000000-0005-0000-0000-000067D10000}"/>
    <cellStyle name="Warning Text 2 3 6 2" xfId="53414" xr:uid="{00000000-0005-0000-0000-000068D10000}"/>
    <cellStyle name="Warning Text 2 3 6 2 2" xfId="53415" xr:uid="{00000000-0005-0000-0000-000069D10000}"/>
    <cellStyle name="Warning Text 2 3 6 3" xfId="53416" xr:uid="{00000000-0005-0000-0000-00006AD10000}"/>
    <cellStyle name="Warning Text 2 3 7" xfId="53417" xr:uid="{00000000-0005-0000-0000-00006BD10000}"/>
    <cellStyle name="Warning Text 2 4" xfId="53418" xr:uid="{00000000-0005-0000-0000-00006CD10000}"/>
    <cellStyle name="Warning Text 2 4 2" xfId="53419" xr:uid="{00000000-0005-0000-0000-00006DD10000}"/>
    <cellStyle name="Warning Text 2 4 2 2" xfId="53420" xr:uid="{00000000-0005-0000-0000-00006ED10000}"/>
    <cellStyle name="Warning Text 2 4 2 2 2" xfId="53421" xr:uid="{00000000-0005-0000-0000-00006FD10000}"/>
    <cellStyle name="Warning Text 2 4 2 3" xfId="53422" xr:uid="{00000000-0005-0000-0000-000070D10000}"/>
    <cellStyle name="Warning Text 2 4 2 3 2" xfId="53423" xr:uid="{00000000-0005-0000-0000-000071D10000}"/>
    <cellStyle name="Warning Text 2 4 2 3 2 2" xfId="53424" xr:uid="{00000000-0005-0000-0000-000072D10000}"/>
    <cellStyle name="Warning Text 2 4 2 3 3" xfId="53425" xr:uid="{00000000-0005-0000-0000-000073D10000}"/>
    <cellStyle name="Warning Text 2 4 2 4" xfId="53426" xr:uid="{00000000-0005-0000-0000-000074D10000}"/>
    <cellStyle name="Warning Text 2 4 2 4 2" xfId="53427" xr:uid="{00000000-0005-0000-0000-000075D10000}"/>
    <cellStyle name="Warning Text 2 4 2 4 2 2" xfId="53428" xr:uid="{00000000-0005-0000-0000-000076D10000}"/>
    <cellStyle name="Warning Text 2 4 2 4 3" xfId="53429" xr:uid="{00000000-0005-0000-0000-000077D10000}"/>
    <cellStyle name="Warning Text 2 4 2 5" xfId="53430" xr:uid="{00000000-0005-0000-0000-000078D10000}"/>
    <cellStyle name="Warning Text 2 4 3" xfId="53431" xr:uid="{00000000-0005-0000-0000-000079D10000}"/>
    <cellStyle name="Warning Text 2 4 3 2" xfId="53432" xr:uid="{00000000-0005-0000-0000-00007AD10000}"/>
    <cellStyle name="Warning Text 2 4 3 2 2" xfId="53433" xr:uid="{00000000-0005-0000-0000-00007BD10000}"/>
    <cellStyle name="Warning Text 2 4 3 3" xfId="53434" xr:uid="{00000000-0005-0000-0000-00007CD10000}"/>
    <cellStyle name="Warning Text 2 4 4" xfId="53435" xr:uid="{00000000-0005-0000-0000-00007DD10000}"/>
    <cellStyle name="Warning Text 2 4 4 2" xfId="53436" xr:uid="{00000000-0005-0000-0000-00007ED10000}"/>
    <cellStyle name="Warning Text 2 4 4 2 2" xfId="53437" xr:uid="{00000000-0005-0000-0000-00007FD10000}"/>
    <cellStyle name="Warning Text 2 4 4 3" xfId="53438" xr:uid="{00000000-0005-0000-0000-000080D10000}"/>
    <cellStyle name="Warning Text 2 4 5" xfId="53439" xr:uid="{00000000-0005-0000-0000-000081D10000}"/>
    <cellStyle name="Warning Text 2 4 5 2" xfId="53440" xr:uid="{00000000-0005-0000-0000-000082D10000}"/>
    <cellStyle name="Warning Text 2 4 5 2 2" xfId="53441" xr:uid="{00000000-0005-0000-0000-000083D10000}"/>
    <cellStyle name="Warning Text 2 4 5 3" xfId="53442" xr:uid="{00000000-0005-0000-0000-000084D10000}"/>
    <cellStyle name="Warning Text 2 4 6" xfId="53443" xr:uid="{00000000-0005-0000-0000-000085D10000}"/>
    <cellStyle name="Warning Text 2 5" xfId="53444" xr:uid="{00000000-0005-0000-0000-000086D10000}"/>
    <cellStyle name="Warning Text 2 5 2" xfId="53445" xr:uid="{00000000-0005-0000-0000-000087D10000}"/>
    <cellStyle name="Warning Text 2 5 2 2" xfId="53446" xr:uid="{00000000-0005-0000-0000-000088D10000}"/>
    <cellStyle name="Warning Text 2 5 2 2 2" xfId="53447" xr:uid="{00000000-0005-0000-0000-000089D10000}"/>
    <cellStyle name="Warning Text 2 5 2 3" xfId="53448" xr:uid="{00000000-0005-0000-0000-00008AD10000}"/>
    <cellStyle name="Warning Text 2 5 2 3 2" xfId="53449" xr:uid="{00000000-0005-0000-0000-00008BD10000}"/>
    <cellStyle name="Warning Text 2 5 2 3 2 2" xfId="53450" xr:uid="{00000000-0005-0000-0000-00008CD10000}"/>
    <cellStyle name="Warning Text 2 5 2 3 3" xfId="53451" xr:uid="{00000000-0005-0000-0000-00008DD10000}"/>
    <cellStyle name="Warning Text 2 5 2 4" xfId="53452" xr:uid="{00000000-0005-0000-0000-00008ED10000}"/>
    <cellStyle name="Warning Text 2 5 2 4 2" xfId="53453" xr:uid="{00000000-0005-0000-0000-00008FD10000}"/>
    <cellStyle name="Warning Text 2 5 2 4 2 2" xfId="53454" xr:uid="{00000000-0005-0000-0000-000090D10000}"/>
    <cellStyle name="Warning Text 2 5 2 4 3" xfId="53455" xr:uid="{00000000-0005-0000-0000-000091D10000}"/>
    <cellStyle name="Warning Text 2 5 2 5" xfId="53456" xr:uid="{00000000-0005-0000-0000-000092D10000}"/>
    <cellStyle name="Warning Text 2 5 3" xfId="53457" xr:uid="{00000000-0005-0000-0000-000093D10000}"/>
    <cellStyle name="Warning Text 2 5 3 2" xfId="53458" xr:uid="{00000000-0005-0000-0000-000094D10000}"/>
    <cellStyle name="Warning Text 2 5 3 2 2" xfId="53459" xr:uid="{00000000-0005-0000-0000-000095D10000}"/>
    <cellStyle name="Warning Text 2 5 3 3" xfId="53460" xr:uid="{00000000-0005-0000-0000-000096D10000}"/>
    <cellStyle name="Warning Text 2 5 3 3 2" xfId="53461" xr:uid="{00000000-0005-0000-0000-000097D10000}"/>
    <cellStyle name="Warning Text 2 5 3 3 2 2" xfId="53462" xr:uid="{00000000-0005-0000-0000-000098D10000}"/>
    <cellStyle name="Warning Text 2 5 3 3 3" xfId="53463" xr:uid="{00000000-0005-0000-0000-000099D10000}"/>
    <cellStyle name="Warning Text 2 5 3 4" xfId="53464" xr:uid="{00000000-0005-0000-0000-00009AD10000}"/>
    <cellStyle name="Warning Text 2 5 4" xfId="53465" xr:uid="{00000000-0005-0000-0000-00009BD10000}"/>
    <cellStyle name="Warning Text 2 5 4 2" xfId="53466" xr:uid="{00000000-0005-0000-0000-00009CD10000}"/>
    <cellStyle name="Warning Text 2 5 4 2 2" xfId="53467" xr:uid="{00000000-0005-0000-0000-00009DD10000}"/>
    <cellStyle name="Warning Text 2 5 4 3" xfId="53468" xr:uid="{00000000-0005-0000-0000-00009ED10000}"/>
    <cellStyle name="Warning Text 2 5 5" xfId="53469" xr:uid="{00000000-0005-0000-0000-00009FD10000}"/>
    <cellStyle name="Warning Text 2 5 5 2" xfId="53470" xr:uid="{00000000-0005-0000-0000-0000A0D10000}"/>
    <cellStyle name="Warning Text 2 5 5 2 2" xfId="53471" xr:uid="{00000000-0005-0000-0000-0000A1D10000}"/>
    <cellStyle name="Warning Text 2 5 5 3" xfId="53472" xr:uid="{00000000-0005-0000-0000-0000A2D10000}"/>
    <cellStyle name="Warning Text 2 5 6" xfId="53473" xr:uid="{00000000-0005-0000-0000-0000A3D10000}"/>
    <cellStyle name="Warning Text 2 5 6 2" xfId="53474" xr:uid="{00000000-0005-0000-0000-0000A4D10000}"/>
    <cellStyle name="Warning Text 2 5 6 2 2" xfId="53475" xr:uid="{00000000-0005-0000-0000-0000A5D10000}"/>
    <cellStyle name="Warning Text 2 5 6 3" xfId="53476" xr:uid="{00000000-0005-0000-0000-0000A6D10000}"/>
    <cellStyle name="Warning Text 2 5 7" xfId="53477" xr:uid="{00000000-0005-0000-0000-0000A7D10000}"/>
    <cellStyle name="Warning Text 2 6" xfId="53478" xr:uid="{00000000-0005-0000-0000-0000A8D10000}"/>
    <cellStyle name="Warning Text 2 6 2" xfId="53479" xr:uid="{00000000-0005-0000-0000-0000A9D10000}"/>
    <cellStyle name="Warning Text 2 6 2 2" xfId="53480" xr:uid="{00000000-0005-0000-0000-0000AAD10000}"/>
    <cellStyle name="Warning Text 2 6 3" xfId="53481" xr:uid="{00000000-0005-0000-0000-0000ABD10000}"/>
    <cellStyle name="Warning Text 2 7" xfId="53482" xr:uid="{00000000-0005-0000-0000-0000ACD10000}"/>
    <cellStyle name="Warning Text 2 7 2" xfId="53483" xr:uid="{00000000-0005-0000-0000-0000ADD10000}"/>
    <cellStyle name="Warning Text 2 7 2 2" xfId="53484" xr:uid="{00000000-0005-0000-0000-0000AED10000}"/>
    <cellStyle name="Warning Text 2 7 3" xfId="53485" xr:uid="{00000000-0005-0000-0000-0000AFD10000}"/>
    <cellStyle name="Warning Text 2 8" xfId="53486" xr:uid="{00000000-0005-0000-0000-0000B0D10000}"/>
    <cellStyle name="Warning Text 2 8 2" xfId="53487" xr:uid="{00000000-0005-0000-0000-0000B1D10000}"/>
    <cellStyle name="Warning Text 2 8 2 2" xfId="53488" xr:uid="{00000000-0005-0000-0000-0000B2D10000}"/>
    <cellStyle name="Warning Text 2 8 3" xfId="53489" xr:uid="{00000000-0005-0000-0000-0000B3D10000}"/>
    <cellStyle name="Warning Text 2 9" xfId="53490" xr:uid="{00000000-0005-0000-0000-0000B4D10000}"/>
    <cellStyle name="Warning Text 2 9 2" xfId="53491" xr:uid="{00000000-0005-0000-0000-0000B5D10000}"/>
    <cellStyle name="Warning Text 2 9 2 2" xfId="53492" xr:uid="{00000000-0005-0000-0000-0000B6D10000}"/>
    <cellStyle name="Warning Text 2 9 3" xfId="53493" xr:uid="{00000000-0005-0000-0000-0000B7D10000}"/>
    <cellStyle name="Warning Text 3" xfId="53494" xr:uid="{00000000-0005-0000-0000-0000B8D10000}"/>
    <cellStyle name="Warning Text 3 2" xfId="53495" xr:uid="{00000000-0005-0000-0000-0000B9D10000}"/>
    <cellStyle name="Warning Text 3 2 2" xfId="53496" xr:uid="{00000000-0005-0000-0000-0000BAD10000}"/>
    <cellStyle name="Warning Text 3 2 2 2" xfId="53497" xr:uid="{00000000-0005-0000-0000-0000BBD10000}"/>
    <cellStyle name="Warning Text 3 2 3" xfId="53498" xr:uid="{00000000-0005-0000-0000-0000BCD10000}"/>
    <cellStyle name="Warning Text 3 2 3 2" xfId="53499" xr:uid="{00000000-0005-0000-0000-0000BDD10000}"/>
    <cellStyle name="Warning Text 3 2 3 2 2" xfId="53500" xr:uid="{00000000-0005-0000-0000-0000BED10000}"/>
    <cellStyle name="Warning Text 3 2 3 3" xfId="53501" xr:uid="{00000000-0005-0000-0000-0000BFD10000}"/>
    <cellStyle name="Warning Text 3 2 4" xfId="53502" xr:uid="{00000000-0005-0000-0000-0000C0D10000}"/>
    <cellStyle name="Warning Text 3 2 4 2" xfId="53503" xr:uid="{00000000-0005-0000-0000-0000C1D10000}"/>
    <cellStyle name="Warning Text 3 2 4 2 2" xfId="53504" xr:uid="{00000000-0005-0000-0000-0000C2D10000}"/>
    <cellStyle name="Warning Text 3 2 4 3" xfId="53505" xr:uid="{00000000-0005-0000-0000-0000C3D10000}"/>
    <cellStyle name="Warning Text 3 2 5" xfId="53506" xr:uid="{00000000-0005-0000-0000-0000C4D10000}"/>
    <cellStyle name="Warning Text 3 3" xfId="53507" xr:uid="{00000000-0005-0000-0000-0000C5D10000}"/>
    <cellStyle name="Warning Text 3 3 2" xfId="53508" xr:uid="{00000000-0005-0000-0000-0000C6D10000}"/>
    <cellStyle name="Warning Text 3 3 2 2" xfId="53509" xr:uid="{00000000-0005-0000-0000-0000C7D10000}"/>
    <cellStyle name="Warning Text 3 3 3" xfId="53510" xr:uid="{00000000-0005-0000-0000-0000C8D10000}"/>
    <cellStyle name="Warning Text 3 3 3 2" xfId="53511" xr:uid="{00000000-0005-0000-0000-0000C9D10000}"/>
    <cellStyle name="Warning Text 3 3 3 2 2" xfId="53512" xr:uid="{00000000-0005-0000-0000-0000CAD10000}"/>
    <cellStyle name="Warning Text 3 3 3 3" xfId="53513" xr:uid="{00000000-0005-0000-0000-0000CBD10000}"/>
    <cellStyle name="Warning Text 3 3 4" xfId="53514" xr:uid="{00000000-0005-0000-0000-0000CCD10000}"/>
    <cellStyle name="Warning Text 3 3 4 2" xfId="53515" xr:uid="{00000000-0005-0000-0000-0000CDD10000}"/>
    <cellStyle name="Warning Text 3 3 4 2 2" xfId="53516" xr:uid="{00000000-0005-0000-0000-0000CED10000}"/>
    <cellStyle name="Warning Text 3 3 4 3" xfId="53517" xr:uid="{00000000-0005-0000-0000-0000CFD10000}"/>
    <cellStyle name="Warning Text 3 3 5" xfId="53518" xr:uid="{00000000-0005-0000-0000-0000D0D10000}"/>
    <cellStyle name="Warning Text 3 4" xfId="53519" xr:uid="{00000000-0005-0000-0000-0000D1D10000}"/>
    <cellStyle name="Warning Text 3 4 2" xfId="53520" xr:uid="{00000000-0005-0000-0000-0000D2D10000}"/>
    <cellStyle name="Warning Text 3 4 2 2" xfId="53521" xr:uid="{00000000-0005-0000-0000-0000D3D10000}"/>
    <cellStyle name="Warning Text 3 4 2 2 2" xfId="53522" xr:uid="{00000000-0005-0000-0000-0000D4D10000}"/>
    <cellStyle name="Warning Text 3 4 2 3" xfId="53523" xr:uid="{00000000-0005-0000-0000-0000D5D10000}"/>
    <cellStyle name="Warning Text 3 4 2 3 2" xfId="53524" xr:uid="{00000000-0005-0000-0000-0000D6D10000}"/>
    <cellStyle name="Warning Text 3 4 2 3 2 2" xfId="53525" xr:uid="{00000000-0005-0000-0000-0000D7D10000}"/>
    <cellStyle name="Warning Text 3 4 2 3 3" xfId="53526" xr:uid="{00000000-0005-0000-0000-0000D8D10000}"/>
    <cellStyle name="Warning Text 3 4 2 4" xfId="53527" xr:uid="{00000000-0005-0000-0000-0000D9D10000}"/>
    <cellStyle name="Warning Text 3 4 3" xfId="53528" xr:uid="{00000000-0005-0000-0000-0000DAD10000}"/>
    <cellStyle name="Warning Text 3 4 3 2" xfId="53529" xr:uid="{00000000-0005-0000-0000-0000DBD10000}"/>
    <cellStyle name="Warning Text 3 4 3 2 2" xfId="53530" xr:uid="{00000000-0005-0000-0000-0000DCD10000}"/>
    <cellStyle name="Warning Text 3 4 3 3" xfId="53531" xr:uid="{00000000-0005-0000-0000-0000DDD10000}"/>
    <cellStyle name="Warning Text 3 4 4" xfId="53532" xr:uid="{00000000-0005-0000-0000-0000DED10000}"/>
    <cellStyle name="Warning Text 3 4 4 2" xfId="53533" xr:uid="{00000000-0005-0000-0000-0000DFD10000}"/>
    <cellStyle name="Warning Text 3 4 4 2 2" xfId="53534" xr:uid="{00000000-0005-0000-0000-0000E0D10000}"/>
    <cellStyle name="Warning Text 3 4 4 3" xfId="53535" xr:uid="{00000000-0005-0000-0000-0000E1D10000}"/>
    <cellStyle name="Warning Text 3 4 5" xfId="53536" xr:uid="{00000000-0005-0000-0000-0000E2D10000}"/>
    <cellStyle name="Warning Text 3 4 5 2" xfId="53537" xr:uid="{00000000-0005-0000-0000-0000E3D10000}"/>
    <cellStyle name="Warning Text 3 4 5 2 2" xfId="53538" xr:uid="{00000000-0005-0000-0000-0000E4D10000}"/>
    <cellStyle name="Warning Text 3 4 5 3" xfId="53539" xr:uid="{00000000-0005-0000-0000-0000E5D10000}"/>
    <cellStyle name="Warning Text 3 4 6" xfId="53540" xr:uid="{00000000-0005-0000-0000-0000E6D10000}"/>
    <cellStyle name="Warning Text 3 5" xfId="53541" xr:uid="{00000000-0005-0000-0000-0000E7D10000}"/>
    <cellStyle name="Warning Text 3 5 2" xfId="53542" xr:uid="{00000000-0005-0000-0000-0000E8D10000}"/>
    <cellStyle name="Warning Text 3 5 2 2" xfId="53543" xr:uid="{00000000-0005-0000-0000-0000E9D10000}"/>
    <cellStyle name="Warning Text 3 5 3" xfId="53544" xr:uid="{00000000-0005-0000-0000-0000EAD10000}"/>
    <cellStyle name="Warning Text 3 6" xfId="53545" xr:uid="{00000000-0005-0000-0000-0000EBD10000}"/>
    <cellStyle name="Warning Text 3 6 2" xfId="53546" xr:uid="{00000000-0005-0000-0000-0000ECD10000}"/>
    <cellStyle name="Warning Text 3 6 2 2" xfId="53547" xr:uid="{00000000-0005-0000-0000-0000EDD10000}"/>
    <cellStyle name="Warning Text 3 6 3" xfId="53548" xr:uid="{00000000-0005-0000-0000-0000EED10000}"/>
    <cellStyle name="Warning Text 3 7" xfId="53549" xr:uid="{00000000-0005-0000-0000-0000EFD10000}"/>
    <cellStyle name="Warning Text 3 7 2" xfId="53550" xr:uid="{00000000-0005-0000-0000-0000F0D10000}"/>
    <cellStyle name="Warning Text 3 7 2 2" xfId="53551" xr:uid="{00000000-0005-0000-0000-0000F1D10000}"/>
    <cellStyle name="Warning Text 3 7 3" xfId="53552" xr:uid="{00000000-0005-0000-0000-0000F2D10000}"/>
    <cellStyle name="Warning Text 3 8" xfId="53553" xr:uid="{00000000-0005-0000-0000-0000F3D10000}"/>
    <cellStyle name="Warning Text 4" xfId="53554" xr:uid="{00000000-0005-0000-0000-0000F4D10000}"/>
    <cellStyle name="Warning Text 4 2" xfId="53555" xr:uid="{00000000-0005-0000-0000-0000F5D10000}"/>
    <cellStyle name="Warning Text 4 2 2" xfId="53556" xr:uid="{00000000-0005-0000-0000-0000F6D10000}"/>
    <cellStyle name="Warning Text 4 2 2 2" xfId="53557" xr:uid="{00000000-0005-0000-0000-0000F7D10000}"/>
    <cellStyle name="Warning Text 4 2 3" xfId="53558" xr:uid="{00000000-0005-0000-0000-0000F8D10000}"/>
    <cellStyle name="Warning Text 4 2 3 2" xfId="53559" xr:uid="{00000000-0005-0000-0000-0000F9D10000}"/>
    <cellStyle name="Warning Text 4 2 3 2 2" xfId="53560" xr:uid="{00000000-0005-0000-0000-0000FAD10000}"/>
    <cellStyle name="Warning Text 4 2 3 3" xfId="53561" xr:uid="{00000000-0005-0000-0000-0000FBD10000}"/>
    <cellStyle name="Warning Text 4 2 4" xfId="53562" xr:uid="{00000000-0005-0000-0000-0000FCD10000}"/>
    <cellStyle name="Warning Text 4 2 4 2" xfId="53563" xr:uid="{00000000-0005-0000-0000-0000FDD10000}"/>
    <cellStyle name="Warning Text 4 2 4 2 2" xfId="53564" xr:uid="{00000000-0005-0000-0000-0000FED10000}"/>
    <cellStyle name="Warning Text 4 2 4 3" xfId="53565" xr:uid="{00000000-0005-0000-0000-0000FFD10000}"/>
    <cellStyle name="Warning Text 4 2 5" xfId="53566" xr:uid="{00000000-0005-0000-0000-000000D20000}"/>
    <cellStyle name="Warning Text 4 3" xfId="53567" xr:uid="{00000000-0005-0000-0000-000001D20000}"/>
    <cellStyle name="Warning Text 4 3 2" xfId="53568" xr:uid="{00000000-0005-0000-0000-000002D20000}"/>
    <cellStyle name="Warning Text 4 3 2 2" xfId="53569" xr:uid="{00000000-0005-0000-0000-000003D20000}"/>
    <cellStyle name="Warning Text 4 3 2 2 2" xfId="53570" xr:uid="{00000000-0005-0000-0000-000004D20000}"/>
    <cellStyle name="Warning Text 4 3 2 3" xfId="53571" xr:uid="{00000000-0005-0000-0000-000005D20000}"/>
    <cellStyle name="Warning Text 4 3 2 3 2" xfId="53572" xr:uid="{00000000-0005-0000-0000-000006D20000}"/>
    <cellStyle name="Warning Text 4 3 2 3 2 2" xfId="53573" xr:uid="{00000000-0005-0000-0000-000007D20000}"/>
    <cellStyle name="Warning Text 4 3 2 3 3" xfId="53574" xr:uid="{00000000-0005-0000-0000-000008D20000}"/>
    <cellStyle name="Warning Text 4 3 2 4" xfId="53575" xr:uid="{00000000-0005-0000-0000-000009D20000}"/>
    <cellStyle name="Warning Text 4 3 3" xfId="53576" xr:uid="{00000000-0005-0000-0000-00000AD20000}"/>
    <cellStyle name="Warning Text 4 3 3 2" xfId="53577" xr:uid="{00000000-0005-0000-0000-00000BD20000}"/>
    <cellStyle name="Warning Text 4 3 3 2 2" xfId="53578" xr:uid="{00000000-0005-0000-0000-00000CD20000}"/>
    <cellStyle name="Warning Text 4 3 3 3" xfId="53579" xr:uid="{00000000-0005-0000-0000-00000DD20000}"/>
    <cellStyle name="Warning Text 4 3 4" xfId="53580" xr:uid="{00000000-0005-0000-0000-00000ED20000}"/>
    <cellStyle name="Warning Text 4 3 4 2" xfId="53581" xr:uid="{00000000-0005-0000-0000-00000FD20000}"/>
    <cellStyle name="Warning Text 4 3 4 2 2" xfId="53582" xr:uid="{00000000-0005-0000-0000-000010D20000}"/>
    <cellStyle name="Warning Text 4 3 4 3" xfId="53583" xr:uid="{00000000-0005-0000-0000-000011D20000}"/>
    <cellStyle name="Warning Text 4 3 5" xfId="53584" xr:uid="{00000000-0005-0000-0000-000012D20000}"/>
    <cellStyle name="Warning Text 4 3 5 2" xfId="53585" xr:uid="{00000000-0005-0000-0000-000013D20000}"/>
    <cellStyle name="Warning Text 4 3 5 2 2" xfId="53586" xr:uid="{00000000-0005-0000-0000-000014D20000}"/>
    <cellStyle name="Warning Text 4 3 5 3" xfId="53587" xr:uid="{00000000-0005-0000-0000-000015D20000}"/>
    <cellStyle name="Warning Text 4 3 6" xfId="53588" xr:uid="{00000000-0005-0000-0000-000016D20000}"/>
    <cellStyle name="Warning Text 4 4" xfId="53589" xr:uid="{00000000-0005-0000-0000-000017D20000}"/>
    <cellStyle name="Warning Text 4 4 2" xfId="53590" xr:uid="{00000000-0005-0000-0000-000018D20000}"/>
    <cellStyle name="Warning Text 4 4 2 2" xfId="53591" xr:uid="{00000000-0005-0000-0000-000019D20000}"/>
    <cellStyle name="Warning Text 4 4 3" xfId="53592" xr:uid="{00000000-0005-0000-0000-00001AD20000}"/>
    <cellStyle name="Warning Text 4 5" xfId="53593" xr:uid="{00000000-0005-0000-0000-00001BD20000}"/>
    <cellStyle name="Warning Text 4 5 2" xfId="53594" xr:uid="{00000000-0005-0000-0000-00001CD20000}"/>
    <cellStyle name="Warning Text 4 5 2 2" xfId="53595" xr:uid="{00000000-0005-0000-0000-00001DD20000}"/>
    <cellStyle name="Warning Text 4 5 3" xfId="53596" xr:uid="{00000000-0005-0000-0000-00001ED20000}"/>
    <cellStyle name="Warning Text 4 6" xfId="53597" xr:uid="{00000000-0005-0000-0000-00001FD20000}"/>
    <cellStyle name="Warning Text 4 6 2" xfId="53598" xr:uid="{00000000-0005-0000-0000-000020D20000}"/>
    <cellStyle name="Warning Text 4 6 2 2" xfId="53599" xr:uid="{00000000-0005-0000-0000-000021D20000}"/>
    <cellStyle name="Warning Text 4 6 3" xfId="53600" xr:uid="{00000000-0005-0000-0000-000022D20000}"/>
    <cellStyle name="Warning Text 4 7" xfId="53601" xr:uid="{00000000-0005-0000-0000-000023D20000}"/>
    <cellStyle name="Warning Text 5" xfId="53602" xr:uid="{00000000-0005-0000-0000-000024D20000}"/>
    <cellStyle name="Warning Text 5 2" xfId="53603" xr:uid="{00000000-0005-0000-0000-000025D20000}"/>
    <cellStyle name="Warning Text 5 2 2" xfId="53604" xr:uid="{00000000-0005-0000-0000-000026D20000}"/>
    <cellStyle name="Warning Text 5 2 2 2" xfId="53605" xr:uid="{00000000-0005-0000-0000-000027D20000}"/>
    <cellStyle name="Warning Text 5 2 3" xfId="53606" xr:uid="{00000000-0005-0000-0000-000028D20000}"/>
    <cellStyle name="Warning Text 5 2 3 2" xfId="53607" xr:uid="{00000000-0005-0000-0000-000029D20000}"/>
    <cellStyle name="Warning Text 5 2 3 2 2" xfId="53608" xr:uid="{00000000-0005-0000-0000-00002AD20000}"/>
    <cellStyle name="Warning Text 5 2 3 3" xfId="53609" xr:uid="{00000000-0005-0000-0000-00002BD20000}"/>
    <cellStyle name="Warning Text 5 2 4" xfId="53610" xr:uid="{00000000-0005-0000-0000-00002CD20000}"/>
    <cellStyle name="Warning Text 5 2 4 2" xfId="53611" xr:uid="{00000000-0005-0000-0000-00002DD20000}"/>
    <cellStyle name="Warning Text 5 2 4 2 2" xfId="53612" xr:uid="{00000000-0005-0000-0000-00002ED20000}"/>
    <cellStyle name="Warning Text 5 2 4 3" xfId="53613" xr:uid="{00000000-0005-0000-0000-00002FD20000}"/>
    <cellStyle name="Warning Text 5 2 5" xfId="53614" xr:uid="{00000000-0005-0000-0000-000030D20000}"/>
    <cellStyle name="Warning Text 5 3" xfId="53615" xr:uid="{00000000-0005-0000-0000-000031D20000}"/>
    <cellStyle name="Warning Text 5 3 2" xfId="53616" xr:uid="{00000000-0005-0000-0000-000032D20000}"/>
    <cellStyle name="Warning Text 5 3 2 2" xfId="53617" xr:uid="{00000000-0005-0000-0000-000033D20000}"/>
    <cellStyle name="Warning Text 5 3 2 2 2" xfId="53618" xr:uid="{00000000-0005-0000-0000-000034D20000}"/>
    <cellStyle name="Warning Text 5 3 2 3" xfId="53619" xr:uid="{00000000-0005-0000-0000-000035D20000}"/>
    <cellStyle name="Warning Text 5 3 2 3 2" xfId="53620" xr:uid="{00000000-0005-0000-0000-000036D20000}"/>
    <cellStyle name="Warning Text 5 3 2 3 2 2" xfId="53621" xr:uid="{00000000-0005-0000-0000-000037D20000}"/>
    <cellStyle name="Warning Text 5 3 2 3 3" xfId="53622" xr:uid="{00000000-0005-0000-0000-000038D20000}"/>
    <cellStyle name="Warning Text 5 3 2 4" xfId="53623" xr:uid="{00000000-0005-0000-0000-000039D20000}"/>
    <cellStyle name="Warning Text 5 3 3" xfId="53624" xr:uid="{00000000-0005-0000-0000-00003AD20000}"/>
    <cellStyle name="Warning Text 5 3 3 2" xfId="53625" xr:uid="{00000000-0005-0000-0000-00003BD20000}"/>
    <cellStyle name="Warning Text 5 3 3 2 2" xfId="53626" xr:uid="{00000000-0005-0000-0000-00003CD20000}"/>
    <cellStyle name="Warning Text 5 3 3 3" xfId="53627" xr:uid="{00000000-0005-0000-0000-00003DD20000}"/>
    <cellStyle name="Warning Text 5 3 4" xfId="53628" xr:uid="{00000000-0005-0000-0000-00003ED20000}"/>
    <cellStyle name="Warning Text 5 3 4 2" xfId="53629" xr:uid="{00000000-0005-0000-0000-00003FD20000}"/>
    <cellStyle name="Warning Text 5 3 4 2 2" xfId="53630" xr:uid="{00000000-0005-0000-0000-000040D20000}"/>
    <cellStyle name="Warning Text 5 3 4 3" xfId="53631" xr:uid="{00000000-0005-0000-0000-000041D20000}"/>
    <cellStyle name="Warning Text 5 3 5" xfId="53632" xr:uid="{00000000-0005-0000-0000-000042D20000}"/>
    <cellStyle name="Warning Text 5 3 5 2" xfId="53633" xr:uid="{00000000-0005-0000-0000-000043D20000}"/>
    <cellStyle name="Warning Text 5 3 5 2 2" xfId="53634" xr:uid="{00000000-0005-0000-0000-000044D20000}"/>
    <cellStyle name="Warning Text 5 3 5 3" xfId="53635" xr:uid="{00000000-0005-0000-0000-000045D20000}"/>
    <cellStyle name="Warning Text 5 3 6" xfId="53636" xr:uid="{00000000-0005-0000-0000-000046D20000}"/>
    <cellStyle name="Warning Text 5 4" xfId="53637" xr:uid="{00000000-0005-0000-0000-000047D20000}"/>
    <cellStyle name="Warning Text 5 4 2" xfId="53638" xr:uid="{00000000-0005-0000-0000-000048D20000}"/>
    <cellStyle name="Warning Text 5 4 2 2" xfId="53639" xr:uid="{00000000-0005-0000-0000-000049D20000}"/>
    <cellStyle name="Warning Text 5 4 3" xfId="53640" xr:uid="{00000000-0005-0000-0000-00004AD20000}"/>
    <cellStyle name="Warning Text 5 5" xfId="53641" xr:uid="{00000000-0005-0000-0000-00004BD20000}"/>
    <cellStyle name="Warning Text 5 5 2" xfId="53642" xr:uid="{00000000-0005-0000-0000-00004CD20000}"/>
    <cellStyle name="Warning Text 5 5 2 2" xfId="53643" xr:uid="{00000000-0005-0000-0000-00004DD20000}"/>
    <cellStyle name="Warning Text 5 5 3" xfId="53644" xr:uid="{00000000-0005-0000-0000-00004ED20000}"/>
    <cellStyle name="Warning Text 5 6" xfId="53645" xr:uid="{00000000-0005-0000-0000-00004FD20000}"/>
    <cellStyle name="Warning Text 5 6 2" xfId="53646" xr:uid="{00000000-0005-0000-0000-000050D20000}"/>
    <cellStyle name="Warning Text 5 6 2 2" xfId="53647" xr:uid="{00000000-0005-0000-0000-000051D20000}"/>
    <cellStyle name="Warning Text 5 6 3" xfId="53648" xr:uid="{00000000-0005-0000-0000-000052D20000}"/>
    <cellStyle name="Warning Text 5 7" xfId="53649" xr:uid="{00000000-0005-0000-0000-000053D20000}"/>
    <cellStyle name="Warning Text 6" xfId="53650" xr:uid="{00000000-0005-0000-0000-000054D20000}"/>
    <cellStyle name="Warning Text 6 2" xfId="53651" xr:uid="{00000000-0005-0000-0000-000055D20000}"/>
    <cellStyle name="Warning Text 6 2 2" xfId="53652" xr:uid="{00000000-0005-0000-0000-000056D20000}"/>
    <cellStyle name="Warning Text 6 2 2 2" xfId="53653" xr:uid="{00000000-0005-0000-0000-000057D20000}"/>
    <cellStyle name="Warning Text 6 2 3" xfId="53654" xr:uid="{00000000-0005-0000-0000-000058D20000}"/>
    <cellStyle name="Warning Text 6 2 3 2" xfId="53655" xr:uid="{00000000-0005-0000-0000-000059D20000}"/>
    <cellStyle name="Warning Text 6 2 3 2 2" xfId="53656" xr:uid="{00000000-0005-0000-0000-00005AD20000}"/>
    <cellStyle name="Warning Text 6 2 3 3" xfId="53657" xr:uid="{00000000-0005-0000-0000-00005BD20000}"/>
    <cellStyle name="Warning Text 6 2 4" xfId="53658" xr:uid="{00000000-0005-0000-0000-00005CD20000}"/>
    <cellStyle name="Warning Text 6 2 4 2" xfId="53659" xr:uid="{00000000-0005-0000-0000-00005DD20000}"/>
    <cellStyle name="Warning Text 6 2 4 2 2" xfId="53660" xr:uid="{00000000-0005-0000-0000-00005ED20000}"/>
    <cellStyle name="Warning Text 6 2 4 3" xfId="53661" xr:uid="{00000000-0005-0000-0000-00005FD20000}"/>
    <cellStyle name="Warning Text 6 2 5" xfId="53662" xr:uid="{00000000-0005-0000-0000-000060D20000}"/>
    <cellStyle name="Warning Text 6 3" xfId="53663" xr:uid="{00000000-0005-0000-0000-000061D20000}"/>
    <cellStyle name="Warning Text 6 3 2" xfId="53664" xr:uid="{00000000-0005-0000-0000-000062D20000}"/>
    <cellStyle name="Warning Text 6 3 2 2" xfId="53665" xr:uid="{00000000-0005-0000-0000-000063D20000}"/>
    <cellStyle name="Warning Text 6 3 3" xfId="53666" xr:uid="{00000000-0005-0000-0000-000064D20000}"/>
    <cellStyle name="Warning Text 6 4" xfId="53667" xr:uid="{00000000-0005-0000-0000-000065D20000}"/>
    <cellStyle name="Warning Text 6 4 2" xfId="53668" xr:uid="{00000000-0005-0000-0000-000066D20000}"/>
    <cellStyle name="Warning Text 6 4 2 2" xfId="53669" xr:uid="{00000000-0005-0000-0000-000067D20000}"/>
    <cellStyle name="Warning Text 6 4 3" xfId="53670" xr:uid="{00000000-0005-0000-0000-000068D20000}"/>
    <cellStyle name="Warning Text 6 5" xfId="53671" xr:uid="{00000000-0005-0000-0000-000069D20000}"/>
    <cellStyle name="Warning Text 6 5 2" xfId="53672" xr:uid="{00000000-0005-0000-0000-00006AD20000}"/>
    <cellStyle name="Warning Text 6 5 2 2" xfId="53673" xr:uid="{00000000-0005-0000-0000-00006BD20000}"/>
    <cellStyle name="Warning Text 6 5 3" xfId="53674" xr:uid="{00000000-0005-0000-0000-00006CD20000}"/>
    <cellStyle name="Warning Text 6 6" xfId="53675" xr:uid="{00000000-0005-0000-0000-00006DD20000}"/>
    <cellStyle name="Warning Text 7" xfId="53676" xr:uid="{00000000-0005-0000-0000-00006ED20000}"/>
    <cellStyle name="Warning Text 7 2" xfId="53677" xr:uid="{00000000-0005-0000-0000-00006FD20000}"/>
    <cellStyle name="Warning Text 8" xfId="53678" xr:uid="{00000000-0005-0000-0000-000070D20000}"/>
    <cellStyle name="Warning Text 9" xfId="53679" xr:uid="{00000000-0005-0000-0000-000071D20000}"/>
    <cellStyle name="white" xfId="53680" xr:uid="{00000000-0005-0000-0000-000072D20000}"/>
    <cellStyle name="white 2" xfId="53681" xr:uid="{00000000-0005-0000-0000-000073D20000}"/>
    <cellStyle name="white 3" xfId="53682" xr:uid="{00000000-0005-0000-0000-000074D20000}"/>
    <cellStyle name="white 3 2" xfId="53683" xr:uid="{00000000-0005-0000-0000-000075D20000}"/>
    <cellStyle name="white 3 2 2" xfId="53684" xr:uid="{00000000-0005-0000-0000-000076D20000}"/>
    <cellStyle name="white 3 3" xfId="53685" xr:uid="{00000000-0005-0000-0000-000077D20000}"/>
    <cellStyle name="white 4" xfId="53686" xr:uid="{00000000-0005-0000-0000-000078D20000}"/>
    <cellStyle name="white 4 2" xfId="53687" xr:uid="{00000000-0005-0000-0000-000079D20000}"/>
    <cellStyle name="white 4 2 2" xfId="53688" xr:uid="{00000000-0005-0000-0000-00007AD20000}"/>
    <cellStyle name="white 4 3" xfId="53689" xr:uid="{00000000-0005-0000-0000-00007BD20000}"/>
    <cellStyle name="wrap" xfId="53690" xr:uid="{00000000-0005-0000-0000-00007CD20000}"/>
    <cellStyle name="wrap 2" xfId="53691" xr:uid="{00000000-0005-0000-0000-00007DD20000}"/>
    <cellStyle name="wrap 3" xfId="53692" xr:uid="{00000000-0005-0000-0000-00007ED20000}"/>
    <cellStyle name="wrap 3 2" xfId="53693" xr:uid="{00000000-0005-0000-0000-00007FD20000}"/>
    <cellStyle name="wrap 3 2 2" xfId="53694" xr:uid="{00000000-0005-0000-0000-000080D20000}"/>
    <cellStyle name="wrap 3 3" xfId="53695" xr:uid="{00000000-0005-0000-0000-000081D20000}"/>
    <cellStyle name="wrap 4" xfId="53696" xr:uid="{00000000-0005-0000-0000-000082D20000}"/>
    <cellStyle name="wrap 4 2" xfId="53697" xr:uid="{00000000-0005-0000-0000-000083D20000}"/>
    <cellStyle name="wrap 4 2 2" xfId="53698" xr:uid="{00000000-0005-0000-0000-000084D20000}"/>
    <cellStyle name="wrap 4 3" xfId="53699" xr:uid="{00000000-0005-0000-0000-000085D20000}"/>
  </cellStyles>
  <dxfs count="2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ill>
        <patternFill>
          <bgColor indexed="42"/>
        </patternFill>
      </fill>
    </dxf>
    <dxf>
      <fill>
        <patternFill>
          <bgColor indexed="42"/>
        </patternFill>
      </fill>
    </dxf>
    <dxf>
      <fill>
        <patternFill>
          <bgColor indexed="42"/>
        </patternFill>
      </fill>
    </dxf>
    <dxf>
      <font>
        <condense val="0"/>
        <extend val="0"/>
        <color auto="1"/>
      </font>
    </dxf>
  </dxfs>
  <tableStyles count="0" defaultTableStyle="TableStyleMedium9" defaultPivotStyle="PivotStyleLight16"/>
  <colors>
    <mruColors>
      <color rgb="FFFFCCCC"/>
      <color rgb="FFCCECFF"/>
      <color rgb="FFFFCC99"/>
      <color rgb="FFCCFFCC"/>
      <color rgb="FF99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E238E06-005F-45CC-B22A-25BA438D0464}"/>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41CEF399-8DBB-48A5-81BB-CD59A6D87B4F}"/>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66675</xdr:colOff>
      <xdr:row>0</xdr:row>
      <xdr:rowOff>112117</xdr:rowOff>
    </xdr:to>
    <xdr:sp macro="" textlink="">
      <xdr:nvSpPr>
        <xdr:cNvPr id="2" name="TextBox 1">
          <a:extLst>
            <a:ext uri="{FF2B5EF4-FFF2-40B4-BE49-F238E27FC236}">
              <a16:creationId xmlns:a16="http://schemas.microsoft.com/office/drawing/2014/main" id="{6925902F-435A-45A1-AA27-514AFC1DE722}"/>
            </a:ext>
          </a:extLst>
        </xdr:cNvPr>
        <xdr:cNvSpPr txBox="1"/>
      </xdr:nvSpPr>
      <xdr:spPr>
        <a:xfrm>
          <a:off x="9525" y="9525"/>
          <a:ext cx="5715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N10"/>
  <sheetViews>
    <sheetView tabSelected="1" zoomScaleNormal="100" workbookViewId="0">
      <selection activeCell="I19" sqref="I19"/>
    </sheetView>
  </sheetViews>
  <sheetFormatPr defaultColWidth="9.453125" defaultRowHeight="12.5"/>
  <cols>
    <col min="2" max="2" width="5.90625" customWidth="1"/>
    <col min="3" max="3" width="8.453125" customWidth="1"/>
    <col min="10" max="11" width="13.54296875" customWidth="1"/>
  </cols>
  <sheetData>
    <row r="2" spans="1:14" ht="12" customHeight="1">
      <c r="A2" s="783"/>
      <c r="B2" s="783"/>
      <c r="C2" s="783"/>
      <c r="D2" s="783"/>
      <c r="E2" s="783"/>
      <c r="F2" s="783"/>
      <c r="G2" s="783"/>
      <c r="H2" s="783"/>
      <c r="I2" s="783"/>
      <c r="J2" s="783"/>
      <c r="K2" s="783"/>
    </row>
    <row r="3" spans="1:14" ht="23">
      <c r="A3" s="783"/>
      <c r="B3" s="783"/>
      <c r="C3" s="783"/>
      <c r="D3" s="783"/>
      <c r="E3" s="783"/>
      <c r="F3" s="783"/>
      <c r="G3" s="783"/>
      <c r="H3" s="783"/>
      <c r="I3" s="783"/>
      <c r="J3" s="783"/>
      <c r="K3" s="783"/>
    </row>
    <row r="4" spans="1:14" ht="11.25" customHeight="1">
      <c r="B4" s="783"/>
      <c r="C4" s="783"/>
      <c r="D4" s="783"/>
      <c r="E4" s="783"/>
      <c r="F4" s="783"/>
      <c r="G4" s="783"/>
      <c r="H4" s="783"/>
      <c r="I4" s="783"/>
    </row>
    <row r="5" spans="1:14" ht="25">
      <c r="B5" s="1196"/>
      <c r="C5" s="1196" t="s">
        <v>0</v>
      </c>
      <c r="D5" s="1196"/>
      <c r="E5" s="1196"/>
      <c r="F5" s="1196"/>
      <c r="G5" s="1196"/>
      <c r="H5" s="1196"/>
      <c r="I5" s="1196"/>
      <c r="J5" s="1196"/>
      <c r="K5" s="1196"/>
    </row>
    <row r="6" spans="1:14" ht="12" customHeight="1">
      <c r="D6" s="1"/>
      <c r="K6" s="783"/>
      <c r="L6" s="783"/>
      <c r="M6" s="783"/>
      <c r="N6" s="783"/>
    </row>
    <row r="7" spans="1:14" ht="20">
      <c r="B7" s="968"/>
      <c r="D7" s="968" t="s">
        <v>1</v>
      </c>
      <c r="E7" s="968"/>
      <c r="F7" s="968"/>
      <c r="G7" s="968"/>
      <c r="H7" s="968"/>
      <c r="I7" s="968"/>
      <c r="J7" s="968"/>
      <c r="K7" s="968"/>
    </row>
    <row r="8" spans="1:14" ht="12.75" customHeight="1">
      <c r="D8" s="968"/>
    </row>
    <row r="9" spans="1:14">
      <c r="C9" s="590"/>
    </row>
    <row r="10" spans="1:14" ht="23">
      <c r="F10" s="1199" t="s">
        <v>3110</v>
      </c>
      <c r="G10" s="1198"/>
      <c r="H10" s="1197"/>
      <c r="I10" s="1197"/>
      <c r="J10" s="1197"/>
      <c r="K10" s="1197"/>
    </row>
  </sheetData>
  <pageMargins left="0.7" right="0.7" top="0.75" bottom="0.75" header="0.3" footer="0.3"/>
  <pageSetup scale="96" orientation="portrait" r:id="rId1"/>
  <headerFooter>
    <oddHeader xml:space="preserve">&amp;C&amp;"Arial,Bold"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CC"/>
  </sheetPr>
  <dimension ref="A1:AP289"/>
  <sheetViews>
    <sheetView topLeftCell="G1" zoomScaleNormal="100" workbookViewId="0">
      <selection activeCell="L41" sqref="L41"/>
    </sheetView>
  </sheetViews>
  <sheetFormatPr defaultColWidth="8.54296875" defaultRowHeight="12.5"/>
  <cols>
    <col min="1" max="1" width="4.54296875" customWidth="1"/>
    <col min="2" max="2" width="10.54296875" customWidth="1"/>
    <col min="3" max="12" width="13.90625" customWidth="1"/>
    <col min="13" max="13" width="19.6328125" customWidth="1"/>
    <col min="14" max="20" width="15.54296875" customWidth="1"/>
  </cols>
  <sheetData>
    <row r="1" spans="1:13" ht="13">
      <c r="A1" s="197" t="s">
        <v>651</v>
      </c>
      <c r="B1" s="112"/>
      <c r="C1" s="112"/>
      <c r="D1" s="112"/>
      <c r="E1" s="112"/>
      <c r="F1" s="112"/>
      <c r="G1" s="112"/>
      <c r="H1" s="112"/>
      <c r="I1" s="240" t="s">
        <v>652</v>
      </c>
      <c r="J1" s="198"/>
      <c r="K1" s="112"/>
      <c r="L1" s="112"/>
    </row>
    <row r="2" spans="1:13" ht="13">
      <c r="A2" s="197"/>
      <c r="B2" s="1" t="s">
        <v>653</v>
      </c>
      <c r="C2" s="112"/>
      <c r="D2" s="112"/>
      <c r="E2" s="240" t="s">
        <v>654</v>
      </c>
      <c r="F2" s="198"/>
      <c r="G2" s="198"/>
      <c r="H2" s="112"/>
      <c r="I2" s="112"/>
      <c r="J2" s="112"/>
      <c r="K2" s="112"/>
      <c r="L2" s="112"/>
    </row>
    <row r="3" spans="1:13" ht="13">
      <c r="A3" s="197"/>
      <c r="B3" s="112"/>
      <c r="C3" s="112"/>
      <c r="D3" s="112"/>
      <c r="E3" s="240" t="s">
        <v>655</v>
      </c>
      <c r="F3" s="198"/>
      <c r="G3" s="198"/>
      <c r="H3" s="112"/>
      <c r="I3" s="112"/>
      <c r="J3" s="112"/>
      <c r="K3" s="112"/>
      <c r="L3" s="112"/>
    </row>
    <row r="4" spans="1:13" ht="13">
      <c r="A4" s="197"/>
      <c r="B4" s="197" t="s">
        <v>656</v>
      </c>
      <c r="C4" s="112"/>
      <c r="D4" s="112"/>
      <c r="E4" s="615"/>
      <c r="F4" s="112"/>
      <c r="G4" s="112"/>
      <c r="H4" s="112"/>
      <c r="I4" s="112"/>
      <c r="J4" s="112"/>
      <c r="K4" s="112"/>
      <c r="L4" s="112"/>
    </row>
    <row r="5" spans="1:13" ht="13">
      <c r="A5" s="197"/>
      <c r="B5" s="197"/>
      <c r="C5" s="112"/>
      <c r="D5" s="112"/>
      <c r="E5" s="112"/>
      <c r="F5" s="112"/>
      <c r="G5" s="112"/>
      <c r="H5" s="112"/>
      <c r="I5" s="112"/>
      <c r="J5" s="112"/>
      <c r="K5" s="112"/>
      <c r="L5" s="112"/>
    </row>
    <row r="6" spans="1:13" ht="13">
      <c r="A6" s="197"/>
      <c r="B6" s="233" t="s">
        <v>3076</v>
      </c>
      <c r="C6" s="112"/>
      <c r="D6" s="112"/>
      <c r="E6" s="112"/>
      <c r="F6" s="112"/>
      <c r="G6" s="112"/>
      <c r="H6" s="233"/>
      <c r="J6" s="113" t="s">
        <v>657</v>
      </c>
      <c r="K6" s="484"/>
      <c r="L6" s="112"/>
    </row>
    <row r="7" spans="1:13" ht="13">
      <c r="A7" s="197"/>
      <c r="B7" s="1162" t="s">
        <v>3023</v>
      </c>
      <c r="C7" s="112"/>
      <c r="D7" s="112"/>
      <c r="E7" s="112"/>
      <c r="F7" s="112"/>
      <c r="G7" s="112"/>
      <c r="H7" s="112"/>
      <c r="I7" s="112"/>
      <c r="J7" s="112"/>
      <c r="K7" s="112"/>
      <c r="L7" s="112"/>
    </row>
    <row r="8" spans="1:13" ht="13">
      <c r="A8" s="197"/>
      <c r="B8" s="615"/>
      <c r="C8" s="112"/>
      <c r="D8" s="112"/>
      <c r="E8" s="112"/>
      <c r="F8" s="112"/>
      <c r="G8" s="112"/>
      <c r="H8" s="112"/>
      <c r="I8" s="112"/>
      <c r="J8" s="112"/>
      <c r="K8" s="112"/>
      <c r="L8" s="112"/>
    </row>
    <row r="9" spans="1:13" ht="13">
      <c r="A9" s="197"/>
      <c r="B9" s="48" t="s">
        <v>347</v>
      </c>
      <c r="C9" s="48" t="s">
        <v>348</v>
      </c>
      <c r="D9" s="48" t="s">
        <v>349</v>
      </c>
      <c r="E9" s="48" t="s">
        <v>350</v>
      </c>
      <c r="F9" s="48" t="s">
        <v>351</v>
      </c>
      <c r="G9" s="48" t="s">
        <v>352</v>
      </c>
      <c r="H9" s="48" t="s">
        <v>353</v>
      </c>
      <c r="I9" s="48" t="s">
        <v>354</v>
      </c>
      <c r="J9" s="48" t="s">
        <v>355</v>
      </c>
      <c r="K9" s="48" t="s">
        <v>605</v>
      </c>
      <c r="L9" s="48" t="s">
        <v>606</v>
      </c>
      <c r="M9" s="1095"/>
    </row>
    <row r="10" spans="1:13" ht="13">
      <c r="A10" s="112"/>
      <c r="B10" s="115"/>
      <c r="C10" s="112"/>
      <c r="D10" s="112"/>
      <c r="E10" s="112"/>
      <c r="F10" s="112"/>
      <c r="G10" s="112"/>
      <c r="H10" s="112"/>
      <c r="I10" s="112"/>
      <c r="J10" s="112"/>
      <c r="K10" s="112"/>
      <c r="M10" s="835"/>
    </row>
    <row r="11" spans="1:13" ht="13">
      <c r="A11" s="112"/>
      <c r="B11" s="2"/>
      <c r="C11" s="48"/>
      <c r="D11" s="48"/>
      <c r="E11" s="112"/>
      <c r="F11" s="112"/>
      <c r="G11" s="112"/>
      <c r="H11" s="112"/>
      <c r="I11" s="112"/>
      <c r="J11" s="112"/>
      <c r="K11" s="112"/>
      <c r="L11" s="112"/>
      <c r="M11" s="590"/>
    </row>
    <row r="12" spans="1:13" ht="13">
      <c r="A12" s="30" t="s">
        <v>284</v>
      </c>
      <c r="B12" s="3" t="s">
        <v>659</v>
      </c>
      <c r="C12" s="48">
        <v>350.1</v>
      </c>
      <c r="D12" s="48">
        <v>350.2</v>
      </c>
      <c r="E12" s="48">
        <v>352</v>
      </c>
      <c r="F12" s="48">
        <v>353</v>
      </c>
      <c r="G12" s="48">
        <v>354</v>
      </c>
      <c r="H12" s="48">
        <v>355</v>
      </c>
      <c r="I12" s="48">
        <v>356</v>
      </c>
      <c r="J12" s="48">
        <v>357</v>
      </c>
      <c r="K12" s="48">
        <v>358</v>
      </c>
      <c r="L12" s="48">
        <v>359</v>
      </c>
      <c r="M12" s="1150"/>
    </row>
    <row r="13" spans="1:13" ht="13">
      <c r="A13" s="2">
        <v>1</v>
      </c>
      <c r="B13" s="508"/>
      <c r="C13" s="253"/>
      <c r="D13" s="284"/>
      <c r="E13" s="116"/>
      <c r="F13" s="253"/>
      <c r="G13" s="253"/>
      <c r="H13" s="253"/>
      <c r="I13" s="253"/>
      <c r="J13" s="253"/>
      <c r="K13" s="253"/>
      <c r="L13" s="253"/>
      <c r="M13" s="664"/>
    </row>
    <row r="14" spans="1:13" ht="13">
      <c r="A14" s="2">
        <f>A13+1</f>
        <v>2</v>
      </c>
      <c r="B14" s="387"/>
      <c r="C14" s="114" t="e">
        <f t="shared" ref="C14:C24" si="0">C172+C243 +C13</f>
        <v>#DIV/0!</v>
      </c>
      <c r="D14" s="114" t="e">
        <f t="shared" ref="D14:D24" si="1">D172+D243 +D13</f>
        <v>#DIV/0!</v>
      </c>
      <c r="E14" s="114" t="e">
        <f t="shared" ref="E14:E24" si="2">E172+E243 +E13</f>
        <v>#DIV/0!</v>
      </c>
      <c r="F14" s="114" t="e">
        <f t="shared" ref="F14:F24" si="3">F172+F243 +F13</f>
        <v>#DIV/0!</v>
      </c>
      <c r="G14" s="114" t="e">
        <f t="shared" ref="G14:G24" si="4">G172+G243 +G13</f>
        <v>#DIV/0!</v>
      </c>
      <c r="H14" s="114" t="e">
        <f t="shared" ref="H14:H24" si="5">H172+H243 +H13</f>
        <v>#DIV/0!</v>
      </c>
      <c r="I14" s="114" t="e">
        <f t="shared" ref="I14:I24" si="6">I172+I243 +I13</f>
        <v>#DIV/0!</v>
      </c>
      <c r="J14" s="114" t="e">
        <f t="shared" ref="J14:J24" si="7">J172+J243 +J13</f>
        <v>#DIV/0!</v>
      </c>
      <c r="K14" s="114" t="e">
        <f t="shared" ref="K14:K24" si="8">K172+K243 +K13</f>
        <v>#DIV/0!</v>
      </c>
      <c r="L14" s="114" t="e">
        <f t="shared" ref="L14:L24" si="9">L172+L243 +L13</f>
        <v>#DIV/0!</v>
      </c>
      <c r="M14" s="1031"/>
    </row>
    <row r="15" spans="1:13" ht="13">
      <c r="A15" s="2">
        <f t="shared" ref="A15:A26" si="10">A14+1</f>
        <v>3</v>
      </c>
      <c r="B15" s="387"/>
      <c r="C15" s="114" t="e">
        <f t="shared" si="0"/>
        <v>#DIV/0!</v>
      </c>
      <c r="D15" s="114" t="e">
        <f t="shared" si="1"/>
        <v>#DIV/0!</v>
      </c>
      <c r="E15" s="114" t="e">
        <f t="shared" si="2"/>
        <v>#DIV/0!</v>
      </c>
      <c r="F15" s="114" t="e">
        <f t="shared" si="3"/>
        <v>#DIV/0!</v>
      </c>
      <c r="G15" s="114" t="e">
        <f t="shared" si="4"/>
        <v>#DIV/0!</v>
      </c>
      <c r="H15" s="114" t="e">
        <f t="shared" si="5"/>
        <v>#DIV/0!</v>
      </c>
      <c r="I15" s="114" t="e">
        <f t="shared" si="6"/>
        <v>#DIV/0!</v>
      </c>
      <c r="J15" s="114" t="e">
        <f t="shared" si="7"/>
        <v>#DIV/0!</v>
      </c>
      <c r="K15" s="114" t="e">
        <f t="shared" si="8"/>
        <v>#DIV/0!</v>
      </c>
      <c r="L15" s="114" t="e">
        <f t="shared" si="9"/>
        <v>#DIV/0!</v>
      </c>
      <c r="M15" s="664"/>
    </row>
    <row r="16" spans="1:13" ht="13">
      <c r="A16" s="2">
        <f t="shared" si="10"/>
        <v>4</v>
      </c>
      <c r="B16" s="387"/>
      <c r="C16" s="114" t="e">
        <f t="shared" si="0"/>
        <v>#DIV/0!</v>
      </c>
      <c r="D16" s="114" t="e">
        <f t="shared" si="1"/>
        <v>#DIV/0!</v>
      </c>
      <c r="E16" s="114" t="e">
        <f t="shared" si="2"/>
        <v>#DIV/0!</v>
      </c>
      <c r="F16" s="114" t="e">
        <f t="shared" si="3"/>
        <v>#DIV/0!</v>
      </c>
      <c r="G16" s="114" t="e">
        <f t="shared" si="4"/>
        <v>#DIV/0!</v>
      </c>
      <c r="H16" s="114" t="e">
        <f t="shared" si="5"/>
        <v>#DIV/0!</v>
      </c>
      <c r="I16" s="114" t="e">
        <f t="shared" si="6"/>
        <v>#DIV/0!</v>
      </c>
      <c r="J16" s="114" t="e">
        <f t="shared" si="7"/>
        <v>#DIV/0!</v>
      </c>
      <c r="K16" s="114" t="e">
        <f t="shared" si="8"/>
        <v>#DIV/0!</v>
      </c>
      <c r="L16" s="114" t="e">
        <f t="shared" si="9"/>
        <v>#DIV/0!</v>
      </c>
      <c r="M16" s="664"/>
    </row>
    <row r="17" spans="1:14" ht="13">
      <c r="A17" s="2">
        <f t="shared" si="10"/>
        <v>5</v>
      </c>
      <c r="B17" s="387"/>
      <c r="C17" s="114" t="e">
        <f t="shared" si="0"/>
        <v>#DIV/0!</v>
      </c>
      <c r="D17" s="114" t="e">
        <f t="shared" si="1"/>
        <v>#DIV/0!</v>
      </c>
      <c r="E17" s="114" t="e">
        <f t="shared" si="2"/>
        <v>#DIV/0!</v>
      </c>
      <c r="F17" s="114" t="e">
        <f t="shared" si="3"/>
        <v>#DIV/0!</v>
      </c>
      <c r="G17" s="114" t="e">
        <f t="shared" si="4"/>
        <v>#DIV/0!</v>
      </c>
      <c r="H17" s="114" t="e">
        <f t="shared" si="5"/>
        <v>#DIV/0!</v>
      </c>
      <c r="I17" s="114" t="e">
        <f t="shared" si="6"/>
        <v>#DIV/0!</v>
      </c>
      <c r="J17" s="114" t="e">
        <f t="shared" si="7"/>
        <v>#DIV/0!</v>
      </c>
      <c r="K17" s="114" t="e">
        <f t="shared" si="8"/>
        <v>#DIV/0!</v>
      </c>
      <c r="L17" s="114" t="e">
        <f t="shared" si="9"/>
        <v>#DIV/0!</v>
      </c>
      <c r="M17" s="664"/>
    </row>
    <row r="18" spans="1:14" ht="13">
      <c r="A18" s="2">
        <f t="shared" si="10"/>
        <v>6</v>
      </c>
      <c r="B18" s="387"/>
      <c r="C18" s="114" t="e">
        <f t="shared" si="0"/>
        <v>#DIV/0!</v>
      </c>
      <c r="D18" s="114" t="e">
        <f t="shared" si="1"/>
        <v>#DIV/0!</v>
      </c>
      <c r="E18" s="114" t="e">
        <f t="shared" si="2"/>
        <v>#DIV/0!</v>
      </c>
      <c r="F18" s="114" t="e">
        <f t="shared" si="3"/>
        <v>#DIV/0!</v>
      </c>
      <c r="G18" s="114" t="e">
        <f t="shared" si="4"/>
        <v>#DIV/0!</v>
      </c>
      <c r="H18" s="114" t="e">
        <f t="shared" si="5"/>
        <v>#DIV/0!</v>
      </c>
      <c r="I18" s="114" t="e">
        <f t="shared" si="6"/>
        <v>#DIV/0!</v>
      </c>
      <c r="J18" s="114" t="e">
        <f t="shared" si="7"/>
        <v>#DIV/0!</v>
      </c>
      <c r="K18" s="114" t="e">
        <f t="shared" si="8"/>
        <v>#DIV/0!</v>
      </c>
      <c r="L18" s="114" t="e">
        <f t="shared" si="9"/>
        <v>#DIV/0!</v>
      </c>
      <c r="M18" s="664"/>
    </row>
    <row r="19" spans="1:14" ht="13">
      <c r="A19" s="2">
        <f t="shared" si="10"/>
        <v>7</v>
      </c>
      <c r="B19" s="387"/>
      <c r="C19" s="114" t="e">
        <f t="shared" si="0"/>
        <v>#DIV/0!</v>
      </c>
      <c r="D19" s="114" t="e">
        <f t="shared" si="1"/>
        <v>#DIV/0!</v>
      </c>
      <c r="E19" s="114" t="e">
        <f t="shared" si="2"/>
        <v>#DIV/0!</v>
      </c>
      <c r="F19" s="114" t="e">
        <f t="shared" si="3"/>
        <v>#DIV/0!</v>
      </c>
      <c r="G19" s="114" t="e">
        <f t="shared" si="4"/>
        <v>#DIV/0!</v>
      </c>
      <c r="H19" s="114" t="e">
        <f t="shared" si="5"/>
        <v>#DIV/0!</v>
      </c>
      <c r="I19" s="114" t="e">
        <f t="shared" si="6"/>
        <v>#DIV/0!</v>
      </c>
      <c r="J19" s="114" t="e">
        <f t="shared" si="7"/>
        <v>#DIV/0!</v>
      </c>
      <c r="K19" s="114" t="e">
        <f t="shared" si="8"/>
        <v>#DIV/0!</v>
      </c>
      <c r="L19" s="114" t="e">
        <f t="shared" si="9"/>
        <v>#DIV/0!</v>
      </c>
      <c r="M19" s="664"/>
    </row>
    <row r="20" spans="1:14" ht="13">
      <c r="A20" s="2">
        <f t="shared" si="10"/>
        <v>8</v>
      </c>
      <c r="B20" s="387"/>
      <c r="C20" s="114" t="e">
        <f t="shared" si="0"/>
        <v>#DIV/0!</v>
      </c>
      <c r="D20" s="114" t="e">
        <f t="shared" si="1"/>
        <v>#DIV/0!</v>
      </c>
      <c r="E20" s="114" t="e">
        <f t="shared" si="2"/>
        <v>#DIV/0!</v>
      </c>
      <c r="F20" s="114" t="e">
        <f t="shared" si="3"/>
        <v>#DIV/0!</v>
      </c>
      <c r="G20" s="114" t="e">
        <f t="shared" si="4"/>
        <v>#DIV/0!</v>
      </c>
      <c r="H20" s="114" t="e">
        <f t="shared" si="5"/>
        <v>#DIV/0!</v>
      </c>
      <c r="I20" s="114" t="e">
        <f t="shared" si="6"/>
        <v>#DIV/0!</v>
      </c>
      <c r="J20" s="114" t="e">
        <f t="shared" si="7"/>
        <v>#DIV/0!</v>
      </c>
      <c r="K20" s="114" t="e">
        <f t="shared" si="8"/>
        <v>#DIV/0!</v>
      </c>
      <c r="L20" s="114" t="e">
        <f t="shared" si="9"/>
        <v>#DIV/0!</v>
      </c>
      <c r="M20" s="664"/>
    </row>
    <row r="21" spans="1:14" ht="13">
      <c r="A21" s="2">
        <f t="shared" si="10"/>
        <v>9</v>
      </c>
      <c r="B21" s="387"/>
      <c r="C21" s="114" t="e">
        <f t="shared" si="0"/>
        <v>#DIV/0!</v>
      </c>
      <c r="D21" s="114" t="e">
        <f t="shared" si="1"/>
        <v>#DIV/0!</v>
      </c>
      <c r="E21" s="114" t="e">
        <f t="shared" si="2"/>
        <v>#DIV/0!</v>
      </c>
      <c r="F21" s="114" t="e">
        <f t="shared" si="3"/>
        <v>#DIV/0!</v>
      </c>
      <c r="G21" s="114" t="e">
        <f t="shared" si="4"/>
        <v>#DIV/0!</v>
      </c>
      <c r="H21" s="114" t="e">
        <f t="shared" si="5"/>
        <v>#DIV/0!</v>
      </c>
      <c r="I21" s="114" t="e">
        <f t="shared" si="6"/>
        <v>#DIV/0!</v>
      </c>
      <c r="J21" s="114" t="e">
        <f t="shared" si="7"/>
        <v>#DIV/0!</v>
      </c>
      <c r="K21" s="114" t="e">
        <f t="shared" si="8"/>
        <v>#DIV/0!</v>
      </c>
      <c r="L21" s="114" t="e">
        <f t="shared" si="9"/>
        <v>#DIV/0!</v>
      </c>
      <c r="M21" s="664"/>
    </row>
    <row r="22" spans="1:14" ht="13">
      <c r="A22" s="2">
        <f t="shared" si="10"/>
        <v>10</v>
      </c>
      <c r="B22" s="387"/>
      <c r="C22" s="114" t="e">
        <f t="shared" si="0"/>
        <v>#DIV/0!</v>
      </c>
      <c r="D22" s="114" t="e">
        <f t="shared" si="1"/>
        <v>#DIV/0!</v>
      </c>
      <c r="E22" s="114" t="e">
        <f t="shared" si="2"/>
        <v>#DIV/0!</v>
      </c>
      <c r="F22" s="114" t="e">
        <f t="shared" si="3"/>
        <v>#DIV/0!</v>
      </c>
      <c r="G22" s="114" t="e">
        <f t="shared" si="4"/>
        <v>#DIV/0!</v>
      </c>
      <c r="H22" s="114" t="e">
        <f t="shared" si="5"/>
        <v>#DIV/0!</v>
      </c>
      <c r="I22" s="114" t="e">
        <f t="shared" si="6"/>
        <v>#DIV/0!</v>
      </c>
      <c r="J22" s="114" t="e">
        <f t="shared" si="7"/>
        <v>#DIV/0!</v>
      </c>
      <c r="K22" s="114" t="e">
        <f t="shared" si="8"/>
        <v>#DIV/0!</v>
      </c>
      <c r="L22" s="114" t="e">
        <f t="shared" si="9"/>
        <v>#DIV/0!</v>
      </c>
      <c r="M22" s="664"/>
    </row>
    <row r="23" spans="1:14" ht="13">
      <c r="A23" s="2">
        <f t="shared" si="10"/>
        <v>11</v>
      </c>
      <c r="B23" s="387"/>
      <c r="C23" s="114" t="e">
        <f t="shared" si="0"/>
        <v>#DIV/0!</v>
      </c>
      <c r="D23" s="114" t="e">
        <f t="shared" si="1"/>
        <v>#DIV/0!</v>
      </c>
      <c r="E23" s="114" t="e">
        <f t="shared" si="2"/>
        <v>#DIV/0!</v>
      </c>
      <c r="F23" s="114" t="e">
        <f t="shared" si="3"/>
        <v>#DIV/0!</v>
      </c>
      <c r="G23" s="114" t="e">
        <f t="shared" si="4"/>
        <v>#DIV/0!</v>
      </c>
      <c r="H23" s="114" t="e">
        <f t="shared" si="5"/>
        <v>#DIV/0!</v>
      </c>
      <c r="I23" s="114" t="e">
        <f t="shared" si="6"/>
        <v>#DIV/0!</v>
      </c>
      <c r="J23" s="114" t="e">
        <f t="shared" si="7"/>
        <v>#DIV/0!</v>
      </c>
      <c r="K23" s="114" t="e">
        <f t="shared" si="8"/>
        <v>#DIV/0!</v>
      </c>
      <c r="L23" s="114" t="e">
        <f t="shared" si="9"/>
        <v>#DIV/0!</v>
      </c>
      <c r="M23" s="664"/>
    </row>
    <row r="24" spans="1:14" ht="13">
      <c r="A24" s="2">
        <f t="shared" si="10"/>
        <v>12</v>
      </c>
      <c r="B24" s="387"/>
      <c r="C24" s="114" t="e">
        <f t="shared" si="0"/>
        <v>#DIV/0!</v>
      </c>
      <c r="D24" s="114" t="e">
        <f t="shared" si="1"/>
        <v>#DIV/0!</v>
      </c>
      <c r="E24" s="114" t="e">
        <f t="shared" si="2"/>
        <v>#DIV/0!</v>
      </c>
      <c r="F24" s="114" t="e">
        <f t="shared" si="3"/>
        <v>#DIV/0!</v>
      </c>
      <c r="G24" s="114" t="e">
        <f t="shared" si="4"/>
        <v>#DIV/0!</v>
      </c>
      <c r="H24" s="114" t="e">
        <f t="shared" si="5"/>
        <v>#DIV/0!</v>
      </c>
      <c r="I24" s="114" t="e">
        <f t="shared" si="6"/>
        <v>#DIV/0!</v>
      </c>
      <c r="J24" s="114" t="e">
        <f t="shared" si="7"/>
        <v>#DIV/0!</v>
      </c>
      <c r="K24" s="114" t="e">
        <f t="shared" si="8"/>
        <v>#DIV/0!</v>
      </c>
      <c r="L24" s="114" t="e">
        <f t="shared" si="9"/>
        <v>#DIV/0!</v>
      </c>
      <c r="M24" s="664"/>
    </row>
    <row r="25" spans="1:14" ht="13">
      <c r="A25" s="2">
        <f t="shared" si="10"/>
        <v>13</v>
      </c>
      <c r="B25" s="387"/>
      <c r="C25" s="61"/>
      <c r="D25" s="61"/>
      <c r="E25" s="183">
        <f>'7-PlantStudy'!E10</f>
        <v>0</v>
      </c>
      <c r="F25" s="183">
        <f>'7-PlantStudy'!E11</f>
        <v>0</v>
      </c>
      <c r="G25" s="183">
        <f>'7-PlantStudy'!E20</f>
        <v>0</v>
      </c>
      <c r="H25" s="183">
        <f>'7-PlantStudy'!E21</f>
        <v>0</v>
      </c>
      <c r="I25" s="183">
        <f>'7-PlantStudy'!E22</f>
        <v>0</v>
      </c>
      <c r="J25" s="183">
        <f>'7-PlantStudy'!E23</f>
        <v>0</v>
      </c>
      <c r="K25" s="183">
        <f>'7-PlantStudy'!E24</f>
        <v>0</v>
      </c>
      <c r="L25" s="183">
        <f>'7-PlantStudy'!E25</f>
        <v>0</v>
      </c>
      <c r="M25" s="664"/>
    </row>
    <row r="26" spans="1:14" ht="13">
      <c r="A26" s="2">
        <f t="shared" si="10"/>
        <v>14</v>
      </c>
      <c r="B26" s="562" t="s">
        <v>660</v>
      </c>
      <c r="C26" s="114" t="e">
        <f>AVERAGE(C13:C25)</f>
        <v>#DIV/0!</v>
      </c>
      <c r="D26" s="114" t="e">
        <f t="shared" ref="D26:L26" si="11">AVERAGE(D13:D25)</f>
        <v>#DIV/0!</v>
      </c>
      <c r="E26" s="114" t="e">
        <f t="shared" si="11"/>
        <v>#DIV/0!</v>
      </c>
      <c r="F26" s="114" t="e">
        <f t="shared" si="11"/>
        <v>#DIV/0!</v>
      </c>
      <c r="G26" s="114" t="e">
        <f t="shared" si="11"/>
        <v>#DIV/0!</v>
      </c>
      <c r="H26" s="114" t="e">
        <f t="shared" si="11"/>
        <v>#DIV/0!</v>
      </c>
      <c r="I26" s="114" t="e">
        <f t="shared" si="11"/>
        <v>#DIV/0!</v>
      </c>
      <c r="J26" s="114" t="e">
        <f t="shared" si="11"/>
        <v>#DIV/0!</v>
      </c>
      <c r="K26" s="114" t="e">
        <f t="shared" si="11"/>
        <v>#DIV/0!</v>
      </c>
      <c r="L26" s="114" t="e">
        <f t="shared" si="11"/>
        <v>#DIV/0!</v>
      </c>
      <c r="M26" s="664"/>
    </row>
    <row r="27" spans="1:14" ht="13">
      <c r="A27" s="2"/>
      <c r="B27" s="562"/>
      <c r="C27" s="114"/>
      <c r="D27" s="114"/>
      <c r="E27" s="114"/>
      <c r="F27" s="114"/>
      <c r="G27" s="114"/>
      <c r="H27" s="114"/>
      <c r="I27" s="114"/>
      <c r="J27" s="114"/>
      <c r="K27" s="114"/>
      <c r="L27" s="114"/>
    </row>
    <row r="28" spans="1:14" ht="13">
      <c r="A28" s="2"/>
      <c r="B28" s="1095" t="s">
        <v>347</v>
      </c>
      <c r="C28" s="1095" t="s">
        <v>348</v>
      </c>
      <c r="D28" s="1095" t="s">
        <v>349</v>
      </c>
      <c r="E28" s="1095" t="s">
        <v>350</v>
      </c>
      <c r="F28" s="1095" t="s">
        <v>351</v>
      </c>
      <c r="G28" s="1095" t="s">
        <v>352</v>
      </c>
      <c r="H28" s="1095" t="s">
        <v>353</v>
      </c>
      <c r="I28" s="1095" t="s">
        <v>354</v>
      </c>
      <c r="J28" s="114"/>
      <c r="K28" s="114"/>
      <c r="L28" s="114"/>
      <c r="M28" s="48"/>
    </row>
    <row r="29" spans="1:14" ht="13">
      <c r="A29" s="2"/>
      <c r="B29" s="1095"/>
      <c r="C29" s="1095"/>
      <c r="D29" s="1095"/>
      <c r="E29" s="1095"/>
      <c r="F29" s="1095"/>
      <c r="G29" s="1095"/>
      <c r="H29" s="1095"/>
      <c r="I29" s="1120" t="s">
        <v>3019</v>
      </c>
      <c r="J29" s="114"/>
      <c r="K29" s="114"/>
      <c r="L29" s="114"/>
      <c r="M29" s="48"/>
    </row>
    <row r="30" spans="1:14" ht="13">
      <c r="A30" s="2"/>
      <c r="B30" s="1095"/>
      <c r="C30" s="1095"/>
      <c r="D30" s="1095"/>
      <c r="E30" s="1095"/>
      <c r="F30" s="1095"/>
      <c r="G30" s="1095"/>
      <c r="H30" s="1095"/>
      <c r="I30" s="1120"/>
      <c r="J30" s="114"/>
      <c r="K30" s="114"/>
      <c r="L30" s="114"/>
      <c r="M30" s="48"/>
    </row>
    <row r="31" spans="1:14" ht="13">
      <c r="A31" s="233"/>
      <c r="B31" s="1162" t="s">
        <v>3024</v>
      </c>
      <c r="C31" s="233"/>
      <c r="D31" s="233"/>
      <c r="E31" s="233"/>
      <c r="G31" s="233"/>
      <c r="H31" s="233"/>
      <c r="I31" s="1069" t="s">
        <v>371</v>
      </c>
      <c r="N31" s="1"/>
    </row>
    <row r="32" spans="1:14" ht="13">
      <c r="A32" s="233"/>
      <c r="B32" s="1200"/>
      <c r="C32" s="1200"/>
      <c r="D32" s="1200"/>
      <c r="E32" s="1200"/>
      <c r="F32" s="233"/>
      <c r="G32" s="1126"/>
      <c r="H32" s="233"/>
      <c r="I32" s="1069" t="s">
        <v>661</v>
      </c>
    </row>
    <row r="33" spans="1:13" ht="13">
      <c r="A33" s="663" t="s">
        <v>284</v>
      </c>
      <c r="B33" s="1069" t="s">
        <v>659</v>
      </c>
      <c r="C33" s="1069">
        <v>351.1</v>
      </c>
      <c r="D33" s="1095" t="s">
        <v>662</v>
      </c>
      <c r="E33" s="1095" t="s">
        <v>663</v>
      </c>
      <c r="F33" s="1095" t="s">
        <v>664</v>
      </c>
      <c r="G33" s="1095" t="s">
        <v>665</v>
      </c>
      <c r="H33" s="1069">
        <v>351.3</v>
      </c>
      <c r="I33" s="1149" t="s">
        <v>252</v>
      </c>
      <c r="J33" s="1150" t="s">
        <v>103</v>
      </c>
    </row>
    <row r="34" spans="1:13">
      <c r="A34" s="615" t="s">
        <v>666</v>
      </c>
      <c r="B34" s="1100"/>
      <c r="C34" s="1134"/>
      <c r="D34" s="116"/>
      <c r="E34" s="116"/>
      <c r="F34" s="116"/>
      <c r="G34" s="116"/>
      <c r="H34" s="1134"/>
      <c r="I34" s="836">
        <f t="shared" ref="I34:I46" si="12">SUM(C13:L13)+SUM(C34:H34)</f>
        <v>0</v>
      </c>
      <c r="J34" s="1031" t="s">
        <v>3074</v>
      </c>
      <c r="K34" s="28"/>
      <c r="L34" s="28"/>
    </row>
    <row r="35" spans="1:13">
      <c r="A35" s="615" t="s">
        <v>667</v>
      </c>
      <c r="B35" s="1101"/>
      <c r="C35" s="1180" t="e">
        <f>C113*'7-PlantStudy'!F$28</f>
        <v>#DIV/0!</v>
      </c>
      <c r="D35" s="1180" t="e">
        <f>D113*'7-PlantStudy'!F$28</f>
        <v>#DIV/0!</v>
      </c>
      <c r="E35" s="1180" t="e">
        <f>E113*'7-PlantStudy'!F$28</f>
        <v>#DIV/0!</v>
      </c>
      <c r="F35" s="1180" t="e">
        <f>F113*'7-PlantStudy'!F$28</f>
        <v>#DIV/0!</v>
      </c>
      <c r="G35" s="1180" t="e">
        <f>G113*'7-PlantStudy'!F$28</f>
        <v>#DIV/0!</v>
      </c>
      <c r="H35" s="1180" t="e">
        <f>H113*'7-PlantStudy'!F$28</f>
        <v>#DIV/0!</v>
      </c>
      <c r="I35" s="836" t="e">
        <f>SUM(C14:L14)+SUM(C35:H35)</f>
        <v>#DIV/0!</v>
      </c>
      <c r="J35" s="662" t="s">
        <v>3075</v>
      </c>
      <c r="K35" s="28"/>
      <c r="L35" s="28"/>
    </row>
    <row r="36" spans="1:13">
      <c r="A36" s="615" t="s">
        <v>668</v>
      </c>
      <c r="B36" s="1101"/>
      <c r="C36" s="1180" t="e">
        <f>C114*'7-PlantStudy'!F$28</f>
        <v>#DIV/0!</v>
      </c>
      <c r="D36" s="1180" t="e">
        <f>D114*'7-PlantStudy'!F$28</f>
        <v>#DIV/0!</v>
      </c>
      <c r="E36" s="1180" t="e">
        <f>E114*'7-PlantStudy'!F$28</f>
        <v>#DIV/0!</v>
      </c>
      <c r="F36" s="1180" t="e">
        <f>F114*'7-PlantStudy'!F$28</f>
        <v>#DIV/0!</v>
      </c>
      <c r="G36" s="1180" t="e">
        <f>G114*'7-PlantStudy'!F$28</f>
        <v>#DIV/0!</v>
      </c>
      <c r="H36" s="1180" t="e">
        <f>H114*'7-PlantStudy'!F$28</f>
        <v>#DIV/0!</v>
      </c>
      <c r="I36" s="836" t="e">
        <f>SUM(C15:L15)+SUM(C36:H36)</f>
        <v>#DIV/0!</v>
      </c>
      <c r="J36" s="1031" t="s">
        <v>3092</v>
      </c>
      <c r="K36" s="28"/>
      <c r="L36" s="28"/>
    </row>
    <row r="37" spans="1:13">
      <c r="A37" s="615" t="s">
        <v>669</v>
      </c>
      <c r="B37" s="1101"/>
      <c r="C37" s="1180" t="e">
        <f>C115*'7-PlantStudy'!F$28</f>
        <v>#DIV/0!</v>
      </c>
      <c r="D37" s="1180" t="e">
        <f>D115*'7-PlantStudy'!F$28</f>
        <v>#DIV/0!</v>
      </c>
      <c r="E37" s="1180" t="e">
        <f>E115*'7-PlantStudy'!F$28</f>
        <v>#DIV/0!</v>
      </c>
      <c r="F37" s="1180" t="e">
        <f>F115*'7-PlantStudy'!F$28</f>
        <v>#DIV/0!</v>
      </c>
      <c r="G37" s="1180" t="e">
        <f>G115*'7-PlantStudy'!F$28</f>
        <v>#DIV/0!</v>
      </c>
      <c r="H37" s="1180" t="e">
        <f>H115*'7-PlantStudy'!F$28</f>
        <v>#DIV/0!</v>
      </c>
      <c r="I37" s="836" t="e">
        <f t="shared" si="12"/>
        <v>#DIV/0!</v>
      </c>
      <c r="J37" s="664" t="s">
        <v>3093</v>
      </c>
      <c r="K37" s="28"/>
      <c r="L37" s="28"/>
    </row>
    <row r="38" spans="1:13">
      <c r="A38" s="615" t="s">
        <v>670</v>
      </c>
      <c r="B38" s="1101"/>
      <c r="C38" s="1180" t="e">
        <f>C116*'7-PlantStudy'!F$28</f>
        <v>#DIV/0!</v>
      </c>
      <c r="D38" s="1180" t="e">
        <f>D116*'7-PlantStudy'!F$28</f>
        <v>#DIV/0!</v>
      </c>
      <c r="E38" s="1180" t="e">
        <f>E116*'7-PlantStudy'!F$28</f>
        <v>#DIV/0!</v>
      </c>
      <c r="F38" s="1180" t="e">
        <f>F116*'7-PlantStudy'!F$28</f>
        <v>#DIV/0!</v>
      </c>
      <c r="G38" s="1180" t="e">
        <f>G116*'7-PlantStudy'!F$28</f>
        <v>#DIV/0!</v>
      </c>
      <c r="H38" s="1180" t="e">
        <f>H116*'7-PlantStudy'!F$28</f>
        <v>#DIV/0!</v>
      </c>
      <c r="I38" s="836" t="e">
        <f t="shared" si="12"/>
        <v>#DIV/0!</v>
      </c>
      <c r="J38" s="664" t="s">
        <v>3094</v>
      </c>
      <c r="K38" s="28"/>
      <c r="L38" s="28"/>
    </row>
    <row r="39" spans="1:13">
      <c r="A39" s="615" t="s">
        <v>671</v>
      </c>
      <c r="B39" s="1101"/>
      <c r="C39" s="1180" t="e">
        <f>C117*'7-PlantStudy'!F$28</f>
        <v>#DIV/0!</v>
      </c>
      <c r="D39" s="1180" t="e">
        <f>D117*'7-PlantStudy'!F$28</f>
        <v>#DIV/0!</v>
      </c>
      <c r="E39" s="1180" t="e">
        <f>E117*'7-PlantStudy'!F$28</f>
        <v>#DIV/0!</v>
      </c>
      <c r="F39" s="1180" t="e">
        <f>F117*'7-PlantStudy'!F$28</f>
        <v>#DIV/0!</v>
      </c>
      <c r="G39" s="1180" t="e">
        <f>G117*'7-PlantStudy'!F$28</f>
        <v>#DIV/0!</v>
      </c>
      <c r="H39" s="1180" t="e">
        <f>H117*'7-PlantStudy'!F$28</f>
        <v>#DIV/0!</v>
      </c>
      <c r="I39" s="836" t="e">
        <f t="shared" si="12"/>
        <v>#DIV/0!</v>
      </c>
      <c r="J39" s="664" t="s">
        <v>3095</v>
      </c>
      <c r="K39" s="28"/>
      <c r="L39" s="28"/>
    </row>
    <row r="40" spans="1:13">
      <c r="A40" s="615" t="s">
        <v>672</v>
      </c>
      <c r="B40" s="1101"/>
      <c r="C40" s="1180" t="e">
        <f>C118*'7-PlantStudy'!F$28</f>
        <v>#DIV/0!</v>
      </c>
      <c r="D40" s="1180" t="e">
        <f>D118*'7-PlantStudy'!F$28</f>
        <v>#DIV/0!</v>
      </c>
      <c r="E40" s="1180" t="e">
        <f>E118*'7-PlantStudy'!F$28</f>
        <v>#DIV/0!</v>
      </c>
      <c r="F40" s="1180" t="e">
        <f>F118*'7-PlantStudy'!F$28</f>
        <v>#DIV/0!</v>
      </c>
      <c r="G40" s="1180" t="e">
        <f>G118*'7-PlantStudy'!F$28</f>
        <v>#DIV/0!</v>
      </c>
      <c r="H40" s="1180" t="e">
        <f>H118*'7-PlantStudy'!F$28</f>
        <v>#DIV/0!</v>
      </c>
      <c r="I40" s="836" t="e">
        <f t="shared" si="12"/>
        <v>#DIV/0!</v>
      </c>
      <c r="J40" s="664"/>
      <c r="K40" s="28"/>
      <c r="L40" s="28"/>
    </row>
    <row r="41" spans="1:13">
      <c r="A41" s="615" t="s">
        <v>673</v>
      </c>
      <c r="B41" s="1101"/>
      <c r="C41" s="1180" t="e">
        <f>C119*'7-PlantStudy'!F$28</f>
        <v>#DIV/0!</v>
      </c>
      <c r="D41" s="1180" t="e">
        <f>D119*'7-PlantStudy'!F$28</f>
        <v>#DIV/0!</v>
      </c>
      <c r="E41" s="1180" t="e">
        <f>E119*'7-PlantStudy'!F$28</f>
        <v>#DIV/0!</v>
      </c>
      <c r="F41" s="1180" t="e">
        <f>F119*'7-PlantStudy'!F$28</f>
        <v>#DIV/0!</v>
      </c>
      <c r="G41" s="1180" t="e">
        <f>G119*'7-PlantStudy'!F$28</f>
        <v>#DIV/0!</v>
      </c>
      <c r="H41" s="1180" t="e">
        <f>H119*'7-PlantStudy'!F$28</f>
        <v>#DIV/0!</v>
      </c>
      <c r="I41" s="836" t="e">
        <f t="shared" si="12"/>
        <v>#DIV/0!</v>
      </c>
      <c r="J41" s="664"/>
      <c r="K41" s="28"/>
      <c r="L41" s="28"/>
    </row>
    <row r="42" spans="1:13">
      <c r="A42" s="615" t="s">
        <v>674</v>
      </c>
      <c r="B42" s="1101"/>
      <c r="C42" s="1180" t="e">
        <f>C120*'7-PlantStudy'!F$28</f>
        <v>#DIV/0!</v>
      </c>
      <c r="D42" s="1180" t="e">
        <f>D120*'7-PlantStudy'!F$28</f>
        <v>#DIV/0!</v>
      </c>
      <c r="E42" s="1180" t="e">
        <f>E120*'7-PlantStudy'!F$28</f>
        <v>#DIV/0!</v>
      </c>
      <c r="F42" s="1180" t="e">
        <f>F120*'7-PlantStudy'!F$28</f>
        <v>#DIV/0!</v>
      </c>
      <c r="G42" s="1180" t="e">
        <f>G120*'7-PlantStudy'!F$28</f>
        <v>#DIV/0!</v>
      </c>
      <c r="H42" s="1180" t="e">
        <f>H120*'7-PlantStudy'!F$28</f>
        <v>#DIV/0!</v>
      </c>
      <c r="I42" s="836" t="e">
        <f t="shared" si="12"/>
        <v>#DIV/0!</v>
      </c>
      <c r="J42" s="664"/>
      <c r="K42" s="28"/>
      <c r="L42" s="28"/>
    </row>
    <row r="43" spans="1:13">
      <c r="A43" s="615" t="s">
        <v>675</v>
      </c>
      <c r="B43" s="1101"/>
      <c r="C43" s="1180" t="e">
        <f>C121*'7-PlantStudy'!F$28</f>
        <v>#DIV/0!</v>
      </c>
      <c r="D43" s="1180" t="e">
        <f>D121*'7-PlantStudy'!F$28</f>
        <v>#DIV/0!</v>
      </c>
      <c r="E43" s="1180" t="e">
        <f>E121*'7-PlantStudy'!F$28</f>
        <v>#DIV/0!</v>
      </c>
      <c r="F43" s="1180" t="e">
        <f>F121*'7-PlantStudy'!F$28</f>
        <v>#DIV/0!</v>
      </c>
      <c r="G43" s="1180" t="e">
        <f>G121*'7-PlantStudy'!F$28</f>
        <v>#DIV/0!</v>
      </c>
      <c r="H43" s="1180" t="e">
        <f>H121*'7-PlantStudy'!F$28</f>
        <v>#DIV/0!</v>
      </c>
      <c r="I43" s="836" t="e">
        <f t="shared" si="12"/>
        <v>#DIV/0!</v>
      </c>
      <c r="J43" s="664"/>
      <c r="K43" s="28"/>
      <c r="L43" s="28"/>
    </row>
    <row r="44" spans="1:13">
      <c r="A44" s="615" t="s">
        <v>676</v>
      </c>
      <c r="B44" s="1101"/>
      <c r="C44" s="1180" t="e">
        <f>C122*'7-PlantStudy'!F$28</f>
        <v>#DIV/0!</v>
      </c>
      <c r="D44" s="1180" t="e">
        <f>D122*'7-PlantStudy'!F$28</f>
        <v>#DIV/0!</v>
      </c>
      <c r="E44" s="1180" t="e">
        <f>E122*'7-PlantStudy'!F$28</f>
        <v>#DIV/0!</v>
      </c>
      <c r="F44" s="1180" t="e">
        <f>F122*'7-PlantStudy'!F$28</f>
        <v>#DIV/0!</v>
      </c>
      <c r="G44" s="1180" t="e">
        <f>G122*'7-PlantStudy'!F$28</f>
        <v>#DIV/0!</v>
      </c>
      <c r="H44" s="1180" t="e">
        <f>H122*'7-PlantStudy'!F$28</f>
        <v>#DIV/0!</v>
      </c>
      <c r="I44" s="836" t="e">
        <f t="shared" si="12"/>
        <v>#DIV/0!</v>
      </c>
      <c r="J44" s="664"/>
      <c r="K44" s="28"/>
      <c r="L44" s="28"/>
    </row>
    <row r="45" spans="1:13">
      <c r="A45" s="615" t="s">
        <v>677</v>
      </c>
      <c r="B45" s="1101"/>
      <c r="C45" s="1180" t="e">
        <f>C123*'7-PlantStudy'!F$28</f>
        <v>#DIV/0!</v>
      </c>
      <c r="D45" s="1180" t="e">
        <f>D123*'7-PlantStudy'!F$28</f>
        <v>#DIV/0!</v>
      </c>
      <c r="E45" s="1180" t="e">
        <f>E123*'7-PlantStudy'!F$28</f>
        <v>#DIV/0!</v>
      </c>
      <c r="F45" s="1180" t="e">
        <f>F123*'7-PlantStudy'!F$28</f>
        <v>#DIV/0!</v>
      </c>
      <c r="G45" s="1180" t="e">
        <f>G123*'7-PlantStudy'!F$28</f>
        <v>#DIV/0!</v>
      </c>
      <c r="H45" s="1180" t="e">
        <f>H123*'7-PlantStudy'!F$28</f>
        <v>#DIV/0!</v>
      </c>
      <c r="I45" s="836" t="e">
        <f t="shared" si="12"/>
        <v>#DIV/0!</v>
      </c>
      <c r="J45" s="664"/>
      <c r="K45" s="28"/>
      <c r="L45" s="28"/>
    </row>
    <row r="46" spans="1:13">
      <c r="A46" s="615" t="s">
        <v>678</v>
      </c>
      <c r="B46" s="1101"/>
      <c r="C46" s="1180" t="e">
        <f>C124*'7-PlantStudy'!F$28</f>
        <v>#DIV/0!</v>
      </c>
      <c r="D46" s="1180" t="e">
        <f>D124*'7-PlantStudy'!F$28</f>
        <v>#DIV/0!</v>
      </c>
      <c r="E46" s="1180" t="e">
        <f>E124*'7-PlantStudy'!F$28</f>
        <v>#DIV/0!</v>
      </c>
      <c r="F46" s="1180" t="e">
        <f>F124*'7-PlantStudy'!F$28</f>
        <v>#DIV/0!</v>
      </c>
      <c r="G46" s="1180" t="e">
        <f>G124*'7-PlantStudy'!F$28</f>
        <v>#DIV/0!</v>
      </c>
      <c r="H46" s="1180" t="e">
        <f>H124*'7-PlantStudy'!F$28</f>
        <v>#DIV/0!</v>
      </c>
      <c r="I46" s="836" t="e">
        <f t="shared" si="12"/>
        <v>#DIV/0!</v>
      </c>
      <c r="J46" s="664"/>
      <c r="K46" s="28"/>
      <c r="L46" s="28"/>
      <c r="M46" s="233"/>
    </row>
    <row r="47" spans="1:13">
      <c r="A47" s="615" t="s">
        <v>679</v>
      </c>
      <c r="B47" s="1102" t="s">
        <v>660</v>
      </c>
      <c r="C47" s="836" t="e">
        <f>AVERAGE(C34:C46)</f>
        <v>#DIV/0!</v>
      </c>
      <c r="D47" s="836" t="e">
        <f t="shared" ref="D47:G47" si="13">AVERAGE(D34:D46)</f>
        <v>#DIV/0!</v>
      </c>
      <c r="E47" s="836" t="e">
        <f t="shared" si="13"/>
        <v>#DIV/0!</v>
      </c>
      <c r="F47" s="836" t="e">
        <f t="shared" si="13"/>
        <v>#DIV/0!</v>
      </c>
      <c r="G47" s="836" t="e">
        <f t="shared" si="13"/>
        <v>#DIV/0!</v>
      </c>
      <c r="H47" s="836" t="e">
        <f>AVERAGE(H34:H46)</f>
        <v>#DIV/0!</v>
      </c>
      <c r="I47" s="836" t="e">
        <f>AVERAGE(I34:I46)</f>
        <v>#DIV/0!</v>
      </c>
      <c r="J47" s="664"/>
      <c r="K47" s="233"/>
      <c r="L47" s="233"/>
    </row>
    <row r="48" spans="1:13">
      <c r="A48" s="615"/>
      <c r="B48" s="562"/>
      <c r="C48" s="233"/>
      <c r="D48" s="233"/>
      <c r="E48" s="233"/>
      <c r="F48" s="233"/>
      <c r="G48" s="233"/>
      <c r="H48" s="233"/>
      <c r="I48" s="233"/>
    </row>
    <row r="49" spans="1:12" ht="13">
      <c r="A49" s="233"/>
      <c r="B49" s="197" t="s">
        <v>680</v>
      </c>
      <c r="C49" s="233"/>
      <c r="D49" s="233"/>
      <c r="E49" s="233"/>
      <c r="F49" s="233"/>
      <c r="G49" s="233"/>
      <c r="H49" s="233"/>
      <c r="I49" s="233"/>
      <c r="J49" s="233"/>
      <c r="K49" s="233"/>
      <c r="L49" s="233"/>
    </row>
    <row r="50" spans="1:12">
      <c r="A50" s="233"/>
      <c r="B50" s="112" t="s">
        <v>681</v>
      </c>
      <c r="C50" s="233"/>
      <c r="D50" s="233"/>
      <c r="E50" s="233"/>
      <c r="F50" s="233"/>
      <c r="G50" s="233"/>
      <c r="H50" s="233"/>
      <c r="I50" s="233"/>
      <c r="J50" s="233"/>
      <c r="K50" s="233"/>
      <c r="L50" s="233"/>
    </row>
    <row r="51" spans="1:12" ht="13">
      <c r="A51" s="233"/>
      <c r="B51" s="197"/>
      <c r="C51" s="233"/>
      <c r="D51" s="233"/>
      <c r="E51" s="233"/>
      <c r="F51" s="233"/>
      <c r="G51" s="233"/>
      <c r="H51" s="233"/>
      <c r="I51" s="233"/>
      <c r="J51" s="233"/>
      <c r="K51" s="233"/>
      <c r="L51" s="233"/>
    </row>
    <row r="52" spans="1:12" ht="13">
      <c r="A52" s="197"/>
      <c r="B52" s="48" t="s">
        <v>347</v>
      </c>
      <c r="C52" s="48" t="s">
        <v>348</v>
      </c>
      <c r="D52" s="48" t="s">
        <v>349</v>
      </c>
      <c r="E52" s="48" t="s">
        <v>350</v>
      </c>
      <c r="F52" s="48" t="s">
        <v>351</v>
      </c>
      <c r="G52" s="233"/>
      <c r="H52" s="233"/>
      <c r="I52" s="233"/>
      <c r="J52" s="233"/>
      <c r="K52" s="233"/>
      <c r="L52" s="233"/>
    </row>
    <row r="53" spans="1:12">
      <c r="A53" s="112"/>
      <c r="B53" s="125"/>
      <c r="C53" s="112"/>
      <c r="D53" s="112"/>
      <c r="E53" s="112"/>
      <c r="F53" s="125" t="s">
        <v>682</v>
      </c>
      <c r="G53" s="233"/>
      <c r="H53" s="233"/>
      <c r="K53" s="233"/>
      <c r="L53" s="233"/>
    </row>
    <row r="54" spans="1:12" ht="13">
      <c r="A54" s="112"/>
      <c r="B54" s="2"/>
      <c r="C54" s="48"/>
      <c r="D54" s="48"/>
      <c r="E54" s="112"/>
      <c r="F54" s="112"/>
      <c r="G54" s="233"/>
      <c r="H54" s="233"/>
      <c r="K54" s="233"/>
      <c r="L54" s="233"/>
    </row>
    <row r="55" spans="1:12" ht="12.75" customHeight="1">
      <c r="A55" s="30" t="s">
        <v>284</v>
      </c>
      <c r="B55" s="3" t="s">
        <v>659</v>
      </c>
      <c r="C55" s="184">
        <v>360</v>
      </c>
      <c r="D55" s="184">
        <v>361</v>
      </c>
      <c r="E55" s="184">
        <v>362</v>
      </c>
      <c r="F55" s="3" t="s">
        <v>252</v>
      </c>
      <c r="G55" s="233"/>
      <c r="H55" s="233"/>
      <c r="K55" s="233"/>
      <c r="L55" s="233"/>
    </row>
    <row r="56" spans="1:12" ht="12.75" customHeight="1">
      <c r="A56" s="2">
        <f>A26+1</f>
        <v>15</v>
      </c>
      <c r="B56" s="387"/>
      <c r="C56" s="116"/>
      <c r="D56" s="116"/>
      <c r="E56" s="116"/>
      <c r="F56" s="114">
        <f>SUM(C56:E56)</f>
        <v>0</v>
      </c>
      <c r="G56" s="233"/>
      <c r="H56" s="233"/>
      <c r="K56" s="233"/>
      <c r="L56" s="233"/>
    </row>
    <row r="57" spans="1:12" ht="12.75" customHeight="1">
      <c r="A57" s="2">
        <f>A56+1</f>
        <v>16</v>
      </c>
      <c r="B57" s="387"/>
      <c r="C57" s="199"/>
      <c r="D57" s="199"/>
      <c r="E57" s="199"/>
      <c r="F57" s="183">
        <f>SUM(C57:E57)</f>
        <v>0</v>
      </c>
      <c r="G57" s="233"/>
      <c r="H57" s="233"/>
      <c r="K57" s="233"/>
      <c r="L57" s="233"/>
    </row>
    <row r="58" spans="1:12" ht="12.75" customHeight="1">
      <c r="A58" s="2">
        <f>A57+1</f>
        <v>17</v>
      </c>
      <c r="B58" s="562" t="s">
        <v>683</v>
      </c>
      <c r="C58" s="114" t="e">
        <f>AVERAGE(C56:C57)</f>
        <v>#DIV/0!</v>
      </c>
      <c r="D58" s="114" t="e">
        <f>AVERAGE(D56:D57)</f>
        <v>#DIV/0!</v>
      </c>
      <c r="E58" s="114" t="e">
        <f>AVERAGE(E56:E57)</f>
        <v>#DIV/0!</v>
      </c>
      <c r="F58" s="114">
        <f>AVERAGE(F56:F57)</f>
        <v>0</v>
      </c>
      <c r="G58" s="233"/>
      <c r="H58" s="233"/>
      <c r="K58" s="233"/>
      <c r="L58" s="233"/>
    </row>
    <row r="59" spans="1:12" ht="12.75" customHeight="1">
      <c r="A59" s="233"/>
      <c r="B59" s="233"/>
      <c r="C59" s="233"/>
      <c r="D59" s="233"/>
      <c r="E59" s="233"/>
      <c r="F59" s="233"/>
      <c r="G59" s="233"/>
      <c r="H59" s="233"/>
      <c r="K59" s="233"/>
      <c r="L59" s="233"/>
    </row>
    <row r="60" spans="1:12" ht="13">
      <c r="A60" s="233"/>
      <c r="B60" s="1" t="s">
        <v>684</v>
      </c>
      <c r="C60" s="334"/>
      <c r="D60" s="334"/>
      <c r="E60" s="311"/>
      <c r="F60" s="563"/>
      <c r="G60" s="564"/>
      <c r="H60" s="233"/>
      <c r="K60" s="233"/>
      <c r="L60" s="233"/>
    </row>
    <row r="61" spans="1:12" ht="13">
      <c r="A61" s="233"/>
      <c r="B61" s="233" t="s">
        <v>685</v>
      </c>
      <c r="C61" s="334"/>
      <c r="D61" s="334"/>
      <c r="E61" s="311"/>
      <c r="F61" s="563"/>
      <c r="G61" s="564"/>
      <c r="H61" s="233"/>
      <c r="K61" s="233"/>
      <c r="L61" s="233"/>
    </row>
    <row r="62" spans="1:12" ht="13">
      <c r="A62" s="233"/>
      <c r="B62" s="233"/>
      <c r="C62" s="334"/>
      <c r="D62" s="334"/>
      <c r="E62" s="311"/>
      <c r="F62" s="563"/>
      <c r="G62" s="564"/>
      <c r="H62" s="233"/>
      <c r="K62" s="233"/>
      <c r="L62" s="233"/>
    </row>
    <row r="63" spans="1:12" ht="13">
      <c r="A63" s="233"/>
      <c r="B63" s="233"/>
      <c r="C63" s="334"/>
      <c r="D63" s="565" t="s">
        <v>81</v>
      </c>
      <c r="E63" s="328" t="s">
        <v>686</v>
      </c>
      <c r="F63" s="563"/>
      <c r="G63" s="564"/>
      <c r="H63" s="233"/>
      <c r="K63" s="233"/>
      <c r="L63" s="233"/>
    </row>
    <row r="64" spans="1:12" ht="14">
      <c r="A64" s="2">
        <f>A58+1</f>
        <v>18</v>
      </c>
      <c r="B64" s="233"/>
      <c r="C64" s="311" t="s">
        <v>687</v>
      </c>
      <c r="D64" s="563" t="e">
        <f>I47+F58</f>
        <v>#DIV/0!</v>
      </c>
      <c r="E64" s="1121" t="s">
        <v>3056</v>
      </c>
      <c r="F64" s="939"/>
      <c r="G64" s="939"/>
      <c r="H64" s="233"/>
      <c r="K64" s="233"/>
      <c r="L64" s="233"/>
    </row>
    <row r="65" spans="1:12" ht="14">
      <c r="A65" s="2">
        <f>A64+1</f>
        <v>19</v>
      </c>
      <c r="B65" s="233"/>
      <c r="C65" s="311" t="s">
        <v>688</v>
      </c>
      <c r="D65" s="563" t="e">
        <f>I46+F57</f>
        <v>#DIV/0!</v>
      </c>
      <c r="E65" s="1121" t="s">
        <v>3057</v>
      </c>
      <c r="F65" s="28"/>
      <c r="G65" s="939"/>
      <c r="H65" s="233"/>
      <c r="I65" s="233"/>
      <c r="J65" s="233"/>
      <c r="K65" s="233"/>
      <c r="L65" s="233"/>
    </row>
    <row r="66" spans="1:12" ht="13">
      <c r="A66" s="233"/>
      <c r="B66" s="233"/>
      <c r="C66" s="334"/>
      <c r="D66" s="334"/>
      <c r="E66" s="303"/>
      <c r="F66" s="566"/>
      <c r="G66" s="567"/>
      <c r="H66" s="233"/>
      <c r="I66" s="233"/>
      <c r="J66" s="233"/>
      <c r="K66" s="233"/>
      <c r="L66" s="233"/>
    </row>
    <row r="67" spans="1:12" ht="13">
      <c r="A67" s="233"/>
      <c r="B67" s="1" t="s">
        <v>689</v>
      </c>
      <c r="C67" s="233"/>
      <c r="D67" s="233"/>
      <c r="E67" s="303"/>
      <c r="F67" s="566"/>
      <c r="G67" s="567"/>
      <c r="H67" s="233"/>
      <c r="I67" s="233"/>
      <c r="J67" s="233"/>
      <c r="K67" s="233"/>
      <c r="L67" s="233"/>
    </row>
    <row r="68" spans="1:12">
      <c r="A68" s="233"/>
      <c r="B68" s="232" t="s">
        <v>690</v>
      </c>
      <c r="C68" s="233"/>
      <c r="D68" s="233"/>
      <c r="E68" s="303"/>
      <c r="F68" s="566"/>
      <c r="G68" s="567"/>
      <c r="H68" s="233"/>
      <c r="I68" s="233"/>
      <c r="J68" s="233"/>
      <c r="K68" s="233"/>
      <c r="L68" s="233"/>
    </row>
    <row r="69" spans="1:12" ht="12.75" customHeight="1">
      <c r="A69" s="233"/>
      <c r="B69" s="232"/>
      <c r="C69" s="233"/>
      <c r="D69" s="233"/>
      <c r="E69" s="303"/>
      <c r="F69" s="566"/>
      <c r="G69" s="567"/>
      <c r="H69" s="233"/>
      <c r="I69" s="233"/>
      <c r="J69" s="233"/>
      <c r="K69" s="233"/>
      <c r="L69" s="233"/>
    </row>
    <row r="70" spans="1:12" ht="13">
      <c r="A70" s="233"/>
      <c r="B70" s="1"/>
      <c r="C70" s="1103"/>
      <c r="D70" s="233"/>
      <c r="E70" s="303"/>
      <c r="F70" s="48" t="s">
        <v>347</v>
      </c>
      <c r="G70" s="48" t="s">
        <v>348</v>
      </c>
      <c r="H70" s="48" t="s">
        <v>349</v>
      </c>
      <c r="I70" s="233"/>
      <c r="J70" s="233"/>
      <c r="K70" s="233"/>
      <c r="L70" s="233"/>
    </row>
    <row r="71" spans="1:12" ht="13">
      <c r="A71" s="233"/>
      <c r="B71" s="1"/>
      <c r="C71" s="2" t="s">
        <v>425</v>
      </c>
      <c r="D71" s="303"/>
      <c r="F71" s="2" t="s">
        <v>691</v>
      </c>
      <c r="G71" s="2" t="s">
        <v>692</v>
      </c>
      <c r="H71" s="557" t="s">
        <v>252</v>
      </c>
      <c r="I71" s="567"/>
      <c r="J71" s="233"/>
      <c r="K71" s="233"/>
      <c r="L71" s="233"/>
    </row>
    <row r="72" spans="1:12" ht="13">
      <c r="A72" s="233"/>
      <c r="B72" s="233"/>
      <c r="C72" s="2" t="s">
        <v>383</v>
      </c>
      <c r="D72" s="310" t="s">
        <v>693</v>
      </c>
      <c r="F72" s="310" t="s">
        <v>694</v>
      </c>
      <c r="G72" s="310" t="s">
        <v>694</v>
      </c>
      <c r="H72" s="310" t="s">
        <v>695</v>
      </c>
      <c r="I72" s="310"/>
      <c r="J72" s="233"/>
      <c r="K72" s="233"/>
      <c r="L72" s="233"/>
    </row>
    <row r="73" spans="1:12" ht="13">
      <c r="A73" s="233"/>
      <c r="B73" s="233"/>
      <c r="C73" s="3" t="s">
        <v>382</v>
      </c>
      <c r="D73" s="328" t="s">
        <v>686</v>
      </c>
      <c r="F73" s="328" t="s">
        <v>696</v>
      </c>
      <c r="G73" s="328" t="s">
        <v>696</v>
      </c>
      <c r="H73" s="328" t="s">
        <v>696</v>
      </c>
      <c r="I73" s="328" t="s">
        <v>103</v>
      </c>
      <c r="J73" s="233"/>
      <c r="K73" s="233"/>
      <c r="L73" s="233"/>
    </row>
    <row r="74" spans="1:12" ht="14.5">
      <c r="A74" s="2">
        <f>A65+1</f>
        <v>20</v>
      </c>
      <c r="B74" s="233"/>
      <c r="C74" s="303" t="s">
        <v>390</v>
      </c>
      <c r="D74" s="556" t="s">
        <v>697</v>
      </c>
      <c r="F74" s="1138"/>
      <c r="G74" s="1136"/>
      <c r="H74" s="563">
        <f>SUM(F74:G74)</f>
        <v>0</v>
      </c>
      <c r="I74" s="556" t="s">
        <v>698</v>
      </c>
      <c r="J74" s="233"/>
      <c r="K74" s="615"/>
      <c r="L74" s="233"/>
    </row>
    <row r="75" spans="1:12" ht="12.75" customHeight="1">
      <c r="A75" s="2">
        <f>A74+1</f>
        <v>21</v>
      </c>
      <c r="B75" s="233"/>
      <c r="C75" s="329" t="s">
        <v>390</v>
      </c>
      <c r="D75" s="556" t="s">
        <v>699</v>
      </c>
      <c r="F75" s="1138"/>
      <c r="G75" s="1136"/>
      <c r="H75" s="563">
        <f>SUM(F75:G75)</f>
        <v>0</v>
      </c>
      <c r="I75" s="232" t="s">
        <v>700</v>
      </c>
      <c r="J75" s="233"/>
      <c r="K75" s="590"/>
      <c r="L75" s="233"/>
    </row>
    <row r="76" spans="1:12" ht="12.75" customHeight="1">
      <c r="A76" s="233"/>
      <c r="B76" s="233"/>
      <c r="C76" s="329"/>
      <c r="D76" s="568"/>
      <c r="E76" s="569"/>
      <c r="F76" s="563"/>
      <c r="G76" s="232"/>
      <c r="H76" s="233"/>
      <c r="I76" s="233"/>
      <c r="J76" s="233"/>
      <c r="K76" s="233"/>
      <c r="L76" s="233"/>
    </row>
    <row r="77" spans="1:12" ht="12.75" customHeight="1">
      <c r="A77" s="233"/>
      <c r="B77" s="233"/>
      <c r="C77" s="334" t="s">
        <v>701</v>
      </c>
      <c r="D77" s="334"/>
      <c r="E77" s="303"/>
      <c r="F77" s="328" t="s">
        <v>81</v>
      </c>
      <c r="G77" s="570" t="s">
        <v>686</v>
      </c>
      <c r="H77" s="233"/>
      <c r="I77" s="233"/>
      <c r="J77" s="233"/>
      <c r="K77" s="233"/>
      <c r="L77" s="233"/>
    </row>
    <row r="78" spans="1:12" ht="13">
      <c r="A78" s="2">
        <f>A75+1</f>
        <v>22</v>
      </c>
      <c r="B78" s="233"/>
      <c r="C78" s="334"/>
      <c r="D78" s="334"/>
      <c r="E78" s="311" t="s">
        <v>702</v>
      </c>
      <c r="F78" s="563">
        <f>(H74+H75)/2</f>
        <v>0</v>
      </c>
      <c r="G78" s="257" t="str">
        <f>"Average of Line "&amp;A74&amp;" and "&amp;A75&amp;"."</f>
        <v>Average of Line 20 and 21.</v>
      </c>
      <c r="H78" s="233"/>
      <c r="I78" s="233"/>
      <c r="J78" s="233"/>
      <c r="K78" s="233"/>
      <c r="L78" s="233"/>
    </row>
    <row r="79" spans="1:12" ht="13">
      <c r="A79" s="2">
        <f>A78+1</f>
        <v>23</v>
      </c>
      <c r="B79" s="233"/>
      <c r="C79" s="334"/>
      <c r="D79" s="334"/>
      <c r="E79" s="311" t="s">
        <v>703</v>
      </c>
      <c r="F79" s="571" t="e">
        <f>'27-Allocators'!G15</f>
        <v>#DIV/0!</v>
      </c>
      <c r="G79" s="257" t="str">
        <f>"27-Allocators, Line "&amp;'27-Allocators'!A15&amp;""</f>
        <v>27-Allocators, Line 9</v>
      </c>
      <c r="H79" s="233"/>
      <c r="I79" s="233"/>
      <c r="J79" s="233"/>
      <c r="K79" s="233"/>
      <c r="L79" s="233"/>
    </row>
    <row r="80" spans="1:12" ht="13">
      <c r="A80" s="2">
        <f>A79+1</f>
        <v>24</v>
      </c>
      <c r="B80" s="233"/>
      <c r="C80" s="334"/>
      <c r="D80" s="334"/>
      <c r="E80" s="311" t="s">
        <v>704</v>
      </c>
      <c r="F80" s="563" t="e">
        <f>F78*F79</f>
        <v>#DIV/0!</v>
      </c>
      <c r="G80" s="257" t="str">
        <f>"Line "&amp;A78&amp;" * Line "&amp;A79&amp;"."</f>
        <v>Line 22 * Line 23.</v>
      </c>
      <c r="H80" s="233"/>
      <c r="I80" s="233"/>
      <c r="J80" s="233"/>
      <c r="K80" s="233"/>
      <c r="L80" s="233"/>
    </row>
    <row r="81" spans="1:13" ht="13">
      <c r="A81" s="233"/>
      <c r="B81" s="233"/>
      <c r="C81" s="334"/>
      <c r="D81" s="334"/>
      <c r="E81" s="311"/>
      <c r="F81" s="563"/>
      <c r="G81" s="564"/>
      <c r="H81" s="233"/>
      <c r="I81" s="233"/>
      <c r="J81" s="233"/>
      <c r="K81" s="233"/>
      <c r="L81" s="233"/>
    </row>
    <row r="82" spans="1:13" ht="13">
      <c r="A82" s="233"/>
      <c r="B82" s="233"/>
      <c r="C82" s="334" t="s">
        <v>705</v>
      </c>
      <c r="D82" s="334"/>
      <c r="E82" s="303"/>
      <c r="F82" s="328" t="s">
        <v>81</v>
      </c>
      <c r="G82" s="570" t="s">
        <v>686</v>
      </c>
      <c r="H82" s="233"/>
      <c r="I82" s="233"/>
      <c r="J82" s="233"/>
      <c r="K82" s="233"/>
      <c r="L82" s="233"/>
    </row>
    <row r="83" spans="1:13" ht="13">
      <c r="A83" s="2">
        <f>A80+1</f>
        <v>25</v>
      </c>
      <c r="B83" s="233"/>
      <c r="C83" s="334"/>
      <c r="D83" s="334"/>
      <c r="E83" s="311" t="s">
        <v>688</v>
      </c>
      <c r="F83" s="563">
        <f>H75</f>
        <v>0</v>
      </c>
      <c r="G83" s="257" t="str">
        <f>"Line "&amp;A75&amp;"."</f>
        <v>Line 21.</v>
      </c>
      <c r="H83" s="233"/>
      <c r="I83" s="233"/>
      <c r="J83" s="233"/>
      <c r="K83" s="233"/>
      <c r="L83" s="233"/>
    </row>
    <row r="84" spans="1:13" ht="13">
      <c r="A84" s="2">
        <f>A83+1</f>
        <v>26</v>
      </c>
      <c r="B84" s="233"/>
      <c r="C84" s="334"/>
      <c r="D84" s="334"/>
      <c r="E84" s="311" t="s">
        <v>703</v>
      </c>
      <c r="F84" s="571" t="e">
        <f>'27-Allocators'!G15</f>
        <v>#DIV/0!</v>
      </c>
      <c r="G84" s="257" t="str">
        <f>"27-Allocators, Line "&amp;'27-Allocators'!A15&amp;""</f>
        <v>27-Allocators, Line 9</v>
      </c>
      <c r="H84" s="233"/>
      <c r="I84" s="233"/>
      <c r="J84" s="233"/>
      <c r="K84" s="233"/>
      <c r="L84" s="233"/>
    </row>
    <row r="85" spans="1:13" ht="13">
      <c r="A85" s="2">
        <f>A84+1</f>
        <v>27</v>
      </c>
      <c r="B85" s="233"/>
      <c r="C85" s="334"/>
      <c r="D85" s="334"/>
      <c r="E85" s="311" t="s">
        <v>704</v>
      </c>
      <c r="F85" s="563" t="e">
        <f>F83*F84</f>
        <v>#DIV/0!</v>
      </c>
      <c r="G85" s="257" t="str">
        <f>"Line "&amp;A83&amp;" * Line "&amp;A84&amp;"."</f>
        <v>Line 25 * Line 26.</v>
      </c>
      <c r="H85" s="233"/>
      <c r="I85" s="233"/>
      <c r="J85" s="233"/>
      <c r="K85" s="233"/>
      <c r="L85" s="233"/>
    </row>
    <row r="86" spans="1:13">
      <c r="A86" s="233"/>
      <c r="B86" s="233"/>
      <c r="C86" s="233"/>
      <c r="D86" s="233"/>
      <c r="E86" s="233"/>
      <c r="F86" s="233"/>
      <c r="G86" s="233"/>
      <c r="H86" s="233"/>
      <c r="I86" s="233"/>
      <c r="J86" s="233"/>
      <c r="K86" s="233"/>
      <c r="L86" s="233"/>
    </row>
    <row r="87" spans="1:13" ht="13">
      <c r="A87" s="233"/>
      <c r="B87" s="1" t="s">
        <v>706</v>
      </c>
      <c r="C87" s="233"/>
      <c r="D87" s="233"/>
      <c r="E87" s="233"/>
      <c r="F87" s="233"/>
      <c r="G87" s="233"/>
      <c r="H87" s="233"/>
      <c r="I87" s="233"/>
      <c r="J87" s="233"/>
      <c r="K87" s="233"/>
      <c r="L87" s="233"/>
    </row>
    <row r="88" spans="1:13">
      <c r="A88" s="233"/>
      <c r="C88" s="233"/>
      <c r="D88" s="233"/>
      <c r="E88" s="233"/>
      <c r="F88" s="233"/>
      <c r="G88" s="233"/>
      <c r="H88" s="233"/>
      <c r="I88" s="233"/>
      <c r="J88" s="233"/>
      <c r="K88" s="233"/>
      <c r="L88" s="233"/>
    </row>
    <row r="89" spans="1:13" ht="13">
      <c r="B89" s="1" t="s">
        <v>707</v>
      </c>
      <c r="C89" s="233"/>
      <c r="D89" s="233"/>
      <c r="E89" s="233"/>
      <c r="F89" s="233"/>
      <c r="G89" s="233"/>
      <c r="H89" s="233"/>
      <c r="I89" s="233"/>
      <c r="J89" s="233"/>
      <c r="K89" s="233"/>
      <c r="L89" s="233"/>
    </row>
    <row r="90" spans="1:13" ht="13">
      <c r="A90" s="233"/>
      <c r="B90" s="1162" t="s">
        <v>3025</v>
      </c>
      <c r="C90" s="233"/>
      <c r="D90" s="233"/>
      <c r="E90" s="233"/>
      <c r="F90" s="233"/>
      <c r="G90" s="233"/>
      <c r="H90" s="233"/>
      <c r="I90" s="233"/>
      <c r="J90" s="233"/>
      <c r="K90" s="233"/>
      <c r="L90" s="233"/>
    </row>
    <row r="91" spans="1:13" ht="13">
      <c r="A91" s="197"/>
      <c r="B91" s="48" t="s">
        <v>347</v>
      </c>
      <c r="C91" s="48" t="s">
        <v>348</v>
      </c>
      <c r="D91" s="48" t="s">
        <v>349</v>
      </c>
      <c r="E91" s="48" t="s">
        <v>350</v>
      </c>
      <c r="F91" s="48" t="s">
        <v>351</v>
      </c>
      <c r="G91" s="48" t="s">
        <v>352</v>
      </c>
      <c r="H91" s="48" t="s">
        <v>353</v>
      </c>
      <c r="I91" s="48" t="s">
        <v>354</v>
      </c>
      <c r="J91" s="48" t="s">
        <v>355</v>
      </c>
      <c r="K91" s="48" t="s">
        <v>605</v>
      </c>
      <c r="L91" s="48" t="s">
        <v>606</v>
      </c>
      <c r="M91" s="48" t="s">
        <v>607</v>
      </c>
    </row>
    <row r="92" spans="1:13">
      <c r="A92" s="112"/>
      <c r="B92" s="125"/>
      <c r="C92" s="112"/>
      <c r="D92" s="112"/>
      <c r="E92" s="112"/>
      <c r="F92" s="112"/>
      <c r="G92" s="112"/>
      <c r="H92" s="112"/>
      <c r="I92" s="112"/>
      <c r="J92" s="112"/>
      <c r="K92" s="112"/>
      <c r="M92" s="125" t="s">
        <v>658</v>
      </c>
    </row>
    <row r="93" spans="1:13" ht="13">
      <c r="A93" s="30"/>
      <c r="B93" s="3" t="s">
        <v>659</v>
      </c>
      <c r="C93" s="48">
        <v>350.1</v>
      </c>
      <c r="D93" s="48">
        <v>350.2</v>
      </c>
      <c r="E93" s="48">
        <v>352</v>
      </c>
      <c r="F93" s="48">
        <v>353</v>
      </c>
      <c r="G93" s="48">
        <v>354</v>
      </c>
      <c r="H93" s="48">
        <v>355</v>
      </c>
      <c r="I93" s="48">
        <v>356</v>
      </c>
      <c r="J93" s="48">
        <v>357</v>
      </c>
      <c r="K93" s="48">
        <v>358</v>
      </c>
      <c r="L93" s="48">
        <v>359</v>
      </c>
      <c r="M93" s="3" t="s">
        <v>252</v>
      </c>
    </row>
    <row r="94" spans="1:13" ht="13">
      <c r="A94" s="2">
        <f>A85+1</f>
        <v>28</v>
      </c>
      <c r="B94" s="508"/>
      <c r="C94" s="253"/>
      <c r="D94" s="253"/>
      <c r="E94" s="116"/>
      <c r="F94" s="116"/>
      <c r="G94" s="116"/>
      <c r="H94" s="116"/>
      <c r="I94" s="116"/>
      <c r="J94" s="116"/>
      <c r="K94" s="116"/>
      <c r="L94" s="116"/>
      <c r="M94" s="114">
        <f t="shared" ref="M94:M105" si="14">SUM(C94:L94)</f>
        <v>0</v>
      </c>
    </row>
    <row r="95" spans="1:13" ht="13">
      <c r="A95" s="2">
        <f t="shared" ref="A95:A106" si="15">A94+1</f>
        <v>29</v>
      </c>
      <c r="B95" s="387"/>
      <c r="C95" s="253"/>
      <c r="D95" s="253"/>
      <c r="E95" s="116"/>
      <c r="F95" s="116"/>
      <c r="G95" s="116"/>
      <c r="H95" s="116"/>
      <c r="I95" s="116"/>
      <c r="J95" s="116"/>
      <c r="K95" s="116"/>
      <c r="L95" s="116"/>
      <c r="M95" s="114">
        <f t="shared" si="14"/>
        <v>0</v>
      </c>
    </row>
    <row r="96" spans="1:13" ht="13">
      <c r="A96" s="2">
        <f t="shared" si="15"/>
        <v>30</v>
      </c>
      <c r="B96" s="387"/>
      <c r="C96" s="253"/>
      <c r="D96" s="253"/>
      <c r="E96" s="116"/>
      <c r="F96" s="116"/>
      <c r="G96" s="116"/>
      <c r="H96" s="116"/>
      <c r="I96" s="116"/>
      <c r="J96" s="116"/>
      <c r="K96" s="116"/>
      <c r="L96" s="116"/>
      <c r="M96" s="114">
        <f t="shared" si="14"/>
        <v>0</v>
      </c>
    </row>
    <row r="97" spans="1:13" ht="13">
      <c r="A97" s="2">
        <f t="shared" si="15"/>
        <v>31</v>
      </c>
      <c r="B97" s="387"/>
      <c r="C97" s="253"/>
      <c r="D97" s="253"/>
      <c r="E97" s="116"/>
      <c r="F97" s="116"/>
      <c r="G97" s="116"/>
      <c r="H97" s="116"/>
      <c r="I97" s="116"/>
      <c r="J97" s="116"/>
      <c r="K97" s="116"/>
      <c r="L97" s="116"/>
      <c r="M97" s="114">
        <f t="shared" si="14"/>
        <v>0</v>
      </c>
    </row>
    <row r="98" spans="1:13" ht="13">
      <c r="A98" s="2">
        <f t="shared" si="15"/>
        <v>32</v>
      </c>
      <c r="B98" s="387"/>
      <c r="C98" s="253"/>
      <c r="D98" s="253"/>
      <c r="E98" s="116"/>
      <c r="F98" s="116"/>
      <c r="G98" s="116"/>
      <c r="H98" s="116"/>
      <c r="I98" s="116"/>
      <c r="J98" s="116"/>
      <c r="K98" s="116"/>
      <c r="L98" s="116"/>
      <c r="M98" s="114">
        <f t="shared" si="14"/>
        <v>0</v>
      </c>
    </row>
    <row r="99" spans="1:13" ht="13">
      <c r="A99" s="2">
        <f t="shared" si="15"/>
        <v>33</v>
      </c>
      <c r="B99" s="387"/>
      <c r="C99" s="253"/>
      <c r="D99" s="253"/>
      <c r="E99" s="116"/>
      <c r="F99" s="116"/>
      <c r="G99" s="116"/>
      <c r="H99" s="116"/>
      <c r="I99" s="116"/>
      <c r="J99" s="116"/>
      <c r="K99" s="116"/>
      <c r="L99" s="116"/>
      <c r="M99" s="114">
        <f t="shared" si="14"/>
        <v>0</v>
      </c>
    </row>
    <row r="100" spans="1:13" ht="13">
      <c r="A100" s="2">
        <f t="shared" si="15"/>
        <v>34</v>
      </c>
      <c r="B100" s="387"/>
      <c r="C100" s="253"/>
      <c r="D100" s="253"/>
      <c r="E100" s="116"/>
      <c r="F100" s="116"/>
      <c r="G100" s="116"/>
      <c r="H100" s="116"/>
      <c r="I100" s="116"/>
      <c r="J100" s="116"/>
      <c r="K100" s="116"/>
      <c r="L100" s="116"/>
      <c r="M100" s="114">
        <f t="shared" si="14"/>
        <v>0</v>
      </c>
    </row>
    <row r="101" spans="1:13" ht="13">
      <c r="A101" s="2">
        <f t="shared" si="15"/>
        <v>35</v>
      </c>
      <c r="B101" s="387"/>
      <c r="C101" s="253"/>
      <c r="D101" s="253"/>
      <c r="E101" s="116"/>
      <c r="F101" s="116"/>
      <c r="G101" s="116"/>
      <c r="H101" s="116"/>
      <c r="I101" s="116"/>
      <c r="J101" s="116"/>
      <c r="K101" s="116"/>
      <c r="L101" s="116"/>
      <c r="M101" s="114">
        <f t="shared" si="14"/>
        <v>0</v>
      </c>
    </row>
    <row r="102" spans="1:13" ht="13">
      <c r="A102" s="2">
        <f t="shared" si="15"/>
        <v>36</v>
      </c>
      <c r="B102" s="387"/>
      <c r="C102" s="253"/>
      <c r="D102" s="253"/>
      <c r="E102" s="116"/>
      <c r="F102" s="116"/>
      <c r="G102" s="116"/>
      <c r="H102" s="116"/>
      <c r="I102" s="116"/>
      <c r="J102" s="116"/>
      <c r="K102" s="116"/>
      <c r="L102" s="116"/>
      <c r="M102" s="114">
        <f t="shared" si="14"/>
        <v>0</v>
      </c>
    </row>
    <row r="103" spans="1:13" ht="13">
      <c r="A103" s="2">
        <f t="shared" si="15"/>
        <v>37</v>
      </c>
      <c r="B103" s="387"/>
      <c r="C103" s="253"/>
      <c r="D103" s="253"/>
      <c r="E103" s="116"/>
      <c r="F103" s="116"/>
      <c r="G103" s="116"/>
      <c r="H103" s="116"/>
      <c r="I103" s="116"/>
      <c r="J103" s="116"/>
      <c r="K103" s="116"/>
      <c r="L103" s="116"/>
      <c r="M103" s="114">
        <f t="shared" si="14"/>
        <v>0</v>
      </c>
    </row>
    <row r="104" spans="1:13" ht="13">
      <c r="A104" s="2">
        <f t="shared" si="15"/>
        <v>38</v>
      </c>
      <c r="B104" s="387"/>
      <c r="C104" s="253"/>
      <c r="D104" s="253"/>
      <c r="E104" s="116"/>
      <c r="F104" s="116"/>
      <c r="G104" s="116"/>
      <c r="H104" s="116"/>
      <c r="I104" s="116"/>
      <c r="J104" s="116"/>
      <c r="K104" s="116"/>
      <c r="L104" s="116"/>
      <c r="M104" s="114">
        <f t="shared" si="14"/>
        <v>0</v>
      </c>
    </row>
    <row r="105" spans="1:13" ht="13">
      <c r="A105" s="2">
        <f t="shared" si="15"/>
        <v>39</v>
      </c>
      <c r="B105" s="387"/>
      <c r="C105" s="253"/>
      <c r="D105" s="253"/>
      <c r="E105" s="116"/>
      <c r="F105" s="116"/>
      <c r="G105" s="116"/>
      <c r="H105" s="116"/>
      <c r="I105" s="116"/>
      <c r="J105" s="116"/>
      <c r="K105" s="116"/>
      <c r="L105" s="116"/>
      <c r="M105" s="183">
        <f t="shared" si="14"/>
        <v>0</v>
      </c>
    </row>
    <row r="106" spans="1:13" ht="13">
      <c r="A106" s="2">
        <f t="shared" si="15"/>
        <v>40</v>
      </c>
      <c r="B106" s="387"/>
      <c r="C106" s="253"/>
      <c r="D106" s="253"/>
      <c r="E106" s="235">
        <f>'7-PlantStudy'!C10</f>
        <v>0</v>
      </c>
      <c r="F106" s="235">
        <f>'7-PlantStudy'!C11</f>
        <v>0</v>
      </c>
      <c r="G106" s="235">
        <f>'7-PlantStudy'!C20</f>
        <v>0</v>
      </c>
      <c r="H106" s="235">
        <f>'7-PlantStudy'!C21</f>
        <v>0</v>
      </c>
      <c r="I106" s="235">
        <f>'7-PlantStudy'!C22</f>
        <v>0</v>
      </c>
      <c r="J106" s="235">
        <f>'7-PlantStudy'!C23</f>
        <v>0</v>
      </c>
      <c r="K106" s="235">
        <f>'7-PlantStudy'!C24</f>
        <v>0</v>
      </c>
      <c r="L106" s="235">
        <f>'7-PlantStudy'!C25</f>
        <v>0</v>
      </c>
      <c r="M106" s="114">
        <f>SUM(C106:L106)</f>
        <v>0</v>
      </c>
    </row>
    <row r="107" spans="1:13" ht="13">
      <c r="A107" s="2"/>
      <c r="B107" s="562"/>
      <c r="C107" s="235"/>
      <c r="D107" s="235"/>
      <c r="E107" s="235"/>
      <c r="F107" s="235"/>
      <c r="G107" s="235"/>
      <c r="H107" s="235"/>
      <c r="I107" s="235"/>
      <c r="J107" s="235"/>
      <c r="K107" s="235"/>
      <c r="L107" s="235"/>
      <c r="M107" s="114"/>
    </row>
    <row r="108" spans="1:13" ht="13">
      <c r="A108" s="2"/>
      <c r="B108" s="1146" t="s">
        <v>3026</v>
      </c>
      <c r="C108" s="235"/>
      <c r="D108" s="235"/>
      <c r="E108" s="235"/>
      <c r="F108" s="235"/>
      <c r="G108" s="235"/>
      <c r="H108" s="235"/>
      <c r="I108" s="235"/>
      <c r="J108" s="235"/>
      <c r="K108" s="235"/>
      <c r="L108" s="235"/>
      <c r="M108" s="114"/>
    </row>
    <row r="109" spans="1:13" ht="13">
      <c r="A109" s="2"/>
      <c r="B109" s="1095" t="s">
        <v>347</v>
      </c>
      <c r="C109" s="1095" t="s">
        <v>348</v>
      </c>
      <c r="D109" s="1095" t="s">
        <v>349</v>
      </c>
      <c r="E109" s="1095" t="s">
        <v>350</v>
      </c>
      <c r="F109" s="1095" t="s">
        <v>351</v>
      </c>
      <c r="G109" s="1095" t="s">
        <v>352</v>
      </c>
      <c r="H109" s="1095" t="s">
        <v>353</v>
      </c>
      <c r="I109" s="1095" t="s">
        <v>354</v>
      </c>
      <c r="J109" s="48"/>
      <c r="K109" s="235"/>
      <c r="L109" s="235"/>
      <c r="M109" s="114"/>
    </row>
    <row r="110" spans="1:13" ht="13">
      <c r="A110" s="2"/>
      <c r="B110" s="562"/>
      <c r="C110" s="235"/>
      <c r="D110" s="235"/>
      <c r="E110" s="235"/>
      <c r="F110" s="235"/>
      <c r="G110" s="235"/>
      <c r="H110" s="235"/>
      <c r="I110" s="1103" t="s">
        <v>708</v>
      </c>
      <c r="J110" s="235"/>
      <c r="K110" s="235"/>
      <c r="L110" s="235"/>
      <c r="M110" s="114"/>
    </row>
    <row r="111" spans="1:13" ht="13">
      <c r="A111" s="2"/>
      <c r="B111" s="1069" t="s">
        <v>659</v>
      </c>
      <c r="C111" s="1069">
        <v>351.1</v>
      </c>
      <c r="D111" s="1095" t="s">
        <v>662</v>
      </c>
      <c r="E111" s="1095" t="s">
        <v>663</v>
      </c>
      <c r="F111" s="1095" t="s">
        <v>664</v>
      </c>
      <c r="G111" s="1095" t="s">
        <v>665</v>
      </c>
      <c r="H111" s="1069">
        <v>351.3</v>
      </c>
      <c r="I111" s="1069" t="s">
        <v>252</v>
      </c>
      <c r="J111" s="1147" t="s">
        <v>686</v>
      </c>
      <c r="K111" s="235"/>
      <c r="L111" s="235"/>
      <c r="M111" s="114"/>
    </row>
    <row r="112" spans="1:13" ht="13">
      <c r="A112" s="608" t="s">
        <v>709</v>
      </c>
      <c r="B112" s="1100"/>
      <c r="C112" s="1181"/>
      <c r="D112" s="1182"/>
      <c r="E112" s="1182"/>
      <c r="F112" s="1182"/>
      <c r="G112" s="1182"/>
      <c r="H112" s="1183"/>
      <c r="I112" s="836">
        <f>SUM(C112:H112)</f>
        <v>0</v>
      </c>
      <c r="J112" s="1160" t="s">
        <v>710</v>
      </c>
      <c r="K112" s="235"/>
      <c r="L112" s="235"/>
      <c r="M112" s="114"/>
    </row>
    <row r="113" spans="1:13" ht="13">
      <c r="A113" s="608" t="s">
        <v>711</v>
      </c>
      <c r="B113" s="1101"/>
      <c r="C113" s="1181"/>
      <c r="D113" s="1182"/>
      <c r="E113" s="1182"/>
      <c r="F113" s="1182"/>
      <c r="G113" s="1182"/>
      <c r="H113" s="1183"/>
      <c r="I113" s="836">
        <f>SUM(C113:H113)</f>
        <v>0</v>
      </c>
      <c r="J113" s="1161" t="s">
        <v>3022</v>
      </c>
      <c r="K113" s="235"/>
      <c r="L113" s="235"/>
      <c r="M113" s="114"/>
    </row>
    <row r="114" spans="1:13" ht="13">
      <c r="A114" s="608" t="s">
        <v>712</v>
      </c>
      <c r="B114" s="1101"/>
      <c r="C114" s="1181"/>
      <c r="D114" s="1182"/>
      <c r="E114" s="1182"/>
      <c r="F114" s="1182"/>
      <c r="G114" s="1182"/>
      <c r="H114" s="1183"/>
      <c r="I114" s="836">
        <f t="shared" ref="I114:I124" si="16">SUM(C114:H114)</f>
        <v>0</v>
      </c>
      <c r="J114" s="1148"/>
      <c r="K114" s="235"/>
      <c r="L114" s="235"/>
      <c r="M114" s="114"/>
    </row>
    <row r="115" spans="1:13" ht="13">
      <c r="A115" s="608" t="s">
        <v>713</v>
      </c>
      <c r="B115" s="1101"/>
      <c r="C115" s="1181"/>
      <c r="D115" s="1182"/>
      <c r="E115" s="1182"/>
      <c r="F115" s="1182"/>
      <c r="G115" s="1182"/>
      <c r="H115" s="1183"/>
      <c r="I115" s="836">
        <f t="shared" si="16"/>
        <v>0</v>
      </c>
      <c r="J115" s="1148"/>
      <c r="K115" s="235"/>
      <c r="L115" s="235"/>
      <c r="M115" s="114"/>
    </row>
    <row r="116" spans="1:13" ht="13">
      <c r="A116" s="608" t="s">
        <v>714</v>
      </c>
      <c r="B116" s="1101"/>
      <c r="C116" s="1181"/>
      <c r="D116" s="1182"/>
      <c r="E116" s="1182"/>
      <c r="F116" s="1182"/>
      <c r="G116" s="1182"/>
      <c r="H116" s="1183"/>
      <c r="I116" s="836">
        <f t="shared" si="16"/>
        <v>0</v>
      </c>
      <c r="J116" s="1148"/>
      <c r="K116" s="235"/>
      <c r="L116" s="235"/>
      <c r="M116" s="114"/>
    </row>
    <row r="117" spans="1:13" ht="13">
      <c r="A117" s="608" t="s">
        <v>715</v>
      </c>
      <c r="B117" s="1101"/>
      <c r="C117" s="1181"/>
      <c r="D117" s="1182"/>
      <c r="E117" s="1182"/>
      <c r="F117" s="1182"/>
      <c r="G117" s="1182"/>
      <c r="H117" s="1183"/>
      <c r="I117" s="836">
        <f t="shared" si="16"/>
        <v>0</v>
      </c>
      <c r="J117" s="1148"/>
      <c r="K117" s="235"/>
      <c r="L117" s="235"/>
      <c r="M117" s="114"/>
    </row>
    <row r="118" spans="1:13" ht="13">
      <c r="A118" s="608" t="s">
        <v>716</v>
      </c>
      <c r="B118" s="1101"/>
      <c r="C118" s="1181"/>
      <c r="D118" s="1182"/>
      <c r="E118" s="1182"/>
      <c r="F118" s="1182"/>
      <c r="G118" s="1182"/>
      <c r="H118" s="1183"/>
      <c r="I118" s="836">
        <f t="shared" si="16"/>
        <v>0</v>
      </c>
      <c r="J118" s="1148"/>
      <c r="K118" s="235"/>
      <c r="L118" s="836"/>
      <c r="M118" s="114"/>
    </row>
    <row r="119" spans="1:13" ht="13">
      <c r="A119" s="608" t="s">
        <v>717</v>
      </c>
      <c r="B119" s="1101"/>
      <c r="C119" s="1181"/>
      <c r="D119" s="1182"/>
      <c r="E119" s="1182"/>
      <c r="F119" s="1182"/>
      <c r="G119" s="1182"/>
      <c r="H119" s="1183"/>
      <c r="I119" s="836">
        <f t="shared" si="16"/>
        <v>0</v>
      </c>
      <c r="J119" s="1148"/>
      <c r="K119" s="235"/>
      <c r="L119" s="235"/>
      <c r="M119" s="114"/>
    </row>
    <row r="120" spans="1:13" ht="13">
      <c r="A120" s="608" t="s">
        <v>718</v>
      </c>
      <c r="B120" s="1101"/>
      <c r="C120" s="1181"/>
      <c r="D120" s="1182"/>
      <c r="E120" s="1182"/>
      <c r="F120" s="1182"/>
      <c r="G120" s="1182"/>
      <c r="H120" s="1183"/>
      <c r="I120" s="836">
        <f t="shared" si="16"/>
        <v>0</v>
      </c>
      <c r="J120" s="1148"/>
      <c r="K120" s="235"/>
      <c r="L120" s="235"/>
      <c r="M120" s="114"/>
    </row>
    <row r="121" spans="1:13" ht="13">
      <c r="A121" s="608" t="s">
        <v>719</v>
      </c>
      <c r="B121" s="1101"/>
      <c r="C121" s="1181"/>
      <c r="D121" s="1182"/>
      <c r="E121" s="1182"/>
      <c r="F121" s="1182"/>
      <c r="G121" s="1182"/>
      <c r="H121" s="1183"/>
      <c r="I121" s="836">
        <f t="shared" si="16"/>
        <v>0</v>
      </c>
      <c r="J121" s="1148"/>
      <c r="K121" s="235"/>
      <c r="L121" s="235"/>
      <c r="M121" s="114"/>
    </row>
    <row r="122" spans="1:13" ht="13">
      <c r="A122" s="608" t="s">
        <v>720</v>
      </c>
      <c r="B122" s="1101"/>
      <c r="C122" s="1181"/>
      <c r="D122" s="1182"/>
      <c r="E122" s="1182"/>
      <c r="F122" s="1182"/>
      <c r="G122" s="1182"/>
      <c r="H122" s="1183"/>
      <c r="I122" s="836">
        <f t="shared" si="16"/>
        <v>0</v>
      </c>
      <c r="J122" s="1148"/>
      <c r="K122" s="235"/>
      <c r="L122" s="235"/>
      <c r="M122" s="114"/>
    </row>
    <row r="123" spans="1:13" ht="13">
      <c r="A123" s="608" t="s">
        <v>506</v>
      </c>
      <c r="B123" s="1101"/>
      <c r="C123" s="1181"/>
      <c r="D123" s="1182"/>
      <c r="E123" s="1182"/>
      <c r="F123" s="1182"/>
      <c r="G123" s="1182"/>
      <c r="H123" s="1183"/>
      <c r="I123" s="836">
        <f t="shared" si="16"/>
        <v>0</v>
      </c>
      <c r="J123" s="1148"/>
      <c r="K123" s="235"/>
      <c r="L123" s="235"/>
      <c r="M123" s="114"/>
    </row>
    <row r="124" spans="1:13" ht="13">
      <c r="A124" s="608" t="s">
        <v>721</v>
      </c>
      <c r="B124" s="1101"/>
      <c r="C124" s="1180">
        <f>'7-PlantStudy'!C37</f>
        <v>0</v>
      </c>
      <c r="D124" s="1182"/>
      <c r="E124" s="1182"/>
      <c r="F124" s="1182"/>
      <c r="G124" s="1182"/>
      <c r="H124" s="1180">
        <f>'7-PlantStudy'!C39</f>
        <v>0</v>
      </c>
      <c r="I124" s="836">
        <f t="shared" si="16"/>
        <v>0</v>
      </c>
      <c r="J124" s="1160" t="s">
        <v>3032</v>
      </c>
      <c r="K124" s="235"/>
      <c r="L124" s="235"/>
      <c r="M124" s="114"/>
    </row>
    <row r="125" spans="1:13" ht="13">
      <c r="A125" s="2"/>
      <c r="B125" s="562"/>
      <c r="C125" s="235"/>
      <c r="D125" s="235"/>
      <c r="E125" s="235"/>
      <c r="F125" s="235"/>
      <c r="G125" s="235"/>
      <c r="H125" s="235"/>
      <c r="I125" s="235"/>
      <c r="J125" s="664" t="s">
        <v>3033</v>
      </c>
      <c r="K125" s="235"/>
      <c r="L125" s="235"/>
      <c r="M125" s="114"/>
    </row>
    <row r="126" spans="1:13">
      <c r="J126" s="1161" t="s">
        <v>722</v>
      </c>
      <c r="M126" s="1158"/>
    </row>
    <row r="127" spans="1:13" ht="13">
      <c r="B127" s="1" t="s">
        <v>723</v>
      </c>
    </row>
    <row r="129" spans="1:13" ht="13">
      <c r="A129" s="197"/>
      <c r="B129" s="48" t="s">
        <v>347</v>
      </c>
      <c r="C129" s="48" t="s">
        <v>348</v>
      </c>
      <c r="D129" s="48" t="s">
        <v>349</v>
      </c>
      <c r="E129" s="48" t="s">
        <v>350</v>
      </c>
      <c r="F129" s="48" t="s">
        <v>351</v>
      </c>
      <c r="G129" s="48" t="s">
        <v>352</v>
      </c>
      <c r="H129" s="48" t="s">
        <v>353</v>
      </c>
      <c r="I129" s="48" t="s">
        <v>354</v>
      </c>
      <c r="J129" s="48" t="s">
        <v>355</v>
      </c>
      <c r="K129" s="48" t="s">
        <v>605</v>
      </c>
      <c r="L129" s="48" t="s">
        <v>606</v>
      </c>
      <c r="M129" s="48" t="s">
        <v>607</v>
      </c>
    </row>
    <row r="130" spans="1:13">
      <c r="A130" s="112"/>
      <c r="B130" s="125"/>
      <c r="C130" s="112"/>
      <c r="D130" s="112"/>
      <c r="E130" s="112"/>
      <c r="F130" s="112"/>
      <c r="G130" s="112"/>
      <c r="H130" s="112"/>
      <c r="I130" s="112"/>
      <c r="J130" s="112"/>
      <c r="K130" s="112"/>
      <c r="M130" s="125" t="s">
        <v>658</v>
      </c>
    </row>
    <row r="131" spans="1:13" ht="13">
      <c r="A131" s="30"/>
      <c r="B131" s="3" t="s">
        <v>659</v>
      </c>
      <c r="C131" s="48">
        <v>350.1</v>
      </c>
      <c r="D131" s="48">
        <v>350.2</v>
      </c>
      <c r="E131" s="48">
        <v>352</v>
      </c>
      <c r="F131" s="48">
        <v>353</v>
      </c>
      <c r="G131" s="48">
        <v>354</v>
      </c>
      <c r="H131" s="48">
        <v>355</v>
      </c>
      <c r="I131" s="48">
        <v>356</v>
      </c>
      <c r="J131" s="48">
        <v>357</v>
      </c>
      <c r="K131" s="48">
        <v>358</v>
      </c>
      <c r="L131" s="48">
        <v>359</v>
      </c>
      <c r="M131" s="3" t="s">
        <v>252</v>
      </c>
    </row>
    <row r="132" spans="1:13" ht="13">
      <c r="A132" s="2">
        <f>A106+1</f>
        <v>41</v>
      </c>
      <c r="B132" s="387"/>
      <c r="C132" s="235">
        <f t="shared" ref="C132:L132" si="17">C95-C94</f>
        <v>0</v>
      </c>
      <c r="D132" s="235">
        <f t="shared" si="17"/>
        <v>0</v>
      </c>
      <c r="E132" s="235">
        <f t="shared" si="17"/>
        <v>0</v>
      </c>
      <c r="F132" s="235">
        <f t="shared" si="17"/>
        <v>0</v>
      </c>
      <c r="G132" s="235">
        <f t="shared" si="17"/>
        <v>0</v>
      </c>
      <c r="H132" s="235">
        <f t="shared" si="17"/>
        <v>0</v>
      </c>
      <c r="I132" s="235">
        <f t="shared" si="17"/>
        <v>0</v>
      </c>
      <c r="J132" s="235">
        <f t="shared" si="17"/>
        <v>0</v>
      </c>
      <c r="K132" s="235">
        <f t="shared" si="17"/>
        <v>0</v>
      </c>
      <c r="L132" s="235">
        <f t="shared" si="17"/>
        <v>0</v>
      </c>
      <c r="M132" s="114">
        <f t="shared" ref="M132:M144" si="18">SUM(C132:L132)</f>
        <v>0</v>
      </c>
    </row>
    <row r="133" spans="1:13" ht="13">
      <c r="A133" s="2">
        <f t="shared" ref="A133:A144" si="19">A132+1</f>
        <v>42</v>
      </c>
      <c r="B133" s="387"/>
      <c r="C133" s="235">
        <f t="shared" ref="C133:L133" si="20">C96-C95</f>
        <v>0</v>
      </c>
      <c r="D133" s="235">
        <f t="shared" si="20"/>
        <v>0</v>
      </c>
      <c r="E133" s="235">
        <f t="shared" si="20"/>
        <v>0</v>
      </c>
      <c r="F133" s="235">
        <f t="shared" si="20"/>
        <v>0</v>
      </c>
      <c r="G133" s="235">
        <f t="shared" si="20"/>
        <v>0</v>
      </c>
      <c r="H133" s="235">
        <f t="shared" si="20"/>
        <v>0</v>
      </c>
      <c r="I133" s="235">
        <f t="shared" si="20"/>
        <v>0</v>
      </c>
      <c r="J133" s="235">
        <f t="shared" si="20"/>
        <v>0</v>
      </c>
      <c r="K133" s="235">
        <f t="shared" si="20"/>
        <v>0</v>
      </c>
      <c r="L133" s="235">
        <f t="shared" si="20"/>
        <v>0</v>
      </c>
      <c r="M133" s="114">
        <f t="shared" si="18"/>
        <v>0</v>
      </c>
    </row>
    <row r="134" spans="1:13" ht="13">
      <c r="A134" s="2">
        <f t="shared" si="19"/>
        <v>43</v>
      </c>
      <c r="B134" s="387"/>
      <c r="C134" s="235">
        <f t="shared" ref="C134:L134" si="21">C97-C96</f>
        <v>0</v>
      </c>
      <c r="D134" s="235">
        <f t="shared" si="21"/>
        <v>0</v>
      </c>
      <c r="E134" s="235">
        <f t="shared" si="21"/>
        <v>0</v>
      </c>
      <c r="F134" s="235">
        <f t="shared" si="21"/>
        <v>0</v>
      </c>
      <c r="G134" s="235">
        <f t="shared" si="21"/>
        <v>0</v>
      </c>
      <c r="H134" s="235">
        <f t="shared" si="21"/>
        <v>0</v>
      </c>
      <c r="I134" s="235">
        <f t="shared" si="21"/>
        <v>0</v>
      </c>
      <c r="J134" s="235">
        <f t="shared" si="21"/>
        <v>0</v>
      </c>
      <c r="K134" s="235">
        <f t="shared" si="21"/>
        <v>0</v>
      </c>
      <c r="L134" s="235">
        <f t="shared" si="21"/>
        <v>0</v>
      </c>
      <c r="M134" s="114">
        <f t="shared" si="18"/>
        <v>0</v>
      </c>
    </row>
    <row r="135" spans="1:13" ht="13">
      <c r="A135" s="2">
        <f t="shared" si="19"/>
        <v>44</v>
      </c>
      <c r="B135" s="387"/>
      <c r="C135" s="235">
        <f t="shared" ref="C135:L135" si="22">C98-C97</f>
        <v>0</v>
      </c>
      <c r="D135" s="235">
        <f t="shared" si="22"/>
        <v>0</v>
      </c>
      <c r="E135" s="235">
        <f t="shared" si="22"/>
        <v>0</v>
      </c>
      <c r="F135" s="235">
        <f t="shared" si="22"/>
        <v>0</v>
      </c>
      <c r="G135" s="235">
        <f t="shared" si="22"/>
        <v>0</v>
      </c>
      <c r="H135" s="235">
        <f t="shared" si="22"/>
        <v>0</v>
      </c>
      <c r="I135" s="235">
        <f t="shared" si="22"/>
        <v>0</v>
      </c>
      <c r="J135" s="235">
        <f t="shared" si="22"/>
        <v>0</v>
      </c>
      <c r="K135" s="235">
        <f t="shared" si="22"/>
        <v>0</v>
      </c>
      <c r="L135" s="235">
        <f t="shared" si="22"/>
        <v>0</v>
      </c>
      <c r="M135" s="114">
        <f t="shared" si="18"/>
        <v>0</v>
      </c>
    </row>
    <row r="136" spans="1:13" ht="13">
      <c r="A136" s="2">
        <f t="shared" si="19"/>
        <v>45</v>
      </c>
      <c r="B136" s="387"/>
      <c r="C136" s="235">
        <f t="shared" ref="C136:L136" si="23">C99-C98</f>
        <v>0</v>
      </c>
      <c r="D136" s="235">
        <f t="shared" si="23"/>
        <v>0</v>
      </c>
      <c r="E136" s="235">
        <f t="shared" si="23"/>
        <v>0</v>
      </c>
      <c r="F136" s="235">
        <f t="shared" si="23"/>
        <v>0</v>
      </c>
      <c r="G136" s="235">
        <f t="shared" si="23"/>
        <v>0</v>
      </c>
      <c r="H136" s="235">
        <f t="shared" si="23"/>
        <v>0</v>
      </c>
      <c r="I136" s="235">
        <f t="shared" si="23"/>
        <v>0</v>
      </c>
      <c r="J136" s="235">
        <f t="shared" si="23"/>
        <v>0</v>
      </c>
      <c r="K136" s="235">
        <f t="shared" si="23"/>
        <v>0</v>
      </c>
      <c r="L136" s="235">
        <f t="shared" si="23"/>
        <v>0</v>
      </c>
      <c r="M136" s="114">
        <f t="shared" si="18"/>
        <v>0</v>
      </c>
    </row>
    <row r="137" spans="1:13" ht="13">
      <c r="A137" s="2">
        <f t="shared" si="19"/>
        <v>46</v>
      </c>
      <c r="B137" s="387"/>
      <c r="C137" s="235">
        <f t="shared" ref="C137:L137" si="24">C100-C99</f>
        <v>0</v>
      </c>
      <c r="D137" s="235">
        <f t="shared" si="24"/>
        <v>0</v>
      </c>
      <c r="E137" s="235">
        <f t="shared" si="24"/>
        <v>0</v>
      </c>
      <c r="F137" s="235">
        <f t="shared" si="24"/>
        <v>0</v>
      </c>
      <c r="G137" s="235">
        <f t="shared" si="24"/>
        <v>0</v>
      </c>
      <c r="H137" s="235">
        <f t="shared" si="24"/>
        <v>0</v>
      </c>
      <c r="I137" s="235">
        <f t="shared" si="24"/>
        <v>0</v>
      </c>
      <c r="J137" s="235">
        <f t="shared" si="24"/>
        <v>0</v>
      </c>
      <c r="K137" s="235">
        <f t="shared" si="24"/>
        <v>0</v>
      </c>
      <c r="L137" s="235">
        <f t="shared" si="24"/>
        <v>0</v>
      </c>
      <c r="M137" s="114">
        <f t="shared" si="18"/>
        <v>0</v>
      </c>
    </row>
    <row r="138" spans="1:13" ht="13">
      <c r="A138" s="2">
        <f t="shared" si="19"/>
        <v>47</v>
      </c>
      <c r="B138" s="387"/>
      <c r="C138" s="235">
        <f t="shared" ref="C138:L138" si="25">C101-C100</f>
        <v>0</v>
      </c>
      <c r="D138" s="235">
        <f t="shared" si="25"/>
        <v>0</v>
      </c>
      <c r="E138" s="235">
        <f t="shared" si="25"/>
        <v>0</v>
      </c>
      <c r="F138" s="235">
        <f t="shared" si="25"/>
        <v>0</v>
      </c>
      <c r="G138" s="235">
        <f t="shared" si="25"/>
        <v>0</v>
      </c>
      <c r="H138" s="235">
        <f t="shared" si="25"/>
        <v>0</v>
      </c>
      <c r="I138" s="235">
        <f t="shared" si="25"/>
        <v>0</v>
      </c>
      <c r="J138" s="235">
        <f t="shared" si="25"/>
        <v>0</v>
      </c>
      <c r="K138" s="235">
        <f t="shared" si="25"/>
        <v>0</v>
      </c>
      <c r="L138" s="235">
        <f t="shared" si="25"/>
        <v>0</v>
      </c>
      <c r="M138" s="114">
        <f t="shared" si="18"/>
        <v>0</v>
      </c>
    </row>
    <row r="139" spans="1:13" ht="13">
      <c r="A139" s="2">
        <f t="shared" si="19"/>
        <v>48</v>
      </c>
      <c r="B139" s="387"/>
      <c r="C139" s="235">
        <f t="shared" ref="C139:L139" si="26">C102-C101</f>
        <v>0</v>
      </c>
      <c r="D139" s="235">
        <f t="shared" si="26"/>
        <v>0</v>
      </c>
      <c r="E139" s="235">
        <f t="shared" si="26"/>
        <v>0</v>
      </c>
      <c r="F139" s="235">
        <f t="shared" si="26"/>
        <v>0</v>
      </c>
      <c r="G139" s="235">
        <f t="shared" si="26"/>
        <v>0</v>
      </c>
      <c r="H139" s="235">
        <f t="shared" si="26"/>
        <v>0</v>
      </c>
      <c r="I139" s="235">
        <f t="shared" si="26"/>
        <v>0</v>
      </c>
      <c r="J139" s="235">
        <f t="shared" si="26"/>
        <v>0</v>
      </c>
      <c r="K139" s="235">
        <f t="shared" si="26"/>
        <v>0</v>
      </c>
      <c r="L139" s="235">
        <f t="shared" si="26"/>
        <v>0</v>
      </c>
      <c r="M139" s="114">
        <f t="shared" si="18"/>
        <v>0</v>
      </c>
    </row>
    <row r="140" spans="1:13" ht="13">
      <c r="A140" s="2">
        <f t="shared" si="19"/>
        <v>49</v>
      </c>
      <c r="B140" s="387"/>
      <c r="C140" s="235">
        <f t="shared" ref="C140:L140" si="27">C103-C102</f>
        <v>0</v>
      </c>
      <c r="D140" s="235">
        <f t="shared" si="27"/>
        <v>0</v>
      </c>
      <c r="E140" s="235">
        <f t="shared" si="27"/>
        <v>0</v>
      </c>
      <c r="F140" s="235">
        <f t="shared" si="27"/>
        <v>0</v>
      </c>
      <c r="G140" s="235">
        <f t="shared" si="27"/>
        <v>0</v>
      </c>
      <c r="H140" s="235">
        <f t="shared" si="27"/>
        <v>0</v>
      </c>
      <c r="I140" s="235">
        <f t="shared" si="27"/>
        <v>0</v>
      </c>
      <c r="J140" s="235">
        <f t="shared" si="27"/>
        <v>0</v>
      </c>
      <c r="K140" s="235">
        <f t="shared" si="27"/>
        <v>0</v>
      </c>
      <c r="L140" s="235">
        <f t="shared" si="27"/>
        <v>0</v>
      </c>
      <c r="M140" s="114">
        <f t="shared" si="18"/>
        <v>0</v>
      </c>
    </row>
    <row r="141" spans="1:13" ht="13">
      <c r="A141" s="2">
        <f t="shared" si="19"/>
        <v>50</v>
      </c>
      <c r="B141" s="387"/>
      <c r="C141" s="235">
        <f t="shared" ref="C141:L141" si="28">C104-C103</f>
        <v>0</v>
      </c>
      <c r="D141" s="235">
        <f t="shared" si="28"/>
        <v>0</v>
      </c>
      <c r="E141" s="235">
        <f t="shared" si="28"/>
        <v>0</v>
      </c>
      <c r="F141" s="235">
        <f t="shared" si="28"/>
        <v>0</v>
      </c>
      <c r="G141" s="235">
        <f t="shared" si="28"/>
        <v>0</v>
      </c>
      <c r="H141" s="235">
        <f t="shared" si="28"/>
        <v>0</v>
      </c>
      <c r="I141" s="235">
        <f t="shared" si="28"/>
        <v>0</v>
      </c>
      <c r="J141" s="235">
        <f t="shared" si="28"/>
        <v>0</v>
      </c>
      <c r="K141" s="235">
        <f t="shared" si="28"/>
        <v>0</v>
      </c>
      <c r="L141" s="235">
        <f t="shared" si="28"/>
        <v>0</v>
      </c>
      <c r="M141" s="114">
        <f t="shared" si="18"/>
        <v>0</v>
      </c>
    </row>
    <row r="142" spans="1:13" ht="13">
      <c r="A142" s="2">
        <f t="shared" si="19"/>
        <v>51</v>
      </c>
      <c r="B142" s="387"/>
      <c r="C142" s="235">
        <f t="shared" ref="C142:L142" si="29">C105-C104</f>
        <v>0</v>
      </c>
      <c r="D142" s="235">
        <f t="shared" si="29"/>
        <v>0</v>
      </c>
      <c r="E142" s="235">
        <f t="shared" si="29"/>
        <v>0</v>
      </c>
      <c r="F142" s="235">
        <f t="shared" si="29"/>
        <v>0</v>
      </c>
      <c r="G142" s="235">
        <f t="shared" si="29"/>
        <v>0</v>
      </c>
      <c r="H142" s="235">
        <f t="shared" si="29"/>
        <v>0</v>
      </c>
      <c r="I142" s="235">
        <f t="shared" si="29"/>
        <v>0</v>
      </c>
      <c r="J142" s="235">
        <f t="shared" si="29"/>
        <v>0</v>
      </c>
      <c r="K142" s="235">
        <f t="shared" si="29"/>
        <v>0</v>
      </c>
      <c r="L142" s="235">
        <f t="shared" si="29"/>
        <v>0</v>
      </c>
      <c r="M142" s="114">
        <f t="shared" si="18"/>
        <v>0</v>
      </c>
    </row>
    <row r="143" spans="1:13" ht="13">
      <c r="A143" s="2">
        <f t="shared" si="19"/>
        <v>52</v>
      </c>
      <c r="B143" s="387"/>
      <c r="C143" s="53">
        <f t="shared" ref="C143:L143" si="30">C106-C105</f>
        <v>0</v>
      </c>
      <c r="D143" s="53">
        <f t="shared" si="30"/>
        <v>0</v>
      </c>
      <c r="E143" s="53">
        <f t="shared" si="30"/>
        <v>0</v>
      </c>
      <c r="F143" s="53">
        <f t="shared" si="30"/>
        <v>0</v>
      </c>
      <c r="G143" s="53">
        <f t="shared" si="30"/>
        <v>0</v>
      </c>
      <c r="H143" s="53">
        <f t="shared" si="30"/>
        <v>0</v>
      </c>
      <c r="I143" s="53">
        <f t="shared" si="30"/>
        <v>0</v>
      </c>
      <c r="J143" s="53">
        <f t="shared" si="30"/>
        <v>0</v>
      </c>
      <c r="K143" s="53">
        <f t="shared" si="30"/>
        <v>0</v>
      </c>
      <c r="L143" s="53">
        <f t="shared" si="30"/>
        <v>0</v>
      </c>
      <c r="M143" s="183">
        <f t="shared" si="18"/>
        <v>0</v>
      </c>
    </row>
    <row r="144" spans="1:13" ht="13">
      <c r="A144" s="2">
        <f t="shared" si="19"/>
        <v>53</v>
      </c>
      <c r="B144" s="562" t="s">
        <v>420</v>
      </c>
      <c r="C144" s="114">
        <f t="shared" ref="C144:L144" si="31">SUM(C132:C143)</f>
        <v>0</v>
      </c>
      <c r="D144" s="114">
        <f t="shared" si="31"/>
        <v>0</v>
      </c>
      <c r="E144" s="114">
        <f t="shared" si="31"/>
        <v>0</v>
      </c>
      <c r="F144" s="114">
        <f t="shared" si="31"/>
        <v>0</v>
      </c>
      <c r="G144" s="114">
        <f t="shared" si="31"/>
        <v>0</v>
      </c>
      <c r="H144" s="114">
        <f t="shared" si="31"/>
        <v>0</v>
      </c>
      <c r="I144" s="114">
        <f t="shared" si="31"/>
        <v>0</v>
      </c>
      <c r="J144" s="114">
        <f t="shared" si="31"/>
        <v>0</v>
      </c>
      <c r="K144" s="114">
        <f t="shared" si="31"/>
        <v>0</v>
      </c>
      <c r="L144" s="114">
        <f t="shared" si="31"/>
        <v>0</v>
      </c>
      <c r="M144" s="114">
        <f t="shared" si="18"/>
        <v>0</v>
      </c>
    </row>
    <row r="145" spans="1:13" ht="13">
      <c r="A145" s="2"/>
      <c r="B145" s="562"/>
      <c r="C145" s="114"/>
      <c r="D145" s="114"/>
      <c r="E145" s="114"/>
      <c r="F145" s="114"/>
      <c r="G145" s="114"/>
      <c r="H145" s="114"/>
      <c r="I145" s="114"/>
      <c r="J145" s="114"/>
      <c r="K145" s="114"/>
      <c r="L145" s="114"/>
      <c r="M145" s="114"/>
    </row>
    <row r="146" spans="1:13" ht="13">
      <c r="A146" s="1069"/>
      <c r="B146" s="1102"/>
      <c r="C146" s="820"/>
      <c r="D146" s="820"/>
      <c r="E146" s="820"/>
      <c r="F146" s="820"/>
    </row>
    <row r="147" spans="1:13" ht="13">
      <c r="B147" s="1" t="s">
        <v>724</v>
      </c>
    </row>
    <row r="149" spans="1:13" ht="13">
      <c r="A149" s="197"/>
      <c r="B149" s="48" t="s">
        <v>347</v>
      </c>
      <c r="C149" s="48" t="s">
        <v>348</v>
      </c>
      <c r="D149" s="48" t="s">
        <v>349</v>
      </c>
      <c r="E149" s="48" t="s">
        <v>350</v>
      </c>
      <c r="F149" s="48" t="s">
        <v>351</v>
      </c>
      <c r="G149" s="48" t="s">
        <v>352</v>
      </c>
      <c r="H149" s="48" t="s">
        <v>353</v>
      </c>
      <c r="I149" s="48" t="s">
        <v>354</v>
      </c>
      <c r="J149" s="48" t="s">
        <v>355</v>
      </c>
      <c r="K149" s="48" t="s">
        <v>605</v>
      </c>
      <c r="L149" s="48" t="s">
        <v>606</v>
      </c>
      <c r="M149" s="48" t="s">
        <v>607</v>
      </c>
    </row>
    <row r="150" spans="1:13">
      <c r="A150" s="112"/>
      <c r="B150" s="125"/>
      <c r="C150" s="112"/>
      <c r="D150" s="112"/>
      <c r="E150" s="112"/>
      <c r="F150" s="112"/>
      <c r="G150" s="112"/>
      <c r="H150" s="112"/>
      <c r="I150" s="112"/>
      <c r="J150" s="112"/>
      <c r="K150" s="112"/>
      <c r="M150" s="125" t="s">
        <v>658</v>
      </c>
    </row>
    <row r="151" spans="1:13" ht="13">
      <c r="A151" s="30"/>
      <c r="B151" s="3" t="s">
        <v>659</v>
      </c>
      <c r="C151" s="48">
        <v>350.1</v>
      </c>
      <c r="D151" s="48">
        <v>350.2</v>
      </c>
      <c r="E151" s="48">
        <v>352</v>
      </c>
      <c r="F151" s="48">
        <v>353</v>
      </c>
      <c r="G151" s="48">
        <v>354</v>
      </c>
      <c r="H151" s="48">
        <v>355</v>
      </c>
      <c r="I151" s="48">
        <v>356</v>
      </c>
      <c r="J151" s="48">
        <v>357</v>
      </c>
      <c r="K151" s="48">
        <v>358</v>
      </c>
      <c r="L151" s="48">
        <v>359</v>
      </c>
      <c r="M151" s="3" t="s">
        <v>252</v>
      </c>
    </row>
    <row r="152" spans="1:13" ht="13">
      <c r="A152" s="2">
        <f>A144+1</f>
        <v>54</v>
      </c>
      <c r="B152" s="508"/>
      <c r="C152" s="574"/>
      <c r="D152" s="574"/>
      <c r="E152" s="574"/>
      <c r="F152" s="574"/>
      <c r="G152" s="574"/>
      <c r="H152" s="574"/>
      <c r="I152" s="574"/>
      <c r="J152" s="574"/>
      <c r="K152" s="574"/>
      <c r="L152" s="574"/>
      <c r="M152" s="333">
        <f t="shared" ref="M152:M164" si="32">SUM(C152:L152)</f>
        <v>0</v>
      </c>
    </row>
    <row r="153" spans="1:13" ht="13">
      <c r="A153" s="2">
        <f t="shared" ref="A153:A164" si="33">A152+1</f>
        <v>55</v>
      </c>
      <c r="B153" s="387"/>
      <c r="C153" s="574"/>
      <c r="D153" s="574"/>
      <c r="E153" s="574"/>
      <c r="F153" s="574"/>
      <c r="G153" s="574"/>
      <c r="H153" s="574"/>
      <c r="I153" s="574"/>
      <c r="J153" s="574"/>
      <c r="K153" s="574"/>
      <c r="L153" s="574"/>
      <c r="M153" s="333">
        <f t="shared" si="32"/>
        <v>0</v>
      </c>
    </row>
    <row r="154" spans="1:13" ht="13">
      <c r="A154" s="2">
        <f t="shared" si="33"/>
        <v>56</v>
      </c>
      <c r="B154" s="387"/>
      <c r="C154" s="574"/>
      <c r="D154" s="574"/>
      <c r="E154" s="574"/>
      <c r="F154" s="574"/>
      <c r="G154" s="574"/>
      <c r="H154" s="574"/>
      <c r="I154" s="574"/>
      <c r="J154" s="574"/>
      <c r="K154" s="574"/>
      <c r="L154" s="574"/>
      <c r="M154" s="333">
        <f t="shared" si="32"/>
        <v>0</v>
      </c>
    </row>
    <row r="155" spans="1:13" ht="13">
      <c r="A155" s="2">
        <f t="shared" si="33"/>
        <v>57</v>
      </c>
      <c r="B155" s="387"/>
      <c r="C155" s="574"/>
      <c r="D155" s="574"/>
      <c r="E155" s="574"/>
      <c r="F155" s="574"/>
      <c r="G155" s="574"/>
      <c r="H155" s="574"/>
      <c r="I155" s="574"/>
      <c r="J155" s="574"/>
      <c r="K155" s="574"/>
      <c r="L155" s="574"/>
      <c r="M155" s="333">
        <f t="shared" si="32"/>
        <v>0</v>
      </c>
    </row>
    <row r="156" spans="1:13" ht="13">
      <c r="A156" s="2">
        <f t="shared" si="33"/>
        <v>58</v>
      </c>
      <c r="B156" s="387"/>
      <c r="C156" s="574"/>
      <c r="D156" s="574"/>
      <c r="E156" s="574"/>
      <c r="F156" s="574"/>
      <c r="G156" s="574"/>
      <c r="H156" s="574"/>
      <c r="I156" s="574"/>
      <c r="J156" s="574"/>
      <c r="K156" s="574"/>
      <c r="L156" s="574"/>
      <c r="M156" s="333">
        <f t="shared" si="32"/>
        <v>0</v>
      </c>
    </row>
    <row r="157" spans="1:13" ht="13">
      <c r="A157" s="2">
        <f t="shared" si="33"/>
        <v>59</v>
      </c>
      <c r="B157" s="387"/>
      <c r="C157" s="574"/>
      <c r="D157" s="574"/>
      <c r="E157" s="574"/>
      <c r="F157" s="574"/>
      <c r="G157" s="574"/>
      <c r="H157" s="574"/>
      <c r="I157" s="574"/>
      <c r="J157" s="574"/>
      <c r="K157" s="574"/>
      <c r="L157" s="574"/>
      <c r="M157" s="333">
        <f t="shared" si="32"/>
        <v>0</v>
      </c>
    </row>
    <row r="158" spans="1:13" ht="13">
      <c r="A158" s="2">
        <f t="shared" si="33"/>
        <v>60</v>
      </c>
      <c r="B158" s="387"/>
      <c r="C158" s="574"/>
      <c r="D158" s="574"/>
      <c r="E158" s="574"/>
      <c r="F158" s="574"/>
      <c r="G158" s="574"/>
      <c r="H158" s="574"/>
      <c r="I158" s="574"/>
      <c r="J158" s="574"/>
      <c r="K158" s="574"/>
      <c r="L158" s="574"/>
      <c r="M158" s="333">
        <f t="shared" si="32"/>
        <v>0</v>
      </c>
    </row>
    <row r="159" spans="1:13" ht="13">
      <c r="A159" s="2">
        <f t="shared" si="33"/>
        <v>61</v>
      </c>
      <c r="B159" s="387"/>
      <c r="C159" s="574"/>
      <c r="D159" s="574"/>
      <c r="E159" s="574"/>
      <c r="F159" s="574"/>
      <c r="G159" s="574"/>
      <c r="H159" s="574"/>
      <c r="I159" s="574"/>
      <c r="J159" s="574"/>
      <c r="K159" s="574"/>
      <c r="L159" s="574"/>
      <c r="M159" s="333">
        <f t="shared" si="32"/>
        <v>0</v>
      </c>
    </row>
    <row r="160" spans="1:13" ht="13">
      <c r="A160" s="2">
        <f t="shared" si="33"/>
        <v>62</v>
      </c>
      <c r="B160" s="387"/>
      <c r="C160" s="574"/>
      <c r="D160" s="574"/>
      <c r="E160" s="574"/>
      <c r="F160" s="574"/>
      <c r="G160" s="574"/>
      <c r="H160" s="574"/>
      <c r="I160" s="574"/>
      <c r="J160" s="574"/>
      <c r="K160" s="574"/>
      <c r="L160" s="574"/>
      <c r="M160" s="333">
        <f t="shared" si="32"/>
        <v>0</v>
      </c>
    </row>
    <row r="161" spans="1:13" ht="13">
      <c r="A161" s="2">
        <f t="shared" si="33"/>
        <v>63</v>
      </c>
      <c r="B161" s="387"/>
      <c r="C161" s="574"/>
      <c r="D161" s="574"/>
      <c r="E161" s="574"/>
      <c r="F161" s="574"/>
      <c r="G161" s="574"/>
      <c r="H161" s="574"/>
      <c r="I161" s="574"/>
      <c r="J161" s="574"/>
      <c r="K161" s="574"/>
      <c r="L161" s="574"/>
      <c r="M161" s="333">
        <f t="shared" si="32"/>
        <v>0</v>
      </c>
    </row>
    <row r="162" spans="1:13" ht="13">
      <c r="A162" s="2">
        <f t="shared" si="33"/>
        <v>64</v>
      </c>
      <c r="B162" s="387"/>
      <c r="C162" s="574"/>
      <c r="D162" s="574"/>
      <c r="E162" s="574"/>
      <c r="F162" s="574"/>
      <c r="G162" s="574"/>
      <c r="H162" s="574"/>
      <c r="I162" s="574"/>
      <c r="J162" s="574"/>
      <c r="K162" s="574"/>
      <c r="L162" s="574"/>
      <c r="M162" s="333">
        <f t="shared" si="32"/>
        <v>0</v>
      </c>
    </row>
    <row r="163" spans="1:13" ht="13">
      <c r="A163" s="2">
        <f t="shared" si="33"/>
        <v>65</v>
      </c>
      <c r="B163" s="387"/>
      <c r="C163" s="574"/>
      <c r="D163" s="574"/>
      <c r="E163" s="574"/>
      <c r="F163" s="574"/>
      <c r="G163" s="574"/>
      <c r="H163" s="574"/>
      <c r="I163" s="574"/>
      <c r="J163" s="574"/>
      <c r="K163" s="574"/>
      <c r="L163" s="574"/>
      <c r="M163" s="333">
        <f t="shared" si="32"/>
        <v>0</v>
      </c>
    </row>
    <row r="164" spans="1:13" ht="13">
      <c r="A164" s="2">
        <f t="shared" si="33"/>
        <v>66</v>
      </c>
      <c r="B164" s="387"/>
      <c r="C164" s="574"/>
      <c r="D164" s="574"/>
      <c r="E164" s="574"/>
      <c r="F164" s="574"/>
      <c r="G164" s="574"/>
      <c r="H164" s="574"/>
      <c r="I164" s="574"/>
      <c r="J164" s="574"/>
      <c r="K164" s="574"/>
      <c r="L164" s="574"/>
      <c r="M164" s="333">
        <f t="shared" si="32"/>
        <v>0</v>
      </c>
    </row>
    <row r="165" spans="1:13" ht="13">
      <c r="A165" s="2"/>
      <c r="B165" s="562"/>
      <c r="C165" s="114"/>
      <c r="D165" s="114"/>
      <c r="E165" s="114"/>
      <c r="F165" s="114"/>
      <c r="G165" s="114"/>
      <c r="H165" s="114"/>
      <c r="I165" s="114"/>
      <c r="J165" s="114"/>
      <c r="K165" s="114"/>
      <c r="L165" s="114"/>
      <c r="M165" s="114"/>
    </row>
    <row r="166" spans="1:13" ht="13">
      <c r="A166" s="608"/>
      <c r="B166" s="562"/>
      <c r="C166" s="792"/>
      <c r="D166" s="792"/>
      <c r="E166" s="792"/>
      <c r="F166" s="792"/>
      <c r="G166" s="792"/>
      <c r="H166" s="792"/>
      <c r="I166" s="792"/>
      <c r="J166" s="792"/>
      <c r="K166" s="792"/>
      <c r="L166" s="792"/>
      <c r="M166" s="333"/>
    </row>
    <row r="167" spans="1:13" ht="13">
      <c r="B167" s="1" t="s">
        <v>725</v>
      </c>
    </row>
    <row r="169" spans="1:13" ht="13">
      <c r="A169" s="197"/>
      <c r="B169" s="48" t="s">
        <v>347</v>
      </c>
      <c r="C169" s="48" t="s">
        <v>348</v>
      </c>
      <c r="D169" s="48" t="s">
        <v>349</v>
      </c>
      <c r="E169" s="48" t="s">
        <v>350</v>
      </c>
      <c r="F169" s="48" t="s">
        <v>351</v>
      </c>
      <c r="G169" s="48" t="s">
        <v>352</v>
      </c>
      <c r="H169" s="48" t="s">
        <v>353</v>
      </c>
      <c r="I169" s="48" t="s">
        <v>354</v>
      </c>
      <c r="J169" s="48" t="s">
        <v>355</v>
      </c>
      <c r="K169" s="48" t="s">
        <v>605</v>
      </c>
      <c r="L169" s="48" t="s">
        <v>606</v>
      </c>
      <c r="M169" s="48" t="s">
        <v>607</v>
      </c>
    </row>
    <row r="170" spans="1:13">
      <c r="A170" s="112"/>
      <c r="B170" s="125"/>
      <c r="C170" s="112"/>
      <c r="D170" s="112"/>
      <c r="E170" s="112"/>
      <c r="F170" s="112"/>
      <c r="G170" s="112"/>
      <c r="H170" s="112"/>
      <c r="I170" s="112"/>
      <c r="J170" s="112"/>
      <c r="K170" s="112"/>
      <c r="M170" s="125" t="s">
        <v>658</v>
      </c>
    </row>
    <row r="171" spans="1:13" ht="13">
      <c r="A171" s="30"/>
      <c r="B171" s="3" t="s">
        <v>659</v>
      </c>
      <c r="C171" s="48">
        <v>350.1</v>
      </c>
      <c r="D171" s="48">
        <v>350.2</v>
      </c>
      <c r="E171" s="48">
        <v>352</v>
      </c>
      <c r="F171" s="48">
        <v>353</v>
      </c>
      <c r="G171" s="48">
        <v>354</v>
      </c>
      <c r="H171" s="48">
        <v>355</v>
      </c>
      <c r="I171" s="48">
        <v>356</v>
      </c>
      <c r="J171" s="48">
        <v>357</v>
      </c>
      <c r="K171" s="48">
        <v>358</v>
      </c>
      <c r="L171" s="48">
        <v>359</v>
      </c>
      <c r="M171" s="3" t="s">
        <v>252</v>
      </c>
    </row>
    <row r="172" spans="1:13" ht="13">
      <c r="A172" s="2">
        <f>A164+1</f>
        <v>67</v>
      </c>
      <c r="B172" s="387"/>
      <c r="C172" s="814">
        <f t="shared" ref="C172:L172" si="34">C153-C152</f>
        <v>0</v>
      </c>
      <c r="D172" s="814">
        <f t="shared" si="34"/>
        <v>0</v>
      </c>
      <c r="E172" s="814">
        <f t="shared" si="34"/>
        <v>0</v>
      </c>
      <c r="F172" s="814">
        <f t="shared" si="34"/>
        <v>0</v>
      </c>
      <c r="G172" s="814">
        <f t="shared" si="34"/>
        <v>0</v>
      </c>
      <c r="H172" s="814">
        <f t="shared" si="34"/>
        <v>0</v>
      </c>
      <c r="I172" s="814">
        <f t="shared" si="34"/>
        <v>0</v>
      </c>
      <c r="J172" s="814">
        <f t="shared" si="34"/>
        <v>0</v>
      </c>
      <c r="K172" s="814">
        <f t="shared" si="34"/>
        <v>0</v>
      </c>
      <c r="L172" s="814">
        <f t="shared" si="34"/>
        <v>0</v>
      </c>
      <c r="M172" s="814">
        <f t="shared" ref="M172:M183" si="35">SUM(C172:L172)</f>
        <v>0</v>
      </c>
    </row>
    <row r="173" spans="1:13" ht="13">
      <c r="A173" s="2">
        <f t="shared" ref="A173:A184" si="36">A172+1</f>
        <v>68</v>
      </c>
      <c r="B173" s="387"/>
      <c r="C173" s="814">
        <f t="shared" ref="C173:L173" si="37">C154-C153</f>
        <v>0</v>
      </c>
      <c r="D173" s="814">
        <f t="shared" si="37"/>
        <v>0</v>
      </c>
      <c r="E173" s="814">
        <f t="shared" si="37"/>
        <v>0</v>
      </c>
      <c r="F173" s="814">
        <f t="shared" si="37"/>
        <v>0</v>
      </c>
      <c r="G173" s="814">
        <f t="shared" si="37"/>
        <v>0</v>
      </c>
      <c r="H173" s="814">
        <f t="shared" si="37"/>
        <v>0</v>
      </c>
      <c r="I173" s="814">
        <f t="shared" si="37"/>
        <v>0</v>
      </c>
      <c r="J173" s="814">
        <f t="shared" si="37"/>
        <v>0</v>
      </c>
      <c r="K173" s="814">
        <f t="shared" si="37"/>
        <v>0</v>
      </c>
      <c r="L173" s="814">
        <f t="shared" si="37"/>
        <v>0</v>
      </c>
      <c r="M173" s="814">
        <f t="shared" si="35"/>
        <v>0</v>
      </c>
    </row>
    <row r="174" spans="1:13" ht="13">
      <c r="A174" s="2">
        <f t="shared" si="36"/>
        <v>69</v>
      </c>
      <c r="B174" s="387"/>
      <c r="C174" s="814">
        <f t="shared" ref="C174:L174" si="38">C155-C154</f>
        <v>0</v>
      </c>
      <c r="D174" s="814">
        <f t="shared" si="38"/>
        <v>0</v>
      </c>
      <c r="E174" s="814">
        <f t="shared" si="38"/>
        <v>0</v>
      </c>
      <c r="F174" s="814">
        <f t="shared" si="38"/>
        <v>0</v>
      </c>
      <c r="G174" s="814">
        <f t="shared" si="38"/>
        <v>0</v>
      </c>
      <c r="H174" s="814">
        <f t="shared" si="38"/>
        <v>0</v>
      </c>
      <c r="I174" s="814">
        <f t="shared" si="38"/>
        <v>0</v>
      </c>
      <c r="J174" s="814">
        <f t="shared" si="38"/>
        <v>0</v>
      </c>
      <c r="K174" s="814">
        <f t="shared" si="38"/>
        <v>0</v>
      </c>
      <c r="L174" s="814">
        <f t="shared" si="38"/>
        <v>0</v>
      </c>
      <c r="M174" s="814">
        <f t="shared" si="35"/>
        <v>0</v>
      </c>
    </row>
    <row r="175" spans="1:13" ht="13">
      <c r="A175" s="2">
        <f t="shared" si="36"/>
        <v>70</v>
      </c>
      <c r="B175" s="387"/>
      <c r="C175" s="814">
        <f t="shared" ref="C175:L175" si="39">C156-C155</f>
        <v>0</v>
      </c>
      <c r="D175" s="814">
        <f t="shared" si="39"/>
        <v>0</v>
      </c>
      <c r="E175" s="814">
        <f t="shared" si="39"/>
        <v>0</v>
      </c>
      <c r="F175" s="814">
        <f t="shared" si="39"/>
        <v>0</v>
      </c>
      <c r="G175" s="814">
        <f t="shared" si="39"/>
        <v>0</v>
      </c>
      <c r="H175" s="814">
        <f t="shared" si="39"/>
        <v>0</v>
      </c>
      <c r="I175" s="814">
        <f t="shared" si="39"/>
        <v>0</v>
      </c>
      <c r="J175" s="814">
        <f t="shared" si="39"/>
        <v>0</v>
      </c>
      <c r="K175" s="814">
        <f t="shared" si="39"/>
        <v>0</v>
      </c>
      <c r="L175" s="814">
        <f t="shared" si="39"/>
        <v>0</v>
      </c>
      <c r="M175" s="814">
        <f t="shared" si="35"/>
        <v>0</v>
      </c>
    </row>
    <row r="176" spans="1:13" ht="13">
      <c r="A176" s="2">
        <f t="shared" si="36"/>
        <v>71</v>
      </c>
      <c r="B176" s="387"/>
      <c r="C176" s="814">
        <f t="shared" ref="C176:L176" si="40">C157-C156</f>
        <v>0</v>
      </c>
      <c r="D176" s="814">
        <f t="shared" si="40"/>
        <v>0</v>
      </c>
      <c r="E176" s="814">
        <f t="shared" si="40"/>
        <v>0</v>
      </c>
      <c r="F176" s="814">
        <f t="shared" si="40"/>
        <v>0</v>
      </c>
      <c r="G176" s="814">
        <f t="shared" si="40"/>
        <v>0</v>
      </c>
      <c r="H176" s="814">
        <f t="shared" si="40"/>
        <v>0</v>
      </c>
      <c r="I176" s="814">
        <f t="shared" si="40"/>
        <v>0</v>
      </c>
      <c r="J176" s="814">
        <f t="shared" si="40"/>
        <v>0</v>
      </c>
      <c r="K176" s="814">
        <f t="shared" si="40"/>
        <v>0</v>
      </c>
      <c r="L176" s="814">
        <f t="shared" si="40"/>
        <v>0</v>
      </c>
      <c r="M176" s="814">
        <f t="shared" si="35"/>
        <v>0</v>
      </c>
    </row>
    <row r="177" spans="1:13" ht="13">
      <c r="A177" s="2">
        <f t="shared" si="36"/>
        <v>72</v>
      </c>
      <c r="B177" s="387"/>
      <c r="C177" s="814">
        <f t="shared" ref="C177:L177" si="41">C158-C157</f>
        <v>0</v>
      </c>
      <c r="D177" s="814">
        <f t="shared" si="41"/>
        <v>0</v>
      </c>
      <c r="E177" s="814">
        <f t="shared" si="41"/>
        <v>0</v>
      </c>
      <c r="F177" s="814">
        <f t="shared" si="41"/>
        <v>0</v>
      </c>
      <c r="G177" s="814">
        <f t="shared" si="41"/>
        <v>0</v>
      </c>
      <c r="H177" s="814">
        <f t="shared" si="41"/>
        <v>0</v>
      </c>
      <c r="I177" s="814">
        <f t="shared" si="41"/>
        <v>0</v>
      </c>
      <c r="J177" s="814">
        <f t="shared" si="41"/>
        <v>0</v>
      </c>
      <c r="K177" s="814">
        <f t="shared" si="41"/>
        <v>0</v>
      </c>
      <c r="L177" s="814">
        <f t="shared" si="41"/>
        <v>0</v>
      </c>
      <c r="M177" s="814">
        <f t="shared" si="35"/>
        <v>0</v>
      </c>
    </row>
    <row r="178" spans="1:13" ht="13">
      <c r="A178" s="2">
        <f t="shared" si="36"/>
        <v>73</v>
      </c>
      <c r="B178" s="387"/>
      <c r="C178" s="814">
        <f t="shared" ref="C178:L178" si="42">C159-C158</f>
        <v>0</v>
      </c>
      <c r="D178" s="814">
        <f t="shared" si="42"/>
        <v>0</v>
      </c>
      <c r="E178" s="814">
        <f t="shared" si="42"/>
        <v>0</v>
      </c>
      <c r="F178" s="814">
        <f t="shared" si="42"/>
        <v>0</v>
      </c>
      <c r="G178" s="814">
        <f t="shared" si="42"/>
        <v>0</v>
      </c>
      <c r="H178" s="814">
        <f t="shared" si="42"/>
        <v>0</v>
      </c>
      <c r="I178" s="814">
        <f t="shared" si="42"/>
        <v>0</v>
      </c>
      <c r="J178" s="814">
        <f t="shared" si="42"/>
        <v>0</v>
      </c>
      <c r="K178" s="814">
        <f t="shared" si="42"/>
        <v>0</v>
      </c>
      <c r="L178" s="814">
        <f t="shared" si="42"/>
        <v>0</v>
      </c>
      <c r="M178" s="814">
        <f t="shared" si="35"/>
        <v>0</v>
      </c>
    </row>
    <row r="179" spans="1:13" ht="13">
      <c r="A179" s="2">
        <f t="shared" si="36"/>
        <v>74</v>
      </c>
      <c r="B179" s="387"/>
      <c r="C179" s="814">
        <f t="shared" ref="C179:L179" si="43">C160-C159</f>
        <v>0</v>
      </c>
      <c r="D179" s="814">
        <f t="shared" si="43"/>
        <v>0</v>
      </c>
      <c r="E179" s="814">
        <f t="shared" si="43"/>
        <v>0</v>
      </c>
      <c r="F179" s="814">
        <f t="shared" si="43"/>
        <v>0</v>
      </c>
      <c r="G179" s="814">
        <f t="shared" si="43"/>
        <v>0</v>
      </c>
      <c r="H179" s="814">
        <f t="shared" si="43"/>
        <v>0</v>
      </c>
      <c r="I179" s="814">
        <f t="shared" si="43"/>
        <v>0</v>
      </c>
      <c r="J179" s="814">
        <f t="shared" si="43"/>
        <v>0</v>
      </c>
      <c r="K179" s="814">
        <f t="shared" si="43"/>
        <v>0</v>
      </c>
      <c r="L179" s="814">
        <f t="shared" si="43"/>
        <v>0</v>
      </c>
      <c r="M179" s="814">
        <f t="shared" si="35"/>
        <v>0</v>
      </c>
    </row>
    <row r="180" spans="1:13" ht="13">
      <c r="A180" s="2">
        <f t="shared" si="36"/>
        <v>75</v>
      </c>
      <c r="B180" s="387"/>
      <c r="C180" s="814">
        <f t="shared" ref="C180:L180" si="44">C161-C160</f>
        <v>0</v>
      </c>
      <c r="D180" s="814">
        <f t="shared" si="44"/>
        <v>0</v>
      </c>
      <c r="E180" s="814">
        <f t="shared" si="44"/>
        <v>0</v>
      </c>
      <c r="F180" s="814">
        <f t="shared" si="44"/>
        <v>0</v>
      </c>
      <c r="G180" s="814">
        <f t="shared" si="44"/>
        <v>0</v>
      </c>
      <c r="H180" s="814">
        <f t="shared" si="44"/>
        <v>0</v>
      </c>
      <c r="I180" s="814">
        <f t="shared" si="44"/>
        <v>0</v>
      </c>
      <c r="J180" s="814">
        <f t="shared" si="44"/>
        <v>0</v>
      </c>
      <c r="K180" s="814">
        <f t="shared" si="44"/>
        <v>0</v>
      </c>
      <c r="L180" s="814">
        <f t="shared" si="44"/>
        <v>0</v>
      </c>
      <c r="M180" s="814">
        <f t="shared" si="35"/>
        <v>0</v>
      </c>
    </row>
    <row r="181" spans="1:13" ht="13">
      <c r="A181" s="2">
        <f t="shared" si="36"/>
        <v>76</v>
      </c>
      <c r="B181" s="387"/>
      <c r="C181" s="814">
        <f t="shared" ref="C181:L181" si="45">C162-C161</f>
        <v>0</v>
      </c>
      <c r="D181" s="814">
        <f t="shared" si="45"/>
        <v>0</v>
      </c>
      <c r="E181" s="814">
        <f t="shared" si="45"/>
        <v>0</v>
      </c>
      <c r="F181" s="814">
        <f t="shared" si="45"/>
        <v>0</v>
      </c>
      <c r="G181" s="814">
        <f t="shared" si="45"/>
        <v>0</v>
      </c>
      <c r="H181" s="814">
        <f t="shared" si="45"/>
        <v>0</v>
      </c>
      <c r="I181" s="814">
        <f t="shared" si="45"/>
        <v>0</v>
      </c>
      <c r="J181" s="814">
        <f t="shared" si="45"/>
        <v>0</v>
      </c>
      <c r="K181" s="814">
        <f t="shared" si="45"/>
        <v>0</v>
      </c>
      <c r="L181" s="814">
        <f t="shared" si="45"/>
        <v>0</v>
      </c>
      <c r="M181" s="814">
        <f t="shared" si="35"/>
        <v>0</v>
      </c>
    </row>
    <row r="182" spans="1:13" ht="13">
      <c r="A182" s="2">
        <f t="shared" si="36"/>
        <v>77</v>
      </c>
      <c r="B182" s="387"/>
      <c r="C182" s="814">
        <f t="shared" ref="C182:L182" si="46">C163-C162</f>
        <v>0</v>
      </c>
      <c r="D182" s="814">
        <f t="shared" si="46"/>
        <v>0</v>
      </c>
      <c r="E182" s="814">
        <f t="shared" si="46"/>
        <v>0</v>
      </c>
      <c r="F182" s="814">
        <f t="shared" si="46"/>
        <v>0</v>
      </c>
      <c r="G182" s="814">
        <f t="shared" si="46"/>
        <v>0</v>
      </c>
      <c r="H182" s="814">
        <f t="shared" si="46"/>
        <v>0</v>
      </c>
      <c r="I182" s="814">
        <f t="shared" si="46"/>
        <v>0</v>
      </c>
      <c r="J182" s="814">
        <f t="shared" si="46"/>
        <v>0</v>
      </c>
      <c r="K182" s="814">
        <f t="shared" si="46"/>
        <v>0</v>
      </c>
      <c r="L182" s="814">
        <f t="shared" si="46"/>
        <v>0</v>
      </c>
      <c r="M182" s="814">
        <f t="shared" si="35"/>
        <v>0</v>
      </c>
    </row>
    <row r="183" spans="1:13" ht="13">
      <c r="A183" s="2">
        <f t="shared" si="36"/>
        <v>78</v>
      </c>
      <c r="B183" s="387"/>
      <c r="C183" s="815">
        <f t="shared" ref="C183:L183" si="47">C164-C163</f>
        <v>0</v>
      </c>
      <c r="D183" s="815">
        <f t="shared" si="47"/>
        <v>0</v>
      </c>
      <c r="E183" s="815">
        <f t="shared" si="47"/>
        <v>0</v>
      </c>
      <c r="F183" s="815">
        <f t="shared" si="47"/>
        <v>0</v>
      </c>
      <c r="G183" s="815">
        <f t="shared" si="47"/>
        <v>0</v>
      </c>
      <c r="H183" s="815">
        <f t="shared" si="47"/>
        <v>0</v>
      </c>
      <c r="I183" s="815">
        <f t="shared" si="47"/>
        <v>0</v>
      </c>
      <c r="J183" s="815">
        <f t="shared" si="47"/>
        <v>0</v>
      </c>
      <c r="K183" s="815">
        <f t="shared" si="47"/>
        <v>0</v>
      </c>
      <c r="L183" s="815">
        <f t="shared" si="47"/>
        <v>0</v>
      </c>
      <c r="M183" s="815">
        <f t="shared" si="35"/>
        <v>0</v>
      </c>
    </row>
    <row r="184" spans="1:13" ht="13">
      <c r="A184" s="2">
        <f t="shared" si="36"/>
        <v>79</v>
      </c>
      <c r="B184" s="562" t="s">
        <v>420</v>
      </c>
      <c r="C184" s="814">
        <f t="shared" ref="C184:M184" si="48">SUM(C172:C183)</f>
        <v>0</v>
      </c>
      <c r="D184" s="814">
        <f t="shared" si="48"/>
        <v>0</v>
      </c>
      <c r="E184" s="814">
        <f t="shared" si="48"/>
        <v>0</v>
      </c>
      <c r="F184" s="814">
        <f t="shared" si="48"/>
        <v>0</v>
      </c>
      <c r="G184" s="814">
        <f t="shared" si="48"/>
        <v>0</v>
      </c>
      <c r="H184" s="814">
        <f t="shared" si="48"/>
        <v>0</v>
      </c>
      <c r="I184" s="814">
        <f t="shared" si="48"/>
        <v>0</v>
      </c>
      <c r="J184" s="814">
        <f t="shared" si="48"/>
        <v>0</v>
      </c>
      <c r="K184" s="814">
        <f t="shared" si="48"/>
        <v>0</v>
      </c>
      <c r="L184" s="814">
        <f t="shared" si="48"/>
        <v>0</v>
      </c>
      <c r="M184" s="814">
        <f t="shared" si="48"/>
        <v>0</v>
      </c>
    </row>
    <row r="185" spans="1:13" ht="13">
      <c r="A185" s="2"/>
      <c r="B185" s="562"/>
      <c r="C185" s="572"/>
      <c r="D185" s="572"/>
      <c r="E185" s="572"/>
      <c r="F185" s="572"/>
      <c r="G185" s="572"/>
      <c r="H185" s="572"/>
      <c r="I185" s="572"/>
      <c r="J185" s="572"/>
      <c r="K185" s="572"/>
      <c r="L185" s="572"/>
      <c r="M185" s="572"/>
    </row>
    <row r="186" spans="1:13" ht="13">
      <c r="B186" s="109" t="s">
        <v>726</v>
      </c>
    </row>
    <row r="187" spans="1:13" s="233" customFormat="1">
      <c r="A187"/>
      <c r="B187"/>
      <c r="C187"/>
      <c r="D187"/>
      <c r="E187"/>
      <c r="F187"/>
      <c r="G187"/>
      <c r="H187"/>
      <c r="I187"/>
      <c r="J187"/>
      <c r="K187"/>
      <c r="L187"/>
      <c r="M187"/>
    </row>
    <row r="188" spans="1:13" s="233" customFormat="1" ht="13">
      <c r="A188" s="197"/>
      <c r="B188" s="48" t="s">
        <v>347</v>
      </c>
      <c r="C188" s="48" t="s">
        <v>348</v>
      </c>
      <c r="D188" s="48" t="s">
        <v>349</v>
      </c>
      <c r="E188" s="48" t="s">
        <v>350</v>
      </c>
      <c r="F188" s="48" t="s">
        <v>351</v>
      </c>
      <c r="G188" s="48" t="s">
        <v>352</v>
      </c>
      <c r="H188" s="48" t="s">
        <v>353</v>
      </c>
      <c r="I188" s="48" t="s">
        <v>354</v>
      </c>
      <c r="J188" s="48" t="s">
        <v>355</v>
      </c>
      <c r="K188" s="48" t="s">
        <v>605</v>
      </c>
      <c r="L188" s="48" t="s">
        <v>606</v>
      </c>
      <c r="M188" s="48" t="s">
        <v>607</v>
      </c>
    </row>
    <row r="189" spans="1:13" s="233" customFormat="1">
      <c r="A189" s="112"/>
      <c r="B189" s="125"/>
      <c r="C189" s="112"/>
      <c r="D189" s="112"/>
      <c r="E189" s="112"/>
      <c r="F189" s="112"/>
      <c r="G189" s="112"/>
      <c r="H189" s="112"/>
      <c r="I189" s="112"/>
      <c r="J189" s="112"/>
      <c r="K189" s="112"/>
      <c r="L189"/>
      <c r="M189" s="125" t="s">
        <v>658</v>
      </c>
    </row>
    <row r="190" spans="1:13" s="233" customFormat="1" ht="13">
      <c r="A190" s="30"/>
      <c r="B190" s="3" t="s">
        <v>659</v>
      </c>
      <c r="C190" s="48">
        <v>350.1</v>
      </c>
      <c r="D190" s="48">
        <v>350.2</v>
      </c>
      <c r="E190" s="48">
        <v>352</v>
      </c>
      <c r="F190" s="48">
        <v>353</v>
      </c>
      <c r="G190" s="48">
        <v>354</v>
      </c>
      <c r="H190" s="48">
        <v>355</v>
      </c>
      <c r="I190" s="48">
        <v>356</v>
      </c>
      <c r="J190" s="48">
        <v>357</v>
      </c>
      <c r="K190" s="48">
        <v>358</v>
      </c>
      <c r="L190" s="48">
        <v>359</v>
      </c>
      <c r="M190" s="3" t="s">
        <v>252</v>
      </c>
    </row>
    <row r="191" spans="1:13" s="233" customFormat="1" ht="13">
      <c r="A191" s="2">
        <f>A184+1</f>
        <v>80</v>
      </c>
      <c r="B191" s="387"/>
      <c r="C191" s="792">
        <f t="shared" ref="C191:L191" si="49">C132-C172</f>
        <v>0</v>
      </c>
      <c r="D191" s="792">
        <f t="shared" si="49"/>
        <v>0</v>
      </c>
      <c r="E191" s="792">
        <f t="shared" si="49"/>
        <v>0</v>
      </c>
      <c r="F191" s="792">
        <f t="shared" si="49"/>
        <v>0</v>
      </c>
      <c r="G191" s="792">
        <f t="shared" si="49"/>
        <v>0</v>
      </c>
      <c r="H191" s="792">
        <f t="shared" si="49"/>
        <v>0</v>
      </c>
      <c r="I191" s="792">
        <f t="shared" si="49"/>
        <v>0</v>
      </c>
      <c r="J191" s="792">
        <f t="shared" si="49"/>
        <v>0</v>
      </c>
      <c r="K191" s="792">
        <f t="shared" si="49"/>
        <v>0</v>
      </c>
      <c r="L191" s="792">
        <f t="shared" si="49"/>
        <v>0</v>
      </c>
      <c r="M191" s="792">
        <f t="shared" ref="M191:M202" si="50">SUM(C191:L191)</f>
        <v>0</v>
      </c>
    </row>
    <row r="192" spans="1:13" s="233" customFormat="1" ht="13">
      <c r="A192" s="2">
        <f t="shared" ref="A192:A203" si="51">A191+1</f>
        <v>81</v>
      </c>
      <c r="B192" s="387"/>
      <c r="C192" s="792">
        <f t="shared" ref="C192:L192" si="52">C133-C173</f>
        <v>0</v>
      </c>
      <c r="D192" s="792">
        <f t="shared" si="52"/>
        <v>0</v>
      </c>
      <c r="E192" s="792">
        <f t="shared" si="52"/>
        <v>0</v>
      </c>
      <c r="F192" s="792">
        <f t="shared" si="52"/>
        <v>0</v>
      </c>
      <c r="G192" s="792">
        <f t="shared" si="52"/>
        <v>0</v>
      </c>
      <c r="H192" s="792">
        <f t="shared" si="52"/>
        <v>0</v>
      </c>
      <c r="I192" s="792">
        <f t="shared" si="52"/>
        <v>0</v>
      </c>
      <c r="J192" s="792">
        <f t="shared" si="52"/>
        <v>0</v>
      </c>
      <c r="K192" s="792">
        <f t="shared" si="52"/>
        <v>0</v>
      </c>
      <c r="L192" s="792">
        <f t="shared" si="52"/>
        <v>0</v>
      </c>
      <c r="M192" s="792">
        <f t="shared" si="50"/>
        <v>0</v>
      </c>
    </row>
    <row r="193" spans="1:13" s="233" customFormat="1" ht="13">
      <c r="A193" s="2">
        <f t="shared" si="51"/>
        <v>82</v>
      </c>
      <c r="B193" s="387"/>
      <c r="C193" s="792">
        <f t="shared" ref="C193:L193" si="53">C134-C174</f>
        <v>0</v>
      </c>
      <c r="D193" s="792">
        <f t="shared" si="53"/>
        <v>0</v>
      </c>
      <c r="E193" s="792">
        <f t="shared" si="53"/>
        <v>0</v>
      </c>
      <c r="F193" s="792">
        <f t="shared" si="53"/>
        <v>0</v>
      </c>
      <c r="G193" s="792">
        <f t="shared" si="53"/>
        <v>0</v>
      </c>
      <c r="H193" s="792">
        <f t="shared" si="53"/>
        <v>0</v>
      </c>
      <c r="I193" s="792">
        <f t="shared" si="53"/>
        <v>0</v>
      </c>
      <c r="J193" s="792">
        <f t="shared" si="53"/>
        <v>0</v>
      </c>
      <c r="K193" s="792">
        <f t="shared" si="53"/>
        <v>0</v>
      </c>
      <c r="L193" s="792">
        <f t="shared" si="53"/>
        <v>0</v>
      </c>
      <c r="M193" s="792">
        <f t="shared" si="50"/>
        <v>0</v>
      </c>
    </row>
    <row r="194" spans="1:13" s="233" customFormat="1" ht="13">
      <c r="A194" s="2">
        <f t="shared" si="51"/>
        <v>83</v>
      </c>
      <c r="B194" s="387"/>
      <c r="C194" s="792">
        <f t="shared" ref="C194:L194" si="54">C135-C175</f>
        <v>0</v>
      </c>
      <c r="D194" s="792">
        <f t="shared" si="54"/>
        <v>0</v>
      </c>
      <c r="E194" s="792">
        <f t="shared" si="54"/>
        <v>0</v>
      </c>
      <c r="F194" s="792">
        <f t="shared" si="54"/>
        <v>0</v>
      </c>
      <c r="G194" s="792">
        <f t="shared" si="54"/>
        <v>0</v>
      </c>
      <c r="H194" s="792">
        <f>H135-H175</f>
        <v>0</v>
      </c>
      <c r="I194" s="792">
        <f t="shared" si="54"/>
        <v>0</v>
      </c>
      <c r="J194" s="792">
        <f t="shared" si="54"/>
        <v>0</v>
      </c>
      <c r="K194" s="792">
        <f t="shared" si="54"/>
        <v>0</v>
      </c>
      <c r="L194" s="792">
        <f t="shared" si="54"/>
        <v>0</v>
      </c>
      <c r="M194" s="792">
        <f t="shared" si="50"/>
        <v>0</v>
      </c>
    </row>
    <row r="195" spans="1:13" s="233" customFormat="1" ht="13">
      <c r="A195" s="2">
        <f t="shared" si="51"/>
        <v>84</v>
      </c>
      <c r="B195" s="387"/>
      <c r="C195" s="792">
        <f t="shared" ref="C195:L195" si="55">C136-C176</f>
        <v>0</v>
      </c>
      <c r="D195" s="792">
        <f t="shared" si="55"/>
        <v>0</v>
      </c>
      <c r="E195" s="792">
        <f t="shared" si="55"/>
        <v>0</v>
      </c>
      <c r="F195" s="792">
        <f t="shared" si="55"/>
        <v>0</v>
      </c>
      <c r="G195" s="792">
        <f t="shared" si="55"/>
        <v>0</v>
      </c>
      <c r="H195" s="792">
        <f t="shared" si="55"/>
        <v>0</v>
      </c>
      <c r="I195" s="792">
        <f t="shared" si="55"/>
        <v>0</v>
      </c>
      <c r="J195" s="792">
        <f t="shared" si="55"/>
        <v>0</v>
      </c>
      <c r="K195" s="792">
        <f t="shared" si="55"/>
        <v>0</v>
      </c>
      <c r="L195" s="792">
        <f t="shared" si="55"/>
        <v>0</v>
      </c>
      <c r="M195" s="792">
        <f t="shared" si="50"/>
        <v>0</v>
      </c>
    </row>
    <row r="196" spans="1:13" s="233" customFormat="1" ht="13">
      <c r="A196" s="2">
        <f t="shared" si="51"/>
        <v>85</v>
      </c>
      <c r="B196" s="387"/>
      <c r="C196" s="792">
        <f t="shared" ref="C196:L196" si="56">C137-C177</f>
        <v>0</v>
      </c>
      <c r="D196" s="792">
        <f t="shared" si="56"/>
        <v>0</v>
      </c>
      <c r="E196" s="792">
        <f t="shared" si="56"/>
        <v>0</v>
      </c>
      <c r="F196" s="792">
        <f t="shared" si="56"/>
        <v>0</v>
      </c>
      <c r="G196" s="792">
        <f t="shared" si="56"/>
        <v>0</v>
      </c>
      <c r="H196" s="792">
        <f t="shared" si="56"/>
        <v>0</v>
      </c>
      <c r="I196" s="792">
        <f t="shared" si="56"/>
        <v>0</v>
      </c>
      <c r="J196" s="792">
        <f t="shared" si="56"/>
        <v>0</v>
      </c>
      <c r="K196" s="792">
        <f t="shared" si="56"/>
        <v>0</v>
      </c>
      <c r="L196" s="792">
        <f t="shared" si="56"/>
        <v>0</v>
      </c>
      <c r="M196" s="792">
        <f t="shared" si="50"/>
        <v>0</v>
      </c>
    </row>
    <row r="197" spans="1:13" s="233" customFormat="1" ht="13">
      <c r="A197" s="2">
        <f t="shared" si="51"/>
        <v>86</v>
      </c>
      <c r="B197" s="387"/>
      <c r="C197" s="792">
        <f t="shared" ref="C197:L197" si="57">C138-C178</f>
        <v>0</v>
      </c>
      <c r="D197" s="792">
        <f t="shared" si="57"/>
        <v>0</v>
      </c>
      <c r="E197" s="792">
        <f t="shared" si="57"/>
        <v>0</v>
      </c>
      <c r="F197" s="792">
        <f t="shared" si="57"/>
        <v>0</v>
      </c>
      <c r="G197" s="792">
        <f t="shared" si="57"/>
        <v>0</v>
      </c>
      <c r="H197" s="792">
        <f t="shared" si="57"/>
        <v>0</v>
      </c>
      <c r="I197" s="792">
        <f t="shared" si="57"/>
        <v>0</v>
      </c>
      <c r="J197" s="792">
        <f t="shared" si="57"/>
        <v>0</v>
      </c>
      <c r="K197" s="792">
        <f t="shared" si="57"/>
        <v>0</v>
      </c>
      <c r="L197" s="792">
        <f t="shared" si="57"/>
        <v>0</v>
      </c>
      <c r="M197" s="792">
        <f t="shared" si="50"/>
        <v>0</v>
      </c>
    </row>
    <row r="198" spans="1:13" s="233" customFormat="1" ht="13">
      <c r="A198" s="2">
        <f t="shared" si="51"/>
        <v>87</v>
      </c>
      <c r="B198" s="387"/>
      <c r="C198" s="792">
        <f t="shared" ref="C198:L198" si="58">C139-C179</f>
        <v>0</v>
      </c>
      <c r="D198" s="792">
        <f t="shared" si="58"/>
        <v>0</v>
      </c>
      <c r="E198" s="792">
        <f t="shared" si="58"/>
        <v>0</v>
      </c>
      <c r="F198" s="792">
        <f t="shared" si="58"/>
        <v>0</v>
      </c>
      <c r="G198" s="792">
        <f t="shared" si="58"/>
        <v>0</v>
      </c>
      <c r="H198" s="792">
        <f t="shared" si="58"/>
        <v>0</v>
      </c>
      <c r="I198" s="792">
        <f t="shared" si="58"/>
        <v>0</v>
      </c>
      <c r="J198" s="792">
        <f t="shared" si="58"/>
        <v>0</v>
      </c>
      <c r="K198" s="792">
        <f t="shared" si="58"/>
        <v>0</v>
      </c>
      <c r="L198" s="792">
        <f t="shared" si="58"/>
        <v>0</v>
      </c>
      <c r="M198" s="792">
        <f t="shared" si="50"/>
        <v>0</v>
      </c>
    </row>
    <row r="199" spans="1:13" s="233" customFormat="1" ht="13">
      <c r="A199" s="2">
        <f t="shared" si="51"/>
        <v>88</v>
      </c>
      <c r="B199" s="387"/>
      <c r="C199" s="792">
        <f t="shared" ref="C199:L199" si="59">C140-C180</f>
        <v>0</v>
      </c>
      <c r="D199" s="792">
        <f t="shared" si="59"/>
        <v>0</v>
      </c>
      <c r="E199" s="792">
        <f t="shared" si="59"/>
        <v>0</v>
      </c>
      <c r="F199" s="792">
        <f t="shared" si="59"/>
        <v>0</v>
      </c>
      <c r="G199" s="792">
        <f t="shared" si="59"/>
        <v>0</v>
      </c>
      <c r="H199" s="792">
        <f t="shared" si="59"/>
        <v>0</v>
      </c>
      <c r="I199" s="792">
        <f t="shared" si="59"/>
        <v>0</v>
      </c>
      <c r="J199" s="792">
        <f t="shared" si="59"/>
        <v>0</v>
      </c>
      <c r="K199" s="792">
        <f t="shared" si="59"/>
        <v>0</v>
      </c>
      <c r="L199" s="792">
        <f t="shared" si="59"/>
        <v>0</v>
      </c>
      <c r="M199" s="792">
        <f t="shared" si="50"/>
        <v>0</v>
      </c>
    </row>
    <row r="200" spans="1:13" s="233" customFormat="1" ht="13">
      <c r="A200" s="2">
        <f t="shared" si="51"/>
        <v>89</v>
      </c>
      <c r="B200" s="387"/>
      <c r="C200" s="792">
        <f t="shared" ref="C200:L200" si="60">C141-C181</f>
        <v>0</v>
      </c>
      <c r="D200" s="792">
        <f t="shared" si="60"/>
        <v>0</v>
      </c>
      <c r="E200" s="792">
        <f>E141-E181</f>
        <v>0</v>
      </c>
      <c r="F200" s="792">
        <f t="shared" si="60"/>
        <v>0</v>
      </c>
      <c r="G200" s="792">
        <f t="shared" si="60"/>
        <v>0</v>
      </c>
      <c r="H200" s="792">
        <f t="shared" si="60"/>
        <v>0</v>
      </c>
      <c r="I200" s="792">
        <f t="shared" si="60"/>
        <v>0</v>
      </c>
      <c r="J200" s="792">
        <f t="shared" si="60"/>
        <v>0</v>
      </c>
      <c r="K200" s="792">
        <f t="shared" si="60"/>
        <v>0</v>
      </c>
      <c r="L200" s="792">
        <f t="shared" si="60"/>
        <v>0</v>
      </c>
      <c r="M200" s="792">
        <f t="shared" si="50"/>
        <v>0</v>
      </c>
    </row>
    <row r="201" spans="1:13" s="233" customFormat="1" ht="13">
      <c r="A201" s="2">
        <f t="shared" si="51"/>
        <v>90</v>
      </c>
      <c r="B201" s="387"/>
      <c r="C201" s="792">
        <f t="shared" ref="C201:L201" si="61">C142-C182</f>
        <v>0</v>
      </c>
      <c r="D201" s="792">
        <f t="shared" si="61"/>
        <v>0</v>
      </c>
      <c r="E201" s="792">
        <f t="shared" si="61"/>
        <v>0</v>
      </c>
      <c r="F201" s="792">
        <f t="shared" si="61"/>
        <v>0</v>
      </c>
      <c r="G201" s="792">
        <f t="shared" si="61"/>
        <v>0</v>
      </c>
      <c r="H201" s="792">
        <f t="shared" si="61"/>
        <v>0</v>
      </c>
      <c r="I201" s="792">
        <f t="shared" si="61"/>
        <v>0</v>
      </c>
      <c r="J201" s="792">
        <f t="shared" si="61"/>
        <v>0</v>
      </c>
      <c r="K201" s="792">
        <f t="shared" si="61"/>
        <v>0</v>
      </c>
      <c r="L201" s="792">
        <f t="shared" si="61"/>
        <v>0</v>
      </c>
      <c r="M201" s="792">
        <f t="shared" si="50"/>
        <v>0</v>
      </c>
    </row>
    <row r="202" spans="1:13" ht="13">
      <c r="A202" s="2">
        <f t="shared" si="51"/>
        <v>91</v>
      </c>
      <c r="B202" s="387"/>
      <c r="C202" s="793">
        <f t="shared" ref="C202:L202" si="62">C143-C183</f>
        <v>0</v>
      </c>
      <c r="D202" s="793">
        <f t="shared" si="62"/>
        <v>0</v>
      </c>
      <c r="E202" s="793">
        <f t="shared" si="62"/>
        <v>0</v>
      </c>
      <c r="F202" s="793">
        <f t="shared" si="62"/>
        <v>0</v>
      </c>
      <c r="G202" s="793">
        <f t="shared" si="62"/>
        <v>0</v>
      </c>
      <c r="H202" s="793">
        <f t="shared" si="62"/>
        <v>0</v>
      </c>
      <c r="I202" s="793">
        <f t="shared" si="62"/>
        <v>0</v>
      </c>
      <c r="J202" s="793">
        <f t="shared" si="62"/>
        <v>0</v>
      </c>
      <c r="K202" s="793">
        <f t="shared" si="62"/>
        <v>0</v>
      </c>
      <c r="L202" s="793">
        <f t="shared" si="62"/>
        <v>0</v>
      </c>
      <c r="M202" s="793">
        <f t="shared" si="50"/>
        <v>0</v>
      </c>
    </row>
    <row r="203" spans="1:13" ht="13">
      <c r="A203" s="2">
        <f t="shared" si="51"/>
        <v>92</v>
      </c>
      <c r="B203" s="562" t="s">
        <v>420</v>
      </c>
      <c r="C203" s="792">
        <f t="shared" ref="C203:M203" si="63">SUM(C191:C202)</f>
        <v>0</v>
      </c>
      <c r="D203" s="792">
        <f t="shared" si="63"/>
        <v>0</v>
      </c>
      <c r="E203" s="792">
        <f>SUM(E191:E202)</f>
        <v>0</v>
      </c>
      <c r="F203" s="792">
        <f t="shared" si="63"/>
        <v>0</v>
      </c>
      <c r="G203" s="792">
        <f t="shared" si="63"/>
        <v>0</v>
      </c>
      <c r="H203" s="792">
        <f t="shared" si="63"/>
        <v>0</v>
      </c>
      <c r="I203" s="792">
        <f t="shared" si="63"/>
        <v>0</v>
      </c>
      <c r="J203" s="792">
        <f t="shared" si="63"/>
        <v>0</v>
      </c>
      <c r="K203" s="792">
        <f t="shared" si="63"/>
        <v>0</v>
      </c>
      <c r="L203" s="792">
        <f t="shared" si="63"/>
        <v>0</v>
      </c>
      <c r="M203" s="792">
        <f t="shared" si="63"/>
        <v>0</v>
      </c>
    </row>
    <row r="204" spans="1:13" ht="13">
      <c r="A204" s="2"/>
      <c r="B204" s="562"/>
      <c r="C204" s="572"/>
      <c r="D204" s="572"/>
      <c r="E204" s="572"/>
      <c r="F204" s="572"/>
      <c r="G204" s="572"/>
      <c r="H204" s="572"/>
      <c r="I204" s="572"/>
      <c r="J204" s="572"/>
      <c r="K204" s="572"/>
      <c r="L204" s="572"/>
      <c r="M204" s="572"/>
    </row>
    <row r="205" spans="1:13" ht="13">
      <c r="A205" s="1069"/>
      <c r="B205" s="1102"/>
      <c r="C205" s="1096"/>
      <c r="D205" s="1096"/>
      <c r="E205" s="1096"/>
      <c r="F205" s="792"/>
    </row>
    <row r="206" spans="1:13" ht="13">
      <c r="A206" s="233"/>
      <c r="B206" s="1" t="s">
        <v>727</v>
      </c>
      <c r="C206" s="233"/>
      <c r="D206" s="233"/>
      <c r="E206" s="233"/>
      <c r="F206" s="233"/>
      <c r="G206" s="233"/>
      <c r="H206" s="233"/>
      <c r="I206" s="233"/>
      <c r="J206" s="233"/>
      <c r="K206" s="233"/>
      <c r="L206" s="233"/>
      <c r="M206" s="572"/>
    </row>
    <row r="207" spans="1:13">
      <c r="A207" s="233"/>
      <c r="B207" s="233"/>
      <c r="C207" s="233"/>
      <c r="D207" s="233"/>
      <c r="E207" s="233"/>
      <c r="F207" s="233"/>
      <c r="G207" s="233"/>
      <c r="H207" s="233"/>
      <c r="I207" s="233"/>
      <c r="J207" s="233"/>
      <c r="K207" s="233"/>
      <c r="L207" s="233"/>
      <c r="M207" s="572"/>
    </row>
    <row r="208" spans="1:13" ht="13">
      <c r="A208" s="233"/>
      <c r="B208" s="3" t="s">
        <v>659</v>
      </c>
      <c r="C208" s="48">
        <v>350.1</v>
      </c>
      <c r="D208" s="48">
        <v>350.2</v>
      </c>
      <c r="E208" s="48">
        <v>352</v>
      </c>
      <c r="F208" s="48">
        <v>353</v>
      </c>
      <c r="G208" s="48">
        <v>354</v>
      </c>
      <c r="H208" s="48">
        <v>355</v>
      </c>
      <c r="I208" s="48">
        <v>356</v>
      </c>
      <c r="J208" s="48">
        <v>357</v>
      </c>
      <c r="K208" s="48">
        <v>358</v>
      </c>
      <c r="L208" s="48">
        <v>359</v>
      </c>
      <c r="M208" s="572"/>
    </row>
    <row r="209" spans="1:13" ht="13">
      <c r="A209" s="2">
        <f>A203+1</f>
        <v>93</v>
      </c>
      <c r="B209" s="387"/>
      <c r="C209" s="575" t="e">
        <f t="shared" ref="C209:L209" si="64">C191/C$203</f>
        <v>#DIV/0!</v>
      </c>
      <c r="D209" s="575" t="e">
        <f t="shared" si="64"/>
        <v>#DIV/0!</v>
      </c>
      <c r="E209" s="575" t="e">
        <f t="shared" si="64"/>
        <v>#DIV/0!</v>
      </c>
      <c r="F209" s="575" t="e">
        <f t="shared" si="64"/>
        <v>#DIV/0!</v>
      </c>
      <c r="G209" s="575" t="e">
        <f t="shared" si="64"/>
        <v>#DIV/0!</v>
      </c>
      <c r="H209" s="575" t="e">
        <f t="shared" si="64"/>
        <v>#DIV/0!</v>
      </c>
      <c r="I209" s="575" t="e">
        <f t="shared" si="64"/>
        <v>#DIV/0!</v>
      </c>
      <c r="J209" s="575" t="e">
        <f t="shared" si="64"/>
        <v>#DIV/0!</v>
      </c>
      <c r="K209" s="575" t="e">
        <f t="shared" si="64"/>
        <v>#DIV/0!</v>
      </c>
      <c r="L209" s="575" t="e">
        <f t="shared" si="64"/>
        <v>#DIV/0!</v>
      </c>
      <c r="M209" s="572"/>
    </row>
    <row r="210" spans="1:13" ht="13">
      <c r="A210" s="2">
        <f t="shared" ref="A210:A220" si="65">A209+1</f>
        <v>94</v>
      </c>
      <c r="B210" s="387"/>
      <c r="C210" s="575" t="e">
        <f t="shared" ref="C210:L210" si="66">C192/C$203</f>
        <v>#DIV/0!</v>
      </c>
      <c r="D210" s="575" t="e">
        <f t="shared" si="66"/>
        <v>#DIV/0!</v>
      </c>
      <c r="E210" s="575" t="e">
        <f t="shared" si="66"/>
        <v>#DIV/0!</v>
      </c>
      <c r="F210" s="575" t="e">
        <f t="shared" si="66"/>
        <v>#DIV/0!</v>
      </c>
      <c r="G210" s="575" t="e">
        <f t="shared" si="66"/>
        <v>#DIV/0!</v>
      </c>
      <c r="H210" s="575" t="e">
        <f t="shared" si="66"/>
        <v>#DIV/0!</v>
      </c>
      <c r="I210" s="575" t="e">
        <f t="shared" si="66"/>
        <v>#DIV/0!</v>
      </c>
      <c r="J210" s="575" t="e">
        <f t="shared" si="66"/>
        <v>#DIV/0!</v>
      </c>
      <c r="K210" s="575" t="e">
        <f t="shared" si="66"/>
        <v>#DIV/0!</v>
      </c>
      <c r="L210" s="575" t="e">
        <f t="shared" si="66"/>
        <v>#DIV/0!</v>
      </c>
      <c r="M210" s="572"/>
    </row>
    <row r="211" spans="1:13" ht="13">
      <c r="A211" s="2">
        <f t="shared" si="65"/>
        <v>95</v>
      </c>
      <c r="B211" s="387"/>
      <c r="C211" s="575" t="e">
        <f t="shared" ref="C211:L211" si="67">C193/C$203</f>
        <v>#DIV/0!</v>
      </c>
      <c r="D211" s="575" t="e">
        <f t="shared" si="67"/>
        <v>#DIV/0!</v>
      </c>
      <c r="E211" s="575" t="e">
        <f t="shared" si="67"/>
        <v>#DIV/0!</v>
      </c>
      <c r="F211" s="575" t="e">
        <f t="shared" si="67"/>
        <v>#DIV/0!</v>
      </c>
      <c r="G211" s="575" t="e">
        <f t="shared" si="67"/>
        <v>#DIV/0!</v>
      </c>
      <c r="H211" s="575" t="e">
        <f t="shared" si="67"/>
        <v>#DIV/0!</v>
      </c>
      <c r="I211" s="575" t="e">
        <f t="shared" si="67"/>
        <v>#DIV/0!</v>
      </c>
      <c r="J211" s="575" t="e">
        <f t="shared" si="67"/>
        <v>#DIV/0!</v>
      </c>
      <c r="K211" s="575" t="e">
        <f t="shared" si="67"/>
        <v>#DIV/0!</v>
      </c>
      <c r="L211" s="575" t="e">
        <f t="shared" si="67"/>
        <v>#DIV/0!</v>
      </c>
      <c r="M211" s="572"/>
    </row>
    <row r="212" spans="1:13" ht="13">
      <c r="A212" s="2">
        <f t="shared" si="65"/>
        <v>96</v>
      </c>
      <c r="B212" s="387"/>
      <c r="C212" s="575" t="e">
        <f t="shared" ref="C212:L212" si="68">C194/C$203</f>
        <v>#DIV/0!</v>
      </c>
      <c r="D212" s="575" t="e">
        <f t="shared" si="68"/>
        <v>#DIV/0!</v>
      </c>
      <c r="E212" s="575" t="e">
        <f t="shared" si="68"/>
        <v>#DIV/0!</v>
      </c>
      <c r="F212" s="575" t="e">
        <f t="shared" si="68"/>
        <v>#DIV/0!</v>
      </c>
      <c r="G212" s="575" t="e">
        <f t="shared" si="68"/>
        <v>#DIV/0!</v>
      </c>
      <c r="H212" s="575" t="e">
        <f t="shared" si="68"/>
        <v>#DIV/0!</v>
      </c>
      <c r="I212" s="575" t="e">
        <f t="shared" si="68"/>
        <v>#DIV/0!</v>
      </c>
      <c r="J212" s="575" t="e">
        <f t="shared" si="68"/>
        <v>#DIV/0!</v>
      </c>
      <c r="K212" s="575" t="e">
        <f t="shared" si="68"/>
        <v>#DIV/0!</v>
      </c>
      <c r="L212" s="575" t="e">
        <f t="shared" si="68"/>
        <v>#DIV/0!</v>
      </c>
      <c r="M212" s="572"/>
    </row>
    <row r="213" spans="1:13" ht="13">
      <c r="A213" s="2">
        <f t="shared" si="65"/>
        <v>97</v>
      </c>
      <c r="B213" s="387"/>
      <c r="C213" s="575" t="e">
        <f t="shared" ref="C213:L213" si="69">C195/C$203</f>
        <v>#DIV/0!</v>
      </c>
      <c r="D213" s="575" t="e">
        <f t="shared" si="69"/>
        <v>#DIV/0!</v>
      </c>
      <c r="E213" s="575" t="e">
        <f t="shared" si="69"/>
        <v>#DIV/0!</v>
      </c>
      <c r="F213" s="575" t="e">
        <f t="shared" si="69"/>
        <v>#DIV/0!</v>
      </c>
      <c r="G213" s="575" t="e">
        <f t="shared" si="69"/>
        <v>#DIV/0!</v>
      </c>
      <c r="H213" s="575" t="e">
        <f>H195/H$203</f>
        <v>#DIV/0!</v>
      </c>
      <c r="I213" s="575" t="e">
        <f t="shared" si="69"/>
        <v>#DIV/0!</v>
      </c>
      <c r="J213" s="575" t="e">
        <f t="shared" si="69"/>
        <v>#DIV/0!</v>
      </c>
      <c r="K213" s="575" t="e">
        <f t="shared" si="69"/>
        <v>#DIV/0!</v>
      </c>
      <c r="L213" s="575" t="e">
        <f t="shared" si="69"/>
        <v>#DIV/0!</v>
      </c>
      <c r="M213" s="572"/>
    </row>
    <row r="214" spans="1:13" ht="13">
      <c r="A214" s="2">
        <f t="shared" si="65"/>
        <v>98</v>
      </c>
      <c r="B214" s="387"/>
      <c r="C214" s="575" t="e">
        <f t="shared" ref="C214:L214" si="70">C196/C$203</f>
        <v>#DIV/0!</v>
      </c>
      <c r="D214" s="575" t="e">
        <f t="shared" si="70"/>
        <v>#DIV/0!</v>
      </c>
      <c r="E214" s="575" t="e">
        <f t="shared" si="70"/>
        <v>#DIV/0!</v>
      </c>
      <c r="F214" s="575" t="e">
        <f t="shared" si="70"/>
        <v>#DIV/0!</v>
      </c>
      <c r="G214" s="575" t="e">
        <f t="shared" si="70"/>
        <v>#DIV/0!</v>
      </c>
      <c r="H214" s="575" t="e">
        <f t="shared" si="70"/>
        <v>#DIV/0!</v>
      </c>
      <c r="I214" s="575" t="e">
        <f t="shared" si="70"/>
        <v>#DIV/0!</v>
      </c>
      <c r="J214" s="575" t="e">
        <f t="shared" si="70"/>
        <v>#DIV/0!</v>
      </c>
      <c r="K214" s="575" t="e">
        <f t="shared" si="70"/>
        <v>#DIV/0!</v>
      </c>
      <c r="L214" s="575" t="e">
        <f t="shared" si="70"/>
        <v>#DIV/0!</v>
      </c>
      <c r="M214" s="572"/>
    </row>
    <row r="215" spans="1:13" ht="13">
      <c r="A215" s="2">
        <f t="shared" si="65"/>
        <v>99</v>
      </c>
      <c r="B215" s="387"/>
      <c r="C215" s="575" t="e">
        <f t="shared" ref="C215:L215" si="71">C197/C$203</f>
        <v>#DIV/0!</v>
      </c>
      <c r="D215" s="575" t="e">
        <f t="shared" si="71"/>
        <v>#DIV/0!</v>
      </c>
      <c r="E215" s="575" t="e">
        <f t="shared" si="71"/>
        <v>#DIV/0!</v>
      </c>
      <c r="F215" s="575" t="e">
        <f t="shared" si="71"/>
        <v>#DIV/0!</v>
      </c>
      <c r="G215" s="575" t="e">
        <f t="shared" si="71"/>
        <v>#DIV/0!</v>
      </c>
      <c r="H215" s="575" t="e">
        <f t="shared" si="71"/>
        <v>#DIV/0!</v>
      </c>
      <c r="I215" s="575" t="e">
        <f t="shared" si="71"/>
        <v>#DIV/0!</v>
      </c>
      <c r="J215" s="575" t="e">
        <f t="shared" si="71"/>
        <v>#DIV/0!</v>
      </c>
      <c r="K215" s="575" t="e">
        <f t="shared" si="71"/>
        <v>#DIV/0!</v>
      </c>
      <c r="L215" s="575" t="e">
        <f t="shared" si="71"/>
        <v>#DIV/0!</v>
      </c>
      <c r="M215" s="572"/>
    </row>
    <row r="216" spans="1:13" ht="13">
      <c r="A216" s="2">
        <f t="shared" si="65"/>
        <v>100</v>
      </c>
      <c r="B216" s="387"/>
      <c r="C216" s="575" t="e">
        <f t="shared" ref="C216:L216" si="72">C198/C$203</f>
        <v>#DIV/0!</v>
      </c>
      <c r="D216" s="575" t="e">
        <f t="shared" si="72"/>
        <v>#DIV/0!</v>
      </c>
      <c r="E216" s="575" t="e">
        <f t="shared" si="72"/>
        <v>#DIV/0!</v>
      </c>
      <c r="F216" s="575" t="e">
        <f t="shared" si="72"/>
        <v>#DIV/0!</v>
      </c>
      <c r="G216" s="575" t="e">
        <f t="shared" si="72"/>
        <v>#DIV/0!</v>
      </c>
      <c r="H216" s="575" t="e">
        <f t="shared" si="72"/>
        <v>#DIV/0!</v>
      </c>
      <c r="I216" s="575" t="e">
        <f t="shared" si="72"/>
        <v>#DIV/0!</v>
      </c>
      <c r="J216" s="575" t="e">
        <f t="shared" si="72"/>
        <v>#DIV/0!</v>
      </c>
      <c r="K216" s="575" t="e">
        <f t="shared" si="72"/>
        <v>#DIV/0!</v>
      </c>
      <c r="L216" s="575" t="e">
        <f t="shared" si="72"/>
        <v>#DIV/0!</v>
      </c>
      <c r="M216" s="572"/>
    </row>
    <row r="217" spans="1:13" ht="13">
      <c r="A217" s="2">
        <f t="shared" si="65"/>
        <v>101</v>
      </c>
      <c r="B217" s="387"/>
      <c r="C217" s="575" t="e">
        <f t="shared" ref="C217:L217" si="73">C199/C$203</f>
        <v>#DIV/0!</v>
      </c>
      <c r="D217" s="575" t="e">
        <f t="shared" si="73"/>
        <v>#DIV/0!</v>
      </c>
      <c r="E217" s="575" t="e">
        <f t="shared" si="73"/>
        <v>#DIV/0!</v>
      </c>
      <c r="F217" s="575" t="e">
        <f t="shared" si="73"/>
        <v>#DIV/0!</v>
      </c>
      <c r="G217" s="575" t="e">
        <f t="shared" si="73"/>
        <v>#DIV/0!</v>
      </c>
      <c r="H217" s="575" t="e">
        <f t="shared" si="73"/>
        <v>#DIV/0!</v>
      </c>
      <c r="I217" s="575" t="e">
        <f t="shared" si="73"/>
        <v>#DIV/0!</v>
      </c>
      <c r="J217" s="575" t="e">
        <f t="shared" si="73"/>
        <v>#DIV/0!</v>
      </c>
      <c r="K217" s="575" t="e">
        <f t="shared" si="73"/>
        <v>#DIV/0!</v>
      </c>
      <c r="L217" s="575" t="e">
        <f t="shared" si="73"/>
        <v>#DIV/0!</v>
      </c>
      <c r="M217" s="572"/>
    </row>
    <row r="218" spans="1:13" ht="13">
      <c r="A218" s="2">
        <f t="shared" si="65"/>
        <v>102</v>
      </c>
      <c r="B218" s="387"/>
      <c r="C218" s="575" t="e">
        <f t="shared" ref="C218:L218" si="74">C200/C$203</f>
        <v>#DIV/0!</v>
      </c>
      <c r="D218" s="575" t="e">
        <f t="shared" si="74"/>
        <v>#DIV/0!</v>
      </c>
      <c r="E218" s="575" t="e">
        <f t="shared" si="74"/>
        <v>#DIV/0!</v>
      </c>
      <c r="F218" s="575" t="e">
        <f t="shared" si="74"/>
        <v>#DIV/0!</v>
      </c>
      <c r="G218" s="575" t="e">
        <f t="shared" si="74"/>
        <v>#DIV/0!</v>
      </c>
      <c r="H218" s="575" t="e">
        <f t="shared" si="74"/>
        <v>#DIV/0!</v>
      </c>
      <c r="I218" s="575" t="e">
        <f t="shared" si="74"/>
        <v>#DIV/0!</v>
      </c>
      <c r="J218" s="575" t="e">
        <f t="shared" si="74"/>
        <v>#DIV/0!</v>
      </c>
      <c r="K218" s="575" t="e">
        <f t="shared" si="74"/>
        <v>#DIV/0!</v>
      </c>
      <c r="L218" s="575" t="e">
        <f t="shared" si="74"/>
        <v>#DIV/0!</v>
      </c>
      <c r="M218" s="572"/>
    </row>
    <row r="219" spans="1:13" ht="13">
      <c r="A219" s="2">
        <f t="shared" si="65"/>
        <v>103</v>
      </c>
      <c r="B219" s="387"/>
      <c r="C219" s="575" t="e">
        <f t="shared" ref="C219:L219" si="75">C201/C$203</f>
        <v>#DIV/0!</v>
      </c>
      <c r="D219" s="575" t="e">
        <f t="shared" si="75"/>
        <v>#DIV/0!</v>
      </c>
      <c r="E219" s="575" t="e">
        <f t="shared" si="75"/>
        <v>#DIV/0!</v>
      </c>
      <c r="F219" s="575" t="e">
        <f t="shared" si="75"/>
        <v>#DIV/0!</v>
      </c>
      <c r="G219" s="575" t="e">
        <f t="shared" si="75"/>
        <v>#DIV/0!</v>
      </c>
      <c r="H219" s="575" t="e">
        <f t="shared" si="75"/>
        <v>#DIV/0!</v>
      </c>
      <c r="I219" s="575" t="e">
        <f t="shared" si="75"/>
        <v>#DIV/0!</v>
      </c>
      <c r="J219" s="575" t="e">
        <f t="shared" si="75"/>
        <v>#DIV/0!</v>
      </c>
      <c r="K219" s="575" t="e">
        <f t="shared" si="75"/>
        <v>#DIV/0!</v>
      </c>
      <c r="L219" s="575" t="e">
        <f t="shared" si="75"/>
        <v>#DIV/0!</v>
      </c>
      <c r="M219" s="572"/>
    </row>
    <row r="220" spans="1:13" ht="13">
      <c r="A220" s="2">
        <f t="shared" si="65"/>
        <v>104</v>
      </c>
      <c r="B220" s="387"/>
      <c r="C220" s="575" t="e">
        <f t="shared" ref="C220:L220" si="76">C202/C$203</f>
        <v>#DIV/0!</v>
      </c>
      <c r="D220" s="575" t="e">
        <f t="shared" si="76"/>
        <v>#DIV/0!</v>
      </c>
      <c r="E220" s="575" t="e">
        <f t="shared" si="76"/>
        <v>#DIV/0!</v>
      </c>
      <c r="F220" s="575" t="e">
        <f t="shared" si="76"/>
        <v>#DIV/0!</v>
      </c>
      <c r="G220" s="575" t="e">
        <f t="shared" si="76"/>
        <v>#DIV/0!</v>
      </c>
      <c r="H220" s="575" t="e">
        <f t="shared" si="76"/>
        <v>#DIV/0!</v>
      </c>
      <c r="I220" s="575" t="e">
        <f t="shared" si="76"/>
        <v>#DIV/0!</v>
      </c>
      <c r="J220" s="575" t="e">
        <f t="shared" si="76"/>
        <v>#DIV/0!</v>
      </c>
      <c r="K220" s="575" t="e">
        <f t="shared" si="76"/>
        <v>#DIV/0!</v>
      </c>
      <c r="L220" s="575" t="e">
        <f t="shared" si="76"/>
        <v>#DIV/0!</v>
      </c>
      <c r="M220" s="572"/>
    </row>
    <row r="222" spans="1:13" ht="13">
      <c r="A222" s="2"/>
      <c r="B222" s="562"/>
      <c r="C222" s="575"/>
      <c r="D222" s="575"/>
      <c r="E222" s="575"/>
      <c r="F222" s="575"/>
      <c r="G222" s="575"/>
      <c r="H222" s="575"/>
      <c r="I222" s="575"/>
      <c r="J222" s="575"/>
      <c r="K222" s="575"/>
      <c r="L222" s="575"/>
      <c r="M222" s="572"/>
    </row>
    <row r="223" spans="1:13" ht="13">
      <c r="B223" s="1" t="s">
        <v>3027</v>
      </c>
    </row>
    <row r="224" spans="1:13">
      <c r="B224" s="232" t="s">
        <v>728</v>
      </c>
    </row>
    <row r="225" spans="1:42" ht="13">
      <c r="B225" s="12"/>
      <c r="C225" s="48">
        <v>350.1</v>
      </c>
      <c r="D225" s="48">
        <v>350.2</v>
      </c>
      <c r="E225" s="48">
        <v>352</v>
      </c>
      <c r="F225" s="48">
        <v>353</v>
      </c>
      <c r="G225" s="48">
        <v>354</v>
      </c>
      <c r="H225" s="48">
        <v>355</v>
      </c>
      <c r="I225" s="48">
        <v>356</v>
      </c>
      <c r="J225" s="48">
        <v>357</v>
      </c>
      <c r="K225" s="48">
        <v>358</v>
      </c>
      <c r="L225" s="48">
        <v>359</v>
      </c>
      <c r="M225" s="3" t="s">
        <v>252</v>
      </c>
    </row>
    <row r="226" spans="1:42" ht="13">
      <c r="A226" s="2">
        <f>A220+1</f>
        <v>105</v>
      </c>
      <c r="B226" s="12"/>
      <c r="C226" s="6">
        <f t="shared" ref="C226:L226" si="77">C25-C13</f>
        <v>0</v>
      </c>
      <c r="D226" s="6">
        <f t="shared" si="77"/>
        <v>0</v>
      </c>
      <c r="E226" s="6">
        <f t="shared" si="77"/>
        <v>0</v>
      </c>
      <c r="F226" s="6">
        <f t="shared" si="77"/>
        <v>0</v>
      </c>
      <c r="G226" s="6">
        <f t="shared" si="77"/>
        <v>0</v>
      </c>
      <c r="H226" s="6">
        <f t="shared" si="77"/>
        <v>0</v>
      </c>
      <c r="I226" s="6">
        <f t="shared" si="77"/>
        <v>0</v>
      </c>
      <c r="J226" s="6">
        <f t="shared" si="77"/>
        <v>0</v>
      </c>
      <c r="K226" s="6">
        <f t="shared" si="77"/>
        <v>0</v>
      </c>
      <c r="L226" s="6">
        <f t="shared" si="77"/>
        <v>0</v>
      </c>
      <c r="M226" s="235">
        <f>SUM(C226:L226)</f>
        <v>0</v>
      </c>
    </row>
    <row r="227" spans="1:42">
      <c r="B227" s="12"/>
      <c r="C227" s="6"/>
      <c r="D227" s="6"/>
      <c r="E227" s="6"/>
      <c r="F227" s="6"/>
      <c r="G227" s="6"/>
      <c r="H227" s="6"/>
      <c r="I227" s="6"/>
      <c r="J227" s="6"/>
      <c r="K227" s="6"/>
      <c r="L227" s="6"/>
      <c r="M227" s="6"/>
    </row>
    <row r="228" spans="1:42">
      <c r="B228" s="12"/>
      <c r="C228" s="6"/>
      <c r="D228" s="6"/>
      <c r="E228" s="6"/>
      <c r="F228" s="6"/>
      <c r="G228" s="6"/>
      <c r="H228" s="6"/>
      <c r="I228" s="6"/>
      <c r="J228" s="6"/>
      <c r="K228" s="6"/>
      <c r="L228" s="6"/>
      <c r="M228" s="6"/>
    </row>
    <row r="229" spans="1:42">
      <c r="B229" s="232" t="s">
        <v>729</v>
      </c>
      <c r="C229" s="6"/>
      <c r="D229" s="6"/>
      <c r="E229" s="6"/>
      <c r="F229" s="6"/>
      <c r="G229" s="6"/>
      <c r="H229" s="6"/>
      <c r="I229" s="6"/>
      <c r="J229" s="6"/>
      <c r="K229" s="6"/>
      <c r="L229" s="6"/>
      <c r="M229" s="6"/>
    </row>
    <row r="230" spans="1:42" ht="13">
      <c r="B230" s="12"/>
      <c r="C230" s="48">
        <v>350.1</v>
      </c>
      <c r="D230" s="48">
        <v>350.2</v>
      </c>
      <c r="E230" s="48">
        <v>352</v>
      </c>
      <c r="F230" s="48">
        <v>353</v>
      </c>
      <c r="G230" s="48">
        <v>354</v>
      </c>
      <c r="H230" s="48">
        <v>355</v>
      </c>
      <c r="I230" s="48">
        <v>356</v>
      </c>
      <c r="J230" s="48">
        <v>357</v>
      </c>
      <c r="K230" s="48">
        <v>358</v>
      </c>
      <c r="L230" s="48">
        <v>359</v>
      </c>
      <c r="M230" s="3" t="s">
        <v>252</v>
      </c>
    </row>
    <row r="231" spans="1:42" ht="13">
      <c r="A231" s="2">
        <f>A226+1</f>
        <v>106</v>
      </c>
      <c r="B231" s="12"/>
      <c r="C231" s="6">
        <f t="shared" ref="C231:L231" si="78">C184</f>
        <v>0</v>
      </c>
      <c r="D231" s="6">
        <f t="shared" si="78"/>
        <v>0</v>
      </c>
      <c r="E231" s="6">
        <f t="shared" si="78"/>
        <v>0</v>
      </c>
      <c r="F231" s="6">
        <f t="shared" si="78"/>
        <v>0</v>
      </c>
      <c r="G231" s="6">
        <f t="shared" si="78"/>
        <v>0</v>
      </c>
      <c r="H231" s="6">
        <f t="shared" si="78"/>
        <v>0</v>
      </c>
      <c r="I231" s="6">
        <f t="shared" si="78"/>
        <v>0</v>
      </c>
      <c r="J231" s="6">
        <f t="shared" si="78"/>
        <v>0</v>
      </c>
      <c r="K231" s="6">
        <f t="shared" si="78"/>
        <v>0</v>
      </c>
      <c r="L231" s="6">
        <f t="shared" si="78"/>
        <v>0</v>
      </c>
      <c r="M231" s="6">
        <f>M184</f>
        <v>0</v>
      </c>
    </row>
    <row r="232" spans="1:42" ht="13">
      <c r="A232" s="2"/>
      <c r="B232" s="12"/>
      <c r="C232" s="6"/>
      <c r="D232" s="6"/>
      <c r="E232" s="6"/>
      <c r="F232" s="6"/>
      <c r="G232" s="6"/>
      <c r="H232" s="6"/>
      <c r="I232" s="6"/>
      <c r="J232" s="6"/>
      <c r="K232" s="6"/>
      <c r="L232" s="6"/>
      <c r="M232" s="6"/>
    </row>
    <row r="233" spans="1:42">
      <c r="B233" s="12"/>
      <c r="C233" s="6"/>
      <c r="D233" s="6"/>
      <c r="E233" s="6"/>
      <c r="F233" s="6"/>
      <c r="G233" s="6"/>
      <c r="H233" s="6"/>
      <c r="I233" s="6"/>
      <c r="J233" s="6"/>
      <c r="K233" s="6"/>
      <c r="L233" s="6"/>
      <c r="M233" s="6"/>
    </row>
    <row r="234" spans="1:42">
      <c r="B234" s="232" t="s">
        <v>3058</v>
      </c>
      <c r="C234" s="6"/>
      <c r="D234" s="6"/>
      <c r="E234" s="6"/>
      <c r="F234" s="6"/>
      <c r="G234" s="6"/>
      <c r="H234" s="6"/>
      <c r="I234" s="6"/>
      <c r="J234" s="6"/>
      <c r="K234" s="6"/>
      <c r="L234" s="6"/>
      <c r="M234" s="6"/>
    </row>
    <row r="235" spans="1:42" ht="13">
      <c r="C235" s="48">
        <v>350.1</v>
      </c>
      <c r="D235" s="48">
        <v>350.2</v>
      </c>
      <c r="E235" s="48">
        <v>352</v>
      </c>
      <c r="F235" s="48">
        <v>353</v>
      </c>
      <c r="G235" s="48">
        <v>354</v>
      </c>
      <c r="H235" s="48">
        <v>355</v>
      </c>
      <c r="I235" s="48">
        <v>356</v>
      </c>
      <c r="J235" s="48">
        <v>357</v>
      </c>
      <c r="K235" s="48">
        <v>358</v>
      </c>
      <c r="L235" s="48">
        <v>359</v>
      </c>
      <c r="M235" s="3" t="s">
        <v>252</v>
      </c>
    </row>
    <row r="236" spans="1:42" ht="13">
      <c r="A236" s="2">
        <f>A231+1</f>
        <v>107</v>
      </c>
      <c r="C236" s="6">
        <f t="shared" ref="C236:M236" si="79">C226-C231</f>
        <v>0</v>
      </c>
      <c r="D236" s="6">
        <f t="shared" si="79"/>
        <v>0</v>
      </c>
      <c r="E236" s="6">
        <f t="shared" si="79"/>
        <v>0</v>
      </c>
      <c r="F236" s="6">
        <f t="shared" si="79"/>
        <v>0</v>
      </c>
      <c r="G236" s="6">
        <f t="shared" si="79"/>
        <v>0</v>
      </c>
      <c r="H236" s="6">
        <f t="shared" si="79"/>
        <v>0</v>
      </c>
      <c r="I236" s="6">
        <f t="shared" si="79"/>
        <v>0</v>
      </c>
      <c r="J236" s="6">
        <f t="shared" si="79"/>
        <v>0</v>
      </c>
      <c r="K236" s="6">
        <f t="shared" si="79"/>
        <v>0</v>
      </c>
      <c r="L236" s="6">
        <f t="shared" si="79"/>
        <v>0</v>
      </c>
      <c r="M236" s="6">
        <f t="shared" si="79"/>
        <v>0</v>
      </c>
    </row>
    <row r="238" spans="1:42" ht="13">
      <c r="B238" s="1" t="s">
        <v>3059</v>
      </c>
      <c r="N238" s="233"/>
      <c r="O238" s="233"/>
      <c r="P238" s="233"/>
      <c r="Q238" s="233"/>
      <c r="R238" s="233"/>
      <c r="S238" s="233"/>
      <c r="T238" s="233"/>
      <c r="U238" s="233"/>
      <c r="V238" s="233"/>
      <c r="W238" s="233"/>
      <c r="X238" s="233"/>
      <c r="Y238" s="233"/>
      <c r="Z238" s="233"/>
      <c r="AA238" s="233"/>
      <c r="AB238" s="233"/>
      <c r="AC238" s="233"/>
      <c r="AD238" s="233"/>
      <c r="AE238" s="233"/>
      <c r="AF238" s="233"/>
      <c r="AG238" s="233"/>
      <c r="AH238" s="233"/>
      <c r="AI238" s="233"/>
      <c r="AJ238" s="233"/>
      <c r="AK238" s="233"/>
      <c r="AL238" s="233"/>
      <c r="AM238" s="233"/>
      <c r="AN238" s="233"/>
      <c r="AO238" s="233"/>
      <c r="AP238" s="233"/>
    </row>
    <row r="239" spans="1:42" ht="13">
      <c r="A239" s="197"/>
      <c r="B239" s="48" t="s">
        <v>347</v>
      </c>
      <c r="C239" s="48" t="s">
        <v>348</v>
      </c>
      <c r="D239" s="48" t="s">
        <v>349</v>
      </c>
      <c r="E239" s="48" t="s">
        <v>350</v>
      </c>
      <c r="F239" s="48" t="s">
        <v>351</v>
      </c>
      <c r="G239" s="48" t="s">
        <v>352</v>
      </c>
      <c r="H239" s="48" t="s">
        <v>353</v>
      </c>
      <c r="I239" s="48" t="s">
        <v>354</v>
      </c>
      <c r="J239" s="48" t="s">
        <v>355</v>
      </c>
      <c r="K239" s="48" t="s">
        <v>605</v>
      </c>
      <c r="L239" s="48" t="s">
        <v>606</v>
      </c>
      <c r="M239" s="48" t="s">
        <v>607</v>
      </c>
    </row>
    <row r="240" spans="1:42" ht="13">
      <c r="A240" s="112"/>
      <c r="B240" s="115"/>
      <c r="C240" s="112"/>
      <c r="D240" s="112"/>
      <c r="E240" s="112"/>
      <c r="F240" s="258"/>
      <c r="G240" s="112"/>
      <c r="H240" s="112"/>
      <c r="I240" s="112"/>
      <c r="J240" s="112"/>
      <c r="K240" s="112"/>
      <c r="L240" s="112"/>
      <c r="M240" s="125" t="s">
        <v>658</v>
      </c>
    </row>
    <row r="241" spans="1:13" ht="13">
      <c r="A241" s="112"/>
      <c r="B241" s="2"/>
      <c r="C241" s="48"/>
      <c r="D241" s="48"/>
      <c r="E241" s="112"/>
      <c r="F241" s="112"/>
      <c r="G241" s="112"/>
      <c r="H241" s="112"/>
      <c r="I241" s="112"/>
      <c r="J241" s="112"/>
      <c r="K241" s="112"/>
      <c r="L241" s="112"/>
    </row>
    <row r="242" spans="1:13" ht="13">
      <c r="A242" s="30"/>
      <c r="B242" s="3" t="s">
        <v>659</v>
      </c>
      <c r="C242" s="48">
        <v>350.1</v>
      </c>
      <c r="D242" s="48">
        <v>350.2</v>
      </c>
      <c r="E242" s="48">
        <v>352</v>
      </c>
      <c r="F242" s="48">
        <v>353</v>
      </c>
      <c r="G242" s="48">
        <v>354</v>
      </c>
      <c r="H242" s="48">
        <v>355</v>
      </c>
      <c r="I242" s="48">
        <v>356</v>
      </c>
      <c r="J242" s="48">
        <v>357</v>
      </c>
      <c r="K242" s="48">
        <v>358</v>
      </c>
      <c r="L242" s="48">
        <v>359</v>
      </c>
      <c r="M242" s="3" t="s">
        <v>252</v>
      </c>
    </row>
    <row r="243" spans="1:13" ht="13">
      <c r="A243" s="2">
        <f>A236+1</f>
        <v>108</v>
      </c>
      <c r="B243" s="387"/>
      <c r="C243" s="235" t="e">
        <f t="shared" ref="C243:L243" si="80">C$236*C209</f>
        <v>#DIV/0!</v>
      </c>
      <c r="D243" s="235" t="e">
        <f t="shared" si="80"/>
        <v>#DIV/0!</v>
      </c>
      <c r="E243" s="235" t="e">
        <f t="shared" si="80"/>
        <v>#DIV/0!</v>
      </c>
      <c r="F243" s="235" t="e">
        <f t="shared" si="80"/>
        <v>#DIV/0!</v>
      </c>
      <c r="G243" s="235" t="e">
        <f t="shared" si="80"/>
        <v>#DIV/0!</v>
      </c>
      <c r="H243" s="235" t="e">
        <f t="shared" si="80"/>
        <v>#DIV/0!</v>
      </c>
      <c r="I243" s="235" t="e">
        <f t="shared" si="80"/>
        <v>#DIV/0!</v>
      </c>
      <c r="J243" s="235" t="e">
        <f t="shared" si="80"/>
        <v>#DIV/0!</v>
      </c>
      <c r="K243" s="235" t="e">
        <f t="shared" si="80"/>
        <v>#DIV/0!</v>
      </c>
      <c r="L243" s="235" t="e">
        <f t="shared" si="80"/>
        <v>#DIV/0!</v>
      </c>
      <c r="M243" s="235" t="e">
        <f>SUM(C243:L243)</f>
        <v>#DIV/0!</v>
      </c>
    </row>
    <row r="244" spans="1:13" ht="13">
      <c r="A244" s="2">
        <f t="shared" ref="A244:A255" si="81">A243+1</f>
        <v>109</v>
      </c>
      <c r="B244" s="387"/>
      <c r="C244" s="235" t="e">
        <f t="shared" ref="C244:L244" si="82">C$236*C210</f>
        <v>#DIV/0!</v>
      </c>
      <c r="D244" s="235" t="e">
        <f t="shared" si="82"/>
        <v>#DIV/0!</v>
      </c>
      <c r="E244" s="235" t="e">
        <f t="shared" si="82"/>
        <v>#DIV/0!</v>
      </c>
      <c r="F244" s="235" t="e">
        <f t="shared" si="82"/>
        <v>#DIV/0!</v>
      </c>
      <c r="G244" s="235" t="e">
        <f t="shared" si="82"/>
        <v>#DIV/0!</v>
      </c>
      <c r="H244" s="235" t="e">
        <f t="shared" si="82"/>
        <v>#DIV/0!</v>
      </c>
      <c r="I244" s="235" t="e">
        <f t="shared" si="82"/>
        <v>#DIV/0!</v>
      </c>
      <c r="J244" s="235" t="e">
        <f t="shared" si="82"/>
        <v>#DIV/0!</v>
      </c>
      <c r="K244" s="235" t="e">
        <f t="shared" si="82"/>
        <v>#DIV/0!</v>
      </c>
      <c r="L244" s="235" t="e">
        <f t="shared" si="82"/>
        <v>#DIV/0!</v>
      </c>
      <c r="M244" s="235" t="e">
        <f t="shared" ref="M244:M255" si="83">SUM(C244:L244)</f>
        <v>#DIV/0!</v>
      </c>
    </row>
    <row r="245" spans="1:13" ht="13">
      <c r="A245" s="2">
        <f t="shared" si="81"/>
        <v>110</v>
      </c>
      <c r="B245" s="387"/>
      <c r="C245" s="235" t="e">
        <f t="shared" ref="C245:L245" si="84">C$236*C211</f>
        <v>#DIV/0!</v>
      </c>
      <c r="D245" s="235" t="e">
        <f t="shared" si="84"/>
        <v>#DIV/0!</v>
      </c>
      <c r="E245" s="235" t="e">
        <f t="shared" si="84"/>
        <v>#DIV/0!</v>
      </c>
      <c r="F245" s="235" t="e">
        <f t="shared" si="84"/>
        <v>#DIV/0!</v>
      </c>
      <c r="G245" s="235" t="e">
        <f t="shared" si="84"/>
        <v>#DIV/0!</v>
      </c>
      <c r="H245" s="235" t="e">
        <f t="shared" si="84"/>
        <v>#DIV/0!</v>
      </c>
      <c r="I245" s="235" t="e">
        <f t="shared" si="84"/>
        <v>#DIV/0!</v>
      </c>
      <c r="J245" s="235" t="e">
        <f t="shared" si="84"/>
        <v>#DIV/0!</v>
      </c>
      <c r="K245" s="235" t="e">
        <f t="shared" si="84"/>
        <v>#DIV/0!</v>
      </c>
      <c r="L245" s="235" t="e">
        <f t="shared" si="84"/>
        <v>#DIV/0!</v>
      </c>
      <c r="M245" s="235" t="e">
        <f t="shared" si="83"/>
        <v>#DIV/0!</v>
      </c>
    </row>
    <row r="246" spans="1:13" ht="13">
      <c r="A246" s="2">
        <f t="shared" si="81"/>
        <v>111</v>
      </c>
      <c r="B246" s="387"/>
      <c r="C246" s="235" t="e">
        <f t="shared" ref="C246:L246" si="85">C$236*C212</f>
        <v>#DIV/0!</v>
      </c>
      <c r="D246" s="235" t="e">
        <f t="shared" si="85"/>
        <v>#DIV/0!</v>
      </c>
      <c r="E246" s="235" t="e">
        <f t="shared" si="85"/>
        <v>#DIV/0!</v>
      </c>
      <c r="F246" s="235" t="e">
        <f t="shared" si="85"/>
        <v>#DIV/0!</v>
      </c>
      <c r="G246" s="235" t="e">
        <f t="shared" si="85"/>
        <v>#DIV/0!</v>
      </c>
      <c r="H246" s="235" t="e">
        <f t="shared" si="85"/>
        <v>#DIV/0!</v>
      </c>
      <c r="I246" s="235" t="e">
        <f t="shared" si="85"/>
        <v>#DIV/0!</v>
      </c>
      <c r="J246" s="235" t="e">
        <f t="shared" si="85"/>
        <v>#DIV/0!</v>
      </c>
      <c r="K246" s="235" t="e">
        <f t="shared" si="85"/>
        <v>#DIV/0!</v>
      </c>
      <c r="L246" s="235" t="e">
        <f t="shared" si="85"/>
        <v>#DIV/0!</v>
      </c>
      <c r="M246" s="235" t="e">
        <f t="shared" si="83"/>
        <v>#DIV/0!</v>
      </c>
    </row>
    <row r="247" spans="1:13" ht="13">
      <c r="A247" s="2">
        <f t="shared" si="81"/>
        <v>112</v>
      </c>
      <c r="B247" s="387"/>
      <c r="C247" s="235" t="e">
        <f t="shared" ref="C247:L247" si="86">C$236*C213</f>
        <v>#DIV/0!</v>
      </c>
      <c r="D247" s="235" t="e">
        <f t="shared" si="86"/>
        <v>#DIV/0!</v>
      </c>
      <c r="E247" s="235" t="e">
        <f t="shared" si="86"/>
        <v>#DIV/0!</v>
      </c>
      <c r="F247" s="235" t="e">
        <f t="shared" si="86"/>
        <v>#DIV/0!</v>
      </c>
      <c r="G247" s="235" t="e">
        <f t="shared" si="86"/>
        <v>#DIV/0!</v>
      </c>
      <c r="H247" s="235" t="e">
        <f t="shared" si="86"/>
        <v>#DIV/0!</v>
      </c>
      <c r="I247" s="235" t="e">
        <f t="shared" si="86"/>
        <v>#DIV/0!</v>
      </c>
      <c r="J247" s="235" t="e">
        <f t="shared" si="86"/>
        <v>#DIV/0!</v>
      </c>
      <c r="K247" s="235" t="e">
        <f t="shared" si="86"/>
        <v>#DIV/0!</v>
      </c>
      <c r="L247" s="235" t="e">
        <f t="shared" si="86"/>
        <v>#DIV/0!</v>
      </c>
      <c r="M247" s="235" t="e">
        <f t="shared" si="83"/>
        <v>#DIV/0!</v>
      </c>
    </row>
    <row r="248" spans="1:13" ht="13">
      <c r="A248" s="2">
        <f t="shared" si="81"/>
        <v>113</v>
      </c>
      <c r="B248" s="387"/>
      <c r="C248" s="235" t="e">
        <f t="shared" ref="C248:L248" si="87">C$236*C214</f>
        <v>#DIV/0!</v>
      </c>
      <c r="D248" s="235" t="e">
        <f t="shared" si="87"/>
        <v>#DIV/0!</v>
      </c>
      <c r="E248" s="235" t="e">
        <f t="shared" si="87"/>
        <v>#DIV/0!</v>
      </c>
      <c r="F248" s="235" t="e">
        <f t="shared" si="87"/>
        <v>#DIV/0!</v>
      </c>
      <c r="G248" s="235" t="e">
        <f t="shared" si="87"/>
        <v>#DIV/0!</v>
      </c>
      <c r="H248" s="235" t="e">
        <f t="shared" si="87"/>
        <v>#DIV/0!</v>
      </c>
      <c r="I248" s="235" t="e">
        <f t="shared" si="87"/>
        <v>#DIV/0!</v>
      </c>
      <c r="J248" s="235" t="e">
        <f t="shared" si="87"/>
        <v>#DIV/0!</v>
      </c>
      <c r="K248" s="235" t="e">
        <f t="shared" si="87"/>
        <v>#DIV/0!</v>
      </c>
      <c r="L248" s="235" t="e">
        <f t="shared" si="87"/>
        <v>#DIV/0!</v>
      </c>
      <c r="M248" s="235" t="e">
        <f t="shared" si="83"/>
        <v>#DIV/0!</v>
      </c>
    </row>
    <row r="249" spans="1:13" ht="13">
      <c r="A249" s="2">
        <f t="shared" si="81"/>
        <v>114</v>
      </c>
      <c r="B249" s="387"/>
      <c r="C249" s="235" t="e">
        <f t="shared" ref="C249:L249" si="88">C$236*C215</f>
        <v>#DIV/0!</v>
      </c>
      <c r="D249" s="235" t="e">
        <f t="shared" si="88"/>
        <v>#DIV/0!</v>
      </c>
      <c r="E249" s="235" t="e">
        <f t="shared" si="88"/>
        <v>#DIV/0!</v>
      </c>
      <c r="F249" s="235" t="e">
        <f t="shared" si="88"/>
        <v>#DIV/0!</v>
      </c>
      <c r="G249" s="235" t="e">
        <f t="shared" si="88"/>
        <v>#DIV/0!</v>
      </c>
      <c r="H249" s="235" t="e">
        <f t="shared" si="88"/>
        <v>#DIV/0!</v>
      </c>
      <c r="I249" s="235" t="e">
        <f t="shared" si="88"/>
        <v>#DIV/0!</v>
      </c>
      <c r="J249" s="235" t="e">
        <f t="shared" si="88"/>
        <v>#DIV/0!</v>
      </c>
      <c r="K249" s="235" t="e">
        <f t="shared" si="88"/>
        <v>#DIV/0!</v>
      </c>
      <c r="L249" s="235" t="e">
        <f t="shared" si="88"/>
        <v>#DIV/0!</v>
      </c>
      <c r="M249" s="235" t="e">
        <f t="shared" si="83"/>
        <v>#DIV/0!</v>
      </c>
    </row>
    <row r="250" spans="1:13" ht="13">
      <c r="A250" s="2">
        <f t="shared" si="81"/>
        <v>115</v>
      </c>
      <c r="B250" s="387"/>
      <c r="C250" s="235" t="e">
        <f t="shared" ref="C250:L250" si="89">C$236*C216</f>
        <v>#DIV/0!</v>
      </c>
      <c r="D250" s="235" t="e">
        <f t="shared" si="89"/>
        <v>#DIV/0!</v>
      </c>
      <c r="E250" s="235" t="e">
        <f t="shared" si="89"/>
        <v>#DIV/0!</v>
      </c>
      <c r="F250" s="235" t="e">
        <f t="shared" si="89"/>
        <v>#DIV/0!</v>
      </c>
      <c r="G250" s="235" t="e">
        <f t="shared" si="89"/>
        <v>#DIV/0!</v>
      </c>
      <c r="H250" s="235" t="e">
        <f t="shared" si="89"/>
        <v>#DIV/0!</v>
      </c>
      <c r="I250" s="235" t="e">
        <f t="shared" si="89"/>
        <v>#DIV/0!</v>
      </c>
      <c r="J250" s="235" t="e">
        <f t="shared" si="89"/>
        <v>#DIV/0!</v>
      </c>
      <c r="K250" s="235" t="e">
        <f t="shared" si="89"/>
        <v>#DIV/0!</v>
      </c>
      <c r="L250" s="235" t="e">
        <f t="shared" si="89"/>
        <v>#DIV/0!</v>
      </c>
      <c r="M250" s="235" t="e">
        <f t="shared" si="83"/>
        <v>#DIV/0!</v>
      </c>
    </row>
    <row r="251" spans="1:13" ht="13">
      <c r="A251" s="2">
        <f t="shared" si="81"/>
        <v>116</v>
      </c>
      <c r="B251" s="387"/>
      <c r="C251" s="235" t="e">
        <f t="shared" ref="C251:L251" si="90">C$236*C217</f>
        <v>#DIV/0!</v>
      </c>
      <c r="D251" s="235" t="e">
        <f t="shared" si="90"/>
        <v>#DIV/0!</v>
      </c>
      <c r="E251" s="235" t="e">
        <f t="shared" si="90"/>
        <v>#DIV/0!</v>
      </c>
      <c r="F251" s="235" t="e">
        <f t="shared" si="90"/>
        <v>#DIV/0!</v>
      </c>
      <c r="G251" s="235" t="e">
        <f t="shared" si="90"/>
        <v>#DIV/0!</v>
      </c>
      <c r="H251" s="235" t="e">
        <f t="shared" si="90"/>
        <v>#DIV/0!</v>
      </c>
      <c r="I251" s="235" t="e">
        <f t="shared" si="90"/>
        <v>#DIV/0!</v>
      </c>
      <c r="J251" s="235" t="e">
        <f t="shared" si="90"/>
        <v>#DIV/0!</v>
      </c>
      <c r="K251" s="235" t="e">
        <f t="shared" si="90"/>
        <v>#DIV/0!</v>
      </c>
      <c r="L251" s="235" t="e">
        <f t="shared" si="90"/>
        <v>#DIV/0!</v>
      </c>
      <c r="M251" s="235" t="e">
        <f t="shared" si="83"/>
        <v>#DIV/0!</v>
      </c>
    </row>
    <row r="252" spans="1:13" ht="13">
      <c r="A252" s="2">
        <f t="shared" si="81"/>
        <v>117</v>
      </c>
      <c r="B252" s="387"/>
      <c r="C252" s="235" t="e">
        <f t="shared" ref="C252:L252" si="91">C$236*C218</f>
        <v>#DIV/0!</v>
      </c>
      <c r="D252" s="235" t="e">
        <f t="shared" si="91"/>
        <v>#DIV/0!</v>
      </c>
      <c r="E252" s="235" t="e">
        <f t="shared" si="91"/>
        <v>#DIV/0!</v>
      </c>
      <c r="F252" s="235" t="e">
        <f t="shared" si="91"/>
        <v>#DIV/0!</v>
      </c>
      <c r="G252" s="235" t="e">
        <f t="shared" si="91"/>
        <v>#DIV/0!</v>
      </c>
      <c r="H252" s="235" t="e">
        <f t="shared" si="91"/>
        <v>#DIV/0!</v>
      </c>
      <c r="I252" s="235" t="e">
        <f t="shared" si="91"/>
        <v>#DIV/0!</v>
      </c>
      <c r="J252" s="235" t="e">
        <f t="shared" si="91"/>
        <v>#DIV/0!</v>
      </c>
      <c r="K252" s="235" t="e">
        <f t="shared" si="91"/>
        <v>#DIV/0!</v>
      </c>
      <c r="L252" s="235" t="e">
        <f t="shared" si="91"/>
        <v>#DIV/0!</v>
      </c>
      <c r="M252" s="235" t="e">
        <f t="shared" si="83"/>
        <v>#DIV/0!</v>
      </c>
    </row>
    <row r="253" spans="1:13" ht="13">
      <c r="A253" s="2">
        <f t="shared" si="81"/>
        <v>118</v>
      </c>
      <c r="B253" s="387"/>
      <c r="C253" s="235" t="e">
        <f t="shared" ref="C253:L253" si="92">C$236*C219</f>
        <v>#DIV/0!</v>
      </c>
      <c r="D253" s="235" t="e">
        <f t="shared" si="92"/>
        <v>#DIV/0!</v>
      </c>
      <c r="E253" s="235" t="e">
        <f t="shared" si="92"/>
        <v>#DIV/0!</v>
      </c>
      <c r="F253" s="235" t="e">
        <f t="shared" si="92"/>
        <v>#DIV/0!</v>
      </c>
      <c r="G253" s="235" t="e">
        <f t="shared" si="92"/>
        <v>#DIV/0!</v>
      </c>
      <c r="H253" s="235" t="e">
        <f t="shared" si="92"/>
        <v>#DIV/0!</v>
      </c>
      <c r="I253" s="235" t="e">
        <f t="shared" si="92"/>
        <v>#DIV/0!</v>
      </c>
      <c r="J253" s="235" t="e">
        <f t="shared" si="92"/>
        <v>#DIV/0!</v>
      </c>
      <c r="K253" s="235" t="e">
        <f t="shared" si="92"/>
        <v>#DIV/0!</v>
      </c>
      <c r="L253" s="235" t="e">
        <f t="shared" si="92"/>
        <v>#DIV/0!</v>
      </c>
      <c r="M253" s="235" t="e">
        <f t="shared" si="83"/>
        <v>#DIV/0!</v>
      </c>
    </row>
    <row r="254" spans="1:13" ht="13">
      <c r="A254" s="2">
        <f t="shared" si="81"/>
        <v>119</v>
      </c>
      <c r="B254" s="387"/>
      <c r="C254" s="53" t="e">
        <f t="shared" ref="C254:L254" si="93">C$236*C220</f>
        <v>#DIV/0!</v>
      </c>
      <c r="D254" s="53" t="e">
        <f t="shared" si="93"/>
        <v>#DIV/0!</v>
      </c>
      <c r="E254" s="53" t="e">
        <f t="shared" si="93"/>
        <v>#DIV/0!</v>
      </c>
      <c r="F254" s="53" t="e">
        <f t="shared" si="93"/>
        <v>#DIV/0!</v>
      </c>
      <c r="G254" s="53" t="e">
        <f t="shared" si="93"/>
        <v>#DIV/0!</v>
      </c>
      <c r="H254" s="53" t="e">
        <f t="shared" si="93"/>
        <v>#DIV/0!</v>
      </c>
      <c r="I254" s="53" t="e">
        <f t="shared" si="93"/>
        <v>#DIV/0!</v>
      </c>
      <c r="J254" s="53" t="e">
        <f t="shared" si="93"/>
        <v>#DIV/0!</v>
      </c>
      <c r="K254" s="53" t="e">
        <f t="shared" si="93"/>
        <v>#DIV/0!</v>
      </c>
      <c r="L254" s="53" t="e">
        <f t="shared" si="93"/>
        <v>#DIV/0!</v>
      </c>
      <c r="M254" s="53" t="e">
        <f t="shared" si="83"/>
        <v>#DIV/0!</v>
      </c>
    </row>
    <row r="255" spans="1:13" ht="13">
      <c r="A255" s="2">
        <f t="shared" si="81"/>
        <v>120</v>
      </c>
      <c r="B255" s="562" t="s">
        <v>420</v>
      </c>
      <c r="C255" s="114" t="e">
        <f t="shared" ref="C255:L255" si="94">SUM(C243:C254)</f>
        <v>#DIV/0!</v>
      </c>
      <c r="D255" s="114" t="e">
        <f t="shared" si="94"/>
        <v>#DIV/0!</v>
      </c>
      <c r="E255" s="114" t="e">
        <f t="shared" si="94"/>
        <v>#DIV/0!</v>
      </c>
      <c r="F255" s="114" t="e">
        <f t="shared" si="94"/>
        <v>#DIV/0!</v>
      </c>
      <c r="G255" s="114" t="e">
        <f t="shared" si="94"/>
        <v>#DIV/0!</v>
      </c>
      <c r="H255" s="114" t="e">
        <f t="shared" si="94"/>
        <v>#DIV/0!</v>
      </c>
      <c r="I255" s="114" t="e">
        <f t="shared" si="94"/>
        <v>#DIV/0!</v>
      </c>
      <c r="J255" s="114" t="e">
        <f t="shared" si="94"/>
        <v>#DIV/0!</v>
      </c>
      <c r="K255" s="114" t="e">
        <f t="shared" si="94"/>
        <v>#DIV/0!</v>
      </c>
      <c r="L255" s="114" t="e">
        <f t="shared" si="94"/>
        <v>#DIV/0!</v>
      </c>
      <c r="M255" s="235" t="e">
        <f t="shared" si="83"/>
        <v>#DIV/0!</v>
      </c>
    </row>
    <row r="257" spans="2:13" ht="13">
      <c r="B257" s="200" t="s">
        <v>233</v>
      </c>
    </row>
    <row r="258" spans="2:13">
      <c r="B258" s="233" t="s">
        <v>3014</v>
      </c>
    </row>
    <row r="259" spans="2:13">
      <c r="B259" s="485" t="s">
        <v>3017</v>
      </c>
      <c r="C259" s="233"/>
      <c r="D259" s="233"/>
      <c r="E259" s="233"/>
      <c r="F259" s="233"/>
      <c r="G259" s="233"/>
      <c r="H259" s="233"/>
      <c r="J259" s="233"/>
      <c r="K259" s="233"/>
      <c r="L259" s="233"/>
      <c r="M259" s="233"/>
    </row>
    <row r="260" spans="2:13">
      <c r="B260" s="233" t="s">
        <v>730</v>
      </c>
    </row>
    <row r="261" spans="2:13">
      <c r="B261" s="232" t="s">
        <v>731</v>
      </c>
    </row>
    <row r="262" spans="2:13">
      <c r="B262" s="232" t="s">
        <v>732</v>
      </c>
    </row>
    <row r="263" spans="2:13">
      <c r="B263" s="12" t="s">
        <v>733</v>
      </c>
    </row>
    <row r="264" spans="2:13">
      <c r="B264" s="233" t="s">
        <v>734</v>
      </c>
    </row>
    <row r="265" spans="2:13">
      <c r="B265" s="232" t="s">
        <v>735</v>
      </c>
    </row>
    <row r="266" spans="2:13">
      <c r="B266" s="232" t="s">
        <v>736</v>
      </c>
    </row>
    <row r="267" spans="2:13">
      <c r="B267" s="232" t="s">
        <v>737</v>
      </c>
    </row>
    <row r="268" spans="2:13">
      <c r="B268" s="615" t="s">
        <v>3060</v>
      </c>
    </row>
    <row r="269" spans="2:13">
      <c r="B269" s="664" t="s">
        <v>3085</v>
      </c>
      <c r="M269" s="590"/>
    </row>
    <row r="270" spans="2:13">
      <c r="B270" s="233" t="str">
        <f>"2) Amounts on Line "&amp;A56&amp;" must match 6-Plant Study amounts for Distribution Plant - ISO for previous year."</f>
        <v>2) Amounts on Line 15 must match 6-Plant Study amounts for Distribution Plant - ISO for previous year.</v>
      </c>
    </row>
    <row r="271" spans="2:13">
      <c r="B271" s="232" t="str">
        <f>"Amounts on Line "&amp;A57&amp;" must match amounts on 6-PlantStudy for Distribution Plant - ISO."</f>
        <v>Amounts on Line 16 must match amounts on 6-PlantStudy for Distribution Plant - ISO.</v>
      </c>
    </row>
    <row r="272" spans="2:13">
      <c r="B272" s="615" t="s">
        <v>3086</v>
      </c>
    </row>
    <row r="273" spans="2:10">
      <c r="B273" s="664" t="s">
        <v>738</v>
      </c>
    </row>
    <row r="274" spans="2:10">
      <c r="B274" s="573" t="s">
        <v>739</v>
      </c>
      <c r="J274" s="54"/>
    </row>
    <row r="275" spans="2:10">
      <c r="B275" s="1159" t="s">
        <v>740</v>
      </c>
    </row>
    <row r="276" spans="2:10">
      <c r="B276" s="1031" t="s">
        <v>3087</v>
      </c>
    </row>
    <row r="277" spans="2:10">
      <c r="B277" s="1159" t="s">
        <v>3088</v>
      </c>
    </row>
    <row r="278" spans="2:10">
      <c r="B278" s="1159" t="s">
        <v>741</v>
      </c>
      <c r="J278" s="54"/>
    </row>
    <row r="279" spans="2:10">
      <c r="B279" s="233" t="s">
        <v>742</v>
      </c>
    </row>
    <row r="280" spans="2:10">
      <c r="B280" s="233" t="s">
        <v>743</v>
      </c>
    </row>
    <row r="281" spans="2:10">
      <c r="B281" s="233" t="s">
        <v>744</v>
      </c>
    </row>
    <row r="282" spans="2:10">
      <c r="B282" s="233" t="s">
        <v>745</v>
      </c>
    </row>
    <row r="283" spans="2:10">
      <c r="B283" s="233" t="s">
        <v>746</v>
      </c>
    </row>
    <row r="284" spans="2:10">
      <c r="B284" s="233" t="s">
        <v>3018</v>
      </c>
    </row>
    <row r="285" spans="2:10">
      <c r="B285" t="str">
        <f>"10) Line "&amp;A184&amp;""</f>
        <v>10) Line 79</v>
      </c>
    </row>
    <row r="286" spans="2:10">
      <c r="B286" t="str">
        <f>"11) Amount on Line "&amp;A226&amp;" less amount on Line "&amp;A231&amp;" for each account."</f>
        <v>11) Amount on Line 105 less amount on Line 106 for each account.</v>
      </c>
    </row>
    <row r="287" spans="2:10">
      <c r="B287" s="233" t="str">
        <f>"12) For each column (FERC Account) divide Line "&amp;A236&amp;" by Line "&amp;A203&amp;" to arrive at a ratio for each column."</f>
        <v>12) For each column (FERC Account) divide Line 107 by Line 92 to arrive at a ratio for each column.</v>
      </c>
    </row>
    <row r="288" spans="2:10">
      <c r="B288" s="232" t="str">
        <f>"Apply the ratio of each column to each monthly value from Lines "&amp;A191&amp;"-"&amp;A202&amp;" to calculate the values for"</f>
        <v>Apply the ratio of each column to each monthly value from Lines 80-91 to calculate the values for</v>
      </c>
    </row>
    <row r="289" spans="2:2">
      <c r="B289" s="232" t="str">
        <f>"the corresponsing months listed in Lines "&amp;A243&amp;"-"&amp;A254&amp;"."</f>
        <v>the corresponsing months listed in Lines 108-119.</v>
      </c>
    </row>
  </sheetData>
  <mergeCells count="1">
    <mergeCell ref="B32:E32"/>
  </mergeCells>
  <phoneticPr fontId="24" type="noConversion"/>
  <pageMargins left="0.75" right="0.75" top="1" bottom="1" header="0.5" footer="0.5"/>
  <pageSetup scale="54" orientation="landscape" cellComments="asDisplayed" r:id="rId1"/>
  <headerFooter alignWithMargins="0">
    <oddHeader xml:space="preserve">&amp;CSchedule 6
Plant In Service
</oddHeader>
    <oddFooter>&amp;R&amp;A</oddFooter>
  </headerFooter>
  <rowBreaks count="4" manualBreakCount="4">
    <brk id="59" max="12" man="1"/>
    <brk id="126" max="12" man="1"/>
    <brk id="185" max="12" man="1"/>
    <brk id="237"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CCC"/>
  </sheetPr>
  <dimension ref="A1:L68"/>
  <sheetViews>
    <sheetView topLeftCell="B1" zoomScaleNormal="100" workbookViewId="0">
      <selection activeCell="L41" sqref="L41"/>
    </sheetView>
  </sheetViews>
  <sheetFormatPr defaultRowHeight="13"/>
  <cols>
    <col min="1" max="1" width="4.54296875" customWidth="1"/>
    <col min="2" max="2" width="25.90625" style="66" customWidth="1"/>
    <col min="3" max="3" width="15.54296875" style="66" customWidth="1"/>
    <col min="4" max="4" width="16.90625" style="66" customWidth="1"/>
    <col min="5" max="5" width="15.90625" style="66" customWidth="1"/>
    <col min="6" max="6" width="10.90625" style="66" customWidth="1"/>
    <col min="8" max="8" width="16" customWidth="1"/>
    <col min="12" max="12" width="25.90625" customWidth="1"/>
    <col min="13" max="13" width="11.54296875" customWidth="1"/>
    <col min="14" max="14" width="14.453125" customWidth="1"/>
  </cols>
  <sheetData>
    <row r="1" spans="1:8">
      <c r="A1" s="1" t="s">
        <v>747</v>
      </c>
      <c r="B1" s="96"/>
      <c r="C1" s="96"/>
      <c r="D1" s="96"/>
      <c r="E1" s="97" t="s">
        <v>748</v>
      </c>
      <c r="F1" s="103"/>
      <c r="G1" s="233"/>
    </row>
    <row r="2" spans="1:8">
      <c r="B2" s="670" t="s">
        <v>200</v>
      </c>
      <c r="C2" s="259" t="s">
        <v>749</v>
      </c>
      <c r="G2" s="233"/>
    </row>
    <row r="3" spans="1:8">
      <c r="A3" s="91" t="s">
        <v>750</v>
      </c>
      <c r="B3" s="96"/>
      <c r="C3" s="96"/>
      <c r="D3" s="96"/>
      <c r="E3" s="486" t="s">
        <v>657</v>
      </c>
      <c r="F3" s="811"/>
      <c r="G3" s="233"/>
    </row>
    <row r="4" spans="1:8">
      <c r="A4" s="91"/>
      <c r="B4" s="1166" t="s">
        <v>3031</v>
      </c>
      <c r="C4" s="96"/>
      <c r="D4" s="96"/>
      <c r="E4" s="96"/>
      <c r="F4" s="96"/>
      <c r="G4" s="233"/>
    </row>
    <row r="5" spans="1:8">
      <c r="B5" s="91"/>
      <c r="C5" s="48" t="s">
        <v>347</v>
      </c>
      <c r="E5" s="48" t="s">
        <v>348</v>
      </c>
      <c r="F5" s="48" t="s">
        <v>349</v>
      </c>
      <c r="G5" s="233"/>
    </row>
    <row r="6" spans="1:8">
      <c r="B6" s="91"/>
      <c r="C6" s="48"/>
      <c r="E6" s="48"/>
      <c r="F6" s="48"/>
      <c r="G6" s="233"/>
    </row>
    <row r="7" spans="1:8">
      <c r="A7" s="30" t="s">
        <v>284</v>
      </c>
      <c r="B7" s="91"/>
      <c r="C7" s="95" t="s">
        <v>252</v>
      </c>
      <c r="D7" s="95"/>
      <c r="E7" s="95" t="s">
        <v>751</v>
      </c>
      <c r="F7" s="95" t="s">
        <v>752</v>
      </c>
      <c r="G7" s="233"/>
    </row>
    <row r="8" spans="1:8">
      <c r="A8" s="2">
        <v>1</v>
      </c>
      <c r="B8" s="90" t="s">
        <v>753</v>
      </c>
      <c r="C8" s="90" t="s">
        <v>694</v>
      </c>
      <c r="D8" s="90" t="s">
        <v>754</v>
      </c>
      <c r="E8" s="90" t="s">
        <v>755</v>
      </c>
      <c r="F8" s="90" t="s">
        <v>756</v>
      </c>
      <c r="G8" s="1190" t="s">
        <v>3071</v>
      </c>
    </row>
    <row r="9" spans="1:8" ht="12.75" customHeight="1">
      <c r="A9" s="2">
        <f>A8+1</f>
        <v>2</v>
      </c>
      <c r="B9" s="91" t="s">
        <v>757</v>
      </c>
      <c r="C9" s="870"/>
      <c r="D9" s="870"/>
      <c r="E9" s="870"/>
      <c r="F9" s="871"/>
      <c r="G9" s="233"/>
    </row>
    <row r="10" spans="1:8">
      <c r="A10" s="2">
        <f>A9+1</f>
        <v>3</v>
      </c>
      <c r="B10" s="1033">
        <v>352</v>
      </c>
      <c r="C10" s="253"/>
      <c r="D10" s="267" t="s">
        <v>758</v>
      </c>
      <c r="E10" s="804"/>
      <c r="F10" s="872" t="e">
        <f>E10/C10</f>
        <v>#DIV/0!</v>
      </c>
      <c r="G10" s="664" t="s">
        <v>3046</v>
      </c>
      <c r="H10" s="509"/>
    </row>
    <row r="11" spans="1:8">
      <c r="A11" s="2">
        <f t="shared" ref="A11:A27" si="0">A10+1</f>
        <v>4</v>
      </c>
      <c r="B11" s="1033">
        <v>353</v>
      </c>
      <c r="C11" s="61"/>
      <c r="D11" s="267" t="s">
        <v>759</v>
      </c>
      <c r="E11" s="199"/>
      <c r="F11" s="87" t="e">
        <f>E11/C11</f>
        <v>#DIV/0!</v>
      </c>
      <c r="G11" s="664" t="s">
        <v>3046</v>
      </c>
      <c r="H11" s="233"/>
    </row>
    <row r="12" spans="1:8">
      <c r="A12" s="2">
        <f t="shared" si="0"/>
        <v>5</v>
      </c>
      <c r="B12" s="92" t="s">
        <v>760</v>
      </c>
      <c r="C12" s="873">
        <f>SUM(C10:C11)</f>
        <v>0</v>
      </c>
      <c r="D12" s="232" t="str">
        <f>"L "&amp;A10&amp;" + L "&amp;A11&amp;""</f>
        <v>L 3 + L 4</v>
      </c>
      <c r="E12" s="873">
        <f>SUM(E10:E11)</f>
        <v>0</v>
      </c>
      <c r="F12" s="872" t="e">
        <f>E12/C12</f>
        <v>#DIV/0!</v>
      </c>
      <c r="G12" s="232"/>
    </row>
    <row r="13" spans="1:8">
      <c r="A13" s="2">
        <f t="shared" si="0"/>
        <v>6</v>
      </c>
      <c r="B13" s="1034"/>
      <c r="C13" s="874"/>
      <c r="D13" s="874"/>
      <c r="E13" s="873"/>
      <c r="F13" s="872"/>
      <c r="G13" s="232"/>
    </row>
    <row r="14" spans="1:8">
      <c r="A14" s="2">
        <f t="shared" si="0"/>
        <v>7</v>
      </c>
      <c r="B14" s="1035" t="s">
        <v>761</v>
      </c>
      <c r="C14" s="98"/>
      <c r="D14" s="98"/>
      <c r="E14" s="995"/>
      <c r="F14" s="99"/>
      <c r="G14" s="232"/>
    </row>
    <row r="15" spans="1:8">
      <c r="A15" s="2">
        <f t="shared" si="0"/>
        <v>8</v>
      </c>
      <c r="B15" s="1033">
        <v>350</v>
      </c>
      <c r="C15" s="385"/>
      <c r="D15" s="267" t="s">
        <v>762</v>
      </c>
      <c r="E15" s="805"/>
      <c r="F15" s="872" t="e">
        <f>E15/C15</f>
        <v>#DIV/0!</v>
      </c>
      <c r="G15" s="664" t="s">
        <v>3046</v>
      </c>
      <c r="H15" s="233"/>
    </row>
    <row r="16" spans="1:8">
      <c r="A16" s="2">
        <f t="shared" si="0"/>
        <v>9</v>
      </c>
      <c r="B16" s="1033"/>
      <c r="C16" s="873"/>
      <c r="D16" s="873"/>
      <c r="E16" s="873"/>
      <c r="F16" s="872"/>
      <c r="G16" s="232"/>
    </row>
    <row r="17" spans="1:12">
      <c r="A17" s="2">
        <f t="shared" si="0"/>
        <v>10</v>
      </c>
      <c r="B17" s="92" t="s">
        <v>763</v>
      </c>
      <c r="C17" s="873">
        <f>C12+C15</f>
        <v>0</v>
      </c>
      <c r="D17" s="1109" t="str">
        <f>"Sum L"&amp;A12&amp;" + L"&amp;A15&amp;""</f>
        <v>Sum L5 + L8</v>
      </c>
      <c r="E17" s="873">
        <f>E12+E15</f>
        <v>0</v>
      </c>
      <c r="F17" s="872" t="e">
        <f>E17/C17</f>
        <v>#DIV/0!</v>
      </c>
      <c r="G17" s="664" t="s">
        <v>3046</v>
      </c>
    </row>
    <row r="18" spans="1:12">
      <c r="A18" s="2">
        <f t="shared" si="0"/>
        <v>11</v>
      </c>
      <c r="B18" s="1034"/>
      <c r="C18" s="874"/>
      <c r="D18" s="874"/>
      <c r="E18" s="873"/>
      <c r="F18" s="872"/>
      <c r="G18" s="232"/>
    </row>
    <row r="19" spans="1:12">
      <c r="A19" s="2">
        <f t="shared" si="0"/>
        <v>12</v>
      </c>
      <c r="B19" s="1035" t="s">
        <v>764</v>
      </c>
      <c r="C19" s="874"/>
      <c r="D19" s="874"/>
      <c r="E19" s="873"/>
      <c r="F19" s="872"/>
      <c r="G19" s="232"/>
    </row>
    <row r="20" spans="1:12">
      <c r="A20" s="2">
        <f t="shared" si="0"/>
        <v>13</v>
      </c>
      <c r="B20" s="1033">
        <v>354</v>
      </c>
      <c r="C20" s="390"/>
      <c r="D20" s="267" t="s">
        <v>765</v>
      </c>
      <c r="E20" s="805"/>
      <c r="F20" s="875" t="e">
        <f>E20/C20</f>
        <v>#DIV/0!</v>
      </c>
      <c r="G20" s="664" t="s">
        <v>3046</v>
      </c>
      <c r="H20" s="233"/>
    </row>
    <row r="21" spans="1:12">
      <c r="A21" s="2">
        <f t="shared" si="0"/>
        <v>14</v>
      </c>
      <c r="B21" s="1033">
        <v>355</v>
      </c>
      <c r="C21" s="390"/>
      <c r="D21" s="267" t="s">
        <v>766</v>
      </c>
      <c r="E21" s="805"/>
      <c r="F21" s="875" t="e">
        <f t="shared" ref="F21:F25" si="1">E21/C21</f>
        <v>#DIV/0!</v>
      </c>
      <c r="G21" s="664" t="s">
        <v>3046</v>
      </c>
      <c r="H21" s="233"/>
    </row>
    <row r="22" spans="1:12">
      <c r="A22" s="2">
        <f t="shared" si="0"/>
        <v>15</v>
      </c>
      <c r="B22" s="1033">
        <v>356</v>
      </c>
      <c r="C22" s="390"/>
      <c r="D22" s="267" t="s">
        <v>767</v>
      </c>
      <c r="E22" s="805"/>
      <c r="F22" s="875" t="e">
        <f t="shared" si="1"/>
        <v>#DIV/0!</v>
      </c>
      <c r="G22" s="664" t="s">
        <v>3046</v>
      </c>
      <c r="H22" s="233"/>
    </row>
    <row r="23" spans="1:12">
      <c r="A23" s="2">
        <f t="shared" si="0"/>
        <v>16</v>
      </c>
      <c r="B23" s="1033">
        <v>357</v>
      </c>
      <c r="C23" s="390"/>
      <c r="D23" s="267" t="s">
        <v>768</v>
      </c>
      <c r="E23" s="805"/>
      <c r="F23" s="875" t="e">
        <f t="shared" si="1"/>
        <v>#DIV/0!</v>
      </c>
      <c r="G23" s="664" t="s">
        <v>3046</v>
      </c>
      <c r="H23" s="233"/>
    </row>
    <row r="24" spans="1:12">
      <c r="A24" s="2">
        <f t="shared" si="0"/>
        <v>17</v>
      </c>
      <c r="B24" s="1033">
        <v>358</v>
      </c>
      <c r="C24" s="390"/>
      <c r="D24" s="267" t="s">
        <v>769</v>
      </c>
      <c r="E24" s="805"/>
      <c r="F24" s="875" t="e">
        <f t="shared" si="1"/>
        <v>#DIV/0!</v>
      </c>
      <c r="G24" s="664" t="s">
        <v>3046</v>
      </c>
      <c r="H24" s="233"/>
    </row>
    <row r="25" spans="1:12">
      <c r="A25" s="2">
        <f t="shared" si="0"/>
        <v>18</v>
      </c>
      <c r="B25" s="1033">
        <v>359</v>
      </c>
      <c r="C25" s="100"/>
      <c r="D25" s="267" t="s">
        <v>770</v>
      </c>
      <c r="E25" s="996"/>
      <c r="F25" s="101" t="e">
        <f t="shared" si="1"/>
        <v>#DIV/0!</v>
      </c>
      <c r="G25" s="664" t="s">
        <v>3046</v>
      </c>
      <c r="H25" s="233"/>
    </row>
    <row r="26" spans="1:12">
      <c r="A26" s="2">
        <f t="shared" si="0"/>
        <v>19</v>
      </c>
      <c r="B26" s="92" t="s">
        <v>771</v>
      </c>
      <c r="C26" s="873">
        <f>SUM(C20:C25)</f>
        <v>0</v>
      </c>
      <c r="D26" s="876" t="str">
        <f>"Sum L"&amp;A20&amp;" to L"&amp;A25&amp;""</f>
        <v>Sum L13 to L18</v>
      </c>
      <c r="E26" s="873">
        <f>SUM(E20:E25)</f>
        <v>0</v>
      </c>
      <c r="F26" s="872" t="e">
        <f>E26/C26</f>
        <v>#DIV/0!</v>
      </c>
      <c r="G26" s="664" t="s">
        <v>3046</v>
      </c>
      <c r="L26" s="233"/>
    </row>
    <row r="27" spans="1:12">
      <c r="A27" s="2">
        <f t="shared" si="0"/>
        <v>20</v>
      </c>
      <c r="B27" s="102"/>
      <c r="C27" s="873"/>
      <c r="D27" s="873"/>
      <c r="E27" s="873"/>
      <c r="F27" s="872"/>
      <c r="G27" s="12"/>
    </row>
    <row r="28" spans="1:12">
      <c r="A28" s="2" t="s">
        <v>3029</v>
      </c>
      <c r="B28" s="1122" t="s">
        <v>3040</v>
      </c>
      <c r="C28" s="88">
        <f>C17+C26</f>
        <v>0</v>
      </c>
      <c r="D28" s="232" t="str">
        <f>"L "&amp;A17&amp;" + L "&amp;A26&amp;""</f>
        <v>L 10 + L 19</v>
      </c>
      <c r="E28" s="88">
        <f>E17+E26</f>
        <v>0</v>
      </c>
      <c r="F28" s="875" t="e">
        <f t="shared" ref="F28" si="2">E28/C28</f>
        <v>#DIV/0!</v>
      </c>
      <c r="G28" s="664" t="s">
        <v>3064</v>
      </c>
      <c r="J28" s="1104"/>
    </row>
    <row r="29" spans="1:12">
      <c r="A29" s="2"/>
      <c r="B29" s="1189" t="s">
        <v>781</v>
      </c>
      <c r="C29" s="88"/>
      <c r="D29" s="232"/>
      <c r="E29" s="88"/>
      <c r="F29" s="89"/>
      <c r="G29" s="664" t="s">
        <v>3078</v>
      </c>
      <c r="J29" s="1104"/>
    </row>
    <row r="30" spans="1:12">
      <c r="A30" s="2"/>
      <c r="B30" s="1122"/>
      <c r="C30" s="88"/>
      <c r="D30" s="232"/>
      <c r="E30" s="88"/>
      <c r="G30" s="662" t="s">
        <v>3079</v>
      </c>
      <c r="J30" s="1104"/>
    </row>
    <row r="31" spans="1:12">
      <c r="A31" s="1069" t="s">
        <v>772</v>
      </c>
      <c r="B31" s="1146" t="s">
        <v>3068</v>
      </c>
      <c r="C31" s="88"/>
      <c r="D31" s="232"/>
      <c r="E31" s="88"/>
      <c r="F31" s="89"/>
      <c r="J31" s="1104"/>
    </row>
    <row r="32" spans="1:12">
      <c r="A32" s="2"/>
      <c r="B32" s="1122"/>
      <c r="C32" s="1095" t="s">
        <v>347</v>
      </c>
      <c r="D32" s="1171"/>
      <c r="E32" s="1095" t="s">
        <v>348</v>
      </c>
      <c r="F32" s="1095"/>
      <c r="J32" s="1104"/>
    </row>
    <row r="33" spans="1:12">
      <c r="C33" s="90"/>
      <c r="D33" s="90"/>
      <c r="E33" s="1185" t="s">
        <v>3080</v>
      </c>
      <c r="F33" s="1172"/>
      <c r="J33" s="1104"/>
    </row>
    <row r="34" spans="1:12">
      <c r="A34" s="1069"/>
      <c r="B34" s="1146"/>
      <c r="C34" s="90"/>
      <c r="D34" s="90"/>
      <c r="E34" s="88"/>
      <c r="F34" s="89"/>
      <c r="J34" s="1104"/>
    </row>
    <row r="35" spans="1:12">
      <c r="A35" s="2"/>
      <c r="B35" s="70"/>
      <c r="C35" s="1164" t="s">
        <v>252</v>
      </c>
      <c r="D35" s="1163" t="s">
        <v>3067</v>
      </c>
      <c r="E35" s="1164" t="s">
        <v>751</v>
      </c>
      <c r="F35" s="1164"/>
      <c r="G35" s="1165"/>
      <c r="J35" s="1104"/>
    </row>
    <row r="36" spans="1:12">
      <c r="A36" s="233" t="s">
        <v>132</v>
      </c>
      <c r="B36" s="1164" t="s">
        <v>753</v>
      </c>
      <c r="C36" s="1164" t="s">
        <v>694</v>
      </c>
      <c r="D36" s="1164" t="s">
        <v>754</v>
      </c>
      <c r="E36" s="1164" t="s">
        <v>755</v>
      </c>
      <c r="F36" s="1164"/>
      <c r="G36" s="1146" t="s">
        <v>3072</v>
      </c>
      <c r="H36" s="233"/>
      <c r="J36" s="1104"/>
    </row>
    <row r="37" spans="1:12">
      <c r="A37" s="1069" t="s">
        <v>774</v>
      </c>
      <c r="B37" s="1094">
        <v>351.1</v>
      </c>
      <c r="C37" s="1134"/>
      <c r="D37" s="1094" t="s">
        <v>773</v>
      </c>
      <c r="E37" s="1184" t="e">
        <f>C37*$F$28</f>
        <v>#DIV/0!</v>
      </c>
      <c r="F37" s="1113"/>
      <c r="G37" s="1173"/>
      <c r="J37" s="1104"/>
      <c r="K37" s="1186"/>
    </row>
    <row r="38" spans="1:12">
      <c r="A38" s="1069" t="s">
        <v>776</v>
      </c>
      <c r="B38" s="1094">
        <v>351.2</v>
      </c>
      <c r="C38" s="1135"/>
      <c r="D38" s="1094" t="s">
        <v>775</v>
      </c>
      <c r="E38" s="1184" t="e">
        <f t="shared" ref="E38:E39" si="3">C38*$F$28</f>
        <v>#DIV/0!</v>
      </c>
      <c r="F38" s="1113"/>
      <c r="G38" s="1173"/>
      <c r="J38" s="1104"/>
    </row>
    <row r="39" spans="1:12">
      <c r="A39" s="1069" t="s">
        <v>778</v>
      </c>
      <c r="B39" s="1094">
        <v>351.3</v>
      </c>
      <c r="C39" s="1134"/>
      <c r="D39" s="1094" t="s">
        <v>777</v>
      </c>
      <c r="E39" s="1184" t="e">
        <f t="shared" si="3"/>
        <v>#DIV/0!</v>
      </c>
      <c r="F39" s="1113"/>
      <c r="G39" s="1173"/>
      <c r="J39" s="1104"/>
    </row>
    <row r="40" spans="1:12">
      <c r="A40" s="1069" t="s">
        <v>779</v>
      </c>
      <c r="B40" s="1093" t="s">
        <v>3069</v>
      </c>
      <c r="C40" s="1123">
        <f>SUM(C37:C39)</f>
        <v>0</v>
      </c>
      <c r="D40" s="1094"/>
      <c r="E40" s="1123" t="e">
        <f>SUM(E37:E39)</f>
        <v>#DIV/0!</v>
      </c>
      <c r="F40" s="1113"/>
      <c r="G40" s="1031" t="s">
        <v>3081</v>
      </c>
      <c r="J40" s="1104"/>
      <c r="L40" s="1093"/>
    </row>
    <row r="41" spans="1:12">
      <c r="A41" s="1069" t="s">
        <v>780</v>
      </c>
      <c r="B41" s="1093"/>
      <c r="C41" s="1117"/>
      <c r="D41" s="1094"/>
      <c r="E41" s="1117"/>
      <c r="F41" s="1113"/>
      <c r="G41" s="1187" t="s">
        <v>2466</v>
      </c>
      <c r="J41" s="1104"/>
    </row>
    <row r="42" spans="1:12">
      <c r="A42" s="1069" t="s">
        <v>3030</v>
      </c>
      <c r="B42" s="1093" t="s">
        <v>3070</v>
      </c>
      <c r="C42" s="1123">
        <f>C28+C40</f>
        <v>0</v>
      </c>
      <c r="D42" s="1094"/>
      <c r="E42" s="1123" t="e">
        <f>E28+E40</f>
        <v>#DIV/0!</v>
      </c>
      <c r="F42" s="1113"/>
      <c r="G42" s="1173" t="s">
        <v>3082</v>
      </c>
      <c r="J42" s="1104"/>
    </row>
    <row r="43" spans="1:12">
      <c r="A43" s="2"/>
      <c r="B43" s="68"/>
      <c r="E43" s="298"/>
      <c r="F43" s="1118"/>
      <c r="G43" s="1188" t="s">
        <v>226</v>
      </c>
      <c r="J43" s="1104"/>
    </row>
    <row r="44" spans="1:12">
      <c r="A44" s="91" t="s">
        <v>782</v>
      </c>
      <c r="J44" s="1104"/>
    </row>
    <row r="45" spans="1:12">
      <c r="A45" s="2"/>
      <c r="B45" s="73"/>
      <c r="J45" s="1104"/>
      <c r="L45" s="1173"/>
    </row>
    <row r="46" spans="1:12">
      <c r="A46" s="30" t="s">
        <v>284</v>
      </c>
      <c r="B46" s="91"/>
      <c r="C46" s="95" t="s">
        <v>252</v>
      </c>
      <c r="D46" s="95"/>
      <c r="E46" s="95" t="s">
        <v>429</v>
      </c>
      <c r="F46" s="95" t="s">
        <v>752</v>
      </c>
    </row>
    <row r="47" spans="1:12">
      <c r="A47" s="2">
        <v>22</v>
      </c>
      <c r="B47" s="90" t="s">
        <v>753</v>
      </c>
      <c r="C47" s="90" t="s">
        <v>694</v>
      </c>
      <c r="D47" s="90" t="s">
        <v>754</v>
      </c>
      <c r="E47" s="90" t="s">
        <v>755</v>
      </c>
      <c r="F47" s="90" t="s">
        <v>756</v>
      </c>
    </row>
    <row r="48" spans="1:12">
      <c r="A48" s="2">
        <v>23</v>
      </c>
      <c r="B48" s="91" t="s">
        <v>783</v>
      </c>
      <c r="C48" s="67"/>
      <c r="D48" s="67"/>
      <c r="E48" s="67"/>
      <c r="F48" s="69"/>
    </row>
    <row r="49" spans="1:9">
      <c r="A49" s="2">
        <v>24</v>
      </c>
      <c r="B49" s="1033">
        <v>360</v>
      </c>
      <c r="C49" s="385"/>
      <c r="D49" s="267" t="s">
        <v>784</v>
      </c>
      <c r="E49" s="510"/>
      <c r="F49" s="872" t="e">
        <f>E49/C49</f>
        <v>#DIV/0!</v>
      </c>
      <c r="H49" s="233"/>
    </row>
    <row r="50" spans="1:9">
      <c r="A50" s="2">
        <v>25</v>
      </c>
      <c r="B50" s="1035" t="s">
        <v>785</v>
      </c>
      <c r="C50" s="873"/>
      <c r="D50" s="873"/>
      <c r="E50" s="873"/>
      <c r="F50" s="872"/>
    </row>
    <row r="51" spans="1:9">
      <c r="A51" s="2">
        <v>26</v>
      </c>
      <c r="B51" s="1033">
        <v>361</v>
      </c>
      <c r="C51" s="385"/>
      <c r="D51" s="267" t="s">
        <v>786</v>
      </c>
      <c r="E51" s="385"/>
      <c r="F51" s="872" t="e">
        <f>E51/C51</f>
        <v>#DIV/0!</v>
      </c>
      <c r="H51" s="233"/>
    </row>
    <row r="52" spans="1:9">
      <c r="A52" s="2">
        <v>27</v>
      </c>
      <c r="B52" s="1033">
        <v>362</v>
      </c>
      <c r="C52" s="86"/>
      <c r="D52" s="267" t="s">
        <v>787</v>
      </c>
      <c r="E52" s="86"/>
      <c r="F52" s="87" t="e">
        <f>E52/C52</f>
        <v>#DIV/0!</v>
      </c>
      <c r="H52" s="233"/>
    </row>
    <row r="53" spans="1:9">
      <c r="A53" s="2">
        <v>28</v>
      </c>
      <c r="B53" s="92" t="s">
        <v>788</v>
      </c>
      <c r="C53" s="873">
        <f>SUM(C51:C52)</f>
        <v>0</v>
      </c>
      <c r="D53" s="232" t="str">
        <f>"L "&amp;A51&amp;" + L "&amp;A52&amp;""</f>
        <v>L 26 + L 27</v>
      </c>
      <c r="E53" s="873">
        <f>SUM(E51:E52)</f>
        <v>0</v>
      </c>
      <c r="F53" s="872" t="e">
        <f>E53/C53</f>
        <v>#DIV/0!</v>
      </c>
    </row>
    <row r="54" spans="1:9">
      <c r="A54" s="2">
        <v>29</v>
      </c>
      <c r="B54" s="93"/>
      <c r="C54" s="77"/>
      <c r="D54" s="873"/>
      <c r="E54" s="873"/>
      <c r="F54" s="872"/>
    </row>
    <row r="55" spans="1:9">
      <c r="A55" s="2">
        <v>30</v>
      </c>
      <c r="B55" s="94" t="s">
        <v>789</v>
      </c>
      <c r="C55" s="88">
        <f>C49+C53</f>
        <v>0</v>
      </c>
      <c r="D55" s="232" t="str">
        <f>"L "&amp;A49&amp;" + L "&amp;A53&amp;""</f>
        <v>L 24 + L 28</v>
      </c>
      <c r="E55" s="88">
        <f>E49+E53</f>
        <v>0</v>
      </c>
      <c r="F55" s="89" t="e">
        <f>E55/C55</f>
        <v>#DIV/0!</v>
      </c>
      <c r="G55" s="233" t="s">
        <v>168</v>
      </c>
      <c r="H55" s="233"/>
    </row>
    <row r="56" spans="1:9">
      <c r="A56" s="2"/>
      <c r="B56" s="74"/>
      <c r="C56" s="75"/>
      <c r="D56" s="75"/>
      <c r="E56" s="75"/>
      <c r="F56" s="76"/>
      <c r="H56" s="604"/>
      <c r="I56" s="233"/>
    </row>
    <row r="57" spans="1:9">
      <c r="A57" s="47" t="s">
        <v>233</v>
      </c>
    </row>
    <row r="58" spans="1:9">
      <c r="A58" s="232" t="s">
        <v>790</v>
      </c>
      <c r="E58" s="71"/>
    </row>
    <row r="59" spans="1:9">
      <c r="A59" s="232" t="s">
        <v>791</v>
      </c>
    </row>
    <row r="60" spans="1:9">
      <c r="A60" s="232" t="s">
        <v>792</v>
      </c>
      <c r="C60" s="71"/>
      <c r="D60" s="71"/>
    </row>
    <row r="61" spans="1:9">
      <c r="A61" s="232" t="s">
        <v>793</v>
      </c>
      <c r="C61" s="72"/>
      <c r="D61" s="72"/>
    </row>
    <row r="62" spans="1:9">
      <c r="A62" s="664" t="s">
        <v>3077</v>
      </c>
      <c r="B62" s="1114"/>
      <c r="C62" s="71"/>
      <c r="D62" s="71"/>
    </row>
    <row r="63" spans="1:9">
      <c r="A63" s="664" t="s">
        <v>3083</v>
      </c>
      <c r="B63" s="1114"/>
      <c r="C63" s="71"/>
      <c r="D63" s="71"/>
    </row>
    <row r="64" spans="1:9">
      <c r="A64" s="47" t="s">
        <v>444</v>
      </c>
    </row>
    <row r="65" spans="1:2">
      <c r="A65" s="232" t="s">
        <v>794</v>
      </c>
    </row>
    <row r="66" spans="1:2">
      <c r="A66" s="232" t="s">
        <v>795</v>
      </c>
    </row>
    <row r="67" spans="1:2">
      <c r="A67" s="232" t="s">
        <v>796</v>
      </c>
    </row>
    <row r="68" spans="1:2">
      <c r="B68" s="1191" t="s">
        <v>3084</v>
      </c>
    </row>
  </sheetData>
  <phoneticPr fontId="24" type="noConversion"/>
  <pageMargins left="0.7" right="0.7" top="0.75" bottom="0.75" header="0.3" footer="0.3"/>
  <pageSetup scale="80" orientation="portrait" cellComments="asDisplayed" r:id="rId1"/>
  <headerFooter>
    <oddHeader xml:space="preserve">&amp;CSchedule 7
Transmission Plant Study Summary
</oddHeader>
    <oddFooter>&amp;R&amp;A</oddFooter>
  </headerFooter>
  <rowBreaks count="1" manualBreakCount="1">
    <brk id="4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CCC"/>
  </sheetPr>
  <dimension ref="A1:R200"/>
  <sheetViews>
    <sheetView zoomScale="75" zoomScaleNormal="75" workbookViewId="0">
      <selection activeCell="L41" sqref="L41"/>
    </sheetView>
  </sheetViews>
  <sheetFormatPr defaultColWidth="8.54296875" defaultRowHeight="12.5"/>
  <cols>
    <col min="1" max="1" width="4.54296875" customWidth="1"/>
    <col min="2" max="2" width="7.54296875" customWidth="1"/>
    <col min="3" max="3" width="10.54296875" customWidth="1"/>
    <col min="4" max="4" width="13.54296875" customWidth="1"/>
    <col min="5" max="6" width="14.54296875" customWidth="1"/>
    <col min="7" max="7" width="14.90625" customWidth="1"/>
    <col min="8" max="10" width="13.54296875" customWidth="1"/>
    <col min="11" max="12" width="11.54296875" customWidth="1"/>
    <col min="13" max="13" width="13.54296875" customWidth="1"/>
    <col min="14" max="14" width="14.54296875" customWidth="1"/>
    <col min="15" max="15" width="13.54296875" customWidth="1"/>
    <col min="16" max="16" width="15.453125" customWidth="1"/>
    <col min="17" max="21" width="15.54296875" customWidth="1"/>
  </cols>
  <sheetData>
    <row r="1" spans="1:18" ht="13">
      <c r="A1" s="47" t="s">
        <v>3096</v>
      </c>
      <c r="B1" s="1"/>
      <c r="C1" s="112"/>
      <c r="D1" s="112"/>
      <c r="E1" s="112"/>
      <c r="F1" s="112"/>
      <c r="G1" s="112"/>
      <c r="H1" s="112"/>
      <c r="I1" s="112"/>
      <c r="J1" s="259" t="s">
        <v>748</v>
      </c>
      <c r="K1" s="103"/>
      <c r="L1" s="112"/>
      <c r="M1" s="112"/>
      <c r="N1" s="112"/>
      <c r="O1" s="112"/>
      <c r="P1" s="112"/>
      <c r="Q1" s="112"/>
      <c r="R1" s="112"/>
    </row>
    <row r="2" spans="1:18" ht="13">
      <c r="A2" s="112"/>
      <c r="B2" s="112"/>
      <c r="C2" s="670" t="s">
        <v>200</v>
      </c>
      <c r="D2" s="259" t="s">
        <v>654</v>
      </c>
      <c r="E2" s="198"/>
      <c r="F2" s="112"/>
      <c r="G2" s="112"/>
      <c r="H2" s="112"/>
      <c r="I2" s="112"/>
      <c r="L2" s="112"/>
      <c r="M2" s="112"/>
      <c r="N2" s="112"/>
      <c r="O2" s="112"/>
      <c r="P2" s="112"/>
      <c r="Q2" s="112"/>
      <c r="R2" s="112"/>
    </row>
    <row r="3" spans="1:18" ht="13">
      <c r="A3" s="112"/>
      <c r="B3" s="1" t="s">
        <v>797</v>
      </c>
      <c r="C3" s="112"/>
      <c r="D3" s="112"/>
      <c r="E3" s="112"/>
      <c r="F3" s="112"/>
      <c r="G3" s="113" t="s">
        <v>657</v>
      </c>
      <c r="H3" s="810"/>
      <c r="I3" s="112"/>
      <c r="J3" s="112"/>
      <c r="K3" s="112"/>
      <c r="L3" s="112"/>
      <c r="M3" s="112"/>
      <c r="N3" s="112"/>
      <c r="O3" s="112"/>
      <c r="P3" s="112"/>
      <c r="Q3" s="112"/>
      <c r="R3" s="112"/>
    </row>
    <row r="4" spans="1:18">
      <c r="A4" s="112"/>
      <c r="B4" s="112"/>
      <c r="C4" s="112"/>
      <c r="D4" s="112"/>
      <c r="E4" s="112"/>
      <c r="F4" s="112"/>
      <c r="G4" s="112"/>
      <c r="H4" s="112"/>
      <c r="I4" s="112"/>
      <c r="J4" s="112"/>
      <c r="K4" s="112"/>
      <c r="L4" s="112"/>
      <c r="M4" s="112"/>
      <c r="N4" s="112"/>
      <c r="O4" s="112"/>
      <c r="P4" s="112"/>
      <c r="Q4" s="112"/>
      <c r="R4" s="112"/>
    </row>
    <row r="5" spans="1:18">
      <c r="A5" s="112"/>
      <c r="B5" s="112"/>
      <c r="C5" s="233" t="s">
        <v>798</v>
      </c>
      <c r="D5" s="112"/>
      <c r="E5" s="112"/>
      <c r="F5" s="112"/>
      <c r="G5" s="112"/>
      <c r="H5" s="112"/>
      <c r="I5" s="112"/>
      <c r="J5" s="233"/>
      <c r="K5" s="112"/>
      <c r="L5" s="112"/>
      <c r="M5" s="112"/>
      <c r="N5" s="112"/>
      <c r="O5" s="112"/>
      <c r="P5" s="112"/>
      <c r="Q5" s="112"/>
      <c r="R5" s="112"/>
    </row>
    <row r="6" spans="1:18">
      <c r="A6" s="112"/>
      <c r="B6" s="112"/>
      <c r="C6" s="664" t="s">
        <v>3015</v>
      </c>
      <c r="D6" s="112"/>
      <c r="E6" s="112"/>
      <c r="F6" s="112"/>
      <c r="G6" s="112"/>
      <c r="H6" s="112"/>
      <c r="I6" s="112"/>
      <c r="J6" s="112"/>
      <c r="K6" s="112"/>
      <c r="L6" s="112"/>
      <c r="M6" s="112"/>
      <c r="N6" s="112"/>
      <c r="O6" s="112"/>
      <c r="P6" s="112"/>
      <c r="Q6" s="112"/>
      <c r="R6" s="112"/>
    </row>
    <row r="7" spans="1:18" ht="13">
      <c r="A7" s="112"/>
      <c r="B7" s="112"/>
      <c r="C7" s="48" t="s">
        <v>347</v>
      </c>
      <c r="D7" s="48" t="s">
        <v>348</v>
      </c>
      <c r="E7" s="48" t="s">
        <v>349</v>
      </c>
      <c r="F7" s="48" t="s">
        <v>350</v>
      </c>
      <c r="G7" s="48" t="s">
        <v>351</v>
      </c>
      <c r="H7" s="48" t="s">
        <v>352</v>
      </c>
      <c r="I7" s="48" t="s">
        <v>353</v>
      </c>
      <c r="J7" s="48" t="s">
        <v>354</v>
      </c>
      <c r="K7" s="48" t="s">
        <v>355</v>
      </c>
      <c r="L7" s="48" t="s">
        <v>605</v>
      </c>
      <c r="M7" s="48" t="s">
        <v>606</v>
      </c>
      <c r="N7" s="1174" t="s">
        <v>607</v>
      </c>
      <c r="O7" s="112"/>
      <c r="P7" s="112"/>
      <c r="Q7" s="112"/>
      <c r="R7" s="112"/>
    </row>
    <row r="8" spans="1:18">
      <c r="A8" s="112"/>
      <c r="B8" s="112"/>
      <c r="D8" s="112"/>
      <c r="E8" s="112"/>
      <c r="F8" s="112"/>
      <c r="G8" s="112"/>
      <c r="H8" s="112"/>
      <c r="I8" s="112"/>
      <c r="J8" s="112"/>
      <c r="K8" s="112"/>
      <c r="L8" s="112"/>
      <c r="M8" s="112"/>
      <c r="N8" s="1175" t="s">
        <v>3053</v>
      </c>
      <c r="O8" s="112"/>
      <c r="P8" s="112"/>
      <c r="Q8" s="112"/>
      <c r="R8" s="112"/>
    </row>
    <row r="9" spans="1:18" ht="13">
      <c r="A9" s="112"/>
      <c r="B9" s="112"/>
      <c r="C9" s="115"/>
      <c r="D9" s="243" t="s">
        <v>247</v>
      </c>
      <c r="E9" s="112"/>
      <c r="F9" s="112"/>
      <c r="G9" s="112"/>
      <c r="H9" s="112"/>
      <c r="I9" s="112"/>
      <c r="J9" s="112"/>
      <c r="K9" s="112"/>
      <c r="L9" s="112"/>
      <c r="M9" s="112"/>
      <c r="N9" s="842"/>
      <c r="O9" s="112"/>
      <c r="P9" s="112"/>
      <c r="Q9" s="112"/>
      <c r="R9" s="112"/>
    </row>
    <row r="10" spans="1:18" ht="13">
      <c r="A10" s="112"/>
      <c r="B10" s="112"/>
      <c r="C10" s="2"/>
      <c r="D10" s="243" t="s">
        <v>799</v>
      </c>
      <c r="E10" s="112"/>
      <c r="F10" s="112"/>
      <c r="G10" s="112"/>
      <c r="H10" s="112"/>
      <c r="I10" s="112"/>
      <c r="J10" s="112"/>
      <c r="K10" s="112"/>
      <c r="L10" s="112"/>
      <c r="M10" s="112"/>
      <c r="N10" s="842"/>
      <c r="O10" s="112"/>
      <c r="P10" s="112"/>
      <c r="Q10" s="112"/>
      <c r="R10" s="112"/>
    </row>
    <row r="11" spans="1:18" ht="12.75" customHeight="1">
      <c r="A11" s="30" t="s">
        <v>284</v>
      </c>
      <c r="B11" s="30"/>
      <c r="C11" s="3" t="s">
        <v>659</v>
      </c>
      <c r="D11" s="48">
        <v>350.1</v>
      </c>
      <c r="E11" s="48">
        <v>350.2</v>
      </c>
      <c r="F11" s="48">
        <v>352</v>
      </c>
      <c r="G11" s="48">
        <v>353</v>
      </c>
      <c r="H11" s="48">
        <v>354</v>
      </c>
      <c r="I11" s="48">
        <v>355</v>
      </c>
      <c r="J11" s="48">
        <v>356</v>
      </c>
      <c r="K11" s="48">
        <v>357</v>
      </c>
      <c r="L11" s="48">
        <v>358</v>
      </c>
      <c r="M11" s="48">
        <v>359</v>
      </c>
      <c r="N11" s="1176" t="s">
        <v>252</v>
      </c>
      <c r="O11" s="112"/>
      <c r="P11" s="112"/>
      <c r="Q11" s="112"/>
      <c r="R11" s="112"/>
    </row>
    <row r="12" spans="1:18" ht="12.75" customHeight="1">
      <c r="A12" s="2">
        <v>1</v>
      </c>
      <c r="B12" s="2"/>
      <c r="C12" s="508"/>
      <c r="D12" s="253"/>
      <c r="E12" s="253"/>
      <c r="F12" s="253"/>
      <c r="G12" s="253"/>
      <c r="H12" s="253"/>
      <c r="I12" s="253"/>
      <c r="J12" s="253"/>
      <c r="K12" s="253"/>
      <c r="L12" s="253"/>
      <c r="M12" s="253"/>
      <c r="N12" s="1177">
        <v>0</v>
      </c>
      <c r="O12" s="112"/>
      <c r="P12" s="112"/>
      <c r="Q12" s="112"/>
      <c r="R12" s="112"/>
    </row>
    <row r="13" spans="1:18" ht="12.75" customHeight="1">
      <c r="A13" s="2">
        <f>A12+1</f>
        <v>2</v>
      </c>
      <c r="B13" s="2"/>
      <c r="C13" s="387"/>
      <c r="D13" s="114" t="e">
        <f t="shared" ref="D13:D23" si="0">D12+D110+D159</f>
        <v>#DIV/0!</v>
      </c>
      <c r="E13" s="114" t="e">
        <f t="shared" ref="E13:E23" si="1">E12+E110+E159</f>
        <v>#DIV/0!</v>
      </c>
      <c r="F13" s="114" t="e">
        <f t="shared" ref="F13:F23" si="2">F12+F110+F159</f>
        <v>#DIV/0!</v>
      </c>
      <c r="G13" s="114" t="e">
        <f t="shared" ref="G13:G23" si="3">G12+G110+G159</f>
        <v>#DIV/0!</v>
      </c>
      <c r="H13" s="114" t="e">
        <f t="shared" ref="H13:H23" si="4">H12+H110+H159</f>
        <v>#DIV/0!</v>
      </c>
      <c r="I13" s="114" t="e">
        <f t="shared" ref="I13:I23" si="5">I12+I110+I159</f>
        <v>#DIV/0!</v>
      </c>
      <c r="J13" s="114" t="e">
        <f t="shared" ref="J13:J23" si="6">J12+J110+J159</f>
        <v>#DIV/0!</v>
      </c>
      <c r="K13" s="114" t="e">
        <f t="shared" ref="K13:K23" si="7">K12+K110+K159</f>
        <v>#DIV/0!</v>
      </c>
      <c r="L13" s="114" t="e">
        <f t="shared" ref="L13:L23" si="8">L12+L110+L159</f>
        <v>#DIV/0!</v>
      </c>
      <c r="M13" s="114" t="e">
        <f t="shared" ref="M13:M23" si="9">M12+M110+M159</f>
        <v>#DIV/0!</v>
      </c>
      <c r="N13" s="1177">
        <v>0</v>
      </c>
      <c r="O13" s="112"/>
      <c r="P13" s="112"/>
      <c r="Q13" s="112"/>
      <c r="R13" s="112"/>
    </row>
    <row r="14" spans="1:18" ht="12.75" customHeight="1">
      <c r="A14" s="2">
        <f t="shared" ref="A14:A25" si="10">A13+1</f>
        <v>3</v>
      </c>
      <c r="B14" s="2"/>
      <c r="C14" s="387"/>
      <c r="D14" s="114" t="e">
        <f t="shared" si="0"/>
        <v>#DIV/0!</v>
      </c>
      <c r="E14" s="114" t="e">
        <f t="shared" si="1"/>
        <v>#DIV/0!</v>
      </c>
      <c r="F14" s="114" t="e">
        <f t="shared" si="2"/>
        <v>#DIV/0!</v>
      </c>
      <c r="G14" s="114" t="e">
        <f t="shared" si="3"/>
        <v>#DIV/0!</v>
      </c>
      <c r="H14" s="114" t="e">
        <f t="shared" si="4"/>
        <v>#DIV/0!</v>
      </c>
      <c r="I14" s="114" t="e">
        <f t="shared" si="5"/>
        <v>#DIV/0!</v>
      </c>
      <c r="J14" s="114" t="e">
        <f t="shared" si="6"/>
        <v>#DIV/0!</v>
      </c>
      <c r="K14" s="114" t="e">
        <f t="shared" si="7"/>
        <v>#DIV/0!</v>
      </c>
      <c r="L14" s="114" t="e">
        <f t="shared" si="8"/>
        <v>#DIV/0!</v>
      </c>
      <c r="M14" s="114" t="e">
        <f t="shared" si="9"/>
        <v>#DIV/0!</v>
      </c>
      <c r="N14" s="1177">
        <v>0</v>
      </c>
      <c r="O14" s="112"/>
      <c r="P14" s="112"/>
      <c r="Q14" s="112"/>
      <c r="R14" s="112"/>
    </row>
    <row r="15" spans="1:18" ht="12.75" customHeight="1">
      <c r="A15" s="2">
        <f t="shared" si="10"/>
        <v>4</v>
      </c>
      <c r="B15" s="2"/>
      <c r="C15" s="387"/>
      <c r="D15" s="114" t="e">
        <f t="shared" si="0"/>
        <v>#DIV/0!</v>
      </c>
      <c r="E15" s="114" t="e">
        <f t="shared" si="1"/>
        <v>#DIV/0!</v>
      </c>
      <c r="F15" s="114" t="e">
        <f t="shared" si="2"/>
        <v>#DIV/0!</v>
      </c>
      <c r="G15" s="114" t="e">
        <f t="shared" si="3"/>
        <v>#DIV/0!</v>
      </c>
      <c r="H15" s="114" t="e">
        <f t="shared" si="4"/>
        <v>#DIV/0!</v>
      </c>
      <c r="I15" s="114" t="e">
        <f t="shared" si="5"/>
        <v>#DIV/0!</v>
      </c>
      <c r="J15" s="114" t="e">
        <f t="shared" si="6"/>
        <v>#DIV/0!</v>
      </c>
      <c r="K15" s="114" t="e">
        <f t="shared" si="7"/>
        <v>#DIV/0!</v>
      </c>
      <c r="L15" s="114" t="e">
        <f t="shared" si="8"/>
        <v>#DIV/0!</v>
      </c>
      <c r="M15" s="114" t="e">
        <f t="shared" si="9"/>
        <v>#DIV/0!</v>
      </c>
      <c r="N15" s="1177">
        <v>0</v>
      </c>
      <c r="O15" s="112"/>
      <c r="P15" s="112"/>
      <c r="Q15" s="112"/>
      <c r="R15" s="112"/>
    </row>
    <row r="16" spans="1:18" ht="12.75" customHeight="1">
      <c r="A16" s="2">
        <f t="shared" si="10"/>
        <v>5</v>
      </c>
      <c r="B16" s="2"/>
      <c r="C16" s="387"/>
      <c r="D16" s="114" t="e">
        <f t="shared" si="0"/>
        <v>#DIV/0!</v>
      </c>
      <c r="E16" s="114" t="e">
        <f t="shared" si="1"/>
        <v>#DIV/0!</v>
      </c>
      <c r="F16" s="114" t="e">
        <f t="shared" si="2"/>
        <v>#DIV/0!</v>
      </c>
      <c r="G16" s="114" t="e">
        <f t="shared" si="3"/>
        <v>#DIV/0!</v>
      </c>
      <c r="H16" s="114" t="e">
        <f t="shared" si="4"/>
        <v>#DIV/0!</v>
      </c>
      <c r="I16" s="114" t="e">
        <f t="shared" si="5"/>
        <v>#DIV/0!</v>
      </c>
      <c r="J16" s="114" t="e">
        <f t="shared" si="6"/>
        <v>#DIV/0!</v>
      </c>
      <c r="K16" s="114" t="e">
        <f t="shared" si="7"/>
        <v>#DIV/0!</v>
      </c>
      <c r="L16" s="114" t="e">
        <f t="shared" si="8"/>
        <v>#DIV/0!</v>
      </c>
      <c r="M16" s="114" t="e">
        <f t="shared" si="9"/>
        <v>#DIV/0!</v>
      </c>
      <c r="N16" s="1177">
        <v>0</v>
      </c>
      <c r="O16" s="112"/>
      <c r="P16" s="112"/>
      <c r="Q16" s="112"/>
      <c r="R16" s="112"/>
    </row>
    <row r="17" spans="1:18" ht="12.75" customHeight="1">
      <c r="A17" s="2">
        <f t="shared" si="10"/>
        <v>6</v>
      </c>
      <c r="B17" s="2"/>
      <c r="C17" s="387"/>
      <c r="D17" s="114" t="e">
        <f t="shared" si="0"/>
        <v>#DIV/0!</v>
      </c>
      <c r="E17" s="114" t="e">
        <f t="shared" si="1"/>
        <v>#DIV/0!</v>
      </c>
      <c r="F17" s="114" t="e">
        <f t="shared" si="2"/>
        <v>#DIV/0!</v>
      </c>
      <c r="G17" s="114" t="e">
        <f t="shared" si="3"/>
        <v>#DIV/0!</v>
      </c>
      <c r="H17" s="114" t="e">
        <f t="shared" si="4"/>
        <v>#DIV/0!</v>
      </c>
      <c r="I17" s="114" t="e">
        <f t="shared" si="5"/>
        <v>#DIV/0!</v>
      </c>
      <c r="J17" s="114" t="e">
        <f t="shared" si="6"/>
        <v>#DIV/0!</v>
      </c>
      <c r="K17" s="114" t="e">
        <f t="shared" si="7"/>
        <v>#DIV/0!</v>
      </c>
      <c r="L17" s="114" t="e">
        <f t="shared" si="8"/>
        <v>#DIV/0!</v>
      </c>
      <c r="M17" s="114" t="e">
        <f t="shared" si="9"/>
        <v>#DIV/0!</v>
      </c>
      <c r="N17" s="1177">
        <v>0</v>
      </c>
      <c r="O17" s="112"/>
      <c r="P17" s="112"/>
      <c r="Q17" s="112"/>
      <c r="R17" s="112"/>
    </row>
    <row r="18" spans="1:18" ht="12.75" customHeight="1">
      <c r="A18" s="2">
        <f t="shared" si="10"/>
        <v>7</v>
      </c>
      <c r="B18" s="2"/>
      <c r="C18" s="387"/>
      <c r="D18" s="114" t="e">
        <f t="shared" si="0"/>
        <v>#DIV/0!</v>
      </c>
      <c r="E18" s="114" t="e">
        <f t="shared" si="1"/>
        <v>#DIV/0!</v>
      </c>
      <c r="F18" s="114" t="e">
        <f t="shared" si="2"/>
        <v>#DIV/0!</v>
      </c>
      <c r="G18" s="114" t="e">
        <f t="shared" si="3"/>
        <v>#DIV/0!</v>
      </c>
      <c r="H18" s="114" t="e">
        <f t="shared" si="4"/>
        <v>#DIV/0!</v>
      </c>
      <c r="I18" s="114" t="e">
        <f t="shared" si="5"/>
        <v>#DIV/0!</v>
      </c>
      <c r="J18" s="114" t="e">
        <f t="shared" si="6"/>
        <v>#DIV/0!</v>
      </c>
      <c r="K18" s="114" t="e">
        <f t="shared" si="7"/>
        <v>#DIV/0!</v>
      </c>
      <c r="L18" s="114" t="e">
        <f t="shared" si="8"/>
        <v>#DIV/0!</v>
      </c>
      <c r="M18" s="114" t="e">
        <f t="shared" si="9"/>
        <v>#DIV/0!</v>
      </c>
      <c r="N18" s="1177">
        <v>0</v>
      </c>
      <c r="O18" s="112"/>
      <c r="P18" s="112"/>
      <c r="Q18" s="112"/>
      <c r="R18" s="112"/>
    </row>
    <row r="19" spans="1:18" ht="12.75" customHeight="1">
      <c r="A19" s="2">
        <f t="shared" si="10"/>
        <v>8</v>
      </c>
      <c r="B19" s="2"/>
      <c r="C19" s="387"/>
      <c r="D19" s="114" t="e">
        <f t="shared" si="0"/>
        <v>#DIV/0!</v>
      </c>
      <c r="E19" s="114" t="e">
        <f t="shared" si="1"/>
        <v>#DIV/0!</v>
      </c>
      <c r="F19" s="114" t="e">
        <f t="shared" si="2"/>
        <v>#DIV/0!</v>
      </c>
      <c r="G19" s="114" t="e">
        <f t="shared" si="3"/>
        <v>#DIV/0!</v>
      </c>
      <c r="H19" s="114" t="e">
        <f t="shared" si="4"/>
        <v>#DIV/0!</v>
      </c>
      <c r="I19" s="114" t="e">
        <f t="shared" si="5"/>
        <v>#DIV/0!</v>
      </c>
      <c r="J19" s="114" t="e">
        <f t="shared" si="6"/>
        <v>#DIV/0!</v>
      </c>
      <c r="K19" s="114" t="e">
        <f t="shared" si="7"/>
        <v>#DIV/0!</v>
      </c>
      <c r="L19" s="114" t="e">
        <f t="shared" si="8"/>
        <v>#DIV/0!</v>
      </c>
      <c r="M19" s="114" t="e">
        <f t="shared" si="9"/>
        <v>#DIV/0!</v>
      </c>
      <c r="N19" s="1177">
        <v>0</v>
      </c>
      <c r="O19" s="112"/>
      <c r="P19" s="112"/>
      <c r="Q19" s="112"/>
      <c r="R19" s="112"/>
    </row>
    <row r="20" spans="1:18" ht="12.75" customHeight="1">
      <c r="A20" s="2">
        <f t="shared" si="10"/>
        <v>9</v>
      </c>
      <c r="B20" s="2"/>
      <c r="C20" s="387"/>
      <c r="D20" s="114" t="e">
        <f t="shared" si="0"/>
        <v>#DIV/0!</v>
      </c>
      <c r="E20" s="114" t="e">
        <f t="shared" si="1"/>
        <v>#DIV/0!</v>
      </c>
      <c r="F20" s="114" t="e">
        <f t="shared" si="2"/>
        <v>#DIV/0!</v>
      </c>
      <c r="G20" s="114" t="e">
        <f t="shared" si="3"/>
        <v>#DIV/0!</v>
      </c>
      <c r="H20" s="114" t="e">
        <f t="shared" si="4"/>
        <v>#DIV/0!</v>
      </c>
      <c r="I20" s="114" t="e">
        <f t="shared" si="5"/>
        <v>#DIV/0!</v>
      </c>
      <c r="J20" s="114" t="e">
        <f t="shared" si="6"/>
        <v>#DIV/0!</v>
      </c>
      <c r="K20" s="114" t="e">
        <f t="shared" si="7"/>
        <v>#DIV/0!</v>
      </c>
      <c r="L20" s="114" t="e">
        <f t="shared" si="8"/>
        <v>#DIV/0!</v>
      </c>
      <c r="M20" s="114" t="e">
        <f t="shared" si="9"/>
        <v>#DIV/0!</v>
      </c>
      <c r="N20" s="1177">
        <v>0</v>
      </c>
      <c r="O20" s="112"/>
      <c r="P20" s="112"/>
      <c r="Q20" s="112"/>
      <c r="R20" s="112"/>
    </row>
    <row r="21" spans="1:18" ht="12.75" customHeight="1">
      <c r="A21" s="2">
        <f t="shared" si="10"/>
        <v>10</v>
      </c>
      <c r="B21" s="2"/>
      <c r="C21" s="387"/>
      <c r="D21" s="114" t="e">
        <f t="shared" si="0"/>
        <v>#DIV/0!</v>
      </c>
      <c r="E21" s="114" t="e">
        <f t="shared" si="1"/>
        <v>#DIV/0!</v>
      </c>
      <c r="F21" s="114" t="e">
        <f t="shared" si="2"/>
        <v>#DIV/0!</v>
      </c>
      <c r="G21" s="114" t="e">
        <f t="shared" si="3"/>
        <v>#DIV/0!</v>
      </c>
      <c r="H21" s="114" t="e">
        <f t="shared" si="4"/>
        <v>#DIV/0!</v>
      </c>
      <c r="I21" s="114" t="e">
        <f t="shared" si="5"/>
        <v>#DIV/0!</v>
      </c>
      <c r="J21" s="114" t="e">
        <f t="shared" si="6"/>
        <v>#DIV/0!</v>
      </c>
      <c r="K21" s="114" t="e">
        <f t="shared" si="7"/>
        <v>#DIV/0!</v>
      </c>
      <c r="L21" s="114" t="e">
        <f t="shared" si="8"/>
        <v>#DIV/0!</v>
      </c>
      <c r="M21" s="114" t="e">
        <f t="shared" si="9"/>
        <v>#DIV/0!</v>
      </c>
      <c r="N21" s="1177">
        <v>0</v>
      </c>
      <c r="O21" s="112"/>
      <c r="P21" s="112"/>
      <c r="Q21" s="112"/>
      <c r="R21" s="112"/>
    </row>
    <row r="22" spans="1:18" ht="12.75" customHeight="1">
      <c r="A22" s="2">
        <f t="shared" si="10"/>
        <v>11</v>
      </c>
      <c r="B22" s="2"/>
      <c r="C22" s="387"/>
      <c r="D22" s="114" t="e">
        <f t="shared" si="0"/>
        <v>#DIV/0!</v>
      </c>
      <c r="E22" s="114" t="e">
        <f t="shared" si="1"/>
        <v>#DIV/0!</v>
      </c>
      <c r="F22" s="114" t="e">
        <f t="shared" si="2"/>
        <v>#DIV/0!</v>
      </c>
      <c r="G22" s="114" t="e">
        <f t="shared" si="3"/>
        <v>#DIV/0!</v>
      </c>
      <c r="H22" s="114" t="e">
        <f t="shared" si="4"/>
        <v>#DIV/0!</v>
      </c>
      <c r="I22" s="114" t="e">
        <f t="shared" si="5"/>
        <v>#DIV/0!</v>
      </c>
      <c r="J22" s="114" t="e">
        <f t="shared" si="6"/>
        <v>#DIV/0!</v>
      </c>
      <c r="K22" s="114" t="e">
        <f t="shared" si="7"/>
        <v>#DIV/0!</v>
      </c>
      <c r="L22" s="114" t="e">
        <f t="shared" si="8"/>
        <v>#DIV/0!</v>
      </c>
      <c r="M22" s="114" t="e">
        <f t="shared" si="9"/>
        <v>#DIV/0!</v>
      </c>
      <c r="N22" s="1177">
        <v>0</v>
      </c>
      <c r="O22" s="112"/>
      <c r="P22" s="112"/>
      <c r="Q22" s="112"/>
      <c r="R22" s="112"/>
    </row>
    <row r="23" spans="1:18" ht="12.75" customHeight="1">
      <c r="A23" s="2">
        <f t="shared" si="10"/>
        <v>12</v>
      </c>
      <c r="B23" s="2"/>
      <c r="C23" s="387"/>
      <c r="D23" s="114" t="e">
        <f t="shared" si="0"/>
        <v>#DIV/0!</v>
      </c>
      <c r="E23" s="114" t="e">
        <f t="shared" si="1"/>
        <v>#DIV/0!</v>
      </c>
      <c r="F23" s="114" t="e">
        <f t="shared" si="2"/>
        <v>#DIV/0!</v>
      </c>
      <c r="G23" s="114" t="e">
        <f t="shared" si="3"/>
        <v>#DIV/0!</v>
      </c>
      <c r="H23" s="114" t="e">
        <f t="shared" si="4"/>
        <v>#DIV/0!</v>
      </c>
      <c r="I23" s="114" t="e">
        <f t="shared" si="5"/>
        <v>#DIV/0!</v>
      </c>
      <c r="J23" s="114" t="e">
        <f t="shared" si="6"/>
        <v>#DIV/0!</v>
      </c>
      <c r="K23" s="114" t="e">
        <f t="shared" si="7"/>
        <v>#DIV/0!</v>
      </c>
      <c r="L23" s="114" t="e">
        <f t="shared" si="8"/>
        <v>#DIV/0!</v>
      </c>
      <c r="M23" s="114" t="e">
        <f t="shared" si="9"/>
        <v>#DIV/0!</v>
      </c>
      <c r="N23" s="1177">
        <v>0</v>
      </c>
      <c r="O23" s="112"/>
      <c r="P23" s="112"/>
      <c r="Q23" s="112"/>
      <c r="R23" s="112"/>
    </row>
    <row r="24" spans="1:18" ht="14">
      <c r="A24" s="2">
        <f t="shared" si="10"/>
        <v>13</v>
      </c>
      <c r="B24" s="2"/>
      <c r="C24" s="387"/>
      <c r="D24" s="61"/>
      <c r="E24" s="61"/>
      <c r="F24" s="61"/>
      <c r="G24" s="61"/>
      <c r="H24" s="61"/>
      <c r="I24" s="61"/>
      <c r="J24" s="61"/>
      <c r="K24" s="61"/>
      <c r="L24" s="61"/>
      <c r="M24" s="61"/>
      <c r="N24" s="1178">
        <v>0</v>
      </c>
      <c r="O24" s="112"/>
      <c r="P24" s="112"/>
      <c r="Q24" s="112"/>
      <c r="R24" s="112"/>
    </row>
    <row r="25" spans="1:18" ht="13">
      <c r="A25" s="2">
        <f t="shared" si="10"/>
        <v>14</v>
      </c>
      <c r="B25" s="112"/>
      <c r="C25" s="562" t="s">
        <v>660</v>
      </c>
      <c r="D25" s="114" t="e">
        <f t="shared" ref="D25:M25" si="11">AVERAGE(D12:D24)</f>
        <v>#DIV/0!</v>
      </c>
      <c r="E25" s="114" t="e">
        <f t="shared" si="11"/>
        <v>#DIV/0!</v>
      </c>
      <c r="F25" s="114" t="e">
        <f t="shared" si="11"/>
        <v>#DIV/0!</v>
      </c>
      <c r="G25" s="114" t="e">
        <f t="shared" si="11"/>
        <v>#DIV/0!</v>
      </c>
      <c r="H25" s="114" t="e">
        <f t="shared" si="11"/>
        <v>#DIV/0!</v>
      </c>
      <c r="I25" s="114" t="e">
        <f t="shared" si="11"/>
        <v>#DIV/0!</v>
      </c>
      <c r="J25" s="114" t="e">
        <f t="shared" si="11"/>
        <v>#DIV/0!</v>
      </c>
      <c r="K25" s="114" t="e">
        <f t="shared" si="11"/>
        <v>#DIV/0!</v>
      </c>
      <c r="L25" s="114" t="e">
        <f t="shared" si="11"/>
        <v>#DIV/0!</v>
      </c>
      <c r="M25" s="114" t="e">
        <f t="shared" si="11"/>
        <v>#DIV/0!</v>
      </c>
      <c r="N25" s="1177">
        <v>0</v>
      </c>
      <c r="O25" s="112"/>
      <c r="P25" s="112"/>
      <c r="Q25" s="112"/>
      <c r="R25" s="112"/>
    </row>
    <row r="26" spans="1:18" ht="13">
      <c r="A26" s="2"/>
      <c r="B26" s="112"/>
      <c r="C26" s="562"/>
      <c r="D26" s="114"/>
      <c r="E26" s="114"/>
      <c r="F26" s="114"/>
      <c r="G26" s="114"/>
      <c r="H26" s="114"/>
      <c r="I26" s="114"/>
      <c r="J26" s="114"/>
      <c r="K26" s="114"/>
      <c r="L26" s="114"/>
      <c r="M26" s="114"/>
      <c r="O26" s="112"/>
      <c r="P26" s="112"/>
      <c r="Q26" s="112"/>
      <c r="R26" s="112"/>
    </row>
    <row r="27" spans="1:18">
      <c r="A27" s="112"/>
      <c r="B27" s="112"/>
      <c r="C27" s="664" t="s">
        <v>3016</v>
      </c>
      <c r="D27" s="112"/>
      <c r="E27" s="112"/>
      <c r="F27" s="112"/>
      <c r="G27" s="112"/>
      <c r="H27" s="112"/>
      <c r="I27" s="112"/>
      <c r="J27" s="112"/>
      <c r="K27" s="112"/>
      <c r="L27" s="112"/>
      <c r="M27" s="112"/>
      <c r="N27" s="112"/>
      <c r="O27" s="112"/>
      <c r="P27" s="112"/>
      <c r="Q27" s="112"/>
      <c r="R27" s="112"/>
    </row>
    <row r="28" spans="1:18" ht="13">
      <c r="A28" s="112"/>
      <c r="B28" s="112"/>
      <c r="C28" s="1095" t="s">
        <v>347</v>
      </c>
      <c r="D28" s="1095" t="s">
        <v>348</v>
      </c>
      <c r="E28" s="1095" t="s">
        <v>349</v>
      </c>
      <c r="F28" s="1095" t="s">
        <v>350</v>
      </c>
      <c r="G28" s="1095" t="s">
        <v>351</v>
      </c>
      <c r="H28" s="1095" t="s">
        <v>352</v>
      </c>
      <c r="I28" s="1095" t="s">
        <v>353</v>
      </c>
      <c r="J28" s="1095" t="s">
        <v>354</v>
      </c>
    </row>
    <row r="29" spans="1:18">
      <c r="A29" s="112"/>
      <c r="B29" s="112"/>
      <c r="D29" s="112"/>
      <c r="E29" s="112"/>
      <c r="F29" s="112"/>
      <c r="J29" s="1159" t="s">
        <v>3020</v>
      </c>
    </row>
    <row r="30" spans="1:18">
      <c r="A30" s="112"/>
      <c r="B30" s="112"/>
      <c r="C30" s="125"/>
      <c r="D30" s="112"/>
      <c r="E30" s="112"/>
      <c r="F30" s="112"/>
      <c r="J30" s="1151"/>
    </row>
    <row r="31" spans="1:18" ht="13">
      <c r="A31" s="112"/>
      <c r="B31" s="112"/>
      <c r="C31" s="115"/>
      <c r="D31" s="1104" t="s">
        <v>247</v>
      </c>
      <c r="E31" s="112"/>
      <c r="F31" s="112"/>
      <c r="G31" s="112"/>
      <c r="J31" s="1069" t="s">
        <v>371</v>
      </c>
    </row>
    <row r="32" spans="1:18" ht="13">
      <c r="A32" s="112"/>
      <c r="B32" s="112"/>
      <c r="C32" s="2"/>
      <c r="D32" s="1104" t="s">
        <v>799</v>
      </c>
      <c r="E32" s="112"/>
      <c r="F32" s="112"/>
      <c r="G32" s="112"/>
      <c r="J32" s="1069" t="s">
        <v>800</v>
      </c>
    </row>
    <row r="33" spans="1:14" ht="12.75" customHeight="1">
      <c r="A33" s="30"/>
      <c r="B33" s="30"/>
      <c r="C33" s="1069" t="s">
        <v>659</v>
      </c>
      <c r="D33" s="1095">
        <v>351.1</v>
      </c>
      <c r="E33" s="1095" t="s">
        <v>662</v>
      </c>
      <c r="F33" s="1095" t="s">
        <v>663</v>
      </c>
      <c r="G33" s="1095" t="s">
        <v>664</v>
      </c>
      <c r="H33" s="1095" t="s">
        <v>665</v>
      </c>
      <c r="I33" s="1095">
        <v>351.3</v>
      </c>
      <c r="J33" s="1149" t="s">
        <v>252</v>
      </c>
      <c r="K33" s="1150" t="s">
        <v>103</v>
      </c>
    </row>
    <row r="34" spans="1:14" ht="12.75" customHeight="1">
      <c r="A34" s="1069" t="s">
        <v>666</v>
      </c>
      <c r="B34" s="2"/>
      <c r="C34" s="1100"/>
      <c r="D34" s="253"/>
      <c r="E34" s="253"/>
      <c r="F34" s="59"/>
      <c r="G34" s="59"/>
      <c r="H34" s="59"/>
      <c r="I34" s="253"/>
      <c r="J34" s="836">
        <f t="shared" ref="J34:J46" si="12">SUM(D12:M12)+SUM(D34:I34)</f>
        <v>0</v>
      </c>
      <c r="K34" s="664" t="s">
        <v>801</v>
      </c>
      <c r="L34" s="28"/>
      <c r="M34" s="28"/>
      <c r="N34" s="28"/>
    </row>
    <row r="35" spans="1:14" ht="12.75" customHeight="1">
      <c r="A35" s="1069" t="s">
        <v>667</v>
      </c>
      <c r="B35" s="2"/>
      <c r="C35" s="1101"/>
      <c r="D35" s="1180" t="e">
        <f>D54*'7-PlantStudy'!F$28</f>
        <v>#DIV/0!</v>
      </c>
      <c r="E35" s="836" t="e">
        <f>E54*'7-PlantStudy'!F$28</f>
        <v>#DIV/0!</v>
      </c>
      <c r="F35" s="836" t="e">
        <f>F54*'7-PlantStudy'!F$28</f>
        <v>#DIV/0!</v>
      </c>
      <c r="G35" s="836" t="e">
        <f>G54*'7-PlantStudy'!F$28</f>
        <v>#DIV/0!</v>
      </c>
      <c r="H35" s="836" t="e">
        <f>H54*'7-PlantStudy'!F$28</f>
        <v>#DIV/0!</v>
      </c>
      <c r="I35" s="1180" t="e">
        <f>I54*'7-PlantStudy'!F$28</f>
        <v>#DIV/0!</v>
      </c>
      <c r="J35" s="836" t="e">
        <f t="shared" si="12"/>
        <v>#DIV/0!</v>
      </c>
      <c r="K35" s="664" t="s">
        <v>3073</v>
      </c>
      <c r="L35" s="28"/>
      <c r="M35" s="28"/>
      <c r="N35" s="28"/>
    </row>
    <row r="36" spans="1:14" ht="12.75" customHeight="1">
      <c r="A36" s="1069" t="s">
        <v>668</v>
      </c>
      <c r="B36" s="2"/>
      <c r="C36" s="1101"/>
      <c r="D36" s="1180" t="e">
        <f>D55*'7-PlantStudy'!F$28</f>
        <v>#DIV/0!</v>
      </c>
      <c r="E36" s="836" t="e">
        <f>E55*'7-PlantStudy'!F$28</f>
        <v>#DIV/0!</v>
      </c>
      <c r="F36" s="836" t="e">
        <f>F55*'7-PlantStudy'!F$28</f>
        <v>#DIV/0!</v>
      </c>
      <c r="G36" s="836" t="e">
        <f>G55*'7-PlantStudy'!F$28</f>
        <v>#DIV/0!</v>
      </c>
      <c r="H36" s="836" t="e">
        <f>H55*'7-PlantStudy'!F$28</f>
        <v>#DIV/0!</v>
      </c>
      <c r="I36" s="1180" t="e">
        <f>I55*'7-PlantStudy'!F$28</f>
        <v>#DIV/0!</v>
      </c>
      <c r="J36" s="836" t="e">
        <f t="shared" si="12"/>
        <v>#DIV/0!</v>
      </c>
      <c r="K36" s="664"/>
      <c r="L36" s="28"/>
      <c r="M36" s="28"/>
      <c r="N36" s="28"/>
    </row>
    <row r="37" spans="1:14" ht="12.75" customHeight="1">
      <c r="A37" s="1069" t="s">
        <v>669</v>
      </c>
      <c r="B37" s="2"/>
      <c r="C37" s="1101"/>
      <c r="D37" s="1180" t="e">
        <f>D56*'7-PlantStudy'!F$28</f>
        <v>#DIV/0!</v>
      </c>
      <c r="E37" s="836" t="e">
        <f>E56*'7-PlantStudy'!F$28</f>
        <v>#DIV/0!</v>
      </c>
      <c r="F37" s="836" t="e">
        <f>F56*'7-PlantStudy'!F$28</f>
        <v>#DIV/0!</v>
      </c>
      <c r="G37" s="836" t="e">
        <f>G56*'7-PlantStudy'!F$28</f>
        <v>#DIV/0!</v>
      </c>
      <c r="H37" s="836" t="e">
        <f>H56*'7-PlantStudy'!F$28</f>
        <v>#DIV/0!</v>
      </c>
      <c r="I37" s="1180" t="e">
        <f>I56*'7-PlantStudy'!F$28</f>
        <v>#DIV/0!</v>
      </c>
      <c r="J37" s="836" t="e">
        <f t="shared" si="12"/>
        <v>#DIV/0!</v>
      </c>
      <c r="K37" s="664"/>
      <c r="L37" s="28"/>
      <c r="M37" s="28"/>
      <c r="N37" s="28"/>
    </row>
    <row r="38" spans="1:14" ht="12.75" customHeight="1">
      <c r="A38" s="1069" t="s">
        <v>670</v>
      </c>
      <c r="B38" s="2"/>
      <c r="C38" s="1101"/>
      <c r="D38" s="1180" t="e">
        <f>D57*'7-PlantStudy'!F$28</f>
        <v>#DIV/0!</v>
      </c>
      <c r="E38" s="836" t="e">
        <f>E57*'7-PlantStudy'!F$28</f>
        <v>#DIV/0!</v>
      </c>
      <c r="F38" s="836" t="e">
        <f>F57*'7-PlantStudy'!F$28</f>
        <v>#DIV/0!</v>
      </c>
      <c r="G38" s="836" t="e">
        <f>G57*'7-PlantStudy'!F$28</f>
        <v>#DIV/0!</v>
      </c>
      <c r="H38" s="836" t="e">
        <f>H57*'7-PlantStudy'!F$28</f>
        <v>#DIV/0!</v>
      </c>
      <c r="I38" s="1180" t="e">
        <f>I57*'7-PlantStudy'!F$28</f>
        <v>#DIV/0!</v>
      </c>
      <c r="J38" s="836" t="e">
        <f t="shared" si="12"/>
        <v>#DIV/0!</v>
      </c>
      <c r="K38" s="664"/>
      <c r="L38" s="28"/>
      <c r="M38" s="28"/>
      <c r="N38" s="28"/>
    </row>
    <row r="39" spans="1:14" ht="12.75" customHeight="1">
      <c r="A39" s="1069" t="s">
        <v>671</v>
      </c>
      <c r="B39" s="2"/>
      <c r="C39" s="1101"/>
      <c r="D39" s="1180" t="e">
        <f>D58*'7-PlantStudy'!F$28</f>
        <v>#DIV/0!</v>
      </c>
      <c r="E39" s="836" t="e">
        <f>E58*'7-PlantStudy'!F$28</f>
        <v>#DIV/0!</v>
      </c>
      <c r="F39" s="836" t="e">
        <f>F58*'7-PlantStudy'!F$28</f>
        <v>#DIV/0!</v>
      </c>
      <c r="G39" s="836" t="e">
        <f>G58*'7-PlantStudy'!F$28</f>
        <v>#DIV/0!</v>
      </c>
      <c r="H39" s="836" t="e">
        <f>H58*'7-PlantStudy'!F$28</f>
        <v>#DIV/0!</v>
      </c>
      <c r="I39" s="1180" t="e">
        <f>I58*'7-PlantStudy'!F$28</f>
        <v>#DIV/0!</v>
      </c>
      <c r="J39" s="836" t="e">
        <f t="shared" si="12"/>
        <v>#DIV/0!</v>
      </c>
      <c r="K39" s="664"/>
      <c r="L39" s="28"/>
      <c r="M39" s="28"/>
      <c r="N39" s="28"/>
    </row>
    <row r="40" spans="1:14" ht="12.75" customHeight="1">
      <c r="A40" s="1069" t="s">
        <v>672</v>
      </c>
      <c r="B40" s="2"/>
      <c r="C40" s="1101"/>
      <c r="D40" s="1180" t="e">
        <f>D59*'7-PlantStudy'!F$28</f>
        <v>#DIV/0!</v>
      </c>
      <c r="E40" s="836" t="e">
        <f>E59*'7-PlantStudy'!F$28</f>
        <v>#DIV/0!</v>
      </c>
      <c r="F40" s="836" t="e">
        <f>F59*'7-PlantStudy'!F$28</f>
        <v>#DIV/0!</v>
      </c>
      <c r="G40" s="836" t="e">
        <f>G59*'7-PlantStudy'!F$28</f>
        <v>#DIV/0!</v>
      </c>
      <c r="H40" s="836" t="e">
        <f>H59*'7-PlantStudy'!F$28</f>
        <v>#DIV/0!</v>
      </c>
      <c r="I40" s="1180" t="e">
        <f>I59*'7-PlantStudy'!F$28</f>
        <v>#DIV/0!</v>
      </c>
      <c r="J40" s="836" t="e">
        <f>SUM(D18:M18)+SUM(D40:I40)</f>
        <v>#DIV/0!</v>
      </c>
      <c r="K40" s="664"/>
      <c r="L40" s="28"/>
      <c r="M40" s="28"/>
      <c r="N40" s="28"/>
    </row>
    <row r="41" spans="1:14" ht="12.75" customHeight="1">
      <c r="A41" s="1069" t="s">
        <v>673</v>
      </c>
      <c r="B41" s="2"/>
      <c r="C41" s="1101"/>
      <c r="D41" s="1180" t="e">
        <f>D60*'7-PlantStudy'!F$28</f>
        <v>#DIV/0!</v>
      </c>
      <c r="E41" s="836" t="e">
        <f>E60*'7-PlantStudy'!F$28</f>
        <v>#DIV/0!</v>
      </c>
      <c r="F41" s="836" t="e">
        <f>F60*'7-PlantStudy'!F$28</f>
        <v>#DIV/0!</v>
      </c>
      <c r="G41" s="836" t="e">
        <f>G60*'7-PlantStudy'!F$28</f>
        <v>#DIV/0!</v>
      </c>
      <c r="H41" s="836" t="e">
        <f>H60*'7-PlantStudy'!F$28</f>
        <v>#DIV/0!</v>
      </c>
      <c r="I41" s="1180" t="e">
        <f>I60*'7-PlantStudy'!F$28</f>
        <v>#DIV/0!</v>
      </c>
      <c r="J41" s="836" t="e">
        <f t="shared" si="12"/>
        <v>#DIV/0!</v>
      </c>
      <c r="K41" s="664"/>
      <c r="L41" s="28"/>
      <c r="M41" s="28"/>
      <c r="N41" s="28"/>
    </row>
    <row r="42" spans="1:14" ht="12.75" customHeight="1">
      <c r="A42" s="1069" t="s">
        <v>674</v>
      </c>
      <c r="B42" s="2"/>
      <c r="C42" s="1101"/>
      <c r="D42" s="1180" t="e">
        <f>D61*'7-PlantStudy'!F$28</f>
        <v>#DIV/0!</v>
      </c>
      <c r="E42" s="836" t="e">
        <f>E61*'7-PlantStudy'!F$28</f>
        <v>#DIV/0!</v>
      </c>
      <c r="F42" s="836" t="e">
        <f>F61*'7-PlantStudy'!F$28</f>
        <v>#DIV/0!</v>
      </c>
      <c r="G42" s="836" t="e">
        <f>G61*'7-PlantStudy'!F$28</f>
        <v>#DIV/0!</v>
      </c>
      <c r="H42" s="836" t="e">
        <f>H61*'7-PlantStudy'!F$28</f>
        <v>#DIV/0!</v>
      </c>
      <c r="I42" s="1180" t="e">
        <f>I61*'7-PlantStudy'!F$28</f>
        <v>#DIV/0!</v>
      </c>
      <c r="J42" s="836" t="e">
        <f t="shared" si="12"/>
        <v>#DIV/0!</v>
      </c>
      <c r="K42" s="664"/>
      <c r="L42" s="28"/>
      <c r="M42" s="28"/>
      <c r="N42" s="28"/>
    </row>
    <row r="43" spans="1:14" ht="12.75" customHeight="1">
      <c r="A43" s="1069" t="s">
        <v>675</v>
      </c>
      <c r="B43" s="2"/>
      <c r="C43" s="1101"/>
      <c r="D43" s="1180" t="e">
        <f>D62*'7-PlantStudy'!F$28</f>
        <v>#DIV/0!</v>
      </c>
      <c r="E43" s="836" t="e">
        <f>E62*'7-PlantStudy'!F$28</f>
        <v>#DIV/0!</v>
      </c>
      <c r="F43" s="836" t="e">
        <f>F62*'7-PlantStudy'!F$28</f>
        <v>#DIV/0!</v>
      </c>
      <c r="G43" s="836" t="e">
        <f>G62*'7-PlantStudy'!F$28</f>
        <v>#DIV/0!</v>
      </c>
      <c r="H43" s="836" t="e">
        <f>H62*'7-PlantStudy'!F$28</f>
        <v>#DIV/0!</v>
      </c>
      <c r="I43" s="1180" t="e">
        <f>I62*'7-PlantStudy'!F$28</f>
        <v>#DIV/0!</v>
      </c>
      <c r="J43" s="836" t="e">
        <f t="shared" si="12"/>
        <v>#DIV/0!</v>
      </c>
      <c r="K43" s="664"/>
      <c r="L43" s="28"/>
      <c r="M43" s="28"/>
      <c r="N43" s="28"/>
    </row>
    <row r="44" spans="1:14" ht="12.75" customHeight="1">
      <c r="A44" s="1069" t="s">
        <v>676</v>
      </c>
      <c r="B44" s="2"/>
      <c r="C44" s="1101"/>
      <c r="D44" s="1180" t="e">
        <f>D63*'7-PlantStudy'!F$28</f>
        <v>#DIV/0!</v>
      </c>
      <c r="E44" s="836" t="e">
        <f>E63*'7-PlantStudy'!F$28</f>
        <v>#DIV/0!</v>
      </c>
      <c r="F44" s="836" t="e">
        <f>F63*'7-PlantStudy'!F$28</f>
        <v>#DIV/0!</v>
      </c>
      <c r="G44" s="836" t="e">
        <f>G63*'7-PlantStudy'!F$28</f>
        <v>#DIV/0!</v>
      </c>
      <c r="H44" s="836" t="e">
        <f>H63*'7-PlantStudy'!F$28</f>
        <v>#DIV/0!</v>
      </c>
      <c r="I44" s="1180" t="e">
        <f>I63*'7-PlantStudy'!F$28</f>
        <v>#DIV/0!</v>
      </c>
      <c r="J44" s="836" t="e">
        <f t="shared" si="12"/>
        <v>#DIV/0!</v>
      </c>
      <c r="K44" s="664"/>
      <c r="L44" s="28"/>
      <c r="M44" s="28"/>
      <c r="N44" s="28"/>
    </row>
    <row r="45" spans="1:14" ht="12.75" customHeight="1">
      <c r="A45" s="1069" t="s">
        <v>677</v>
      </c>
      <c r="B45" s="2"/>
      <c r="C45" s="1101"/>
      <c r="D45" s="1180" t="e">
        <f>D64*'7-PlantStudy'!F$28</f>
        <v>#DIV/0!</v>
      </c>
      <c r="E45" s="836" t="e">
        <f>E64*'7-PlantStudy'!F$28</f>
        <v>#DIV/0!</v>
      </c>
      <c r="F45" s="836" t="e">
        <f>F64*'7-PlantStudy'!F$28</f>
        <v>#DIV/0!</v>
      </c>
      <c r="G45" s="836" t="e">
        <f>G64*'7-PlantStudy'!F$28</f>
        <v>#DIV/0!</v>
      </c>
      <c r="H45" s="836" t="e">
        <f>H64*'7-PlantStudy'!F$28</f>
        <v>#DIV/0!</v>
      </c>
      <c r="I45" s="1180" t="e">
        <f>I64*'7-PlantStudy'!F$28</f>
        <v>#DIV/0!</v>
      </c>
      <c r="J45" s="836" t="e">
        <f t="shared" si="12"/>
        <v>#DIV/0!</v>
      </c>
      <c r="K45" s="664"/>
      <c r="L45" s="28"/>
      <c r="M45" s="28"/>
      <c r="N45" s="28"/>
    </row>
    <row r="46" spans="1:14" ht="13">
      <c r="A46" s="1069" t="s">
        <v>678</v>
      </c>
      <c r="B46" s="2"/>
      <c r="C46" s="1101"/>
      <c r="D46" s="1180" t="e">
        <f>D65*'7-PlantStudy'!F$28</f>
        <v>#DIV/0!</v>
      </c>
      <c r="E46" s="836" t="e">
        <f>E65*'7-PlantStudy'!F$28</f>
        <v>#DIV/0!</v>
      </c>
      <c r="F46" s="836" t="e">
        <f>F65*'7-PlantStudy'!F$28</f>
        <v>#DIV/0!</v>
      </c>
      <c r="G46" s="836" t="e">
        <f>G65*'7-PlantStudy'!F$28</f>
        <v>#DIV/0!</v>
      </c>
      <c r="H46" s="836" t="e">
        <f>H65*'7-PlantStudy'!F$28</f>
        <v>#DIV/0!</v>
      </c>
      <c r="I46" s="1180" t="e">
        <f>I65*'7-PlantStudy'!F$28</f>
        <v>#DIV/0!</v>
      </c>
      <c r="J46" s="836" t="e">
        <f t="shared" si="12"/>
        <v>#DIV/0!</v>
      </c>
      <c r="K46" s="664"/>
      <c r="L46" s="28"/>
      <c r="M46" s="28"/>
      <c r="N46" s="28"/>
    </row>
    <row r="47" spans="1:14" ht="13">
      <c r="A47" s="1069" t="s">
        <v>679</v>
      </c>
      <c r="B47" s="112"/>
      <c r="C47" s="1102" t="s">
        <v>660</v>
      </c>
      <c r="D47" s="836" t="e">
        <f t="shared" ref="D47:H47" si="13">AVERAGE(D34:D46)</f>
        <v>#DIV/0!</v>
      </c>
      <c r="E47" s="836" t="e">
        <f t="shared" si="13"/>
        <v>#DIV/0!</v>
      </c>
      <c r="F47" s="836" t="e">
        <f t="shared" si="13"/>
        <v>#DIV/0!</v>
      </c>
      <c r="G47" s="836" t="e">
        <f t="shared" si="13"/>
        <v>#DIV/0!</v>
      </c>
      <c r="H47" s="836" t="e">
        <f t="shared" si="13"/>
        <v>#DIV/0!</v>
      </c>
      <c r="I47" s="836" t="e">
        <f>AVERAGE(I34:I46)</f>
        <v>#DIV/0!</v>
      </c>
      <c r="J47" s="836" t="e">
        <f>AVERAGE(J34:J46)</f>
        <v>#DIV/0!</v>
      </c>
    </row>
    <row r="48" spans="1:14" ht="13">
      <c r="A48" s="1069"/>
      <c r="B48" s="112"/>
      <c r="C48" s="562"/>
      <c r="D48" s="114"/>
      <c r="E48" s="114"/>
      <c r="F48" s="114"/>
      <c r="G48" s="114"/>
      <c r="H48" s="114"/>
      <c r="I48" s="114"/>
      <c r="J48" s="114"/>
    </row>
    <row r="49" spans="1:10" ht="13">
      <c r="A49" s="1069"/>
      <c r="B49" s="112"/>
      <c r="C49" s="1170" t="s">
        <v>802</v>
      </c>
      <c r="D49" s="114"/>
      <c r="E49" s="114"/>
      <c r="F49" s="114"/>
      <c r="G49" s="114"/>
      <c r="H49" s="114"/>
      <c r="I49" s="114"/>
      <c r="J49" s="114"/>
    </row>
    <row r="50" spans="1:10" ht="13">
      <c r="A50" s="1069"/>
      <c r="B50" s="112"/>
      <c r="C50" s="1095" t="s">
        <v>347</v>
      </c>
      <c r="D50" s="1095" t="s">
        <v>348</v>
      </c>
      <c r="E50" s="1095" t="s">
        <v>349</v>
      </c>
      <c r="F50" s="1095" t="s">
        <v>350</v>
      </c>
      <c r="G50" s="1095" t="s">
        <v>351</v>
      </c>
      <c r="H50" s="1095" t="s">
        <v>352</v>
      </c>
      <c r="I50" s="1095" t="s">
        <v>353</v>
      </c>
      <c r="J50" s="1095" t="s">
        <v>354</v>
      </c>
    </row>
    <row r="51" spans="1:10" ht="13">
      <c r="A51" s="1069"/>
      <c r="B51" s="112"/>
      <c r="J51" s="114"/>
    </row>
    <row r="52" spans="1:10" ht="13">
      <c r="A52" s="1069"/>
      <c r="B52" s="112"/>
      <c r="C52" s="1069" t="s">
        <v>659</v>
      </c>
      <c r="D52" s="1069">
        <v>351.1</v>
      </c>
      <c r="E52" s="1095" t="s">
        <v>662</v>
      </c>
      <c r="F52" s="1095" t="s">
        <v>663</v>
      </c>
      <c r="G52" s="1095" t="s">
        <v>664</v>
      </c>
      <c r="H52" s="1095" t="s">
        <v>665</v>
      </c>
      <c r="I52" s="1095">
        <v>351.3</v>
      </c>
      <c r="J52" s="1147" t="s">
        <v>686</v>
      </c>
    </row>
    <row r="53" spans="1:10" ht="13">
      <c r="A53" s="1069" t="s">
        <v>803</v>
      </c>
      <c r="B53" s="112"/>
      <c r="C53" s="1100"/>
      <c r="D53" s="1136"/>
      <c r="E53" s="1136"/>
      <c r="F53" s="1136"/>
      <c r="G53" s="1136"/>
      <c r="H53" s="1136"/>
      <c r="I53" s="1136"/>
      <c r="J53" s="1160" t="s">
        <v>804</v>
      </c>
    </row>
    <row r="54" spans="1:10" ht="13">
      <c r="A54" s="1069" t="s">
        <v>805</v>
      </c>
      <c r="B54" s="112"/>
      <c r="C54" s="1101"/>
      <c r="D54" s="1136"/>
      <c r="E54" s="1136"/>
      <c r="F54" s="1136"/>
      <c r="G54" s="1136"/>
      <c r="H54" s="1136"/>
      <c r="I54" s="1136"/>
      <c r="J54" s="664" t="s">
        <v>806</v>
      </c>
    </row>
    <row r="55" spans="1:10" ht="13">
      <c r="A55" s="1069" t="s">
        <v>807</v>
      </c>
      <c r="B55" s="112"/>
      <c r="C55" s="1101"/>
      <c r="D55" s="1136"/>
      <c r="E55" s="1136"/>
      <c r="F55" s="1136"/>
      <c r="G55" s="1136"/>
      <c r="H55" s="1136"/>
      <c r="I55" s="1136"/>
      <c r="J55" s="664" t="s">
        <v>3021</v>
      </c>
    </row>
    <row r="56" spans="1:10" ht="13">
      <c r="A56" s="1069" t="s">
        <v>809</v>
      </c>
      <c r="B56" s="112"/>
      <c r="C56" s="1101"/>
      <c r="D56" s="1136"/>
      <c r="E56" s="1136"/>
      <c r="F56" s="1136"/>
      <c r="G56" s="1136"/>
      <c r="H56" s="1136"/>
      <c r="I56" s="1136"/>
      <c r="J56" s="1161" t="s">
        <v>808</v>
      </c>
    </row>
    <row r="57" spans="1:10" ht="13">
      <c r="A57" s="1069" t="s">
        <v>810</v>
      </c>
      <c r="B57" s="112"/>
      <c r="C57" s="1101"/>
      <c r="D57" s="1136"/>
      <c r="E57" s="1136"/>
      <c r="F57" s="1136"/>
      <c r="G57" s="1136"/>
      <c r="H57" s="1136"/>
      <c r="I57" s="1136"/>
      <c r="J57" s="1148"/>
    </row>
    <row r="58" spans="1:10" ht="13">
      <c r="A58" s="1069" t="s">
        <v>811</v>
      </c>
      <c r="B58" s="112"/>
      <c r="C58" s="1101"/>
      <c r="D58" s="1136"/>
      <c r="E58" s="1136"/>
      <c r="F58" s="1136"/>
      <c r="G58" s="1136"/>
      <c r="H58" s="1136"/>
      <c r="I58" s="1136"/>
      <c r="J58" s="1156"/>
    </row>
    <row r="59" spans="1:10" ht="13">
      <c r="A59" s="1069" t="s">
        <v>812</v>
      </c>
      <c r="B59" s="112"/>
      <c r="C59" s="1101"/>
      <c r="D59" s="1136"/>
      <c r="E59" s="1136"/>
      <c r="F59" s="1136"/>
      <c r="G59" s="1136"/>
      <c r="H59" s="1136"/>
      <c r="I59" s="1136"/>
      <c r="J59" s="1157"/>
    </row>
    <row r="60" spans="1:10" ht="13">
      <c r="A60" s="1069" t="s">
        <v>813</v>
      </c>
      <c r="B60" s="112"/>
      <c r="C60" s="1101"/>
      <c r="D60" s="1136"/>
      <c r="E60" s="1136"/>
      <c r="F60" s="1136"/>
      <c r="G60" s="1136"/>
      <c r="H60" s="1136"/>
      <c r="I60" s="1136"/>
      <c r="J60" s="1156"/>
    </row>
    <row r="61" spans="1:10" ht="13">
      <c r="A61" s="1069" t="s">
        <v>814</v>
      </c>
      <c r="B61" s="112"/>
      <c r="C61" s="1101"/>
      <c r="D61" s="1136"/>
      <c r="E61" s="1136"/>
      <c r="F61" s="1136"/>
      <c r="G61" s="1136"/>
      <c r="H61" s="1136"/>
      <c r="I61" s="1136"/>
      <c r="J61" s="1156"/>
    </row>
    <row r="62" spans="1:10" ht="13">
      <c r="A62" s="1069" t="s">
        <v>815</v>
      </c>
      <c r="B62" s="112"/>
      <c r="C62" s="1101"/>
      <c r="D62" s="1136"/>
      <c r="E62" s="1136"/>
      <c r="F62" s="1136"/>
      <c r="G62" s="1136"/>
      <c r="H62" s="1136"/>
      <c r="I62" s="1136"/>
      <c r="J62" s="1156"/>
    </row>
    <row r="63" spans="1:10" ht="13">
      <c r="A63" s="1069" t="s">
        <v>816</v>
      </c>
      <c r="B63" s="112"/>
      <c r="C63" s="1101"/>
      <c r="D63" s="1136"/>
      <c r="E63" s="1136"/>
      <c r="F63" s="1136"/>
      <c r="G63" s="1136"/>
      <c r="H63" s="1136"/>
      <c r="I63" s="1136"/>
      <c r="J63" s="1156"/>
    </row>
    <row r="64" spans="1:10" ht="13">
      <c r="A64" s="1069" t="s">
        <v>817</v>
      </c>
      <c r="B64" s="112"/>
      <c r="C64" s="1101"/>
      <c r="D64" s="1136"/>
      <c r="E64" s="1136"/>
      <c r="F64" s="1136"/>
      <c r="G64" s="1136"/>
      <c r="H64" s="1136"/>
      <c r="I64" s="1136"/>
      <c r="J64" s="1156"/>
    </row>
    <row r="65" spans="1:18" ht="13">
      <c r="A65" s="1069" t="s">
        <v>818</v>
      </c>
      <c r="B65" s="112"/>
      <c r="C65" s="1101"/>
      <c r="D65" s="1136"/>
      <c r="E65" s="1136"/>
      <c r="F65" s="1136"/>
      <c r="G65" s="1136"/>
      <c r="H65" s="1136"/>
      <c r="I65" s="1136"/>
    </row>
    <row r="66" spans="1:18" ht="13">
      <c r="A66" s="1069"/>
      <c r="B66" s="112"/>
      <c r="C66" s="562"/>
      <c r="D66" s="114"/>
      <c r="E66" s="114"/>
      <c r="F66" s="114"/>
      <c r="G66" s="114"/>
      <c r="H66" s="114"/>
      <c r="I66" s="114"/>
    </row>
    <row r="67" spans="1:18" ht="13">
      <c r="A67" s="112"/>
      <c r="B67" s="197" t="s">
        <v>819</v>
      </c>
      <c r="C67" s="112"/>
      <c r="D67" s="112"/>
      <c r="E67" s="112"/>
      <c r="F67" s="112"/>
      <c r="G67" s="112"/>
      <c r="H67" s="112"/>
      <c r="I67" s="112"/>
      <c r="J67" s="1032"/>
      <c r="K67" s="112"/>
      <c r="L67" s="112"/>
      <c r="M67" s="112"/>
      <c r="O67" s="112"/>
      <c r="P67" s="112"/>
      <c r="Q67" s="112"/>
      <c r="R67" s="112"/>
    </row>
    <row r="68" spans="1:18" ht="13">
      <c r="A68" s="112"/>
      <c r="B68" s="197"/>
      <c r="C68" s="112"/>
      <c r="D68" s="112"/>
      <c r="E68" s="112"/>
      <c r="F68" s="112"/>
      <c r="G68" s="112"/>
      <c r="H68" s="112"/>
      <c r="I68" s="112"/>
      <c r="J68" s="112"/>
      <c r="K68" s="112"/>
      <c r="L68" s="112"/>
      <c r="M68" s="112"/>
      <c r="N68" s="112"/>
      <c r="O68" s="112"/>
      <c r="P68" s="112"/>
      <c r="Q68" s="112"/>
      <c r="R68" s="112"/>
    </row>
    <row r="69" spans="1:18" ht="13">
      <c r="A69" s="112"/>
      <c r="B69" s="112"/>
      <c r="C69" s="48" t="s">
        <v>347</v>
      </c>
      <c r="D69" s="48" t="s">
        <v>348</v>
      </c>
      <c r="E69" s="48" t="s">
        <v>349</v>
      </c>
      <c r="F69" s="48" t="s">
        <v>350</v>
      </c>
      <c r="G69" s="48" t="s">
        <v>351</v>
      </c>
      <c r="H69" s="112"/>
      <c r="I69" s="112"/>
      <c r="J69" s="112"/>
      <c r="K69" s="112"/>
      <c r="L69" s="112"/>
      <c r="M69" s="112"/>
      <c r="N69" s="112"/>
      <c r="O69" s="112"/>
      <c r="P69" s="112"/>
      <c r="Q69" s="112"/>
      <c r="R69" s="112"/>
    </row>
    <row r="70" spans="1:18" ht="13">
      <c r="A70" s="112"/>
      <c r="B70" s="112"/>
      <c r="C70" s="112"/>
      <c r="D70" s="243" t="s">
        <v>247</v>
      </c>
      <c r="E70" s="112"/>
      <c r="F70" s="112"/>
      <c r="G70" s="229" t="s">
        <v>820</v>
      </c>
      <c r="H70" s="112"/>
      <c r="I70" s="112"/>
      <c r="J70" s="112"/>
      <c r="K70" s="112"/>
      <c r="L70" s="112"/>
      <c r="M70" s="112"/>
      <c r="N70" s="112"/>
      <c r="O70" s="200"/>
      <c r="P70" s="112"/>
      <c r="Q70" s="112"/>
      <c r="R70" s="112"/>
    </row>
    <row r="71" spans="1:18">
      <c r="A71" s="112"/>
      <c r="B71" s="112"/>
      <c r="C71" s="112"/>
      <c r="D71" s="243" t="s">
        <v>799</v>
      </c>
      <c r="E71" s="112"/>
      <c r="F71" s="112"/>
      <c r="G71" s="112"/>
      <c r="H71" s="112"/>
      <c r="I71" s="112"/>
      <c r="J71" s="112"/>
      <c r="K71" s="112"/>
      <c r="L71" s="112"/>
      <c r="M71" s="112"/>
      <c r="N71" s="112"/>
      <c r="O71" s="123"/>
      <c r="P71" s="112"/>
      <c r="Q71" s="112"/>
      <c r="R71" s="112"/>
    </row>
    <row r="72" spans="1:18" ht="13">
      <c r="A72" s="112"/>
      <c r="B72" s="112"/>
      <c r="C72" s="3" t="s">
        <v>659</v>
      </c>
      <c r="D72" s="48">
        <v>360</v>
      </c>
      <c r="E72" s="48">
        <v>361</v>
      </c>
      <c r="F72" s="48">
        <v>362</v>
      </c>
      <c r="G72" s="3" t="s">
        <v>252</v>
      </c>
      <c r="H72" s="487" t="s">
        <v>103</v>
      </c>
      <c r="I72" s="112"/>
      <c r="J72" s="112"/>
      <c r="K72" s="112"/>
      <c r="L72" s="112"/>
      <c r="M72" s="112"/>
      <c r="N72" s="112"/>
      <c r="O72" s="123"/>
      <c r="P72" s="112"/>
      <c r="Q72" s="112"/>
      <c r="R72" s="112"/>
    </row>
    <row r="73" spans="1:18" ht="13">
      <c r="A73" s="2">
        <f>A25+1</f>
        <v>15</v>
      </c>
      <c r="C73" s="387"/>
      <c r="D73" s="253"/>
      <c r="E73" s="253"/>
      <c r="F73" s="253"/>
      <c r="G73" s="114">
        <f>SUM(D73:F73)</f>
        <v>0</v>
      </c>
      <c r="H73" s="232" t="s">
        <v>821</v>
      </c>
      <c r="I73" s="112"/>
      <c r="J73" s="112"/>
      <c r="K73" s="112"/>
      <c r="L73" s="112"/>
      <c r="M73" s="112"/>
      <c r="N73" s="112"/>
      <c r="O73" s="123"/>
      <c r="P73" s="112"/>
      <c r="Q73" s="112"/>
      <c r="R73" s="112"/>
    </row>
    <row r="74" spans="1:18" ht="13">
      <c r="A74" s="2">
        <v>16</v>
      </c>
      <c r="C74" s="387"/>
      <c r="D74" s="61"/>
      <c r="E74" s="61"/>
      <c r="F74" s="61"/>
      <c r="G74" s="183">
        <f>SUM(D74:F74)</f>
        <v>0</v>
      </c>
      <c r="H74" s="232" t="s">
        <v>822</v>
      </c>
      <c r="I74" s="112"/>
      <c r="J74" s="112"/>
      <c r="K74" s="112"/>
      <c r="L74" s="112"/>
      <c r="N74" s="112"/>
      <c r="O74" s="123"/>
      <c r="P74" s="112"/>
      <c r="Q74" s="112"/>
      <c r="R74" s="112"/>
    </row>
    <row r="75" spans="1:18" ht="13">
      <c r="A75" s="2">
        <f>A74+1</f>
        <v>17</v>
      </c>
      <c r="C75" s="113" t="s">
        <v>823</v>
      </c>
      <c r="D75" s="114" t="e">
        <f>AVERAGE(D73:D74)</f>
        <v>#DIV/0!</v>
      </c>
      <c r="E75" s="114" t="e">
        <f>AVERAGE(E73:E74)</f>
        <v>#DIV/0!</v>
      </c>
      <c r="F75" s="114" t="e">
        <f>AVERAGE(F73:F74)</f>
        <v>#DIV/0!</v>
      </c>
      <c r="G75" s="114">
        <f>AVERAGE(G73:G74)</f>
        <v>0</v>
      </c>
      <c r="H75" s="123" t="str">
        <f>"Average of Line "&amp;A73&amp;" and Line "&amp;A74&amp;""</f>
        <v>Average of Line 15 and Line 16</v>
      </c>
      <c r="I75" s="112"/>
      <c r="J75" s="112"/>
      <c r="K75" s="112"/>
      <c r="M75" s="329"/>
      <c r="O75" s="123"/>
      <c r="P75" s="112"/>
      <c r="Q75" s="112"/>
      <c r="R75" s="112"/>
    </row>
    <row r="76" spans="1:18">
      <c r="C76" s="113"/>
      <c r="I76" s="112"/>
      <c r="J76" s="112"/>
      <c r="K76" s="112"/>
      <c r="M76" s="303"/>
      <c r="N76" s="303"/>
      <c r="O76" s="123"/>
      <c r="P76" s="112"/>
      <c r="Q76" s="112"/>
      <c r="R76" s="112"/>
    </row>
    <row r="77" spans="1:18" ht="13">
      <c r="B77" s="197" t="s">
        <v>824</v>
      </c>
      <c r="I77" s="112"/>
      <c r="J77" s="112"/>
      <c r="K77" s="112"/>
      <c r="L77" s="112"/>
      <c r="M77" s="329"/>
      <c r="N77" s="568"/>
      <c r="O77" s="123"/>
      <c r="P77" s="112"/>
      <c r="Q77" s="112"/>
      <c r="R77" s="112"/>
    </row>
    <row r="78" spans="1:18" ht="14.5">
      <c r="B78" s="186"/>
      <c r="C78" s="48" t="s">
        <v>347</v>
      </c>
      <c r="D78" s="48" t="s">
        <v>348</v>
      </c>
      <c r="E78" s="48" t="s">
        <v>349</v>
      </c>
      <c r="F78" s="48" t="s">
        <v>350</v>
      </c>
      <c r="G78" s="48" t="s">
        <v>351</v>
      </c>
      <c r="J78" s="112"/>
      <c r="K78" s="115"/>
      <c r="L78" s="112"/>
      <c r="N78" s="568"/>
      <c r="O78" s="112"/>
      <c r="P78" s="112"/>
      <c r="Q78" s="112"/>
      <c r="R78" s="112"/>
    </row>
    <row r="79" spans="1:18" ht="14.5">
      <c r="B79" s="186"/>
      <c r="C79" s="48"/>
      <c r="D79" s="48"/>
      <c r="E79" s="239" t="s">
        <v>825</v>
      </c>
      <c r="F79" s="48"/>
      <c r="G79" s="48"/>
      <c r="J79" s="112"/>
      <c r="K79" s="115"/>
      <c r="L79" s="112"/>
      <c r="O79" s="112"/>
      <c r="P79" s="112"/>
      <c r="Q79" s="112"/>
      <c r="R79" s="112"/>
    </row>
    <row r="80" spans="1:18" ht="13">
      <c r="E80" s="115" t="s">
        <v>252</v>
      </c>
      <c r="J80" s="112"/>
      <c r="K80" s="115"/>
      <c r="L80" s="112"/>
      <c r="O80" s="112"/>
      <c r="P80" s="112"/>
      <c r="Q80" s="112"/>
      <c r="R80" s="112"/>
    </row>
    <row r="81" spans="1:18" ht="13">
      <c r="B81" s="112"/>
      <c r="D81" s="112"/>
      <c r="E81" s="115" t="s">
        <v>826</v>
      </c>
      <c r="F81" s="2" t="s">
        <v>691</v>
      </c>
      <c r="G81" s="2" t="s">
        <v>692</v>
      </c>
      <c r="J81" s="112"/>
      <c r="K81" s="115"/>
      <c r="L81" s="112"/>
      <c r="O81" s="112"/>
      <c r="P81" s="112"/>
      <c r="Q81" s="112"/>
      <c r="R81" s="112"/>
    </row>
    <row r="82" spans="1:18" ht="13">
      <c r="B82" s="112"/>
      <c r="D82" s="112"/>
      <c r="E82" s="115" t="s">
        <v>827</v>
      </c>
      <c r="F82" s="115" t="s">
        <v>827</v>
      </c>
      <c r="G82" s="115" t="s">
        <v>827</v>
      </c>
      <c r="H82" s="233"/>
      <c r="J82" s="112"/>
      <c r="K82" s="115"/>
      <c r="L82" s="112"/>
      <c r="Q82" s="112"/>
      <c r="R82" s="112"/>
    </row>
    <row r="83" spans="1:18" ht="13">
      <c r="B83" s="112"/>
      <c r="C83" s="3" t="s">
        <v>659</v>
      </c>
      <c r="D83" s="112"/>
      <c r="E83" s="184" t="s">
        <v>828</v>
      </c>
      <c r="F83" s="184" t="s">
        <v>828</v>
      </c>
      <c r="G83" s="184" t="s">
        <v>828</v>
      </c>
      <c r="H83" s="200" t="s">
        <v>686</v>
      </c>
      <c r="J83" s="112"/>
      <c r="K83" s="184"/>
      <c r="L83" s="112"/>
      <c r="O83" s="112"/>
      <c r="P83" s="112"/>
      <c r="Q83" s="112"/>
      <c r="R83" s="112"/>
    </row>
    <row r="84" spans="1:18" ht="13">
      <c r="A84" s="2">
        <f>A75+1</f>
        <v>18</v>
      </c>
      <c r="B84" s="112"/>
      <c r="C84" s="387"/>
      <c r="D84" s="311" t="s">
        <v>829</v>
      </c>
      <c r="E84" s="114">
        <f>SUM(F84:G84)</f>
        <v>0</v>
      </c>
      <c r="F84" s="1134"/>
      <c r="G84" s="1134"/>
      <c r="H84" s="232" t="s">
        <v>830</v>
      </c>
      <c r="J84" s="112"/>
      <c r="L84" s="112"/>
      <c r="O84" s="112"/>
      <c r="P84" s="112"/>
      <c r="Q84" s="112"/>
      <c r="R84" s="112"/>
    </row>
    <row r="85" spans="1:18" ht="13">
      <c r="A85" s="2">
        <f>A84+1</f>
        <v>19</v>
      </c>
      <c r="B85" s="112"/>
      <c r="C85" s="387"/>
      <c r="D85" s="113" t="s">
        <v>831</v>
      </c>
      <c r="E85" s="183">
        <f>SUM(F85:G85)</f>
        <v>0</v>
      </c>
      <c r="F85" s="1134"/>
      <c r="G85" s="1134"/>
      <c r="H85" s="232" t="s">
        <v>832</v>
      </c>
      <c r="J85" s="112"/>
      <c r="K85" s="576"/>
      <c r="L85" s="112"/>
      <c r="O85" s="112"/>
      <c r="P85" s="112"/>
      <c r="Q85" s="112"/>
      <c r="R85" s="112"/>
    </row>
    <row r="86" spans="1:18" ht="13">
      <c r="A86" s="2">
        <f>A85+1</f>
        <v>20</v>
      </c>
      <c r="B86" s="112"/>
      <c r="D86" s="113" t="s">
        <v>823</v>
      </c>
      <c r="E86" s="114">
        <f>AVERAGE(E84:E85)</f>
        <v>0</v>
      </c>
      <c r="H86" s="123" t="str">
        <f>"Average of Line "&amp;A84&amp;" and Line "&amp;A85&amp;""</f>
        <v>Average of Line 18 and Line 19</v>
      </c>
      <c r="J86" s="112"/>
      <c r="K86" s="576"/>
      <c r="L86" s="112"/>
      <c r="O86" s="112"/>
      <c r="P86" s="112"/>
      <c r="Q86" s="112"/>
      <c r="R86" s="112"/>
    </row>
    <row r="87" spans="1:18">
      <c r="I87" s="112"/>
      <c r="J87" s="112"/>
      <c r="K87" s="112"/>
      <c r="L87" s="112"/>
      <c r="O87" s="112"/>
      <c r="P87" s="112"/>
      <c r="Q87" s="112"/>
      <c r="R87" s="112"/>
    </row>
    <row r="88" spans="1:18" ht="13">
      <c r="B88" s="1" t="s">
        <v>833</v>
      </c>
      <c r="C88" s="334"/>
      <c r="D88" s="303"/>
      <c r="E88" s="112"/>
      <c r="F88" s="112"/>
      <c r="G88" s="112"/>
      <c r="H88" s="112"/>
      <c r="I88" s="112"/>
      <c r="J88" s="112"/>
      <c r="K88" s="112"/>
      <c r="L88" s="112"/>
      <c r="M88" s="112"/>
      <c r="O88" s="112"/>
      <c r="P88" s="112"/>
      <c r="Q88" s="112"/>
      <c r="R88" s="112"/>
    </row>
    <row r="89" spans="1:18" ht="13">
      <c r="B89" s="1"/>
      <c r="C89" s="334"/>
      <c r="D89" s="303"/>
      <c r="E89" s="112"/>
      <c r="F89" s="112"/>
      <c r="G89" s="112"/>
      <c r="H89" s="112"/>
      <c r="I89" s="112"/>
      <c r="J89" s="112"/>
      <c r="K89" s="112"/>
      <c r="L89" s="112"/>
      <c r="M89" s="112"/>
      <c r="N89" s="112"/>
      <c r="O89" s="112"/>
      <c r="P89" s="112"/>
      <c r="Q89" s="112"/>
      <c r="R89" s="112"/>
    </row>
    <row r="90" spans="1:18" ht="13">
      <c r="B90" s="112"/>
      <c r="C90" s="1"/>
      <c r="D90" s="334"/>
      <c r="E90" s="303"/>
      <c r="F90" s="184" t="s">
        <v>81</v>
      </c>
      <c r="G90" s="200" t="s">
        <v>686</v>
      </c>
      <c r="H90" s="112"/>
      <c r="I90" s="112"/>
      <c r="J90" s="112"/>
      <c r="K90" s="112"/>
      <c r="L90" s="112"/>
      <c r="M90" s="112"/>
      <c r="N90" s="112"/>
      <c r="O90" s="112"/>
      <c r="P90" s="112"/>
      <c r="Q90" s="112"/>
      <c r="R90" s="112"/>
    </row>
    <row r="91" spans="1:18" ht="13">
      <c r="A91" s="2">
        <f>A86+1</f>
        <v>21</v>
      </c>
      <c r="B91" s="112"/>
      <c r="C91" s="334"/>
      <c r="D91" s="334"/>
      <c r="E91" s="311" t="s">
        <v>834</v>
      </c>
      <c r="F91" s="563">
        <f>E86</f>
        <v>0</v>
      </c>
      <c r="G91" s="123" t="str">
        <f>"Line "&amp;A86&amp;""</f>
        <v>Line 20</v>
      </c>
      <c r="H91" s="112"/>
      <c r="I91" s="112"/>
      <c r="J91" s="112"/>
      <c r="K91" s="112"/>
      <c r="L91" s="112"/>
      <c r="M91" s="112"/>
      <c r="N91" s="112"/>
      <c r="O91" s="112"/>
      <c r="P91" s="112"/>
      <c r="Q91" s="112"/>
      <c r="R91" s="112"/>
    </row>
    <row r="92" spans="1:18" ht="13">
      <c r="A92" s="2">
        <f>A91+1</f>
        <v>22</v>
      </c>
      <c r="B92" s="112"/>
      <c r="C92" s="334"/>
      <c r="D92" s="334"/>
      <c r="E92" s="311" t="s">
        <v>703</v>
      </c>
      <c r="F92" s="576" t="e">
        <f>'27-Allocators'!G15</f>
        <v>#DIV/0!</v>
      </c>
      <c r="G92" s="123" t="str">
        <f>"27-Allocators, Line "&amp;'27-Allocators'!A15&amp;""</f>
        <v>27-Allocators, Line 9</v>
      </c>
      <c r="H92" s="112"/>
      <c r="I92" s="112"/>
      <c r="J92" s="112"/>
      <c r="K92" s="112"/>
      <c r="L92" s="112"/>
      <c r="M92" s="112"/>
      <c r="N92" s="112"/>
      <c r="O92" s="112"/>
      <c r="P92" s="112"/>
      <c r="Q92" s="112"/>
      <c r="R92" s="112"/>
    </row>
    <row r="93" spans="1:18" ht="13">
      <c r="A93" s="2">
        <f>A92+1</f>
        <v>23</v>
      </c>
      <c r="B93" s="112"/>
      <c r="C93" s="334"/>
      <c r="D93" s="334"/>
      <c r="E93" s="311" t="s">
        <v>835</v>
      </c>
      <c r="F93" s="563" t="e">
        <f>F91*F92</f>
        <v>#DIV/0!</v>
      </c>
      <c r="G93" s="123" t="str">
        <f>"Line "&amp;A91&amp;" * Line "&amp;A92&amp;""</f>
        <v>Line 21 * Line 22</v>
      </c>
      <c r="H93" s="112"/>
      <c r="I93" s="112"/>
      <c r="J93" s="112"/>
      <c r="K93" s="112"/>
      <c r="L93" s="112"/>
      <c r="M93" s="112"/>
      <c r="N93" s="112"/>
      <c r="O93" s="112"/>
      <c r="P93" s="112"/>
      <c r="Q93" s="112"/>
      <c r="R93" s="112"/>
    </row>
    <row r="94" spans="1:18" ht="13">
      <c r="B94" s="334"/>
      <c r="C94" s="334"/>
      <c r="D94" s="311"/>
      <c r="E94" s="563"/>
      <c r="F94" s="112"/>
      <c r="G94" s="112"/>
      <c r="H94" s="112"/>
      <c r="I94" s="112"/>
      <c r="J94" s="112"/>
      <c r="K94" s="112"/>
      <c r="L94" s="112"/>
      <c r="M94" s="112"/>
      <c r="O94" s="112"/>
      <c r="P94" s="112"/>
      <c r="Q94" s="112"/>
      <c r="R94" s="112"/>
    </row>
    <row r="95" spans="1:18" ht="13">
      <c r="B95" s="1" t="s">
        <v>836</v>
      </c>
      <c r="C95" s="334"/>
      <c r="D95" s="303"/>
      <c r="E95" s="112"/>
      <c r="F95" s="112"/>
      <c r="G95" s="112"/>
      <c r="H95" s="112"/>
      <c r="I95" s="112"/>
      <c r="J95" s="112"/>
      <c r="K95" s="112"/>
      <c r="L95" s="112"/>
      <c r="M95" s="112"/>
      <c r="O95" s="112"/>
      <c r="P95" s="112"/>
      <c r="Q95" s="112"/>
      <c r="R95" s="112"/>
    </row>
    <row r="96" spans="1:18" ht="13">
      <c r="B96" s="112"/>
      <c r="C96" s="112"/>
      <c r="D96" s="112"/>
      <c r="E96" s="112"/>
      <c r="F96" s="112"/>
      <c r="G96" s="112"/>
      <c r="H96" s="112"/>
      <c r="I96" s="112"/>
      <c r="J96" s="112"/>
      <c r="K96" s="112"/>
      <c r="L96" s="112"/>
      <c r="M96" s="112"/>
      <c r="O96" s="303"/>
      <c r="P96" s="557"/>
      <c r="Q96" s="112"/>
      <c r="R96" s="112"/>
    </row>
    <row r="97" spans="1:18" ht="13">
      <c r="B97" s="112"/>
      <c r="C97" s="112"/>
      <c r="D97" s="112"/>
      <c r="E97" s="112"/>
      <c r="F97" s="184" t="s">
        <v>81</v>
      </c>
      <c r="G97" s="200" t="s">
        <v>686</v>
      </c>
      <c r="H97" s="112"/>
      <c r="I97" s="112"/>
      <c r="J97" s="112"/>
      <c r="K97" s="112"/>
      <c r="L97" s="112"/>
      <c r="M97" s="112"/>
      <c r="O97" s="310"/>
      <c r="P97" s="310"/>
      <c r="Q97" s="112"/>
      <c r="R97" s="112"/>
    </row>
    <row r="98" spans="1:18" ht="13">
      <c r="A98" s="2">
        <f>A93+1</f>
        <v>24</v>
      </c>
      <c r="B98" s="334"/>
      <c r="C98" s="334"/>
      <c r="E98" s="311" t="s">
        <v>837</v>
      </c>
      <c r="F98" s="563">
        <f>E85</f>
        <v>0</v>
      </c>
      <c r="G98" s="123" t="str">
        <f>"Line "&amp;A85&amp;""</f>
        <v>Line 19</v>
      </c>
      <c r="H98" s="112"/>
      <c r="I98" s="112"/>
      <c r="J98" s="112"/>
      <c r="K98" s="112"/>
      <c r="L98" s="112"/>
      <c r="M98" s="112"/>
      <c r="O98" s="577"/>
      <c r="P98" s="328"/>
      <c r="Q98" s="112"/>
      <c r="R98" s="112"/>
    </row>
    <row r="99" spans="1:18" ht="13">
      <c r="A99" s="2">
        <f>A98+1</f>
        <v>25</v>
      </c>
      <c r="B99" s="334"/>
      <c r="C99" s="334"/>
      <c r="E99" s="311" t="s">
        <v>703</v>
      </c>
      <c r="F99" s="576" t="e">
        <f>'27-Allocators'!G15</f>
        <v>#DIV/0!</v>
      </c>
      <c r="G99" s="123" t="str">
        <f>"27-Allocators, Line "&amp;'27-Allocators'!A15&amp;""</f>
        <v>27-Allocators, Line 9</v>
      </c>
      <c r="H99" s="112"/>
      <c r="I99" s="112"/>
      <c r="J99" s="112"/>
      <c r="K99" s="112"/>
      <c r="L99" s="112"/>
      <c r="M99" s="112"/>
      <c r="O99" s="577"/>
      <c r="P99" s="328"/>
      <c r="Q99" s="112"/>
      <c r="R99" s="112"/>
    </row>
    <row r="100" spans="1:18" ht="13">
      <c r="A100" s="2">
        <f>A99+1</f>
        <v>26</v>
      </c>
      <c r="B100" s="334"/>
      <c r="C100" s="334"/>
      <c r="E100" s="311" t="s">
        <v>838</v>
      </c>
      <c r="F100" s="563" t="e">
        <f>F98*F99</f>
        <v>#DIV/0!</v>
      </c>
      <c r="G100" s="123" t="str">
        <f>"Line "&amp;A98&amp;" * Line "&amp;A99&amp;""</f>
        <v>Line 24 * Line 25</v>
      </c>
      <c r="H100" s="112"/>
      <c r="I100" s="112"/>
      <c r="J100" s="112"/>
      <c r="K100" s="112"/>
      <c r="L100" s="112"/>
      <c r="M100" s="112"/>
      <c r="Q100" s="112"/>
      <c r="R100" s="112"/>
    </row>
    <row r="101" spans="1:18">
      <c r="B101" s="112"/>
      <c r="C101" s="112"/>
      <c r="D101" s="112"/>
      <c r="E101" s="112"/>
      <c r="F101" s="112"/>
      <c r="G101" s="112"/>
      <c r="H101" s="112"/>
      <c r="I101" s="112"/>
      <c r="J101" s="112"/>
      <c r="K101" s="112"/>
      <c r="L101" s="112"/>
      <c r="M101" s="112"/>
      <c r="Q101" s="112"/>
      <c r="R101" s="112"/>
    </row>
    <row r="102" spans="1:18">
      <c r="Q102" s="112"/>
      <c r="R102" s="112"/>
    </row>
    <row r="103" spans="1:18" ht="13">
      <c r="B103" s="1" t="s">
        <v>839</v>
      </c>
      <c r="Q103" s="112"/>
      <c r="R103" s="112"/>
    </row>
    <row r="104" spans="1:18">
      <c r="Q104" s="112"/>
      <c r="R104" s="112"/>
    </row>
    <row r="105" spans="1:18" ht="13">
      <c r="C105" s="1" t="s">
        <v>840</v>
      </c>
      <c r="D105" s="233"/>
      <c r="E105" s="233"/>
      <c r="F105" s="233"/>
      <c r="G105" s="233"/>
      <c r="H105" s="233"/>
      <c r="I105" s="233"/>
      <c r="J105" s="233"/>
      <c r="K105" s="233"/>
      <c r="L105" s="233"/>
    </row>
    <row r="106" spans="1:18">
      <c r="A106" s="233"/>
      <c r="C106" s="233"/>
      <c r="D106" s="233"/>
      <c r="E106" s="233"/>
      <c r="F106" s="233"/>
      <c r="G106" s="233"/>
      <c r="H106" s="233"/>
      <c r="I106" s="233"/>
      <c r="J106" s="233"/>
      <c r="K106" s="233"/>
      <c r="L106" s="233"/>
    </row>
    <row r="107" spans="1:18" ht="13">
      <c r="A107" s="197"/>
      <c r="C107" s="48" t="s">
        <v>347</v>
      </c>
      <c r="D107" s="48" t="s">
        <v>348</v>
      </c>
      <c r="E107" s="48" t="s">
        <v>349</v>
      </c>
      <c r="F107" s="48" t="s">
        <v>350</v>
      </c>
      <c r="G107" s="48" t="s">
        <v>351</v>
      </c>
      <c r="H107" s="48" t="s">
        <v>352</v>
      </c>
      <c r="I107" s="48" t="s">
        <v>353</v>
      </c>
      <c r="J107" s="48" t="s">
        <v>354</v>
      </c>
      <c r="K107" s="48" t="s">
        <v>355</v>
      </c>
      <c r="L107" s="48" t="s">
        <v>605</v>
      </c>
      <c r="M107" s="48" t="s">
        <v>606</v>
      </c>
      <c r="N107" s="48" t="s">
        <v>607</v>
      </c>
    </row>
    <row r="108" spans="1:18">
      <c r="A108" s="112"/>
      <c r="C108" s="125"/>
      <c r="D108" s="112"/>
      <c r="E108" s="112"/>
      <c r="F108" s="112"/>
      <c r="G108" s="112"/>
      <c r="H108" s="112"/>
      <c r="I108" s="112"/>
      <c r="J108" s="112"/>
      <c r="K108" s="112"/>
      <c r="L108" s="112"/>
      <c r="N108" s="125" t="s">
        <v>658</v>
      </c>
    </row>
    <row r="109" spans="1:18" ht="13">
      <c r="A109" s="30"/>
      <c r="C109" s="3" t="s">
        <v>659</v>
      </c>
      <c r="D109" s="48">
        <v>350.1</v>
      </c>
      <c r="E109" s="48">
        <v>350.2</v>
      </c>
      <c r="F109" s="48">
        <v>352</v>
      </c>
      <c r="G109" s="48">
        <v>353</v>
      </c>
      <c r="H109" s="48">
        <v>354</v>
      </c>
      <c r="I109" s="48">
        <v>355</v>
      </c>
      <c r="J109" s="48">
        <v>356</v>
      </c>
      <c r="K109" s="48">
        <v>357</v>
      </c>
      <c r="L109" s="48">
        <v>358</v>
      </c>
      <c r="M109" s="48">
        <v>359</v>
      </c>
      <c r="N109" s="3" t="s">
        <v>252</v>
      </c>
    </row>
    <row r="110" spans="1:18" ht="13">
      <c r="A110" s="2">
        <f>A100+1</f>
        <v>27</v>
      </c>
      <c r="C110" s="387"/>
      <c r="D110" s="235">
        <f>'17-Depreciation'!C80</f>
        <v>0</v>
      </c>
      <c r="E110" s="235">
        <f>'17-Depreciation'!D80</f>
        <v>0</v>
      </c>
      <c r="F110" s="235">
        <f>'17-Depreciation'!E80</f>
        <v>0</v>
      </c>
      <c r="G110" s="235">
        <f>'17-Depreciation'!F80</f>
        <v>0</v>
      </c>
      <c r="H110" s="235">
        <f>'17-Depreciation'!G80</f>
        <v>0</v>
      </c>
      <c r="I110" s="235">
        <f>'17-Depreciation'!H80</f>
        <v>0</v>
      </c>
      <c r="J110" s="235">
        <f>'17-Depreciation'!I80</f>
        <v>0</v>
      </c>
      <c r="K110" s="235">
        <f>'17-Depreciation'!J80</f>
        <v>0</v>
      </c>
      <c r="L110" s="235">
        <f>'17-Depreciation'!K80</f>
        <v>0</v>
      </c>
      <c r="M110" s="235">
        <f>'17-Depreciation'!L80</f>
        <v>0</v>
      </c>
      <c r="N110" s="114">
        <f t="shared" ref="N110:N122" si="14">SUM(D110:M110)</f>
        <v>0</v>
      </c>
    </row>
    <row r="111" spans="1:18" ht="13">
      <c r="A111" s="2">
        <f t="shared" ref="A111:A122" si="15">A110+1</f>
        <v>28</v>
      </c>
      <c r="C111" s="387"/>
      <c r="D111" s="235" t="e">
        <f>'17-Depreciation'!C81</f>
        <v>#DIV/0!</v>
      </c>
      <c r="E111" s="235" t="e">
        <f>'17-Depreciation'!D81</f>
        <v>#DIV/0!</v>
      </c>
      <c r="F111" s="235" t="e">
        <f>'17-Depreciation'!E81</f>
        <v>#DIV/0!</v>
      </c>
      <c r="G111" s="235" t="e">
        <f>'17-Depreciation'!F81</f>
        <v>#DIV/0!</v>
      </c>
      <c r="H111" s="235" t="e">
        <f>'17-Depreciation'!G81</f>
        <v>#DIV/0!</v>
      </c>
      <c r="I111" s="235" t="e">
        <f>'17-Depreciation'!H81</f>
        <v>#DIV/0!</v>
      </c>
      <c r="J111" s="235" t="e">
        <f>'17-Depreciation'!I81</f>
        <v>#DIV/0!</v>
      </c>
      <c r="K111" s="235" t="e">
        <f>'17-Depreciation'!J81</f>
        <v>#DIV/0!</v>
      </c>
      <c r="L111" s="235" t="e">
        <f>'17-Depreciation'!K81</f>
        <v>#DIV/0!</v>
      </c>
      <c r="M111" s="235" t="e">
        <f>'17-Depreciation'!L81</f>
        <v>#DIV/0!</v>
      </c>
      <c r="N111" s="114" t="e">
        <f t="shared" si="14"/>
        <v>#DIV/0!</v>
      </c>
    </row>
    <row r="112" spans="1:18" ht="13">
      <c r="A112" s="2">
        <f t="shared" si="15"/>
        <v>29</v>
      </c>
      <c r="C112" s="387"/>
      <c r="D112" s="235" t="e">
        <f>'17-Depreciation'!C82</f>
        <v>#DIV/0!</v>
      </c>
      <c r="E112" s="235" t="e">
        <f>'17-Depreciation'!D82</f>
        <v>#DIV/0!</v>
      </c>
      <c r="F112" s="235" t="e">
        <f>'17-Depreciation'!E82</f>
        <v>#DIV/0!</v>
      </c>
      <c r="G112" s="235" t="e">
        <f>'17-Depreciation'!F82</f>
        <v>#DIV/0!</v>
      </c>
      <c r="H112" s="235" t="e">
        <f>'17-Depreciation'!G82</f>
        <v>#DIV/0!</v>
      </c>
      <c r="I112" s="235" t="e">
        <f>'17-Depreciation'!H82</f>
        <v>#DIV/0!</v>
      </c>
      <c r="J112" s="235" t="e">
        <f>'17-Depreciation'!I82</f>
        <v>#DIV/0!</v>
      </c>
      <c r="K112" s="235" t="e">
        <f>'17-Depreciation'!J82</f>
        <v>#DIV/0!</v>
      </c>
      <c r="L112" s="235" t="e">
        <f>'17-Depreciation'!K82</f>
        <v>#DIV/0!</v>
      </c>
      <c r="M112" s="235" t="e">
        <f>'17-Depreciation'!L82</f>
        <v>#DIV/0!</v>
      </c>
      <c r="N112" s="114" t="e">
        <f t="shared" si="14"/>
        <v>#DIV/0!</v>
      </c>
    </row>
    <row r="113" spans="1:14" ht="13">
      <c r="A113" s="2">
        <f t="shared" si="15"/>
        <v>30</v>
      </c>
      <c r="C113" s="387"/>
      <c r="D113" s="235" t="e">
        <f>'17-Depreciation'!C83</f>
        <v>#DIV/0!</v>
      </c>
      <c r="E113" s="235" t="e">
        <f>'17-Depreciation'!D83</f>
        <v>#DIV/0!</v>
      </c>
      <c r="F113" s="235" t="e">
        <f>'17-Depreciation'!E83</f>
        <v>#DIV/0!</v>
      </c>
      <c r="G113" s="235" t="e">
        <f>'17-Depreciation'!F83</f>
        <v>#DIV/0!</v>
      </c>
      <c r="H113" s="235" t="e">
        <f>'17-Depreciation'!G83</f>
        <v>#DIV/0!</v>
      </c>
      <c r="I113" s="235" t="e">
        <f>'17-Depreciation'!H83</f>
        <v>#DIV/0!</v>
      </c>
      <c r="J113" s="235" t="e">
        <f>'17-Depreciation'!I83</f>
        <v>#DIV/0!</v>
      </c>
      <c r="K113" s="235" t="e">
        <f>'17-Depreciation'!J83</f>
        <v>#DIV/0!</v>
      </c>
      <c r="L113" s="235" t="e">
        <f>'17-Depreciation'!K83</f>
        <v>#DIV/0!</v>
      </c>
      <c r="M113" s="235" t="e">
        <f>'17-Depreciation'!L83</f>
        <v>#DIV/0!</v>
      </c>
      <c r="N113" s="114" t="e">
        <f t="shared" si="14"/>
        <v>#DIV/0!</v>
      </c>
    </row>
    <row r="114" spans="1:14" ht="13">
      <c r="A114" s="2">
        <f t="shared" si="15"/>
        <v>31</v>
      </c>
      <c r="C114" s="387"/>
      <c r="D114" s="235" t="e">
        <f>'17-Depreciation'!C84</f>
        <v>#DIV/0!</v>
      </c>
      <c r="E114" s="235" t="e">
        <f>'17-Depreciation'!D84</f>
        <v>#DIV/0!</v>
      </c>
      <c r="F114" s="235" t="e">
        <f>'17-Depreciation'!E84</f>
        <v>#DIV/0!</v>
      </c>
      <c r="G114" s="235" t="e">
        <f>'17-Depreciation'!F84</f>
        <v>#DIV/0!</v>
      </c>
      <c r="H114" s="235" t="e">
        <f>'17-Depreciation'!G84</f>
        <v>#DIV/0!</v>
      </c>
      <c r="I114" s="235" t="e">
        <f>'17-Depreciation'!H84</f>
        <v>#DIV/0!</v>
      </c>
      <c r="J114" s="235" t="e">
        <f>'17-Depreciation'!I84</f>
        <v>#DIV/0!</v>
      </c>
      <c r="K114" s="235" t="e">
        <f>'17-Depreciation'!J84</f>
        <v>#DIV/0!</v>
      </c>
      <c r="L114" s="235" t="e">
        <f>'17-Depreciation'!K84</f>
        <v>#DIV/0!</v>
      </c>
      <c r="M114" s="235" t="e">
        <f>'17-Depreciation'!L84</f>
        <v>#DIV/0!</v>
      </c>
      <c r="N114" s="114" t="e">
        <f t="shared" si="14"/>
        <v>#DIV/0!</v>
      </c>
    </row>
    <row r="115" spans="1:14" ht="13">
      <c r="A115" s="2">
        <f t="shared" si="15"/>
        <v>32</v>
      </c>
      <c r="C115" s="387"/>
      <c r="D115" s="235" t="e">
        <f>'17-Depreciation'!C85</f>
        <v>#DIV/0!</v>
      </c>
      <c r="E115" s="235" t="e">
        <f>'17-Depreciation'!D85</f>
        <v>#DIV/0!</v>
      </c>
      <c r="F115" s="235" t="e">
        <f>'17-Depreciation'!E85</f>
        <v>#DIV/0!</v>
      </c>
      <c r="G115" s="235" t="e">
        <f>'17-Depreciation'!F85</f>
        <v>#DIV/0!</v>
      </c>
      <c r="H115" s="235" t="e">
        <f>'17-Depreciation'!G85</f>
        <v>#DIV/0!</v>
      </c>
      <c r="I115" s="235" t="e">
        <f>'17-Depreciation'!H85</f>
        <v>#DIV/0!</v>
      </c>
      <c r="J115" s="235" t="e">
        <f>'17-Depreciation'!I85</f>
        <v>#DIV/0!</v>
      </c>
      <c r="K115" s="235" t="e">
        <f>'17-Depreciation'!J85</f>
        <v>#DIV/0!</v>
      </c>
      <c r="L115" s="235" t="e">
        <f>'17-Depreciation'!K85</f>
        <v>#DIV/0!</v>
      </c>
      <c r="M115" s="235" t="e">
        <f>'17-Depreciation'!L85</f>
        <v>#DIV/0!</v>
      </c>
      <c r="N115" s="114" t="e">
        <f t="shared" si="14"/>
        <v>#DIV/0!</v>
      </c>
    </row>
    <row r="116" spans="1:14" ht="13">
      <c r="A116" s="2">
        <f t="shared" si="15"/>
        <v>33</v>
      </c>
      <c r="C116" s="387"/>
      <c r="D116" s="235" t="e">
        <f>'17-Depreciation'!C86</f>
        <v>#DIV/0!</v>
      </c>
      <c r="E116" s="235" t="e">
        <f>'17-Depreciation'!D86</f>
        <v>#DIV/0!</v>
      </c>
      <c r="F116" s="235" t="e">
        <f>'17-Depreciation'!E86</f>
        <v>#DIV/0!</v>
      </c>
      <c r="G116" s="235" t="e">
        <f>'17-Depreciation'!F86</f>
        <v>#DIV/0!</v>
      </c>
      <c r="H116" s="235" t="e">
        <f>'17-Depreciation'!G86</f>
        <v>#DIV/0!</v>
      </c>
      <c r="I116" s="235" t="e">
        <f>'17-Depreciation'!H86</f>
        <v>#DIV/0!</v>
      </c>
      <c r="J116" s="235" t="e">
        <f>'17-Depreciation'!I86</f>
        <v>#DIV/0!</v>
      </c>
      <c r="K116" s="235" t="e">
        <f>'17-Depreciation'!J86</f>
        <v>#DIV/0!</v>
      </c>
      <c r="L116" s="235" t="e">
        <f>'17-Depreciation'!K86</f>
        <v>#DIV/0!</v>
      </c>
      <c r="M116" s="235" t="e">
        <f>'17-Depreciation'!L86</f>
        <v>#DIV/0!</v>
      </c>
      <c r="N116" s="114" t="e">
        <f t="shared" si="14"/>
        <v>#DIV/0!</v>
      </c>
    </row>
    <row r="117" spans="1:14" ht="13">
      <c r="A117" s="2">
        <f t="shared" si="15"/>
        <v>34</v>
      </c>
      <c r="C117" s="387"/>
      <c r="D117" s="235" t="e">
        <f>'17-Depreciation'!C87</f>
        <v>#DIV/0!</v>
      </c>
      <c r="E117" s="235" t="e">
        <f>'17-Depreciation'!D87</f>
        <v>#DIV/0!</v>
      </c>
      <c r="F117" s="235" t="e">
        <f>'17-Depreciation'!E87</f>
        <v>#DIV/0!</v>
      </c>
      <c r="G117" s="235" t="e">
        <f>'17-Depreciation'!F87</f>
        <v>#DIV/0!</v>
      </c>
      <c r="H117" s="235" t="e">
        <f>'17-Depreciation'!G87</f>
        <v>#DIV/0!</v>
      </c>
      <c r="I117" s="235" t="e">
        <f>'17-Depreciation'!H87</f>
        <v>#DIV/0!</v>
      </c>
      <c r="J117" s="235" t="e">
        <f>'17-Depreciation'!I87</f>
        <v>#DIV/0!</v>
      </c>
      <c r="K117" s="235" t="e">
        <f>'17-Depreciation'!J87</f>
        <v>#DIV/0!</v>
      </c>
      <c r="L117" s="235" t="e">
        <f>'17-Depreciation'!K87</f>
        <v>#DIV/0!</v>
      </c>
      <c r="M117" s="235" t="e">
        <f>'17-Depreciation'!L87</f>
        <v>#DIV/0!</v>
      </c>
      <c r="N117" s="114" t="e">
        <f t="shared" si="14"/>
        <v>#DIV/0!</v>
      </c>
    </row>
    <row r="118" spans="1:14" ht="13">
      <c r="A118" s="2">
        <f t="shared" si="15"/>
        <v>35</v>
      </c>
      <c r="C118" s="387"/>
      <c r="D118" s="235" t="e">
        <f>'17-Depreciation'!C88</f>
        <v>#DIV/0!</v>
      </c>
      <c r="E118" s="235" t="e">
        <f>'17-Depreciation'!D88</f>
        <v>#DIV/0!</v>
      </c>
      <c r="F118" s="235" t="e">
        <f>'17-Depreciation'!E88</f>
        <v>#DIV/0!</v>
      </c>
      <c r="G118" s="235" t="e">
        <f>'17-Depreciation'!F88</f>
        <v>#DIV/0!</v>
      </c>
      <c r="H118" s="235" t="e">
        <f>'17-Depreciation'!G88</f>
        <v>#DIV/0!</v>
      </c>
      <c r="I118" s="235" t="e">
        <f>'17-Depreciation'!H88</f>
        <v>#DIV/0!</v>
      </c>
      <c r="J118" s="235" t="e">
        <f>'17-Depreciation'!I88</f>
        <v>#DIV/0!</v>
      </c>
      <c r="K118" s="235" t="e">
        <f>'17-Depreciation'!J88</f>
        <v>#DIV/0!</v>
      </c>
      <c r="L118" s="235" t="e">
        <f>'17-Depreciation'!K88</f>
        <v>#DIV/0!</v>
      </c>
      <c r="M118" s="235" t="e">
        <f>'17-Depreciation'!L88</f>
        <v>#DIV/0!</v>
      </c>
      <c r="N118" s="114" t="e">
        <f t="shared" si="14"/>
        <v>#DIV/0!</v>
      </c>
    </row>
    <row r="119" spans="1:14" ht="13">
      <c r="A119" s="2">
        <f t="shared" si="15"/>
        <v>36</v>
      </c>
      <c r="C119" s="387"/>
      <c r="D119" s="235" t="e">
        <f>'17-Depreciation'!C89</f>
        <v>#DIV/0!</v>
      </c>
      <c r="E119" s="235" t="e">
        <f>'17-Depreciation'!D89</f>
        <v>#DIV/0!</v>
      </c>
      <c r="F119" s="235" t="e">
        <f>'17-Depreciation'!E89</f>
        <v>#DIV/0!</v>
      </c>
      <c r="G119" s="235" t="e">
        <f>'17-Depreciation'!F89</f>
        <v>#DIV/0!</v>
      </c>
      <c r="H119" s="235" t="e">
        <f>'17-Depreciation'!G89</f>
        <v>#DIV/0!</v>
      </c>
      <c r="I119" s="235" t="e">
        <f>'17-Depreciation'!H89</f>
        <v>#DIV/0!</v>
      </c>
      <c r="J119" s="235" t="e">
        <f>'17-Depreciation'!I89</f>
        <v>#DIV/0!</v>
      </c>
      <c r="K119" s="235" t="e">
        <f>'17-Depreciation'!J89</f>
        <v>#DIV/0!</v>
      </c>
      <c r="L119" s="235" t="e">
        <f>'17-Depreciation'!K89</f>
        <v>#DIV/0!</v>
      </c>
      <c r="M119" s="235" t="e">
        <f>'17-Depreciation'!L89</f>
        <v>#DIV/0!</v>
      </c>
      <c r="N119" s="114" t="e">
        <f t="shared" si="14"/>
        <v>#DIV/0!</v>
      </c>
    </row>
    <row r="120" spans="1:14" ht="13">
      <c r="A120" s="2">
        <f t="shared" si="15"/>
        <v>37</v>
      </c>
      <c r="C120" s="387"/>
      <c r="D120" s="235" t="e">
        <f>'17-Depreciation'!C90</f>
        <v>#DIV/0!</v>
      </c>
      <c r="E120" s="235" t="e">
        <f>'17-Depreciation'!D90</f>
        <v>#DIV/0!</v>
      </c>
      <c r="F120" s="235" t="e">
        <f>'17-Depreciation'!E90</f>
        <v>#DIV/0!</v>
      </c>
      <c r="G120" s="235" t="e">
        <f>'17-Depreciation'!F90</f>
        <v>#DIV/0!</v>
      </c>
      <c r="H120" s="235" t="e">
        <f>'17-Depreciation'!G90</f>
        <v>#DIV/0!</v>
      </c>
      <c r="I120" s="235" t="e">
        <f>'17-Depreciation'!H90</f>
        <v>#DIV/0!</v>
      </c>
      <c r="J120" s="235" t="e">
        <f>'17-Depreciation'!I90</f>
        <v>#DIV/0!</v>
      </c>
      <c r="K120" s="235" t="e">
        <f>'17-Depreciation'!J90</f>
        <v>#DIV/0!</v>
      </c>
      <c r="L120" s="235" t="e">
        <f>'17-Depreciation'!K90</f>
        <v>#DIV/0!</v>
      </c>
      <c r="M120" s="235" t="e">
        <f>'17-Depreciation'!L90</f>
        <v>#DIV/0!</v>
      </c>
      <c r="N120" s="114" t="e">
        <f t="shared" si="14"/>
        <v>#DIV/0!</v>
      </c>
    </row>
    <row r="121" spans="1:14" ht="13">
      <c r="A121" s="2">
        <f t="shared" si="15"/>
        <v>38</v>
      </c>
      <c r="C121" s="387"/>
      <c r="D121" s="53" t="e">
        <f>'17-Depreciation'!C91</f>
        <v>#DIV/0!</v>
      </c>
      <c r="E121" s="53" t="e">
        <f>'17-Depreciation'!D91</f>
        <v>#DIV/0!</v>
      </c>
      <c r="F121" s="53" t="e">
        <f>'17-Depreciation'!E91</f>
        <v>#DIV/0!</v>
      </c>
      <c r="G121" s="53" t="e">
        <f>'17-Depreciation'!F91</f>
        <v>#DIV/0!</v>
      </c>
      <c r="H121" s="53" t="e">
        <f>'17-Depreciation'!G91</f>
        <v>#DIV/0!</v>
      </c>
      <c r="I121" s="53" t="e">
        <f>'17-Depreciation'!H91</f>
        <v>#DIV/0!</v>
      </c>
      <c r="J121" s="53" t="e">
        <f>'17-Depreciation'!I91</f>
        <v>#DIV/0!</v>
      </c>
      <c r="K121" s="53" t="e">
        <f>'17-Depreciation'!J91</f>
        <v>#DIV/0!</v>
      </c>
      <c r="L121" s="53" t="e">
        <f>'17-Depreciation'!K91</f>
        <v>#DIV/0!</v>
      </c>
      <c r="M121" s="53" t="e">
        <f>'17-Depreciation'!L91</f>
        <v>#DIV/0!</v>
      </c>
      <c r="N121" s="183" t="e">
        <f t="shared" si="14"/>
        <v>#DIV/0!</v>
      </c>
    </row>
    <row r="122" spans="1:14" ht="13">
      <c r="A122" s="2">
        <f t="shared" si="15"/>
        <v>39</v>
      </c>
      <c r="C122" s="562" t="s">
        <v>420</v>
      </c>
      <c r="D122" s="114" t="e">
        <f t="shared" ref="D122:M122" si="16">SUM(D110:D121)</f>
        <v>#DIV/0!</v>
      </c>
      <c r="E122" s="114" t="e">
        <f t="shared" si="16"/>
        <v>#DIV/0!</v>
      </c>
      <c r="F122" s="114" t="e">
        <f t="shared" si="16"/>
        <v>#DIV/0!</v>
      </c>
      <c r="G122" s="114" t="e">
        <f t="shared" si="16"/>
        <v>#DIV/0!</v>
      </c>
      <c r="H122" s="114" t="e">
        <f t="shared" si="16"/>
        <v>#DIV/0!</v>
      </c>
      <c r="I122" s="114" t="e">
        <f t="shared" si="16"/>
        <v>#DIV/0!</v>
      </c>
      <c r="J122" s="114" t="e">
        <f t="shared" si="16"/>
        <v>#DIV/0!</v>
      </c>
      <c r="K122" s="114" t="e">
        <f t="shared" si="16"/>
        <v>#DIV/0!</v>
      </c>
      <c r="L122" s="114" t="e">
        <f t="shared" si="16"/>
        <v>#DIV/0!</v>
      </c>
      <c r="M122" s="114" t="e">
        <f t="shared" si="16"/>
        <v>#DIV/0!</v>
      </c>
      <c r="N122" s="114" t="e">
        <f t="shared" si="14"/>
        <v>#DIV/0!</v>
      </c>
    </row>
    <row r="124" spans="1:14" ht="13">
      <c r="C124" s="1" t="s">
        <v>841</v>
      </c>
      <c r="D124" s="233"/>
      <c r="E124" s="233"/>
      <c r="F124" s="233"/>
      <c r="G124" s="233"/>
      <c r="H124" s="233"/>
      <c r="I124" s="233"/>
      <c r="J124" s="233"/>
      <c r="K124" s="233"/>
      <c r="L124" s="233"/>
    </row>
    <row r="125" spans="1:14">
      <c r="C125" s="233"/>
      <c r="D125" s="233"/>
      <c r="E125" s="233"/>
      <c r="F125" s="233"/>
      <c r="G125" s="233"/>
      <c r="H125" s="233"/>
      <c r="I125" s="233"/>
      <c r="J125" s="233"/>
      <c r="K125" s="233"/>
      <c r="L125" s="233"/>
    </row>
    <row r="126" spans="1:14" ht="13">
      <c r="C126" s="48" t="s">
        <v>347</v>
      </c>
      <c r="D126" s="48" t="s">
        <v>348</v>
      </c>
      <c r="E126" s="48" t="s">
        <v>349</v>
      </c>
      <c r="F126" s="48" t="s">
        <v>350</v>
      </c>
      <c r="G126" s="48" t="s">
        <v>351</v>
      </c>
      <c r="H126" s="48" t="s">
        <v>352</v>
      </c>
      <c r="I126" s="48" t="s">
        <v>353</v>
      </c>
      <c r="J126" s="48" t="s">
        <v>354</v>
      </c>
      <c r="K126" s="48" t="s">
        <v>355</v>
      </c>
      <c r="L126" s="48" t="s">
        <v>605</v>
      </c>
      <c r="M126" s="48" t="s">
        <v>606</v>
      </c>
      <c r="N126" s="48"/>
    </row>
    <row r="127" spans="1:14">
      <c r="C127" s="125"/>
      <c r="D127" s="112"/>
      <c r="E127" s="112"/>
      <c r="F127" s="112"/>
      <c r="G127" s="112"/>
      <c r="H127" s="112"/>
      <c r="I127" s="112"/>
      <c r="J127" s="112"/>
      <c r="K127" s="112"/>
      <c r="L127" s="112"/>
      <c r="N127" s="125"/>
    </row>
    <row r="128" spans="1:14" ht="13">
      <c r="C128" s="3" t="s">
        <v>659</v>
      </c>
      <c r="D128" s="48">
        <v>350.1</v>
      </c>
      <c r="E128" s="48">
        <v>350.2</v>
      </c>
      <c r="F128" s="48">
        <v>352</v>
      </c>
      <c r="G128" s="48">
        <v>353</v>
      </c>
      <c r="H128" s="48">
        <v>354</v>
      </c>
      <c r="I128" s="48">
        <v>355</v>
      </c>
      <c r="J128" s="48">
        <v>356</v>
      </c>
      <c r="K128" s="48">
        <v>357</v>
      </c>
      <c r="L128" s="48">
        <v>358</v>
      </c>
      <c r="M128" s="48">
        <v>359</v>
      </c>
      <c r="N128" s="3"/>
    </row>
    <row r="129" spans="1:14" ht="13">
      <c r="A129" s="2">
        <f>A122+1</f>
        <v>40</v>
      </c>
      <c r="C129" s="387"/>
      <c r="D129" s="579" t="e">
        <f>'6-PlantInService'!C209</f>
        <v>#DIV/0!</v>
      </c>
      <c r="E129" s="579" t="e">
        <f>'6-PlantInService'!D209</f>
        <v>#DIV/0!</v>
      </c>
      <c r="F129" s="579" t="e">
        <f>'6-PlantInService'!E209</f>
        <v>#DIV/0!</v>
      </c>
      <c r="G129" s="579" t="e">
        <f>'6-PlantInService'!F209</f>
        <v>#DIV/0!</v>
      </c>
      <c r="H129" s="579" t="e">
        <f>'6-PlantInService'!G209</f>
        <v>#DIV/0!</v>
      </c>
      <c r="I129" s="579" t="e">
        <f>'6-PlantInService'!H209</f>
        <v>#DIV/0!</v>
      </c>
      <c r="J129" s="579" t="e">
        <f>'6-PlantInService'!I209</f>
        <v>#DIV/0!</v>
      </c>
      <c r="K129" s="579" t="e">
        <f>'6-PlantInService'!J209</f>
        <v>#DIV/0!</v>
      </c>
      <c r="L129" s="579" t="e">
        <f>'6-PlantInService'!K209</f>
        <v>#DIV/0!</v>
      </c>
      <c r="M129" s="579" t="e">
        <f>'6-PlantInService'!L209</f>
        <v>#DIV/0!</v>
      </c>
      <c r="N129" s="114"/>
    </row>
    <row r="130" spans="1:14" ht="13">
      <c r="A130" s="2">
        <f t="shared" ref="A130:A140" si="17">A129+1</f>
        <v>41</v>
      </c>
      <c r="C130" s="387"/>
      <c r="D130" s="579" t="e">
        <f>'6-PlantInService'!C210</f>
        <v>#DIV/0!</v>
      </c>
      <c r="E130" s="579" t="e">
        <f>'6-PlantInService'!D210</f>
        <v>#DIV/0!</v>
      </c>
      <c r="F130" s="579" t="e">
        <f>'6-PlantInService'!E210</f>
        <v>#DIV/0!</v>
      </c>
      <c r="G130" s="579" t="e">
        <f>'6-PlantInService'!F210</f>
        <v>#DIV/0!</v>
      </c>
      <c r="H130" s="579" t="e">
        <f>'6-PlantInService'!G210</f>
        <v>#DIV/0!</v>
      </c>
      <c r="I130" s="579" t="e">
        <f>'6-PlantInService'!H210</f>
        <v>#DIV/0!</v>
      </c>
      <c r="J130" s="579" t="e">
        <f>'6-PlantInService'!I210</f>
        <v>#DIV/0!</v>
      </c>
      <c r="K130" s="579" t="e">
        <f>'6-PlantInService'!J210</f>
        <v>#DIV/0!</v>
      </c>
      <c r="L130" s="579" t="e">
        <f>'6-PlantInService'!K210</f>
        <v>#DIV/0!</v>
      </c>
      <c r="M130" s="579" t="e">
        <f>'6-PlantInService'!L210</f>
        <v>#DIV/0!</v>
      </c>
      <c r="N130" s="114"/>
    </row>
    <row r="131" spans="1:14" ht="13">
      <c r="A131" s="2">
        <f t="shared" si="17"/>
        <v>42</v>
      </c>
      <c r="C131" s="387"/>
      <c r="D131" s="579" t="e">
        <f>'6-PlantInService'!C211</f>
        <v>#DIV/0!</v>
      </c>
      <c r="E131" s="579" t="e">
        <f>'6-PlantInService'!D211</f>
        <v>#DIV/0!</v>
      </c>
      <c r="F131" s="579" t="e">
        <f>'6-PlantInService'!E211</f>
        <v>#DIV/0!</v>
      </c>
      <c r="G131" s="579" t="e">
        <f>'6-PlantInService'!F211</f>
        <v>#DIV/0!</v>
      </c>
      <c r="H131" s="579" t="e">
        <f>'6-PlantInService'!G211</f>
        <v>#DIV/0!</v>
      </c>
      <c r="I131" s="579" t="e">
        <f>'6-PlantInService'!H211</f>
        <v>#DIV/0!</v>
      </c>
      <c r="J131" s="579" t="e">
        <f>'6-PlantInService'!I211</f>
        <v>#DIV/0!</v>
      </c>
      <c r="K131" s="579" t="e">
        <f>'6-PlantInService'!J211</f>
        <v>#DIV/0!</v>
      </c>
      <c r="L131" s="579" t="e">
        <f>'6-PlantInService'!K211</f>
        <v>#DIV/0!</v>
      </c>
      <c r="M131" s="579" t="e">
        <f>'6-PlantInService'!L211</f>
        <v>#DIV/0!</v>
      </c>
      <c r="N131" s="114"/>
    </row>
    <row r="132" spans="1:14" ht="13">
      <c r="A132" s="2">
        <f t="shared" si="17"/>
        <v>43</v>
      </c>
      <c r="C132" s="387"/>
      <c r="D132" s="579" t="e">
        <f>'6-PlantInService'!C212</f>
        <v>#DIV/0!</v>
      </c>
      <c r="E132" s="579" t="e">
        <f>'6-PlantInService'!D212</f>
        <v>#DIV/0!</v>
      </c>
      <c r="F132" s="579" t="e">
        <f>'6-PlantInService'!E212</f>
        <v>#DIV/0!</v>
      </c>
      <c r="G132" s="579" t="e">
        <f>'6-PlantInService'!F212</f>
        <v>#DIV/0!</v>
      </c>
      <c r="H132" s="579" t="e">
        <f>'6-PlantInService'!G212</f>
        <v>#DIV/0!</v>
      </c>
      <c r="I132" s="579" t="e">
        <f>'6-PlantInService'!H212</f>
        <v>#DIV/0!</v>
      </c>
      <c r="J132" s="579" t="e">
        <f>'6-PlantInService'!I212</f>
        <v>#DIV/0!</v>
      </c>
      <c r="K132" s="579" t="e">
        <f>'6-PlantInService'!J212</f>
        <v>#DIV/0!</v>
      </c>
      <c r="L132" s="579" t="e">
        <f>'6-PlantInService'!K212</f>
        <v>#DIV/0!</v>
      </c>
      <c r="M132" s="579" t="e">
        <f>'6-PlantInService'!L212</f>
        <v>#DIV/0!</v>
      </c>
      <c r="N132" s="114"/>
    </row>
    <row r="133" spans="1:14" ht="13">
      <c r="A133" s="2">
        <f t="shared" si="17"/>
        <v>44</v>
      </c>
      <c r="C133" s="387"/>
      <c r="D133" s="579" t="e">
        <f>'6-PlantInService'!C213</f>
        <v>#DIV/0!</v>
      </c>
      <c r="E133" s="579" t="e">
        <f>'6-PlantInService'!D213</f>
        <v>#DIV/0!</v>
      </c>
      <c r="F133" s="579" t="e">
        <f>'6-PlantInService'!E213</f>
        <v>#DIV/0!</v>
      </c>
      <c r="G133" s="579" t="e">
        <f>'6-PlantInService'!F213</f>
        <v>#DIV/0!</v>
      </c>
      <c r="H133" s="579" t="e">
        <f>'6-PlantInService'!G213</f>
        <v>#DIV/0!</v>
      </c>
      <c r="I133" s="579" t="e">
        <f>'6-PlantInService'!H213</f>
        <v>#DIV/0!</v>
      </c>
      <c r="J133" s="579" t="e">
        <f>'6-PlantInService'!I213</f>
        <v>#DIV/0!</v>
      </c>
      <c r="K133" s="579" t="e">
        <f>'6-PlantInService'!J213</f>
        <v>#DIV/0!</v>
      </c>
      <c r="L133" s="579" t="e">
        <f>'6-PlantInService'!K213</f>
        <v>#DIV/0!</v>
      </c>
      <c r="M133" s="579" t="e">
        <f>'6-PlantInService'!L213</f>
        <v>#DIV/0!</v>
      </c>
      <c r="N133" s="114"/>
    </row>
    <row r="134" spans="1:14" ht="13">
      <c r="A134" s="2">
        <f t="shared" si="17"/>
        <v>45</v>
      </c>
      <c r="C134" s="387"/>
      <c r="D134" s="579" t="e">
        <f>'6-PlantInService'!C214</f>
        <v>#DIV/0!</v>
      </c>
      <c r="E134" s="579" t="e">
        <f>'6-PlantInService'!D214</f>
        <v>#DIV/0!</v>
      </c>
      <c r="F134" s="579" t="e">
        <f>'6-PlantInService'!E214</f>
        <v>#DIV/0!</v>
      </c>
      <c r="G134" s="579" t="e">
        <f>'6-PlantInService'!F214</f>
        <v>#DIV/0!</v>
      </c>
      <c r="H134" s="579" t="e">
        <f>'6-PlantInService'!G214</f>
        <v>#DIV/0!</v>
      </c>
      <c r="I134" s="579" t="e">
        <f>'6-PlantInService'!H214</f>
        <v>#DIV/0!</v>
      </c>
      <c r="J134" s="579" t="e">
        <f>'6-PlantInService'!I214</f>
        <v>#DIV/0!</v>
      </c>
      <c r="K134" s="579" t="e">
        <f>'6-PlantInService'!J214</f>
        <v>#DIV/0!</v>
      </c>
      <c r="L134" s="579" t="e">
        <f>'6-PlantInService'!K214</f>
        <v>#DIV/0!</v>
      </c>
      <c r="M134" s="579" t="e">
        <f>'6-PlantInService'!L214</f>
        <v>#DIV/0!</v>
      </c>
      <c r="N134" s="114"/>
    </row>
    <row r="135" spans="1:14" ht="13">
      <c r="A135" s="2">
        <f t="shared" si="17"/>
        <v>46</v>
      </c>
      <c r="C135" s="387"/>
      <c r="D135" s="579" t="e">
        <f>'6-PlantInService'!C215</f>
        <v>#DIV/0!</v>
      </c>
      <c r="E135" s="579" t="e">
        <f>'6-PlantInService'!D215</f>
        <v>#DIV/0!</v>
      </c>
      <c r="F135" s="579" t="e">
        <f>'6-PlantInService'!E215</f>
        <v>#DIV/0!</v>
      </c>
      <c r="G135" s="579" t="e">
        <f>'6-PlantInService'!F215</f>
        <v>#DIV/0!</v>
      </c>
      <c r="H135" s="579" t="e">
        <f>'6-PlantInService'!G215</f>
        <v>#DIV/0!</v>
      </c>
      <c r="I135" s="579" t="e">
        <f>'6-PlantInService'!H215</f>
        <v>#DIV/0!</v>
      </c>
      <c r="J135" s="579" t="e">
        <f>'6-PlantInService'!I215</f>
        <v>#DIV/0!</v>
      </c>
      <c r="K135" s="579" t="e">
        <f>'6-PlantInService'!J215</f>
        <v>#DIV/0!</v>
      </c>
      <c r="L135" s="579" t="e">
        <f>'6-PlantInService'!K215</f>
        <v>#DIV/0!</v>
      </c>
      <c r="M135" s="579" t="e">
        <f>'6-PlantInService'!L215</f>
        <v>#DIV/0!</v>
      </c>
      <c r="N135" s="114"/>
    </row>
    <row r="136" spans="1:14" ht="13">
      <c r="A136" s="2">
        <f t="shared" si="17"/>
        <v>47</v>
      </c>
      <c r="C136" s="387"/>
      <c r="D136" s="579" t="e">
        <f>'6-PlantInService'!C216</f>
        <v>#DIV/0!</v>
      </c>
      <c r="E136" s="579" t="e">
        <f>'6-PlantInService'!D216</f>
        <v>#DIV/0!</v>
      </c>
      <c r="F136" s="579" t="e">
        <f>'6-PlantInService'!E216</f>
        <v>#DIV/0!</v>
      </c>
      <c r="G136" s="579" t="e">
        <f>'6-PlantInService'!F216</f>
        <v>#DIV/0!</v>
      </c>
      <c r="H136" s="579" t="e">
        <f>'6-PlantInService'!G216</f>
        <v>#DIV/0!</v>
      </c>
      <c r="I136" s="579" t="e">
        <f>'6-PlantInService'!H216</f>
        <v>#DIV/0!</v>
      </c>
      <c r="J136" s="579" t="e">
        <f>'6-PlantInService'!I216</f>
        <v>#DIV/0!</v>
      </c>
      <c r="K136" s="579" t="e">
        <f>'6-PlantInService'!J216</f>
        <v>#DIV/0!</v>
      </c>
      <c r="L136" s="579" t="e">
        <f>'6-PlantInService'!K216</f>
        <v>#DIV/0!</v>
      </c>
      <c r="M136" s="579" t="e">
        <f>'6-PlantInService'!L216</f>
        <v>#DIV/0!</v>
      </c>
      <c r="N136" s="114"/>
    </row>
    <row r="137" spans="1:14" ht="13">
      <c r="A137" s="2">
        <f t="shared" si="17"/>
        <v>48</v>
      </c>
      <c r="C137" s="387"/>
      <c r="D137" s="579" t="e">
        <f>'6-PlantInService'!C217</f>
        <v>#DIV/0!</v>
      </c>
      <c r="E137" s="579" t="e">
        <f>'6-PlantInService'!D217</f>
        <v>#DIV/0!</v>
      </c>
      <c r="F137" s="579" t="e">
        <f>'6-PlantInService'!E217</f>
        <v>#DIV/0!</v>
      </c>
      <c r="G137" s="579" t="e">
        <f>'6-PlantInService'!F217</f>
        <v>#DIV/0!</v>
      </c>
      <c r="H137" s="579" t="e">
        <f>'6-PlantInService'!G217</f>
        <v>#DIV/0!</v>
      </c>
      <c r="I137" s="579" t="e">
        <f>'6-PlantInService'!H217</f>
        <v>#DIV/0!</v>
      </c>
      <c r="J137" s="579" t="e">
        <f>'6-PlantInService'!I217</f>
        <v>#DIV/0!</v>
      </c>
      <c r="K137" s="579" t="e">
        <f>'6-PlantInService'!J217</f>
        <v>#DIV/0!</v>
      </c>
      <c r="L137" s="579" t="e">
        <f>'6-PlantInService'!K217</f>
        <v>#DIV/0!</v>
      </c>
      <c r="M137" s="579" t="e">
        <f>'6-PlantInService'!L217</f>
        <v>#DIV/0!</v>
      </c>
      <c r="N137" s="114"/>
    </row>
    <row r="138" spans="1:14" ht="13">
      <c r="A138" s="2">
        <f t="shared" si="17"/>
        <v>49</v>
      </c>
      <c r="C138" s="387"/>
      <c r="D138" s="579" t="e">
        <f>'6-PlantInService'!C218</f>
        <v>#DIV/0!</v>
      </c>
      <c r="E138" s="579" t="e">
        <f>'6-PlantInService'!D218</f>
        <v>#DIV/0!</v>
      </c>
      <c r="F138" s="579" t="e">
        <f>'6-PlantInService'!E218</f>
        <v>#DIV/0!</v>
      </c>
      <c r="G138" s="579" t="e">
        <f>'6-PlantInService'!F218</f>
        <v>#DIV/0!</v>
      </c>
      <c r="H138" s="579" t="e">
        <f>'6-PlantInService'!G218</f>
        <v>#DIV/0!</v>
      </c>
      <c r="I138" s="579" t="e">
        <f>'6-PlantInService'!H218</f>
        <v>#DIV/0!</v>
      </c>
      <c r="J138" s="579" t="e">
        <f>'6-PlantInService'!I218</f>
        <v>#DIV/0!</v>
      </c>
      <c r="K138" s="579" t="e">
        <f>'6-PlantInService'!J218</f>
        <v>#DIV/0!</v>
      </c>
      <c r="L138" s="579" t="e">
        <f>'6-PlantInService'!K218</f>
        <v>#DIV/0!</v>
      </c>
      <c r="M138" s="579" t="e">
        <f>'6-PlantInService'!L218</f>
        <v>#DIV/0!</v>
      </c>
      <c r="N138" s="114"/>
    </row>
    <row r="139" spans="1:14" ht="13">
      <c r="A139" s="2">
        <f t="shared" si="17"/>
        <v>50</v>
      </c>
      <c r="C139" s="387"/>
      <c r="D139" s="579" t="e">
        <f>'6-PlantInService'!C219</f>
        <v>#DIV/0!</v>
      </c>
      <c r="E139" s="579" t="e">
        <f>'6-PlantInService'!D219</f>
        <v>#DIV/0!</v>
      </c>
      <c r="F139" s="579" t="e">
        <f>'6-PlantInService'!E219</f>
        <v>#DIV/0!</v>
      </c>
      <c r="G139" s="579" t="e">
        <f>'6-PlantInService'!F219</f>
        <v>#DIV/0!</v>
      </c>
      <c r="H139" s="579" t="e">
        <f>'6-PlantInService'!G219</f>
        <v>#DIV/0!</v>
      </c>
      <c r="I139" s="579" t="e">
        <f>'6-PlantInService'!H219</f>
        <v>#DIV/0!</v>
      </c>
      <c r="J139" s="579" t="e">
        <f>'6-PlantInService'!I219</f>
        <v>#DIV/0!</v>
      </c>
      <c r="K139" s="579" t="e">
        <f>'6-PlantInService'!J219</f>
        <v>#DIV/0!</v>
      </c>
      <c r="L139" s="579" t="e">
        <f>'6-PlantInService'!K219</f>
        <v>#DIV/0!</v>
      </c>
      <c r="M139" s="579" t="e">
        <f>'6-PlantInService'!L219</f>
        <v>#DIV/0!</v>
      </c>
      <c r="N139" s="114"/>
    </row>
    <row r="140" spans="1:14" ht="13">
      <c r="A140" s="2">
        <f t="shared" si="17"/>
        <v>51</v>
      </c>
      <c r="C140" s="387"/>
      <c r="D140" s="579" t="e">
        <f>'6-PlantInService'!C220</f>
        <v>#DIV/0!</v>
      </c>
      <c r="E140" s="579" t="e">
        <f>'6-PlantInService'!D220</f>
        <v>#DIV/0!</v>
      </c>
      <c r="F140" s="579" t="e">
        <f>'6-PlantInService'!E220</f>
        <v>#DIV/0!</v>
      </c>
      <c r="G140" s="579" t="e">
        <f>'6-PlantInService'!F220</f>
        <v>#DIV/0!</v>
      </c>
      <c r="H140" s="579" t="e">
        <f>'6-PlantInService'!G220</f>
        <v>#DIV/0!</v>
      </c>
      <c r="I140" s="579" t="e">
        <f>'6-PlantInService'!H220</f>
        <v>#DIV/0!</v>
      </c>
      <c r="J140" s="579" t="e">
        <f>'6-PlantInService'!I220</f>
        <v>#DIV/0!</v>
      </c>
      <c r="K140" s="579" t="e">
        <f>'6-PlantInService'!J220</f>
        <v>#DIV/0!</v>
      </c>
      <c r="L140" s="579" t="e">
        <f>'6-PlantInService'!K220</f>
        <v>#DIV/0!</v>
      </c>
      <c r="M140" s="579" t="e">
        <f>'6-PlantInService'!L220</f>
        <v>#DIV/0!</v>
      </c>
      <c r="N140" s="183"/>
    </row>
    <row r="142" spans="1:14" ht="13">
      <c r="C142" s="1" t="s">
        <v>842</v>
      </c>
    </row>
    <row r="144" spans="1:14">
      <c r="C144" s="232" t="s">
        <v>843</v>
      </c>
    </row>
    <row r="145" spans="1:14" ht="13">
      <c r="C145" s="12"/>
      <c r="D145" s="48">
        <v>350.1</v>
      </c>
      <c r="E145" s="48">
        <v>350.2</v>
      </c>
      <c r="F145" s="48">
        <v>352</v>
      </c>
      <c r="G145" s="48">
        <v>353</v>
      </c>
      <c r="H145" s="48">
        <v>354</v>
      </c>
      <c r="I145" s="48">
        <v>355</v>
      </c>
      <c r="J145" s="48">
        <v>356</v>
      </c>
      <c r="K145" s="48">
        <v>357</v>
      </c>
      <c r="L145" s="48">
        <v>358</v>
      </c>
      <c r="M145" s="48">
        <v>359</v>
      </c>
      <c r="N145" s="3" t="s">
        <v>252</v>
      </c>
    </row>
    <row r="146" spans="1:14" ht="13">
      <c r="A146" s="2">
        <f>A140+1</f>
        <v>52</v>
      </c>
      <c r="C146" s="12"/>
      <c r="D146" s="6">
        <f t="shared" ref="D146:M146" si="18">D24-D12</f>
        <v>0</v>
      </c>
      <c r="E146" s="6">
        <f t="shared" si="18"/>
        <v>0</v>
      </c>
      <c r="F146" s="6">
        <f t="shared" si="18"/>
        <v>0</v>
      </c>
      <c r="G146" s="6">
        <f t="shared" si="18"/>
        <v>0</v>
      </c>
      <c r="H146" s="6">
        <f t="shared" si="18"/>
        <v>0</v>
      </c>
      <c r="I146" s="6">
        <f t="shared" si="18"/>
        <v>0</v>
      </c>
      <c r="J146" s="6">
        <f t="shared" si="18"/>
        <v>0</v>
      </c>
      <c r="K146" s="6">
        <f t="shared" si="18"/>
        <v>0</v>
      </c>
      <c r="L146" s="6">
        <f t="shared" si="18"/>
        <v>0</v>
      </c>
      <c r="M146" s="6">
        <f t="shared" si="18"/>
        <v>0</v>
      </c>
      <c r="N146" s="6">
        <f>SUM(D146:M146)</f>
        <v>0</v>
      </c>
    </row>
    <row r="147" spans="1:14">
      <c r="C147" s="232" t="s">
        <v>844</v>
      </c>
    </row>
    <row r="148" spans="1:14" ht="13">
      <c r="C148" s="12"/>
      <c r="D148" s="48">
        <v>350.1</v>
      </c>
      <c r="E148" s="48">
        <v>350.2</v>
      </c>
      <c r="F148" s="48">
        <v>352</v>
      </c>
      <c r="G148" s="48">
        <v>353</v>
      </c>
      <c r="H148" s="48">
        <v>354</v>
      </c>
      <c r="I148" s="48">
        <v>355</v>
      </c>
      <c r="J148" s="48">
        <v>356</v>
      </c>
      <c r="K148" s="48">
        <v>357</v>
      </c>
      <c r="L148" s="48">
        <v>358</v>
      </c>
      <c r="M148" s="48">
        <v>359</v>
      </c>
      <c r="N148" s="3" t="s">
        <v>252</v>
      </c>
    </row>
    <row r="149" spans="1:14" ht="13">
      <c r="A149" s="2">
        <f>A146+1</f>
        <v>53</v>
      </c>
      <c r="C149" s="12"/>
      <c r="D149" s="6" t="e">
        <f t="shared" ref="D149:M149" si="19">D122</f>
        <v>#DIV/0!</v>
      </c>
      <c r="E149" s="6" t="e">
        <f t="shared" si="19"/>
        <v>#DIV/0!</v>
      </c>
      <c r="F149" s="6" t="e">
        <f t="shared" si="19"/>
        <v>#DIV/0!</v>
      </c>
      <c r="G149" s="6" t="e">
        <f t="shared" si="19"/>
        <v>#DIV/0!</v>
      </c>
      <c r="H149" s="6" t="e">
        <f t="shared" si="19"/>
        <v>#DIV/0!</v>
      </c>
      <c r="I149" s="6" t="e">
        <f t="shared" si="19"/>
        <v>#DIV/0!</v>
      </c>
      <c r="J149" s="6" t="e">
        <f t="shared" si="19"/>
        <v>#DIV/0!</v>
      </c>
      <c r="K149" s="6" t="e">
        <f t="shared" si="19"/>
        <v>#DIV/0!</v>
      </c>
      <c r="L149" s="6" t="e">
        <f t="shared" si="19"/>
        <v>#DIV/0!</v>
      </c>
      <c r="M149" s="6" t="e">
        <f t="shared" si="19"/>
        <v>#DIV/0!</v>
      </c>
      <c r="N149" s="6" t="e">
        <f>SUM(D149:M149)</f>
        <v>#DIV/0!</v>
      </c>
    </row>
    <row r="150" spans="1:14">
      <c r="C150" s="232" t="s">
        <v>845</v>
      </c>
    </row>
    <row r="151" spans="1:14" ht="13">
      <c r="D151" s="48">
        <v>350.1</v>
      </c>
      <c r="E151" s="48">
        <v>350.2</v>
      </c>
      <c r="F151" s="48">
        <v>352</v>
      </c>
      <c r="G151" s="48">
        <v>353</v>
      </c>
      <c r="H151" s="48">
        <v>354</v>
      </c>
      <c r="I151" s="48">
        <v>355</v>
      </c>
      <c r="J151" s="48">
        <v>356</v>
      </c>
      <c r="K151" s="48">
        <v>357</v>
      </c>
      <c r="L151" s="48">
        <v>358</v>
      </c>
      <c r="M151" s="48">
        <v>359</v>
      </c>
      <c r="N151" s="3" t="s">
        <v>252</v>
      </c>
    </row>
    <row r="152" spans="1:14" ht="13">
      <c r="A152" s="2">
        <f>A149+1</f>
        <v>54</v>
      </c>
      <c r="D152" s="6" t="e">
        <f t="shared" ref="D152:M152" si="20">D146-D149</f>
        <v>#DIV/0!</v>
      </c>
      <c r="E152" s="6" t="e">
        <f t="shared" si="20"/>
        <v>#DIV/0!</v>
      </c>
      <c r="F152" s="6" t="e">
        <f t="shared" si="20"/>
        <v>#DIV/0!</v>
      </c>
      <c r="G152" s="6" t="e">
        <f t="shared" si="20"/>
        <v>#DIV/0!</v>
      </c>
      <c r="H152" s="6" t="e">
        <f t="shared" si="20"/>
        <v>#DIV/0!</v>
      </c>
      <c r="I152" s="6" t="e">
        <f t="shared" si="20"/>
        <v>#DIV/0!</v>
      </c>
      <c r="J152" s="6" t="e">
        <f t="shared" si="20"/>
        <v>#DIV/0!</v>
      </c>
      <c r="K152" s="6" t="e">
        <f t="shared" si="20"/>
        <v>#DIV/0!</v>
      </c>
      <c r="L152" s="6" t="e">
        <f t="shared" si="20"/>
        <v>#DIV/0!</v>
      </c>
      <c r="M152" s="6" t="e">
        <f t="shared" si="20"/>
        <v>#DIV/0!</v>
      </c>
      <c r="N152" s="6" t="e">
        <f>SUM(D152:M152)</f>
        <v>#DIV/0!</v>
      </c>
    </row>
    <row r="154" spans="1:14" ht="13">
      <c r="C154" s="1" t="s">
        <v>846</v>
      </c>
      <c r="D154" s="233"/>
      <c r="E154" s="233"/>
      <c r="F154" s="233"/>
      <c r="G154" s="233"/>
      <c r="H154" s="233"/>
      <c r="I154" s="233"/>
      <c r="J154" s="233"/>
      <c r="K154" s="233"/>
      <c r="L154" s="233"/>
    </row>
    <row r="155" spans="1:14">
      <c r="C155" s="233"/>
      <c r="D155" s="233"/>
      <c r="E155" s="233"/>
      <c r="F155" s="233"/>
      <c r="G155" s="233"/>
      <c r="H155" s="233"/>
      <c r="I155" s="233"/>
      <c r="J155" s="233"/>
      <c r="K155" s="233"/>
      <c r="L155" s="233"/>
    </row>
    <row r="156" spans="1:14" ht="13">
      <c r="C156" s="48" t="s">
        <v>347</v>
      </c>
      <c r="D156" s="48" t="s">
        <v>348</v>
      </c>
      <c r="E156" s="48" t="s">
        <v>349</v>
      </c>
      <c r="F156" s="48" t="s">
        <v>350</v>
      </c>
      <c r="G156" s="48" t="s">
        <v>351</v>
      </c>
      <c r="H156" s="48" t="s">
        <v>352</v>
      </c>
      <c r="I156" s="48" t="s">
        <v>353</v>
      </c>
      <c r="J156" s="48" t="s">
        <v>354</v>
      </c>
      <c r="K156" s="48" t="s">
        <v>355</v>
      </c>
      <c r="L156" s="48" t="s">
        <v>605</v>
      </c>
      <c r="M156" s="48" t="s">
        <v>606</v>
      </c>
      <c r="N156" s="48" t="s">
        <v>607</v>
      </c>
    </row>
    <row r="157" spans="1:14">
      <c r="C157" s="125"/>
      <c r="D157" s="112"/>
      <c r="E157" s="112"/>
      <c r="F157" s="112"/>
      <c r="G157" s="112"/>
      <c r="H157" s="112"/>
      <c r="I157" s="112"/>
      <c r="J157" s="112"/>
      <c r="K157" s="112"/>
      <c r="L157" s="112"/>
      <c r="N157" s="125" t="s">
        <v>658</v>
      </c>
    </row>
    <row r="158" spans="1:14" ht="13">
      <c r="C158" s="3" t="s">
        <v>659</v>
      </c>
      <c r="D158" s="48">
        <v>350.1</v>
      </c>
      <c r="E158" s="48">
        <v>350.2</v>
      </c>
      <c r="F158" s="48">
        <v>352</v>
      </c>
      <c r="G158" s="48">
        <v>353</v>
      </c>
      <c r="H158" s="48">
        <v>354</v>
      </c>
      <c r="I158" s="48">
        <v>355</v>
      </c>
      <c r="J158" s="48">
        <v>356</v>
      </c>
      <c r="K158" s="48">
        <v>357</v>
      </c>
      <c r="L158" s="48">
        <v>358</v>
      </c>
      <c r="M158" s="48">
        <v>359</v>
      </c>
      <c r="N158" s="3" t="s">
        <v>252</v>
      </c>
    </row>
    <row r="159" spans="1:14" ht="13">
      <c r="A159" s="2">
        <f>A152+1</f>
        <v>55</v>
      </c>
      <c r="C159" s="387"/>
      <c r="D159" s="114" t="e">
        <f>D$152*D129</f>
        <v>#DIV/0!</v>
      </c>
      <c r="E159" s="114" t="e">
        <f t="shared" ref="E159:M159" si="21">E$152*E129</f>
        <v>#DIV/0!</v>
      </c>
      <c r="F159" s="114" t="e">
        <f t="shared" si="21"/>
        <v>#DIV/0!</v>
      </c>
      <c r="G159" s="114" t="e">
        <f t="shared" si="21"/>
        <v>#DIV/0!</v>
      </c>
      <c r="H159" s="114" t="e">
        <f t="shared" si="21"/>
        <v>#DIV/0!</v>
      </c>
      <c r="I159" s="114" t="e">
        <f t="shared" si="21"/>
        <v>#DIV/0!</v>
      </c>
      <c r="J159" s="114" t="e">
        <f t="shared" si="21"/>
        <v>#DIV/0!</v>
      </c>
      <c r="K159" s="114" t="e">
        <f t="shared" si="21"/>
        <v>#DIV/0!</v>
      </c>
      <c r="L159" s="114" t="e">
        <f t="shared" si="21"/>
        <v>#DIV/0!</v>
      </c>
      <c r="M159" s="114" t="e">
        <f t="shared" si="21"/>
        <v>#DIV/0!</v>
      </c>
      <c r="N159" s="114" t="e">
        <f>SUM(D159:M159)</f>
        <v>#DIV/0!</v>
      </c>
    </row>
    <row r="160" spans="1:14" ht="13">
      <c r="A160" s="2">
        <f t="shared" ref="A160:A171" si="22">A159+1</f>
        <v>56</v>
      </c>
      <c r="C160" s="387"/>
      <c r="D160" s="114" t="e">
        <f t="shared" ref="D160:M170" si="23">D$152*D130</f>
        <v>#DIV/0!</v>
      </c>
      <c r="E160" s="114" t="e">
        <f t="shared" si="23"/>
        <v>#DIV/0!</v>
      </c>
      <c r="F160" s="114" t="e">
        <f t="shared" si="23"/>
        <v>#DIV/0!</v>
      </c>
      <c r="G160" s="114" t="e">
        <f t="shared" si="23"/>
        <v>#DIV/0!</v>
      </c>
      <c r="H160" s="114" t="e">
        <f t="shared" si="23"/>
        <v>#DIV/0!</v>
      </c>
      <c r="I160" s="114" t="e">
        <f t="shared" si="23"/>
        <v>#DIV/0!</v>
      </c>
      <c r="J160" s="114" t="e">
        <f t="shared" si="23"/>
        <v>#DIV/0!</v>
      </c>
      <c r="K160" s="114" t="e">
        <f t="shared" si="23"/>
        <v>#DIV/0!</v>
      </c>
      <c r="L160" s="114" t="e">
        <f t="shared" si="23"/>
        <v>#DIV/0!</v>
      </c>
      <c r="M160" s="114" t="e">
        <f t="shared" si="23"/>
        <v>#DIV/0!</v>
      </c>
      <c r="N160" s="114" t="e">
        <f t="shared" ref="N160:N170" si="24">SUM(D160:M160)</f>
        <v>#DIV/0!</v>
      </c>
    </row>
    <row r="161" spans="1:14" ht="13">
      <c r="A161" s="2">
        <f t="shared" si="22"/>
        <v>57</v>
      </c>
      <c r="C161" s="387"/>
      <c r="D161" s="114" t="e">
        <f t="shared" si="23"/>
        <v>#DIV/0!</v>
      </c>
      <c r="E161" s="114" t="e">
        <f t="shared" si="23"/>
        <v>#DIV/0!</v>
      </c>
      <c r="F161" s="114" t="e">
        <f t="shared" si="23"/>
        <v>#DIV/0!</v>
      </c>
      <c r="G161" s="114" t="e">
        <f t="shared" si="23"/>
        <v>#DIV/0!</v>
      </c>
      <c r="H161" s="114" t="e">
        <f t="shared" si="23"/>
        <v>#DIV/0!</v>
      </c>
      <c r="I161" s="114" t="e">
        <f t="shared" si="23"/>
        <v>#DIV/0!</v>
      </c>
      <c r="J161" s="114" t="e">
        <f t="shared" si="23"/>
        <v>#DIV/0!</v>
      </c>
      <c r="K161" s="114" t="e">
        <f t="shared" si="23"/>
        <v>#DIV/0!</v>
      </c>
      <c r="L161" s="114" t="e">
        <f t="shared" si="23"/>
        <v>#DIV/0!</v>
      </c>
      <c r="M161" s="114" t="e">
        <f t="shared" si="23"/>
        <v>#DIV/0!</v>
      </c>
      <c r="N161" s="114" t="e">
        <f t="shared" si="24"/>
        <v>#DIV/0!</v>
      </c>
    </row>
    <row r="162" spans="1:14" ht="13">
      <c r="A162" s="2">
        <f t="shared" si="22"/>
        <v>58</v>
      </c>
      <c r="C162" s="387"/>
      <c r="D162" s="114" t="e">
        <f t="shared" si="23"/>
        <v>#DIV/0!</v>
      </c>
      <c r="E162" s="114" t="e">
        <f t="shared" si="23"/>
        <v>#DIV/0!</v>
      </c>
      <c r="F162" s="114" t="e">
        <f t="shared" si="23"/>
        <v>#DIV/0!</v>
      </c>
      <c r="G162" s="114" t="e">
        <f t="shared" si="23"/>
        <v>#DIV/0!</v>
      </c>
      <c r="H162" s="114" t="e">
        <f t="shared" si="23"/>
        <v>#DIV/0!</v>
      </c>
      <c r="I162" s="114" t="e">
        <f t="shared" si="23"/>
        <v>#DIV/0!</v>
      </c>
      <c r="J162" s="114" t="e">
        <f t="shared" si="23"/>
        <v>#DIV/0!</v>
      </c>
      <c r="K162" s="114" t="e">
        <f t="shared" si="23"/>
        <v>#DIV/0!</v>
      </c>
      <c r="L162" s="114" t="e">
        <f t="shared" si="23"/>
        <v>#DIV/0!</v>
      </c>
      <c r="M162" s="114" t="e">
        <f t="shared" si="23"/>
        <v>#DIV/0!</v>
      </c>
      <c r="N162" s="114" t="e">
        <f t="shared" si="24"/>
        <v>#DIV/0!</v>
      </c>
    </row>
    <row r="163" spans="1:14" ht="13">
      <c r="A163" s="2">
        <f t="shared" si="22"/>
        <v>59</v>
      </c>
      <c r="C163" s="387"/>
      <c r="D163" s="114" t="e">
        <f t="shared" si="23"/>
        <v>#DIV/0!</v>
      </c>
      <c r="E163" s="114" t="e">
        <f t="shared" si="23"/>
        <v>#DIV/0!</v>
      </c>
      <c r="F163" s="114" t="e">
        <f t="shared" si="23"/>
        <v>#DIV/0!</v>
      </c>
      <c r="G163" s="114" t="e">
        <f t="shared" si="23"/>
        <v>#DIV/0!</v>
      </c>
      <c r="H163" s="114" t="e">
        <f t="shared" si="23"/>
        <v>#DIV/0!</v>
      </c>
      <c r="I163" s="114" t="e">
        <f t="shared" si="23"/>
        <v>#DIV/0!</v>
      </c>
      <c r="J163" s="114" t="e">
        <f t="shared" si="23"/>
        <v>#DIV/0!</v>
      </c>
      <c r="K163" s="114" t="e">
        <f t="shared" si="23"/>
        <v>#DIV/0!</v>
      </c>
      <c r="L163" s="114" t="e">
        <f t="shared" si="23"/>
        <v>#DIV/0!</v>
      </c>
      <c r="M163" s="114" t="e">
        <f t="shared" si="23"/>
        <v>#DIV/0!</v>
      </c>
      <c r="N163" s="114" t="e">
        <f t="shared" si="24"/>
        <v>#DIV/0!</v>
      </c>
    </row>
    <row r="164" spans="1:14" ht="13">
      <c r="A164" s="2">
        <f t="shared" si="22"/>
        <v>60</v>
      </c>
      <c r="C164" s="387"/>
      <c r="D164" s="114" t="e">
        <f t="shared" si="23"/>
        <v>#DIV/0!</v>
      </c>
      <c r="E164" s="114" t="e">
        <f t="shared" si="23"/>
        <v>#DIV/0!</v>
      </c>
      <c r="F164" s="114" t="e">
        <f t="shared" si="23"/>
        <v>#DIV/0!</v>
      </c>
      <c r="G164" s="114" t="e">
        <f t="shared" si="23"/>
        <v>#DIV/0!</v>
      </c>
      <c r="H164" s="114" t="e">
        <f t="shared" si="23"/>
        <v>#DIV/0!</v>
      </c>
      <c r="I164" s="114" t="e">
        <f t="shared" si="23"/>
        <v>#DIV/0!</v>
      </c>
      <c r="J164" s="114" t="e">
        <f t="shared" si="23"/>
        <v>#DIV/0!</v>
      </c>
      <c r="K164" s="114" t="e">
        <f t="shared" si="23"/>
        <v>#DIV/0!</v>
      </c>
      <c r="L164" s="114" t="e">
        <f t="shared" si="23"/>
        <v>#DIV/0!</v>
      </c>
      <c r="M164" s="114" t="e">
        <f t="shared" si="23"/>
        <v>#DIV/0!</v>
      </c>
      <c r="N164" s="114" t="e">
        <f t="shared" si="24"/>
        <v>#DIV/0!</v>
      </c>
    </row>
    <row r="165" spans="1:14" ht="13">
      <c r="A165" s="2">
        <f t="shared" si="22"/>
        <v>61</v>
      </c>
      <c r="C165" s="387"/>
      <c r="D165" s="114" t="e">
        <f t="shared" si="23"/>
        <v>#DIV/0!</v>
      </c>
      <c r="E165" s="114" t="e">
        <f t="shared" si="23"/>
        <v>#DIV/0!</v>
      </c>
      <c r="F165" s="114" t="e">
        <f t="shared" si="23"/>
        <v>#DIV/0!</v>
      </c>
      <c r="G165" s="114" t="e">
        <f t="shared" si="23"/>
        <v>#DIV/0!</v>
      </c>
      <c r="H165" s="114" t="e">
        <f t="shared" si="23"/>
        <v>#DIV/0!</v>
      </c>
      <c r="I165" s="114" t="e">
        <f t="shared" si="23"/>
        <v>#DIV/0!</v>
      </c>
      <c r="J165" s="114" t="e">
        <f t="shared" si="23"/>
        <v>#DIV/0!</v>
      </c>
      <c r="K165" s="114" t="e">
        <f t="shared" si="23"/>
        <v>#DIV/0!</v>
      </c>
      <c r="L165" s="114" t="e">
        <f t="shared" si="23"/>
        <v>#DIV/0!</v>
      </c>
      <c r="M165" s="114" t="e">
        <f t="shared" si="23"/>
        <v>#DIV/0!</v>
      </c>
      <c r="N165" s="114" t="e">
        <f t="shared" si="24"/>
        <v>#DIV/0!</v>
      </c>
    </row>
    <row r="166" spans="1:14" ht="13">
      <c r="A166" s="2">
        <f t="shared" si="22"/>
        <v>62</v>
      </c>
      <c r="C166" s="387"/>
      <c r="D166" s="114" t="e">
        <f t="shared" si="23"/>
        <v>#DIV/0!</v>
      </c>
      <c r="E166" s="114" t="e">
        <f t="shared" si="23"/>
        <v>#DIV/0!</v>
      </c>
      <c r="F166" s="114" t="e">
        <f t="shared" si="23"/>
        <v>#DIV/0!</v>
      </c>
      <c r="G166" s="114" t="e">
        <f t="shared" si="23"/>
        <v>#DIV/0!</v>
      </c>
      <c r="H166" s="114" t="e">
        <f t="shared" si="23"/>
        <v>#DIV/0!</v>
      </c>
      <c r="I166" s="114" t="e">
        <f t="shared" si="23"/>
        <v>#DIV/0!</v>
      </c>
      <c r="J166" s="114" t="e">
        <f t="shared" si="23"/>
        <v>#DIV/0!</v>
      </c>
      <c r="K166" s="114" t="e">
        <f t="shared" si="23"/>
        <v>#DIV/0!</v>
      </c>
      <c r="L166" s="114" t="e">
        <f t="shared" si="23"/>
        <v>#DIV/0!</v>
      </c>
      <c r="M166" s="114" t="e">
        <f t="shared" si="23"/>
        <v>#DIV/0!</v>
      </c>
      <c r="N166" s="114" t="e">
        <f t="shared" si="24"/>
        <v>#DIV/0!</v>
      </c>
    </row>
    <row r="167" spans="1:14" ht="13">
      <c r="A167" s="2">
        <f t="shared" si="22"/>
        <v>63</v>
      </c>
      <c r="C167" s="387"/>
      <c r="D167" s="114" t="e">
        <f t="shared" si="23"/>
        <v>#DIV/0!</v>
      </c>
      <c r="E167" s="114" t="e">
        <f t="shared" si="23"/>
        <v>#DIV/0!</v>
      </c>
      <c r="F167" s="114" t="e">
        <f t="shared" si="23"/>
        <v>#DIV/0!</v>
      </c>
      <c r="G167" s="114" t="e">
        <f t="shared" si="23"/>
        <v>#DIV/0!</v>
      </c>
      <c r="H167" s="114" t="e">
        <f t="shared" si="23"/>
        <v>#DIV/0!</v>
      </c>
      <c r="I167" s="114" t="e">
        <f t="shared" si="23"/>
        <v>#DIV/0!</v>
      </c>
      <c r="J167" s="114" t="e">
        <f t="shared" si="23"/>
        <v>#DIV/0!</v>
      </c>
      <c r="K167" s="114" t="e">
        <f t="shared" si="23"/>
        <v>#DIV/0!</v>
      </c>
      <c r="L167" s="114" t="e">
        <f t="shared" si="23"/>
        <v>#DIV/0!</v>
      </c>
      <c r="M167" s="114" t="e">
        <f t="shared" si="23"/>
        <v>#DIV/0!</v>
      </c>
      <c r="N167" s="114" t="e">
        <f t="shared" si="24"/>
        <v>#DIV/0!</v>
      </c>
    </row>
    <row r="168" spans="1:14" ht="13">
      <c r="A168" s="2">
        <f t="shared" si="22"/>
        <v>64</v>
      </c>
      <c r="C168" s="387"/>
      <c r="D168" s="114" t="e">
        <f t="shared" si="23"/>
        <v>#DIV/0!</v>
      </c>
      <c r="E168" s="114" t="e">
        <f t="shared" si="23"/>
        <v>#DIV/0!</v>
      </c>
      <c r="F168" s="114" t="e">
        <f t="shared" si="23"/>
        <v>#DIV/0!</v>
      </c>
      <c r="G168" s="114" t="e">
        <f t="shared" si="23"/>
        <v>#DIV/0!</v>
      </c>
      <c r="H168" s="114" t="e">
        <f t="shared" si="23"/>
        <v>#DIV/0!</v>
      </c>
      <c r="I168" s="114" t="e">
        <f t="shared" si="23"/>
        <v>#DIV/0!</v>
      </c>
      <c r="J168" s="114" t="e">
        <f t="shared" si="23"/>
        <v>#DIV/0!</v>
      </c>
      <c r="K168" s="114" t="e">
        <f t="shared" si="23"/>
        <v>#DIV/0!</v>
      </c>
      <c r="L168" s="114" t="e">
        <f t="shared" si="23"/>
        <v>#DIV/0!</v>
      </c>
      <c r="M168" s="114" t="e">
        <f t="shared" si="23"/>
        <v>#DIV/0!</v>
      </c>
      <c r="N168" s="114" t="e">
        <f t="shared" si="24"/>
        <v>#DIV/0!</v>
      </c>
    </row>
    <row r="169" spans="1:14" ht="13">
      <c r="A169" s="2">
        <f t="shared" si="22"/>
        <v>65</v>
      </c>
      <c r="C169" s="387"/>
      <c r="D169" s="114" t="e">
        <f t="shared" si="23"/>
        <v>#DIV/0!</v>
      </c>
      <c r="E169" s="114" t="e">
        <f t="shared" si="23"/>
        <v>#DIV/0!</v>
      </c>
      <c r="F169" s="114" t="e">
        <f t="shared" si="23"/>
        <v>#DIV/0!</v>
      </c>
      <c r="G169" s="114" t="e">
        <f t="shared" si="23"/>
        <v>#DIV/0!</v>
      </c>
      <c r="H169" s="114" t="e">
        <f t="shared" si="23"/>
        <v>#DIV/0!</v>
      </c>
      <c r="I169" s="114" t="e">
        <f t="shared" si="23"/>
        <v>#DIV/0!</v>
      </c>
      <c r="J169" s="114" t="e">
        <f t="shared" si="23"/>
        <v>#DIV/0!</v>
      </c>
      <c r="K169" s="114" t="e">
        <f t="shared" si="23"/>
        <v>#DIV/0!</v>
      </c>
      <c r="L169" s="114" t="e">
        <f t="shared" si="23"/>
        <v>#DIV/0!</v>
      </c>
      <c r="M169" s="114" t="e">
        <f t="shared" si="23"/>
        <v>#DIV/0!</v>
      </c>
      <c r="N169" s="114" t="e">
        <f t="shared" si="24"/>
        <v>#DIV/0!</v>
      </c>
    </row>
    <row r="170" spans="1:14" ht="13">
      <c r="A170" s="2">
        <f t="shared" si="22"/>
        <v>66</v>
      </c>
      <c r="C170" s="387"/>
      <c r="D170" s="183" t="e">
        <f t="shared" si="23"/>
        <v>#DIV/0!</v>
      </c>
      <c r="E170" s="183" t="e">
        <f t="shared" si="23"/>
        <v>#DIV/0!</v>
      </c>
      <c r="F170" s="183" t="e">
        <f t="shared" si="23"/>
        <v>#DIV/0!</v>
      </c>
      <c r="G170" s="183" t="e">
        <f t="shared" si="23"/>
        <v>#DIV/0!</v>
      </c>
      <c r="H170" s="183" t="e">
        <f t="shared" si="23"/>
        <v>#DIV/0!</v>
      </c>
      <c r="I170" s="183" t="e">
        <f t="shared" si="23"/>
        <v>#DIV/0!</v>
      </c>
      <c r="J170" s="183" t="e">
        <f t="shared" si="23"/>
        <v>#DIV/0!</v>
      </c>
      <c r="K170" s="183" t="e">
        <f t="shared" si="23"/>
        <v>#DIV/0!</v>
      </c>
      <c r="L170" s="183" t="e">
        <f t="shared" si="23"/>
        <v>#DIV/0!</v>
      </c>
      <c r="M170" s="183" t="e">
        <f t="shared" si="23"/>
        <v>#DIV/0!</v>
      </c>
      <c r="N170" s="183" t="e">
        <f t="shared" si="24"/>
        <v>#DIV/0!</v>
      </c>
    </row>
    <row r="171" spans="1:14" ht="13">
      <c r="A171" s="2">
        <f t="shared" si="22"/>
        <v>67</v>
      </c>
      <c r="C171" s="562" t="s">
        <v>420</v>
      </c>
      <c r="D171" s="114" t="e">
        <f>SUM(D159:D170)</f>
        <v>#DIV/0!</v>
      </c>
      <c r="E171" s="114" t="e">
        <f t="shared" ref="E171:M171" si="25">SUM(E159:E170)</f>
        <v>#DIV/0!</v>
      </c>
      <c r="F171" s="114" t="e">
        <f t="shared" si="25"/>
        <v>#DIV/0!</v>
      </c>
      <c r="G171" s="114" t="e">
        <f t="shared" si="25"/>
        <v>#DIV/0!</v>
      </c>
      <c r="H171" s="114" t="e">
        <f t="shared" si="25"/>
        <v>#DIV/0!</v>
      </c>
      <c r="I171" s="114" t="e">
        <f t="shared" si="25"/>
        <v>#DIV/0!</v>
      </c>
      <c r="J171" s="114" t="e">
        <f t="shared" si="25"/>
        <v>#DIV/0!</v>
      </c>
      <c r="K171" s="114" t="e">
        <f t="shared" si="25"/>
        <v>#DIV/0!</v>
      </c>
      <c r="L171" s="114" t="e">
        <f t="shared" si="25"/>
        <v>#DIV/0!</v>
      </c>
      <c r="M171" s="114" t="e">
        <f t="shared" si="25"/>
        <v>#DIV/0!</v>
      </c>
      <c r="N171" s="114" t="e">
        <f>SUM(N159:N170)</f>
        <v>#DIV/0!</v>
      </c>
    </row>
    <row r="173" spans="1:14" ht="13">
      <c r="B173" s="200" t="s">
        <v>233</v>
      </c>
    </row>
    <row r="174" spans="1:14">
      <c r="B174" s="485" t="s">
        <v>3034</v>
      </c>
    </row>
    <row r="175" spans="1:14">
      <c r="B175" s="578" t="s">
        <v>847</v>
      </c>
    </row>
    <row r="176" spans="1:14">
      <c r="B176" s="303" t="s">
        <v>3028</v>
      </c>
      <c r="C176" s="303"/>
      <c r="D176" s="303"/>
      <c r="E176" s="303"/>
      <c r="F176" s="303"/>
      <c r="G176" s="303"/>
      <c r="H176" s="303"/>
      <c r="I176" s="303"/>
      <c r="L176" s="303"/>
      <c r="M176" s="303"/>
    </row>
    <row r="177" spans="2:13">
      <c r="B177" s="304" t="s">
        <v>848</v>
      </c>
      <c r="C177" s="303"/>
      <c r="D177" s="303"/>
      <c r="E177" s="303"/>
      <c r="F177" s="303"/>
      <c r="G177" s="303"/>
      <c r="H177" s="303"/>
      <c r="I177" s="303"/>
      <c r="J177" s="303"/>
      <c r="K177" s="303"/>
      <c r="L177" s="303"/>
      <c r="M177" s="303"/>
    </row>
    <row r="178" spans="2:13">
      <c r="B178" s="304" t="s">
        <v>849</v>
      </c>
      <c r="C178" s="303"/>
      <c r="D178" s="303"/>
      <c r="E178" s="303"/>
      <c r="F178" s="303"/>
      <c r="G178" s="303"/>
      <c r="H178" s="303"/>
      <c r="I178" s="303"/>
      <c r="J178" s="303"/>
      <c r="K178" s="303"/>
      <c r="L178" s="303"/>
      <c r="M178" s="303"/>
    </row>
    <row r="179" spans="2:13">
      <c r="B179" s="304" t="s">
        <v>850</v>
      </c>
      <c r="C179" s="303"/>
      <c r="D179" s="303"/>
      <c r="E179" s="303"/>
      <c r="F179" s="303"/>
      <c r="G179" s="303"/>
      <c r="H179" s="303"/>
      <c r="I179" s="303"/>
      <c r="J179" s="303"/>
      <c r="K179" s="303"/>
      <c r="L179" s="303"/>
      <c r="M179" s="303"/>
    </row>
    <row r="180" spans="2:13">
      <c r="B180" s="303" t="s">
        <v>851</v>
      </c>
      <c r="C180" s="303"/>
      <c r="D180" s="303"/>
      <c r="E180" s="303"/>
      <c r="F180" s="303"/>
      <c r="G180" s="303"/>
      <c r="H180" s="303"/>
      <c r="I180" s="303"/>
      <c r="J180" s="303"/>
      <c r="K180" s="303"/>
      <c r="L180" s="303"/>
      <c r="M180" s="303"/>
    </row>
    <row r="181" spans="2:13">
      <c r="B181" s="304" t="s">
        <v>852</v>
      </c>
      <c r="C181" s="303"/>
      <c r="D181" s="303"/>
      <c r="E181" s="303"/>
      <c r="F181" s="303"/>
      <c r="G181" s="303"/>
      <c r="H181" s="303"/>
      <c r="I181" s="303"/>
      <c r="J181" s="303"/>
      <c r="K181" s="303"/>
      <c r="L181" s="303"/>
      <c r="M181" s="303"/>
    </row>
    <row r="182" spans="2:13">
      <c r="B182" s="304" t="s">
        <v>853</v>
      </c>
      <c r="C182" s="303"/>
      <c r="D182" s="303"/>
      <c r="E182" s="303"/>
      <c r="F182" s="303"/>
      <c r="G182" s="303"/>
      <c r="H182" s="303"/>
      <c r="I182" s="303"/>
      <c r="J182" s="303"/>
      <c r="K182" s="303"/>
      <c r="L182" s="303"/>
      <c r="M182" s="303"/>
    </row>
    <row r="183" spans="2:13">
      <c r="B183" s="304" t="s">
        <v>854</v>
      </c>
      <c r="C183" s="303"/>
      <c r="D183" s="303"/>
      <c r="E183" s="303"/>
      <c r="F183" s="303"/>
      <c r="G183" s="303"/>
      <c r="H183" s="303"/>
      <c r="I183" s="303"/>
      <c r="J183" s="303"/>
      <c r="K183" s="303"/>
      <c r="L183" s="303"/>
      <c r="M183" s="303"/>
    </row>
    <row r="184" spans="2:13">
      <c r="B184" s="615" t="s">
        <v>855</v>
      </c>
      <c r="J184" s="303"/>
      <c r="K184" s="303"/>
      <c r="L184" s="303"/>
      <c r="M184" s="303"/>
    </row>
    <row r="185" spans="2:13">
      <c r="B185" s="664" t="s">
        <v>3089</v>
      </c>
      <c r="H185" s="392"/>
      <c r="J185" s="303"/>
      <c r="K185" s="303"/>
      <c r="L185" s="303"/>
      <c r="M185" s="303"/>
    </row>
    <row r="186" spans="2:13">
      <c r="B186" s="1120" t="s">
        <v>856</v>
      </c>
      <c r="J186" s="303"/>
      <c r="K186" s="303"/>
      <c r="L186" s="303"/>
      <c r="M186" s="303"/>
    </row>
    <row r="187" spans="2:13">
      <c r="B187" s="233" t="str">
        <f>"2a) Amounts on Line "&amp;A73&amp;" derived from Plant Study for previous year Prior Year."</f>
        <v>2a) Amounts on Line 15 derived from Plant Study for previous year Prior Year.</v>
      </c>
    </row>
    <row r="188" spans="2:13">
      <c r="B188" s="232" t="str">
        <f>"Amounts on Line "&amp;A74&amp;" derived from Plant Study for Prior Year."</f>
        <v>Amounts on Line 16 derived from Plant Study for Prior Year.</v>
      </c>
    </row>
    <row r="189" spans="2:13">
      <c r="B189" s="615" t="s">
        <v>857</v>
      </c>
    </row>
    <row r="190" spans="2:13">
      <c r="B190" s="664" t="s">
        <v>3061</v>
      </c>
    </row>
    <row r="191" spans="2:13">
      <c r="B191" s="664" t="s">
        <v>3041</v>
      </c>
      <c r="E191" s="1105" t="s">
        <v>200</v>
      </c>
      <c r="F191" s="392"/>
    </row>
    <row r="192" spans="2:13">
      <c r="B192" t="str">
        <f>"3) From 17-Depreciation, Lines "&amp;'17-Depreciation'!A80&amp;" to "&amp;'17-Depreciation'!A91&amp;"."</f>
        <v>3) From 17-Depreciation, Lines 24 to 35.</v>
      </c>
    </row>
    <row r="193" spans="2:2">
      <c r="B193" s="233" t="s">
        <v>858</v>
      </c>
    </row>
    <row r="194" spans="2:2">
      <c r="B194" s="233" t="str">
        <f>"5) Line "&amp;A24&amp;" - Line "&amp;A12&amp;"."</f>
        <v>5) Line 13 - Line 1.</v>
      </c>
    </row>
    <row r="195" spans="2:2">
      <c r="B195" t="str">
        <f>"6) Line "&amp;A122&amp;"."</f>
        <v>6) Line 39.</v>
      </c>
    </row>
    <row r="196" spans="2:2">
      <c r="B196" s="233" t="str">
        <f>"7) Line "&amp;A146&amp;" - Line "&amp;A149&amp;"."</f>
        <v>7) Line 52 - Line 53.</v>
      </c>
    </row>
    <row r="197" spans="2:2">
      <c r="B197" s="233" t="s">
        <v>859</v>
      </c>
    </row>
    <row r="198" spans="2:2">
      <c r="B198" s="232" t="s">
        <v>860</v>
      </c>
    </row>
    <row r="199" spans="2:2">
      <c r="B199" s="233"/>
    </row>
    <row r="200" spans="2:2">
      <c r="B200" s="233"/>
    </row>
  </sheetData>
  <phoneticPr fontId="24" type="noConversion"/>
  <pageMargins left="0.75" right="0.75" top="1" bottom="1" header="0.5" footer="0.5"/>
  <pageSetup scale="65" orientation="landscape" cellComments="asDisplayed" r:id="rId1"/>
  <headerFooter alignWithMargins="0">
    <oddHeader xml:space="preserve">&amp;CSchedule 8
Accumulated Depreciation
</oddHeader>
    <oddFooter>&amp;R&amp;A</oddFooter>
  </headerFooter>
  <rowBreaks count="3" manualBreakCount="3">
    <brk id="48" max="16383" man="1"/>
    <brk id="102" max="16383" man="1"/>
    <brk id="153" max="16383" man="1"/>
  </rowBreaks>
  <ignoredErrors>
    <ignoredError sqref="D75:F7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64"/>
  <sheetViews>
    <sheetView topLeftCell="E25" zoomScaleNormal="100" workbookViewId="0">
      <selection activeCell="L41" sqref="L41"/>
    </sheetView>
  </sheetViews>
  <sheetFormatPr defaultRowHeight="13"/>
  <cols>
    <col min="1" max="1" width="5.90625" customWidth="1"/>
    <col min="2" max="2" width="9.54296875" style="268" customWidth="1"/>
    <col min="3" max="3" width="50.54296875" style="268" customWidth="1"/>
    <col min="4" max="4" width="23.453125" style="268" bestFit="1" customWidth="1"/>
    <col min="5" max="5" width="22" style="268" customWidth="1"/>
    <col min="6" max="6" width="15.54296875" style="268" customWidth="1"/>
    <col min="7" max="7" width="19.453125" style="268" customWidth="1"/>
    <col min="8" max="9" width="17.453125" style="268" customWidth="1"/>
    <col min="10" max="10" width="29.453125" style="268" customWidth="1"/>
    <col min="11" max="11" width="25.54296875" customWidth="1"/>
  </cols>
  <sheetData>
    <row r="1" spans="1:10">
      <c r="A1" s="1" t="s">
        <v>861</v>
      </c>
      <c r="B1" s="112"/>
      <c r="C1" s="112"/>
      <c r="D1" s="112"/>
      <c r="E1" s="112"/>
      <c r="F1" s="198" t="s">
        <v>99</v>
      </c>
      <c r="G1" s="198"/>
      <c r="H1" s="112"/>
      <c r="I1" s="112"/>
      <c r="J1" s="112"/>
    </row>
    <row r="2" spans="1:10">
      <c r="A2" s="112"/>
      <c r="B2" s="307"/>
      <c r="C2" s="303"/>
      <c r="D2" s="303"/>
      <c r="E2" s="112"/>
      <c r="F2" s="112"/>
      <c r="G2" s="112"/>
      <c r="H2" s="112"/>
      <c r="I2" s="112"/>
      <c r="J2" s="112"/>
    </row>
    <row r="3" spans="1:10">
      <c r="A3" s="112"/>
      <c r="B3" s="307" t="s">
        <v>862</v>
      </c>
      <c r="C3" s="303"/>
      <c r="D3" s="303"/>
      <c r="E3" s="112"/>
      <c r="F3" s="112"/>
      <c r="G3" s="112"/>
      <c r="H3" s="112"/>
      <c r="I3" s="112"/>
      <c r="J3" s="112"/>
    </row>
    <row r="4" spans="1:10">
      <c r="A4" s="112"/>
      <c r="B4" s="307"/>
      <c r="C4" s="303"/>
      <c r="D4" s="303"/>
      <c r="E4" s="112"/>
      <c r="F4" s="112"/>
      <c r="G4" s="112"/>
      <c r="H4" s="112"/>
      <c r="I4" s="112"/>
      <c r="J4" s="112"/>
    </row>
    <row r="5" spans="1:10">
      <c r="A5" s="112"/>
      <c r="B5" s="308" t="s">
        <v>863</v>
      </c>
      <c r="C5" s="303"/>
      <c r="D5" s="303"/>
      <c r="E5" s="112"/>
      <c r="F5" s="112"/>
      <c r="G5" s="112"/>
      <c r="H5" s="112"/>
      <c r="I5" s="112"/>
      <c r="J5" s="112"/>
    </row>
    <row r="6" spans="1:10">
      <c r="A6" s="112"/>
      <c r="B6" s="307"/>
      <c r="C6" s="48" t="s">
        <v>347</v>
      </c>
      <c r="D6" s="48" t="s">
        <v>348</v>
      </c>
      <c r="E6" s="112"/>
      <c r="I6" s="112"/>
      <c r="J6" s="112"/>
    </row>
    <row r="7" spans="1:10">
      <c r="A7" s="112"/>
      <c r="C7" s="303"/>
      <c r="D7" s="112"/>
      <c r="E7" s="112"/>
      <c r="I7" s="112"/>
      <c r="J7" s="112"/>
    </row>
    <row r="8" spans="1:10">
      <c r="A8" s="112"/>
      <c r="B8" s="307"/>
      <c r="C8" s="112"/>
      <c r="D8" s="2" t="s">
        <v>252</v>
      </c>
      <c r="J8" s="112"/>
    </row>
    <row r="9" spans="1:10">
      <c r="A9" s="32" t="s">
        <v>284</v>
      </c>
      <c r="B9" s="307"/>
      <c r="C9" s="200" t="s">
        <v>753</v>
      </c>
      <c r="D9" s="3" t="s">
        <v>864</v>
      </c>
      <c r="E9" s="184" t="s">
        <v>686</v>
      </c>
      <c r="J9" s="112"/>
    </row>
    <row r="10" spans="1:10" ht="14.5">
      <c r="A10" s="191">
        <v>1</v>
      </c>
      <c r="B10" s="307"/>
      <c r="C10" s="233" t="s">
        <v>865</v>
      </c>
      <c r="D10" s="235" t="e">
        <f>+D70</f>
        <v>#DIV/0!</v>
      </c>
      <c r="E10" s="232" t="str">
        <f>"Line "&amp;A70&amp;", Col. 2"</f>
        <v>Line 353, Col. 2</v>
      </c>
      <c r="J10" s="112"/>
    </row>
    <row r="11" spans="1:10">
      <c r="A11" s="2">
        <f>A10+1</f>
        <v>2</v>
      </c>
      <c r="B11" s="307"/>
      <c r="C11" s="233" t="s">
        <v>866</v>
      </c>
      <c r="D11" s="235" t="e">
        <f>+D88</f>
        <v>#DIV/0!</v>
      </c>
      <c r="E11" s="232" t="str">
        <f>"Line "&amp;A88&amp;", Col. 2"</f>
        <v>Line 452, Col. 2</v>
      </c>
      <c r="J11"/>
    </row>
    <row r="12" spans="1:10">
      <c r="A12" s="2">
        <f t="shared" ref="A12:A24" si="0">A11+1</f>
        <v>3</v>
      </c>
      <c r="B12" s="307"/>
      <c r="C12" s="233" t="s">
        <v>867</v>
      </c>
      <c r="D12" s="235" t="e">
        <f>+D132</f>
        <v>#DIV/0!</v>
      </c>
      <c r="E12" s="232" t="str">
        <f>"Line "&amp;A132&amp;", Col. 2"</f>
        <v>Line 803, Col. 2</v>
      </c>
      <c r="J12"/>
    </row>
    <row r="13" spans="1:10">
      <c r="A13" s="2">
        <f t="shared" si="0"/>
        <v>4</v>
      </c>
      <c r="B13" s="307"/>
      <c r="C13" s="233" t="s">
        <v>868</v>
      </c>
      <c r="D13" s="930">
        <f>'9-ADIT-2'!M49</f>
        <v>0</v>
      </c>
      <c r="E13" s="232" t="s">
        <v>869</v>
      </c>
      <c r="F13" s="929"/>
      <c r="J13"/>
    </row>
    <row r="14" spans="1:10">
      <c r="A14" s="2">
        <f t="shared" si="0"/>
        <v>5</v>
      </c>
      <c r="B14" s="307"/>
      <c r="C14" s="233" t="s">
        <v>870</v>
      </c>
      <c r="D14" s="235" t="e">
        <f>SUM(D10:D13)</f>
        <v>#DIV/0!</v>
      </c>
      <c r="E14" s="278" t="str">
        <f>"Sum of Lines "&amp;A10&amp;" to "&amp;A13&amp;""</f>
        <v>Sum of Lines 1 to 4</v>
      </c>
      <c r="H14" s="669"/>
      <c r="I14" s="669"/>
      <c r="J14"/>
    </row>
    <row r="15" spans="1:10">
      <c r="A15" s="2">
        <f t="shared" si="0"/>
        <v>6</v>
      </c>
      <c r="B15" s="307"/>
      <c r="C15" s="232" t="s">
        <v>871</v>
      </c>
      <c r="D15" s="112"/>
      <c r="E15" s="112"/>
      <c r="G15" s="124"/>
      <c r="H15" s="123"/>
      <c r="I15" s="112"/>
      <c r="J15" s="112"/>
    </row>
    <row r="16" spans="1:10">
      <c r="A16" s="2">
        <f t="shared" si="0"/>
        <v>7</v>
      </c>
      <c r="B16" s="308" t="s">
        <v>872</v>
      </c>
      <c r="E16" s="112"/>
      <c r="G16" s="269"/>
      <c r="H16" s="270"/>
      <c r="I16" s="269"/>
      <c r="J16" s="112"/>
    </row>
    <row r="17" spans="1:10">
      <c r="A17" s="2">
        <f t="shared" si="0"/>
        <v>8</v>
      </c>
      <c r="B17" s="308"/>
      <c r="D17" s="2" t="s">
        <v>873</v>
      </c>
      <c r="E17" s="112"/>
      <c r="G17" s="269"/>
      <c r="H17" s="270"/>
      <c r="I17" s="269"/>
      <c r="J17" s="112"/>
    </row>
    <row r="18" spans="1:10">
      <c r="A18" s="2">
        <f t="shared" si="0"/>
        <v>9</v>
      </c>
      <c r="B18" s="307"/>
      <c r="D18" s="3" t="s">
        <v>864</v>
      </c>
      <c r="E18" s="184" t="s">
        <v>686</v>
      </c>
      <c r="G18" s="271"/>
      <c r="H18" s="269"/>
      <c r="I18" s="269"/>
      <c r="J18" s="112"/>
    </row>
    <row r="19" spans="1:10">
      <c r="A19" s="2">
        <f t="shared" si="0"/>
        <v>10</v>
      </c>
      <c r="B19" s="307"/>
      <c r="C19" s="233" t="s">
        <v>870</v>
      </c>
      <c r="D19" s="253"/>
      <c r="E19" s="232" t="str">
        <f>"Previous Year Informational Filing, Line "&amp;A14&amp;", Col. 2"</f>
        <v>Previous Year Informational Filing, Line 5, Col. 2</v>
      </c>
      <c r="G19" s="609"/>
      <c r="H19" s="269"/>
      <c r="I19" s="269"/>
    </row>
    <row r="20" spans="1:10">
      <c r="A20" s="2">
        <f t="shared" si="0"/>
        <v>11</v>
      </c>
      <c r="B20" s="307"/>
      <c r="D20" s="112"/>
      <c r="E20" s="112"/>
      <c r="F20" s="269"/>
      <c r="G20" s="269"/>
      <c r="H20" s="269"/>
      <c r="I20" s="269"/>
      <c r="J20" s="112"/>
    </row>
    <row r="21" spans="1:10">
      <c r="A21" s="2">
        <f t="shared" si="0"/>
        <v>12</v>
      </c>
      <c r="B21" s="308" t="s">
        <v>874</v>
      </c>
      <c r="D21" s="112"/>
      <c r="E21" s="112"/>
      <c r="F21" s="269"/>
      <c r="G21" s="269"/>
      <c r="H21" s="269"/>
      <c r="I21" s="269"/>
      <c r="J21" s="112"/>
    </row>
    <row r="22" spans="1:10">
      <c r="A22" s="2">
        <f t="shared" si="0"/>
        <v>13</v>
      </c>
      <c r="B22" s="303"/>
      <c r="C22" s="309"/>
      <c r="D22" s="310" t="s">
        <v>875</v>
      </c>
      <c r="E22" s="112"/>
      <c r="F22" s="112"/>
      <c r="G22" s="112"/>
      <c r="H22" s="112"/>
      <c r="I22" s="112"/>
      <c r="J22" s="112"/>
    </row>
    <row r="23" spans="1:10">
      <c r="A23" s="2">
        <f t="shared" si="0"/>
        <v>14</v>
      </c>
      <c r="B23" s="303"/>
      <c r="D23" s="3" t="s">
        <v>24</v>
      </c>
      <c r="E23" s="184" t="s">
        <v>686</v>
      </c>
      <c r="F23" s="112"/>
      <c r="G23" s="271"/>
      <c r="H23" s="112"/>
      <c r="I23" s="112"/>
      <c r="J23" s="112"/>
    </row>
    <row r="24" spans="1:10">
      <c r="A24" s="2">
        <f t="shared" si="0"/>
        <v>15</v>
      </c>
      <c r="B24" s="303"/>
      <c r="C24" s="311" t="s">
        <v>876</v>
      </c>
      <c r="D24" s="344" t="e">
        <f>(D14+D19)/2</f>
        <v>#DIV/0!</v>
      </c>
      <c r="E24" s="123" t="s">
        <v>877</v>
      </c>
      <c r="F24" s="112"/>
      <c r="G24" s="269"/>
      <c r="H24" s="112"/>
      <c r="I24" s="112"/>
      <c r="J24" s="112"/>
    </row>
    <row r="25" spans="1:10">
      <c r="A25" s="2"/>
      <c r="B25" s="303"/>
      <c r="C25" s="309"/>
      <c r="D25" s="312"/>
      <c r="E25" s="112"/>
      <c r="F25" s="112"/>
      <c r="G25" s="112"/>
      <c r="H25" s="112"/>
      <c r="I25" s="112"/>
      <c r="J25" s="112"/>
    </row>
    <row r="26" spans="1:10">
      <c r="A26" s="2"/>
      <c r="B26" s="307" t="s">
        <v>878</v>
      </c>
      <c r="C26" s="309"/>
      <c r="D26" s="312"/>
      <c r="E26" s="112"/>
      <c r="F26" s="112"/>
      <c r="G26" s="112"/>
      <c r="H26" s="112"/>
      <c r="I26" s="112"/>
      <c r="J26" s="112"/>
    </row>
    <row r="27" spans="1:10">
      <c r="A27" s="2"/>
      <c r="B27" s="307"/>
      <c r="C27" s="48" t="s">
        <v>347</v>
      </c>
      <c r="D27" s="48" t="s">
        <v>348</v>
      </c>
      <c r="E27" s="48" t="s">
        <v>349</v>
      </c>
      <c r="F27" s="48" t="s">
        <v>350</v>
      </c>
      <c r="G27" s="48" t="s">
        <v>351</v>
      </c>
      <c r="H27" s="48" t="s">
        <v>352</v>
      </c>
      <c r="I27" s="48" t="s">
        <v>353</v>
      </c>
      <c r="J27" s="112"/>
    </row>
    <row r="28" spans="1:10">
      <c r="A28" s="233"/>
      <c r="B28" s="310"/>
      <c r="C28" s="310"/>
      <c r="D28" s="310" t="s">
        <v>879</v>
      </c>
      <c r="E28" s="310" t="s">
        <v>880</v>
      </c>
      <c r="F28" s="310"/>
      <c r="G28" s="310"/>
      <c r="H28" s="310" t="s">
        <v>881</v>
      </c>
      <c r="I28" s="488" t="s">
        <v>882</v>
      </c>
      <c r="J28" s="112"/>
    </row>
    <row r="29" spans="1:10">
      <c r="A29" s="233"/>
      <c r="B29" s="313" t="s">
        <v>883</v>
      </c>
      <c r="C29" s="313" t="s">
        <v>884</v>
      </c>
      <c r="D29" s="313" t="s">
        <v>885</v>
      </c>
      <c r="E29" s="313" t="s">
        <v>886</v>
      </c>
      <c r="F29" s="313" t="s">
        <v>887</v>
      </c>
      <c r="G29" s="313" t="s">
        <v>888</v>
      </c>
      <c r="H29" s="313" t="s">
        <v>889</v>
      </c>
      <c r="I29" s="313" t="s">
        <v>890</v>
      </c>
      <c r="J29" s="112"/>
    </row>
    <row r="30" spans="1:10">
      <c r="A30" s="2"/>
      <c r="B30" s="303" t="s">
        <v>891</v>
      </c>
      <c r="C30" s="303"/>
      <c r="D30" s="303"/>
      <c r="E30" s="112"/>
      <c r="F30" s="112"/>
      <c r="G30" s="112"/>
      <c r="H30" s="112"/>
      <c r="I30" s="112"/>
      <c r="J30" s="112"/>
    </row>
    <row r="31" spans="1:10">
      <c r="A31" s="104">
        <v>100</v>
      </c>
      <c r="B31" s="522"/>
      <c r="C31" s="314"/>
      <c r="D31" s="315"/>
      <c r="E31" s="315"/>
      <c r="F31" s="116"/>
      <c r="G31" s="393"/>
      <c r="H31" s="393"/>
      <c r="I31" s="524"/>
      <c r="J31" s="198"/>
    </row>
    <row r="32" spans="1:10">
      <c r="A32" s="104">
        <f>A31+1</f>
        <v>101</v>
      </c>
      <c r="B32" s="522"/>
      <c r="C32" s="314"/>
      <c r="D32" s="315"/>
      <c r="E32" s="315"/>
      <c r="F32" s="116"/>
      <c r="G32" s="393"/>
      <c r="H32" s="393"/>
      <c r="I32" s="524"/>
      <c r="J32" s="198"/>
    </row>
    <row r="33" spans="1:10">
      <c r="A33" s="104">
        <f t="shared" ref="A33:A43" si="1">A32+1</f>
        <v>102</v>
      </c>
      <c r="B33" s="522"/>
      <c r="C33" s="314"/>
      <c r="D33" s="315"/>
      <c r="E33" s="315"/>
      <c r="F33" s="116"/>
      <c r="G33" s="393"/>
      <c r="H33" s="393"/>
      <c r="I33" s="524"/>
      <c r="J33" s="198"/>
    </row>
    <row r="34" spans="1:10">
      <c r="A34" s="104">
        <f t="shared" si="1"/>
        <v>103</v>
      </c>
      <c r="B34" s="522"/>
      <c r="C34" s="314"/>
      <c r="D34" s="315"/>
      <c r="E34" s="315"/>
      <c r="F34" s="393"/>
      <c r="G34" s="393"/>
      <c r="H34" s="393"/>
      <c r="I34" s="524"/>
      <c r="J34" s="198"/>
    </row>
    <row r="35" spans="1:10">
      <c r="A35" s="104">
        <f t="shared" si="1"/>
        <v>104</v>
      </c>
      <c r="B35" s="522"/>
      <c r="C35" s="314"/>
      <c r="D35" s="315"/>
      <c r="E35" s="315"/>
      <c r="F35" s="116"/>
      <c r="G35" s="393"/>
      <c r="H35" s="393"/>
      <c r="I35" s="524"/>
      <c r="J35" s="198"/>
    </row>
    <row r="36" spans="1:10" ht="12.75" customHeight="1">
      <c r="A36" s="104">
        <f t="shared" si="1"/>
        <v>105</v>
      </c>
      <c r="B36" s="522"/>
      <c r="C36" s="314"/>
      <c r="D36" s="315"/>
      <c r="E36" s="315"/>
      <c r="F36" s="116"/>
      <c r="G36" s="393"/>
      <c r="H36" s="393"/>
      <c r="I36" s="524"/>
      <c r="J36" s="198"/>
    </row>
    <row r="37" spans="1:10">
      <c r="A37" s="104">
        <f t="shared" si="1"/>
        <v>106</v>
      </c>
      <c r="B37" s="522"/>
      <c r="C37" s="314"/>
      <c r="D37" s="315"/>
      <c r="E37" s="315"/>
      <c r="F37" s="116"/>
      <c r="G37" s="393"/>
      <c r="H37" s="393"/>
      <c r="I37" s="524"/>
      <c r="J37" s="198"/>
    </row>
    <row r="38" spans="1:10">
      <c r="A38" s="104">
        <f t="shared" si="1"/>
        <v>107</v>
      </c>
      <c r="B38" s="522"/>
      <c r="C38" s="314"/>
      <c r="D38" s="315"/>
      <c r="E38" s="315"/>
      <c r="F38" s="116"/>
      <c r="G38" s="393"/>
      <c r="H38" s="393"/>
      <c r="I38" s="524"/>
      <c r="J38" s="198"/>
    </row>
    <row r="39" spans="1:10">
      <c r="A39" s="104">
        <f t="shared" si="1"/>
        <v>108</v>
      </c>
      <c r="B39" s="522"/>
      <c r="C39" s="314"/>
      <c r="D39" s="315"/>
      <c r="E39" s="315"/>
      <c r="F39" s="116"/>
      <c r="G39" s="393"/>
      <c r="H39" s="393"/>
      <c r="I39" s="524"/>
      <c r="J39" s="198"/>
    </row>
    <row r="40" spans="1:10">
      <c r="A40" s="104">
        <f t="shared" si="1"/>
        <v>109</v>
      </c>
      <c r="B40" s="522"/>
      <c r="C40" s="314"/>
      <c r="D40" s="315"/>
      <c r="E40" s="315"/>
      <c r="F40" s="116"/>
      <c r="G40" s="393"/>
      <c r="H40" s="393"/>
      <c r="I40" s="524"/>
      <c r="J40" s="198"/>
    </row>
    <row r="41" spans="1:10">
      <c r="A41" s="104">
        <f t="shared" si="1"/>
        <v>110</v>
      </c>
      <c r="B41" s="522"/>
      <c r="C41" s="314"/>
      <c r="D41" s="315"/>
      <c r="E41" s="315"/>
      <c r="F41" s="116"/>
      <c r="G41" s="393"/>
      <c r="H41" s="393"/>
      <c r="I41" s="524"/>
      <c r="J41" s="198"/>
    </row>
    <row r="42" spans="1:10">
      <c r="A42" s="104">
        <f t="shared" si="1"/>
        <v>111</v>
      </c>
      <c r="B42" s="522"/>
      <c r="C42" s="314"/>
      <c r="D42" s="315"/>
      <c r="E42" s="315"/>
      <c r="F42" s="116"/>
      <c r="G42" s="393"/>
      <c r="H42" s="393"/>
      <c r="I42" s="524"/>
      <c r="J42" s="198"/>
    </row>
    <row r="43" spans="1:10">
      <c r="A43" s="104">
        <f t="shared" si="1"/>
        <v>112</v>
      </c>
      <c r="B43" s="522"/>
      <c r="C43" s="314"/>
      <c r="D43" s="315"/>
      <c r="E43" s="393"/>
      <c r="F43" s="253"/>
      <c r="G43" s="393"/>
      <c r="H43" s="393"/>
      <c r="I43" s="524"/>
      <c r="J43" s="392"/>
    </row>
    <row r="44" spans="1:10">
      <c r="A44" s="104">
        <f>A43+1</f>
        <v>113</v>
      </c>
      <c r="B44" s="522"/>
      <c r="C44" s="314"/>
      <c r="D44" s="315"/>
      <c r="E44" s="315"/>
      <c r="F44" s="116"/>
      <c r="G44" s="393"/>
      <c r="H44" s="393"/>
      <c r="I44" s="526"/>
      <c r="J44" s="198"/>
    </row>
    <row r="45" spans="1:10">
      <c r="A45" s="104">
        <f>A44+1</f>
        <v>114</v>
      </c>
      <c r="B45" s="522" t="s">
        <v>641</v>
      </c>
      <c r="C45" s="314"/>
      <c r="D45" s="315"/>
      <c r="E45" s="394"/>
      <c r="F45" s="116"/>
      <c r="G45" s="393"/>
      <c r="H45" s="116"/>
      <c r="I45" s="524"/>
      <c r="J45" s="198"/>
    </row>
    <row r="46" spans="1:10">
      <c r="A46" s="2"/>
      <c r="B46" s="316"/>
      <c r="C46" s="303"/>
      <c r="D46" s="112"/>
      <c r="E46" s="112"/>
      <c r="F46" s="112"/>
      <c r="G46" s="112"/>
      <c r="H46" s="112"/>
      <c r="I46" s="112"/>
      <c r="J46" s="112"/>
    </row>
    <row r="47" spans="1:10">
      <c r="A47" s="2"/>
      <c r="B47" s="307" t="s">
        <v>897</v>
      </c>
      <c r="C47" s="309"/>
      <c r="D47" s="312"/>
      <c r="E47" s="112"/>
      <c r="F47" s="112"/>
      <c r="G47" s="112"/>
      <c r="H47" s="112"/>
      <c r="I47" s="112"/>
      <c r="J47" s="112"/>
    </row>
    <row r="48" spans="1:10">
      <c r="A48" s="2"/>
      <c r="B48" s="307"/>
      <c r="C48" s="48" t="s">
        <v>347</v>
      </c>
      <c r="D48" s="48" t="s">
        <v>348</v>
      </c>
      <c r="E48" s="48" t="s">
        <v>349</v>
      </c>
      <c r="F48" s="48" t="s">
        <v>350</v>
      </c>
      <c r="G48" s="48" t="s">
        <v>351</v>
      </c>
      <c r="H48" s="48" t="s">
        <v>352</v>
      </c>
      <c r="I48" s="48" t="s">
        <v>353</v>
      </c>
      <c r="J48" s="112"/>
    </row>
    <row r="49" spans="1:10">
      <c r="A49" s="2"/>
      <c r="B49" s="310"/>
      <c r="C49" s="310"/>
      <c r="D49" s="310" t="s">
        <v>879</v>
      </c>
      <c r="E49" s="310" t="s">
        <v>880</v>
      </c>
      <c r="F49" s="310"/>
      <c r="G49" s="310"/>
      <c r="H49" s="310"/>
      <c r="I49" s="488" t="s">
        <v>882</v>
      </c>
      <c r="J49" s="112"/>
    </row>
    <row r="50" spans="1:10">
      <c r="A50" s="2"/>
      <c r="B50" s="313" t="s">
        <v>883</v>
      </c>
      <c r="C50" s="313" t="s">
        <v>884</v>
      </c>
      <c r="D50" s="313" t="s">
        <v>885</v>
      </c>
      <c r="E50" s="313" t="s">
        <v>886</v>
      </c>
      <c r="F50" s="313" t="s">
        <v>887</v>
      </c>
      <c r="G50" s="313" t="s">
        <v>888</v>
      </c>
      <c r="H50" s="313" t="s">
        <v>898</v>
      </c>
      <c r="I50" s="313" t="s">
        <v>890</v>
      </c>
      <c r="J50" s="114"/>
    </row>
    <row r="51" spans="1:10">
      <c r="A51" s="2"/>
      <c r="B51" s="303" t="s">
        <v>891</v>
      </c>
      <c r="C51" s="303"/>
      <c r="D51" s="303"/>
      <c r="E51" s="112"/>
      <c r="F51" s="112"/>
      <c r="G51" s="112"/>
      <c r="H51" s="112"/>
      <c r="I51" s="112"/>
      <c r="J51" s="112"/>
    </row>
    <row r="52" spans="1:10">
      <c r="A52" s="104">
        <f>A45+1</f>
        <v>115</v>
      </c>
      <c r="B52" s="522" t="s">
        <v>641</v>
      </c>
      <c r="C52" s="314"/>
      <c r="D52" s="315"/>
      <c r="E52" s="116"/>
      <c r="F52" s="116"/>
      <c r="G52" s="116"/>
      <c r="H52" s="116"/>
      <c r="I52" s="198"/>
      <c r="J52" s="198"/>
    </row>
    <row r="53" spans="1:10">
      <c r="A53" s="2"/>
      <c r="B53" s="317"/>
      <c r="C53" s="303"/>
      <c r="D53" s="305"/>
      <c r="E53" s="114"/>
      <c r="F53" s="114"/>
      <c r="G53" s="114"/>
      <c r="H53" s="114"/>
      <c r="I53" s="184" t="s">
        <v>686</v>
      </c>
      <c r="J53" s="112"/>
    </row>
    <row r="54" spans="1:10">
      <c r="A54" s="2">
        <v>250</v>
      </c>
      <c r="B54" s="303"/>
      <c r="C54" s="303" t="s">
        <v>899</v>
      </c>
      <c r="D54" s="325">
        <f>SUM(D31:D45)+SUM(D52:D52)</f>
        <v>0</v>
      </c>
      <c r="E54" s="325">
        <f>SUM(E31:E45)+SUM(E52:E52)</f>
        <v>0</v>
      </c>
      <c r="F54" s="325">
        <f>SUM(F31:F45)+SUM(F52:F52)</f>
        <v>0</v>
      </c>
      <c r="G54" s="325">
        <f>SUM(G31:G45)+SUM(G52:G52)</f>
        <v>0</v>
      </c>
      <c r="H54" s="325">
        <f>SUM(H31:H45)+SUM(H52:H52)</f>
        <v>0</v>
      </c>
      <c r="I54" s="123" t="str">
        <f>"Sum of Above Lines beginning on Line "&amp;A31&amp;""</f>
        <v>Sum of Above Lines beginning on Line 100</v>
      </c>
      <c r="J54" s="112"/>
    </row>
    <row r="55" spans="1:10">
      <c r="A55" s="2"/>
      <c r="B55" s="303"/>
      <c r="C55" s="303"/>
      <c r="D55" s="319"/>
      <c r="E55" s="114"/>
      <c r="F55" s="114"/>
      <c r="G55" s="114"/>
      <c r="H55" s="114"/>
      <c r="I55" s="112"/>
      <c r="J55" s="112"/>
    </row>
    <row r="56" spans="1:10">
      <c r="A56" s="2"/>
      <c r="B56" s="303" t="s">
        <v>900</v>
      </c>
      <c r="C56" s="303"/>
      <c r="D56" s="319"/>
      <c r="E56" s="114"/>
      <c r="F56" s="114"/>
      <c r="G56" s="114"/>
      <c r="H56" s="114"/>
      <c r="I56" s="488" t="s">
        <v>882</v>
      </c>
      <c r="J56" s="112"/>
    </row>
    <row r="57" spans="1:10">
      <c r="A57" s="2"/>
      <c r="C57" s="48" t="s">
        <v>347</v>
      </c>
      <c r="D57" s="48" t="s">
        <v>348</v>
      </c>
      <c r="E57" s="48" t="s">
        <v>349</v>
      </c>
      <c r="F57" s="48" t="s">
        <v>350</v>
      </c>
      <c r="G57" s="48" t="s">
        <v>351</v>
      </c>
      <c r="H57" s="48" t="s">
        <v>352</v>
      </c>
      <c r="I57" s="48" t="s">
        <v>353</v>
      </c>
      <c r="J57" s="112"/>
    </row>
    <row r="58" spans="1:10">
      <c r="A58" s="104">
        <v>300</v>
      </c>
      <c r="B58" s="522"/>
      <c r="C58" s="314"/>
      <c r="D58" s="315"/>
      <c r="E58" s="393"/>
      <c r="F58" s="393"/>
      <c r="G58" s="393"/>
      <c r="H58" s="393"/>
      <c r="I58" s="524"/>
      <c r="J58" s="524"/>
    </row>
    <row r="59" spans="1:10">
      <c r="A59" s="104">
        <f t="shared" ref="A59:A63" si="2">A58+1</f>
        <v>301</v>
      </c>
      <c r="B59" s="522"/>
      <c r="C59" s="314"/>
      <c r="D59" s="315"/>
      <c r="E59" s="393"/>
      <c r="F59" s="393"/>
      <c r="G59" s="393"/>
      <c r="H59" s="393"/>
      <c r="I59" s="524"/>
      <c r="J59" s="524"/>
    </row>
    <row r="60" spans="1:10">
      <c r="A60" s="104">
        <f t="shared" si="2"/>
        <v>302</v>
      </c>
      <c r="B60" s="522"/>
      <c r="C60" s="314"/>
      <c r="D60" s="315"/>
      <c r="E60" s="393"/>
      <c r="F60" s="393"/>
      <c r="G60" s="393"/>
      <c r="H60" s="393"/>
      <c r="I60" s="524"/>
      <c r="J60" s="524"/>
    </row>
    <row r="61" spans="1:10">
      <c r="A61" s="104">
        <f t="shared" si="2"/>
        <v>303</v>
      </c>
      <c r="B61" s="522"/>
      <c r="C61" s="314"/>
      <c r="D61" s="315"/>
      <c r="E61" s="393"/>
      <c r="F61" s="393"/>
      <c r="G61" s="393"/>
      <c r="H61" s="393"/>
      <c r="I61" s="524"/>
      <c r="J61" s="524"/>
    </row>
    <row r="62" spans="1:10">
      <c r="A62" s="104">
        <f t="shared" si="2"/>
        <v>304</v>
      </c>
      <c r="B62" s="522"/>
      <c r="C62" s="314"/>
      <c r="D62" s="315"/>
      <c r="E62" s="393"/>
      <c r="F62" s="393"/>
      <c r="G62" s="393"/>
      <c r="H62" s="393"/>
      <c r="I62" s="524"/>
      <c r="J62" s="524"/>
    </row>
    <row r="63" spans="1:10">
      <c r="A63" s="104">
        <f t="shared" si="2"/>
        <v>305</v>
      </c>
      <c r="B63" s="1037" t="s">
        <v>641</v>
      </c>
      <c r="C63" s="314"/>
      <c r="D63" s="315"/>
      <c r="E63" s="116"/>
      <c r="F63" s="116"/>
      <c r="G63" s="116"/>
      <c r="H63" s="116"/>
      <c r="I63" s="198"/>
      <c r="J63" s="198"/>
    </row>
    <row r="64" spans="1:10">
      <c r="A64" s="2"/>
      <c r="B64" s="317"/>
      <c r="C64" s="303"/>
      <c r="D64" s="305"/>
      <c r="E64" s="114"/>
      <c r="F64" s="114"/>
      <c r="G64" s="114"/>
      <c r="H64" s="114"/>
      <c r="I64" s="112"/>
      <c r="J64" s="112"/>
    </row>
    <row r="65" spans="1:10">
      <c r="A65" s="2"/>
      <c r="B65" s="317"/>
      <c r="C65" s="48" t="s">
        <v>347</v>
      </c>
      <c r="D65" s="48" t="s">
        <v>348</v>
      </c>
      <c r="E65" s="48" t="s">
        <v>349</v>
      </c>
      <c r="F65" s="48" t="s">
        <v>350</v>
      </c>
      <c r="G65" s="48" t="s">
        <v>351</v>
      </c>
      <c r="H65" s="48" t="s">
        <v>352</v>
      </c>
      <c r="I65" s="184" t="s">
        <v>686</v>
      </c>
      <c r="J65" s="112"/>
    </row>
    <row r="66" spans="1:10">
      <c r="A66" s="2">
        <v>350</v>
      </c>
      <c r="B66" s="303"/>
      <c r="C66" s="303" t="s">
        <v>901</v>
      </c>
      <c r="D66" s="325">
        <f>SUM(D58:D63)</f>
        <v>0</v>
      </c>
      <c r="E66" s="325">
        <f>SUM(E58:E63)</f>
        <v>0</v>
      </c>
      <c r="F66" s="325">
        <f>SUM(F58:F63)</f>
        <v>0</v>
      </c>
      <c r="G66" s="325">
        <f>SUM(G58:G63)</f>
        <v>0</v>
      </c>
      <c r="H66" s="325">
        <f>SUM(H58:H63)</f>
        <v>0</v>
      </c>
      <c r="I66" s="123" t="str">
        <f>"Sum of Above Lines beginning on Line "&amp;A58&amp;""</f>
        <v>Sum of Above Lines beginning on Line 300</v>
      </c>
      <c r="J66" s="112"/>
    </row>
    <row r="67" spans="1:10">
      <c r="A67" s="2"/>
      <c r="B67" s="303"/>
      <c r="C67" s="303"/>
      <c r="D67" s="325"/>
      <c r="E67" s="325"/>
      <c r="F67" s="325"/>
      <c r="G67" s="325"/>
      <c r="H67" s="325"/>
      <c r="I67" s="123"/>
      <c r="J67" s="112"/>
    </row>
    <row r="68" spans="1:10">
      <c r="A68" s="2">
        <f t="shared" ref="A68" si="3">A66+1</f>
        <v>351</v>
      </c>
      <c r="B68" s="303"/>
      <c r="C68" s="303" t="s">
        <v>902</v>
      </c>
      <c r="D68" s="325">
        <f>+D66+D54</f>
        <v>0</v>
      </c>
      <c r="E68" s="325">
        <f>+E66+E54</f>
        <v>0</v>
      </c>
      <c r="F68" s="325">
        <f>+F66+F54</f>
        <v>0</v>
      </c>
      <c r="G68" s="325">
        <f>+G66+G54</f>
        <v>0</v>
      </c>
      <c r="H68" s="325">
        <f>+H66+H54</f>
        <v>0</v>
      </c>
      <c r="I68" s="272" t="str">
        <f>"Line "&amp;A54&amp;" + Line "&amp;A66&amp;""</f>
        <v>Line 250 + Line 350</v>
      </c>
      <c r="J68" s="112"/>
    </row>
    <row r="69" spans="1:10">
      <c r="A69" s="2">
        <f>+A68+1</f>
        <v>352</v>
      </c>
      <c r="B69" s="303"/>
      <c r="C69" s="303" t="s">
        <v>903</v>
      </c>
      <c r="D69" s="318"/>
      <c r="E69" s="318"/>
      <c r="F69" s="318"/>
      <c r="G69" s="320" t="e">
        <f>'27-Allocators'!$G$28</f>
        <v>#DIV/0!</v>
      </c>
      <c r="H69" s="320" t="e">
        <f>'27-Allocators'!$G$15</f>
        <v>#DIV/0!</v>
      </c>
      <c r="I69" s="395" t="str">
        <f>"27-Allocators Lines "&amp;'27-Allocators'!A28&amp;" and "&amp;'27-Allocators'!A15&amp;" respectively."</f>
        <v>27-Allocators Lines 22 and 9 respectively.</v>
      </c>
      <c r="J69" s="112"/>
    </row>
    <row r="70" spans="1:10">
      <c r="A70" s="2">
        <f>+A69+1</f>
        <v>353</v>
      </c>
      <c r="B70" s="303"/>
      <c r="C70" s="303" t="s">
        <v>904</v>
      </c>
      <c r="D70" s="318" t="e">
        <f>SUM(F70:H70)</f>
        <v>#DIV/0!</v>
      </c>
      <c r="E70" s="318"/>
      <c r="F70" s="877">
        <f>+F68</f>
        <v>0</v>
      </c>
      <c r="G70" s="877" t="e">
        <f>+G68*G69</f>
        <v>#DIV/0!</v>
      </c>
      <c r="H70" s="877" t="e">
        <f>+H68*H69</f>
        <v>#DIV/0!</v>
      </c>
      <c r="I70" s="272" t="str">
        <f>"Line "&amp;A68&amp;" * Line "&amp;A69&amp;" for Cols 5 and 6.  Col. 4 100% ISO."</f>
        <v>Line 351 * Line 352 for Cols 5 and 6.  Col. 4 100% ISO.</v>
      </c>
      <c r="J70" s="112"/>
    </row>
    <row r="71" spans="1:10">
      <c r="A71" s="2"/>
      <c r="B71" s="303"/>
      <c r="C71" s="321" t="s">
        <v>905</v>
      </c>
      <c r="D71" s="318"/>
      <c r="E71" s="318"/>
      <c r="F71" s="318"/>
      <c r="G71" s="318"/>
      <c r="H71" s="318"/>
      <c r="I71" s="272"/>
      <c r="J71" s="112"/>
    </row>
    <row r="72" spans="1:10">
      <c r="A72" s="2"/>
      <c r="B72" s="303"/>
      <c r="C72" s="303"/>
      <c r="D72" s="318"/>
      <c r="E72" s="318"/>
      <c r="F72" s="318"/>
      <c r="G72" s="318"/>
      <c r="H72" s="318"/>
      <c r="I72" s="272"/>
      <c r="J72" s="112"/>
    </row>
    <row r="73" spans="1:10">
      <c r="A73" s="2">
        <f>+A70+1</f>
        <v>354</v>
      </c>
      <c r="B73" s="303"/>
      <c r="C73" s="303" t="s">
        <v>906</v>
      </c>
      <c r="D73" s="523"/>
      <c r="E73" s="627" t="str">
        <f>"Must match amount on Line "&amp;A68&amp;", Col. 2"</f>
        <v>Must match amount on Line 351, Col. 2</v>
      </c>
      <c r="G73" s="318"/>
      <c r="H73" s="318"/>
      <c r="I73" s="272" t="s">
        <v>907</v>
      </c>
      <c r="J73" s="112"/>
    </row>
    <row r="74" spans="1:10">
      <c r="A74" s="2"/>
      <c r="B74" s="303"/>
      <c r="C74" s="303"/>
      <c r="D74" s="323"/>
      <c r="E74" s="323"/>
      <c r="F74" s="323"/>
      <c r="G74" s="323"/>
      <c r="H74" s="323"/>
      <c r="I74" s="273"/>
      <c r="J74" s="112"/>
    </row>
    <row r="75" spans="1:10">
      <c r="A75" s="233"/>
      <c r="B75" s="307" t="s">
        <v>908</v>
      </c>
      <c r="C75" s="324"/>
      <c r="D75" s="323"/>
      <c r="E75" s="112"/>
      <c r="F75" s="112"/>
      <c r="G75" s="112"/>
      <c r="H75" s="112"/>
      <c r="I75" s="112"/>
      <c r="J75" s="112"/>
    </row>
    <row r="76" spans="1:10">
      <c r="A76" s="233"/>
      <c r="C76" s="48" t="s">
        <v>347</v>
      </c>
      <c r="D76" s="48" t="s">
        <v>348</v>
      </c>
      <c r="E76" s="48" t="s">
        <v>349</v>
      </c>
      <c r="F76" s="48" t="s">
        <v>350</v>
      </c>
      <c r="G76" s="48" t="s">
        <v>351</v>
      </c>
      <c r="H76" s="48" t="s">
        <v>352</v>
      </c>
      <c r="I76" s="48" t="s">
        <v>353</v>
      </c>
      <c r="J76" s="112"/>
    </row>
    <row r="77" spans="1:10">
      <c r="A77" s="233"/>
      <c r="B77" s="310"/>
      <c r="C77" s="310"/>
      <c r="D77" s="310" t="s">
        <v>879</v>
      </c>
      <c r="E77" s="310" t="s">
        <v>880</v>
      </c>
      <c r="F77" s="310"/>
      <c r="G77" s="310"/>
      <c r="H77" s="310" t="s">
        <v>881</v>
      </c>
      <c r="I77" s="488" t="s">
        <v>882</v>
      </c>
      <c r="J77" s="112"/>
    </row>
    <row r="78" spans="1:10">
      <c r="A78" s="233"/>
      <c r="B78" s="313" t="s">
        <v>909</v>
      </c>
      <c r="C78" s="313" t="s">
        <v>884</v>
      </c>
      <c r="D78" s="313" t="s">
        <v>885</v>
      </c>
      <c r="E78" s="313" t="s">
        <v>886</v>
      </c>
      <c r="F78" s="313" t="s">
        <v>887</v>
      </c>
      <c r="G78" s="313" t="s">
        <v>888</v>
      </c>
      <c r="H78" s="313" t="s">
        <v>889</v>
      </c>
      <c r="I78" s="313" t="s">
        <v>890</v>
      </c>
      <c r="J78" s="112"/>
    </row>
    <row r="79" spans="1:10">
      <c r="A79" s="104">
        <v>400</v>
      </c>
      <c r="B79" s="525"/>
      <c r="C79" s="526"/>
      <c r="D79" s="527"/>
      <c r="E79" s="393"/>
      <c r="F79" s="393"/>
      <c r="G79" s="393"/>
      <c r="H79" s="393"/>
      <c r="I79" s="524"/>
      <c r="J79" s="524"/>
    </row>
    <row r="80" spans="1:10">
      <c r="A80" s="104">
        <f>A79+1</f>
        <v>401</v>
      </c>
      <c r="B80" s="525"/>
      <c r="C80" s="526"/>
      <c r="D80" s="527"/>
      <c r="E80" s="393"/>
      <c r="F80" s="393"/>
      <c r="G80" s="393"/>
      <c r="H80" s="393"/>
      <c r="I80" s="524"/>
      <c r="J80" s="524"/>
    </row>
    <row r="81" spans="1:10">
      <c r="A81" s="104">
        <f t="shared" ref="A81:A83" si="4">A80+1</f>
        <v>402</v>
      </c>
      <c r="B81" s="525"/>
      <c r="C81" s="526"/>
      <c r="D81" s="527"/>
      <c r="E81" s="393"/>
      <c r="F81" s="393"/>
      <c r="G81" s="393"/>
      <c r="H81" s="393"/>
      <c r="I81" s="524"/>
      <c r="J81" s="524"/>
    </row>
    <row r="82" spans="1:10">
      <c r="A82" s="104">
        <f t="shared" si="4"/>
        <v>403</v>
      </c>
      <c r="B82" s="525"/>
      <c r="C82" s="526"/>
      <c r="D82" s="527"/>
      <c r="E82" s="393"/>
      <c r="F82" s="393"/>
      <c r="G82" s="393"/>
      <c r="H82" s="393"/>
      <c r="I82" s="524"/>
      <c r="J82" s="524"/>
    </row>
    <row r="83" spans="1:10">
      <c r="A83" s="104">
        <f t="shared" si="4"/>
        <v>404</v>
      </c>
      <c r="B83" s="522" t="s">
        <v>641</v>
      </c>
      <c r="C83" s="526"/>
      <c r="D83" s="527"/>
      <c r="E83" s="393"/>
      <c r="F83" s="393"/>
      <c r="G83" s="393"/>
      <c r="H83" s="393"/>
      <c r="I83" s="524"/>
      <c r="J83" s="524"/>
    </row>
    <row r="84" spans="1:10">
      <c r="A84" s="2"/>
      <c r="B84" s="239"/>
      <c r="C84" s="233"/>
      <c r="D84" s="325"/>
      <c r="E84" s="114"/>
      <c r="F84" s="114"/>
      <c r="G84" s="114"/>
      <c r="H84" s="114"/>
      <c r="I84" s="112"/>
      <c r="J84" s="112"/>
    </row>
    <row r="85" spans="1:10">
      <c r="A85" s="2"/>
      <c r="B85" s="239"/>
      <c r="C85" s="48" t="s">
        <v>347</v>
      </c>
      <c r="D85" s="48" t="s">
        <v>348</v>
      </c>
      <c r="E85" s="48" t="s">
        <v>349</v>
      </c>
      <c r="F85" s="48" t="s">
        <v>350</v>
      </c>
      <c r="G85" s="48" t="s">
        <v>351</v>
      </c>
      <c r="H85" s="48" t="s">
        <v>352</v>
      </c>
      <c r="I85" s="184" t="s">
        <v>686</v>
      </c>
      <c r="J85" s="112"/>
    </row>
    <row r="86" spans="1:10">
      <c r="A86" s="2">
        <v>450</v>
      </c>
      <c r="B86" s="234"/>
      <c r="C86" s="233" t="s">
        <v>910</v>
      </c>
      <c r="D86" s="325">
        <f>SUM(D79:D83)</f>
        <v>0</v>
      </c>
      <c r="E86" s="325">
        <f>SUM(E79:E83)</f>
        <v>0</v>
      </c>
      <c r="F86" s="325">
        <f>SUM(F79:F83)</f>
        <v>0</v>
      </c>
      <c r="G86" s="325">
        <f>SUM(G79:G83)</f>
        <v>0</v>
      </c>
      <c r="H86" s="325">
        <f>SUM(H79:H83)</f>
        <v>0</v>
      </c>
      <c r="I86" s="123" t="str">
        <f>"Sum of Above Lines beginning on Line "&amp;A79&amp;""</f>
        <v>Sum of Above Lines beginning on Line 400</v>
      </c>
      <c r="J86" s="112"/>
    </row>
    <row r="87" spans="1:10">
      <c r="A87" s="2">
        <f>+A86+1</f>
        <v>451</v>
      </c>
      <c r="B87" s="303"/>
      <c r="C87" s="303" t="s">
        <v>903</v>
      </c>
      <c r="D87" s="318"/>
      <c r="E87" s="318"/>
      <c r="F87" s="318"/>
      <c r="G87" s="320" t="e">
        <f>'27-Allocators'!$G$28</f>
        <v>#DIV/0!</v>
      </c>
      <c r="H87" s="320" t="e">
        <f>'27-Allocators'!$G$15</f>
        <v>#DIV/0!</v>
      </c>
      <c r="I87" s="395" t="str">
        <f>"27-Allocators Lines "&amp;'27-Allocators'!A28&amp;" and "&amp;'27-Allocators'!A15&amp;" respectively."</f>
        <v>27-Allocators Lines 22 and 9 respectively.</v>
      </c>
      <c r="J87" s="112"/>
    </row>
    <row r="88" spans="1:10">
      <c r="A88" s="2">
        <f>+A87+1</f>
        <v>452</v>
      </c>
      <c r="B88" s="303"/>
      <c r="C88" s="303" t="s">
        <v>911</v>
      </c>
      <c r="D88" s="318" t="e">
        <f>SUM(F88:H88)</f>
        <v>#DIV/0!</v>
      </c>
      <c r="E88" s="318"/>
      <c r="F88" s="877">
        <f>+F86</f>
        <v>0</v>
      </c>
      <c r="G88" s="877" t="e">
        <f>+G86*G87</f>
        <v>#DIV/0!</v>
      </c>
      <c r="H88" s="877" t="e">
        <f>+H86*H87</f>
        <v>#DIV/0!</v>
      </c>
      <c r="I88" s="272" t="str">
        <f>"Line "&amp;A86&amp;" * Line "&amp;A87&amp;" for Cols 5 and 6.  Col. 4 100% ISO."</f>
        <v>Line 450 * Line 451 for Cols 5 and 6.  Col. 4 100% ISO.</v>
      </c>
      <c r="J88" s="112"/>
    </row>
    <row r="89" spans="1:10">
      <c r="A89" s="2"/>
      <c r="B89" s="303"/>
      <c r="C89" s="321" t="s">
        <v>905</v>
      </c>
      <c r="D89" s="318"/>
      <c r="E89" s="318"/>
      <c r="F89" s="318"/>
      <c r="G89" s="318"/>
      <c r="H89" s="318"/>
      <c r="I89" s="272"/>
      <c r="J89" s="112"/>
    </row>
    <row r="90" spans="1:10">
      <c r="A90" s="2"/>
      <c r="B90" s="234"/>
      <c r="C90" s="233"/>
      <c r="D90" s="318"/>
      <c r="E90" s="318"/>
      <c r="F90" s="318"/>
      <c r="G90" s="318"/>
      <c r="H90" s="318"/>
      <c r="I90" s="123"/>
      <c r="J90" s="112"/>
    </row>
    <row r="91" spans="1:10">
      <c r="A91" s="2">
        <f>+A88+1</f>
        <v>453</v>
      </c>
      <c r="B91" s="234"/>
      <c r="C91" s="303" t="s">
        <v>912</v>
      </c>
      <c r="D91" s="523"/>
      <c r="E91" s="627" t="str">
        <f>"Must match amount on Line "&amp;A86&amp;", Col. 2"</f>
        <v>Must match amount on Line 450, Col. 2</v>
      </c>
      <c r="F91" s="318"/>
      <c r="G91" s="318"/>
      <c r="H91" s="318"/>
      <c r="I91" s="123" t="s">
        <v>913</v>
      </c>
      <c r="J91" s="112"/>
    </row>
    <row r="92" spans="1:10">
      <c r="A92" s="2"/>
      <c r="B92" s="234"/>
      <c r="C92" s="233"/>
      <c r="D92" s="318"/>
      <c r="E92" s="318"/>
      <c r="F92" s="318"/>
      <c r="G92" s="318"/>
      <c r="H92" s="318"/>
      <c r="I92" s="123"/>
      <c r="J92" s="112"/>
    </row>
    <row r="93" spans="1:10">
      <c r="A93" s="2"/>
      <c r="B93" s="234"/>
      <c r="C93" s="233"/>
      <c r="D93" s="318"/>
      <c r="E93" s="318"/>
      <c r="F93" s="318"/>
      <c r="G93" s="318"/>
      <c r="H93" s="318"/>
      <c r="I93" s="273"/>
      <c r="J93" s="112"/>
    </row>
    <row r="94" spans="1:10">
      <c r="A94" s="233"/>
      <c r="B94" s="307" t="s">
        <v>914</v>
      </c>
      <c r="C94" s="303"/>
      <c r="D94" s="318"/>
      <c r="E94" s="114"/>
      <c r="F94" s="114"/>
      <c r="G94" s="114"/>
      <c r="H94" s="114"/>
      <c r="I94" s="112"/>
      <c r="J94" s="112"/>
    </row>
    <row r="95" spans="1:10">
      <c r="A95" s="233"/>
      <c r="B95" s="307"/>
      <c r="C95" s="48" t="s">
        <v>347</v>
      </c>
      <c r="D95" s="48" t="s">
        <v>348</v>
      </c>
      <c r="E95" s="48" t="s">
        <v>349</v>
      </c>
      <c r="F95" s="48" t="s">
        <v>350</v>
      </c>
      <c r="G95" s="48" t="s">
        <v>351</v>
      </c>
      <c r="H95" s="48" t="s">
        <v>352</v>
      </c>
      <c r="I95" s="48" t="s">
        <v>353</v>
      </c>
      <c r="J95" s="112"/>
    </row>
    <row r="96" spans="1:10">
      <c r="A96" s="233"/>
      <c r="B96" s="310"/>
      <c r="C96" s="310"/>
      <c r="D96" s="326" t="s">
        <v>879</v>
      </c>
      <c r="E96" s="326" t="s">
        <v>880</v>
      </c>
      <c r="F96" s="326"/>
      <c r="G96" s="326"/>
      <c r="H96" s="326" t="s">
        <v>881</v>
      </c>
      <c r="I96" s="488" t="s">
        <v>882</v>
      </c>
      <c r="J96" s="112"/>
    </row>
    <row r="97" spans="1:10">
      <c r="A97" s="233"/>
      <c r="B97" s="313" t="s">
        <v>915</v>
      </c>
      <c r="C97" s="313" t="s">
        <v>884</v>
      </c>
      <c r="D97" s="327" t="s">
        <v>885</v>
      </c>
      <c r="E97" s="327" t="s">
        <v>886</v>
      </c>
      <c r="F97" s="327" t="s">
        <v>887</v>
      </c>
      <c r="G97" s="327" t="s">
        <v>888</v>
      </c>
      <c r="H97" s="327" t="s">
        <v>889</v>
      </c>
      <c r="I97" s="313" t="s">
        <v>890</v>
      </c>
      <c r="J97" s="112"/>
    </row>
    <row r="98" spans="1:10">
      <c r="A98" s="2"/>
      <c r="B98" s="303" t="s">
        <v>891</v>
      </c>
      <c r="C98" s="112"/>
      <c r="D98" s="114"/>
      <c r="E98" s="114"/>
      <c r="F98" s="114"/>
      <c r="G98" s="114"/>
      <c r="H98" s="114"/>
      <c r="I98" s="112"/>
      <c r="J98" s="112"/>
    </row>
    <row r="99" spans="1:10">
      <c r="A99" s="104">
        <v>500</v>
      </c>
      <c r="B99" s="525"/>
      <c r="C99" s="526"/>
      <c r="D99" s="393"/>
      <c r="E99" s="394"/>
      <c r="F99" s="393"/>
      <c r="G99" s="393"/>
      <c r="H99" s="393"/>
      <c r="I99" s="524"/>
      <c r="J99" s="198"/>
    </row>
    <row r="100" spans="1:10">
      <c r="A100" s="104">
        <f>A99+1</f>
        <v>501</v>
      </c>
      <c r="B100" s="525"/>
      <c r="C100" s="526"/>
      <c r="D100" s="393"/>
      <c r="E100" s="393"/>
      <c r="F100" s="393"/>
      <c r="G100" s="393"/>
      <c r="H100" s="393"/>
      <c r="I100" s="524"/>
      <c r="J100" s="198"/>
    </row>
    <row r="101" spans="1:10">
      <c r="A101" s="104">
        <f t="shared" ref="A101:A108" si="5">A100+1</f>
        <v>502</v>
      </c>
      <c r="B101" s="525"/>
      <c r="C101" s="526"/>
      <c r="D101" s="393"/>
      <c r="E101" s="393"/>
      <c r="F101" s="393"/>
      <c r="G101" s="393"/>
      <c r="H101" s="393"/>
      <c r="I101" s="524"/>
      <c r="J101" s="198"/>
    </row>
    <row r="102" spans="1:10">
      <c r="A102" s="104">
        <f t="shared" si="5"/>
        <v>503</v>
      </c>
      <c r="B102" s="525"/>
      <c r="C102" s="526"/>
      <c r="D102" s="393"/>
      <c r="E102" s="393"/>
      <c r="F102" s="393"/>
      <c r="G102" s="393"/>
      <c r="H102" s="393"/>
      <c r="I102" s="524"/>
      <c r="J102" s="198"/>
    </row>
    <row r="103" spans="1:10">
      <c r="A103" s="104">
        <f t="shared" si="5"/>
        <v>504</v>
      </c>
      <c r="B103" s="525"/>
      <c r="C103" s="526"/>
      <c r="D103" s="393"/>
      <c r="E103" s="393"/>
      <c r="F103" s="393"/>
      <c r="G103" s="393"/>
      <c r="H103" s="393"/>
      <c r="I103" s="524"/>
      <c r="J103" s="198"/>
    </row>
    <row r="104" spans="1:10">
      <c r="A104" s="104">
        <f t="shared" si="5"/>
        <v>505</v>
      </c>
      <c r="B104" s="525"/>
      <c r="C104" s="526"/>
      <c r="D104" s="393"/>
      <c r="E104" s="393"/>
      <c r="F104" s="393"/>
      <c r="G104" s="393"/>
      <c r="H104" s="393"/>
      <c r="I104" s="524"/>
      <c r="J104" s="198"/>
    </row>
    <row r="105" spans="1:10">
      <c r="A105" s="104">
        <f t="shared" si="5"/>
        <v>506</v>
      </c>
      <c r="B105" s="525"/>
      <c r="C105" s="526"/>
      <c r="D105" s="393"/>
      <c r="E105" s="393"/>
      <c r="F105" s="393"/>
      <c r="G105" s="393"/>
      <c r="H105" s="393"/>
      <c r="I105" s="524"/>
      <c r="J105" s="198"/>
    </row>
    <row r="106" spans="1:10">
      <c r="A106" s="104">
        <f t="shared" si="5"/>
        <v>507</v>
      </c>
      <c r="B106" s="525"/>
      <c r="C106" s="526"/>
      <c r="D106" s="393"/>
      <c r="E106" s="394"/>
      <c r="F106" s="393"/>
      <c r="G106" s="393"/>
      <c r="H106" s="393"/>
      <c r="I106" s="524"/>
      <c r="J106" s="198"/>
    </row>
    <row r="107" spans="1:10">
      <c r="A107" s="104">
        <f t="shared" si="5"/>
        <v>508</v>
      </c>
      <c r="B107" s="525"/>
      <c r="C107" s="526"/>
      <c r="D107" s="393"/>
      <c r="E107" s="394"/>
      <c r="F107" s="393"/>
      <c r="G107" s="393"/>
      <c r="H107" s="393"/>
      <c r="I107" s="524"/>
      <c r="J107" s="198"/>
    </row>
    <row r="108" spans="1:10">
      <c r="A108" s="104">
        <f t="shared" si="5"/>
        <v>509</v>
      </c>
      <c r="B108" s="525" t="s">
        <v>641</v>
      </c>
      <c r="C108" s="240"/>
      <c r="D108" s="253"/>
      <c r="E108" s="393"/>
      <c r="F108" s="116"/>
      <c r="G108" s="393"/>
      <c r="H108" s="116"/>
      <c r="I108" s="198"/>
      <c r="J108" s="198"/>
    </row>
    <row r="109" spans="1:10">
      <c r="A109" s="2"/>
      <c r="B109" s="275"/>
      <c r="C109" s="233"/>
      <c r="D109" s="235"/>
      <c r="E109" s="114"/>
      <c r="F109" s="114"/>
      <c r="G109" s="114"/>
      <c r="H109" s="114"/>
      <c r="I109" s="112"/>
      <c r="J109" s="112"/>
    </row>
    <row r="110" spans="1:10">
      <c r="A110" s="2"/>
      <c r="B110" s="307" t="s">
        <v>919</v>
      </c>
      <c r="C110" s="303"/>
      <c r="D110" s="318"/>
      <c r="E110" s="114"/>
      <c r="F110" s="114"/>
      <c r="G110" s="114"/>
      <c r="H110" s="114"/>
      <c r="I110" s="112"/>
      <c r="J110" s="112"/>
    </row>
    <row r="111" spans="1:10">
      <c r="A111" s="2"/>
      <c r="B111" s="307"/>
      <c r="C111" s="48" t="s">
        <v>347</v>
      </c>
      <c r="D111" s="48" t="s">
        <v>348</v>
      </c>
      <c r="E111" s="48" t="s">
        <v>349</v>
      </c>
      <c r="F111" s="48" t="s">
        <v>350</v>
      </c>
      <c r="G111" s="48" t="s">
        <v>351</v>
      </c>
      <c r="H111" s="48" t="s">
        <v>352</v>
      </c>
      <c r="I111" s="48" t="s">
        <v>353</v>
      </c>
      <c r="J111" s="112"/>
    </row>
    <row r="112" spans="1:10">
      <c r="A112" s="2"/>
      <c r="B112" s="310"/>
      <c r="C112" s="310"/>
      <c r="D112" s="326" t="s">
        <v>879</v>
      </c>
      <c r="E112" s="326" t="s">
        <v>880</v>
      </c>
      <c r="F112" s="326"/>
      <c r="G112" s="326"/>
      <c r="H112" s="326" t="s">
        <v>881</v>
      </c>
      <c r="I112" s="488" t="s">
        <v>882</v>
      </c>
      <c r="J112" s="112"/>
    </row>
    <row r="113" spans="1:10">
      <c r="A113" s="2"/>
      <c r="B113" s="313" t="s">
        <v>915</v>
      </c>
      <c r="C113" s="313" t="s">
        <v>884</v>
      </c>
      <c r="D113" s="327" t="s">
        <v>885</v>
      </c>
      <c r="E113" s="327" t="s">
        <v>886</v>
      </c>
      <c r="F113" s="327" t="s">
        <v>887</v>
      </c>
      <c r="G113" s="327" t="s">
        <v>888</v>
      </c>
      <c r="H113" s="327" t="s">
        <v>889</v>
      </c>
      <c r="I113" s="313" t="s">
        <v>890</v>
      </c>
      <c r="J113" s="112"/>
    </row>
    <row r="114" spans="1:10">
      <c r="A114" s="2"/>
      <c r="B114" s="303" t="s">
        <v>920</v>
      </c>
      <c r="C114" s="310"/>
      <c r="D114" s="326"/>
      <c r="E114" s="326"/>
      <c r="F114" s="326"/>
      <c r="G114" s="326"/>
      <c r="H114" s="326"/>
      <c r="I114" s="310"/>
      <c r="J114" s="112"/>
    </row>
    <row r="115" spans="1:10">
      <c r="A115" s="104">
        <f>A108+1</f>
        <v>510</v>
      </c>
      <c r="B115" s="525" t="s">
        <v>641</v>
      </c>
      <c r="C115" s="240"/>
      <c r="D115" s="253"/>
      <c r="E115" s="393"/>
      <c r="F115" s="116"/>
      <c r="G115" s="393"/>
      <c r="H115" s="116"/>
      <c r="I115" s="198"/>
      <c r="J115" s="198"/>
    </row>
    <row r="116" spans="1:10">
      <c r="A116" s="2"/>
      <c r="B116" s="243"/>
      <c r="C116" s="233"/>
      <c r="D116" s="235"/>
      <c r="E116" s="114"/>
      <c r="F116" s="114"/>
      <c r="G116" s="114"/>
      <c r="H116" s="114"/>
      <c r="I116" s="112"/>
      <c r="J116" s="112"/>
    </row>
    <row r="117" spans="1:10">
      <c r="A117" s="2">
        <v>650</v>
      </c>
      <c r="B117" s="233"/>
      <c r="C117" s="233" t="s">
        <v>921</v>
      </c>
      <c r="D117" s="235">
        <f>SUM(D99:D108)+SUM(D115:D115)</f>
        <v>0</v>
      </c>
      <c r="E117" s="235">
        <f>SUM(E99:E108)+SUM(E115:E115)</f>
        <v>0</v>
      </c>
      <c r="F117" s="235">
        <f>SUM(F99:F108)+SUM(F115:F115)</f>
        <v>0</v>
      </c>
      <c r="G117" s="235">
        <f>SUM(G99:G108)+SUM(G115:G115)</f>
        <v>0</v>
      </c>
      <c r="H117" s="235">
        <f>SUM(H99:H108)+SUM(H115:H115)</f>
        <v>0</v>
      </c>
      <c r="I117" s="123" t="str">
        <f>"Sum of Above Lines beginning on Line "&amp;A99&amp;""</f>
        <v>Sum of Above Lines beginning on Line 500</v>
      </c>
      <c r="J117" s="112"/>
    </row>
    <row r="118" spans="1:10">
      <c r="A118" s="2"/>
      <c r="B118" s="233"/>
      <c r="C118" s="233"/>
      <c r="D118" s="235"/>
      <c r="E118" s="235"/>
      <c r="F118" s="235"/>
      <c r="G118" s="235"/>
      <c r="H118" s="235"/>
      <c r="I118" s="273"/>
      <c r="J118" s="112"/>
    </row>
    <row r="119" spans="1:10">
      <c r="A119" s="2"/>
      <c r="B119" s="303" t="s">
        <v>922</v>
      </c>
      <c r="C119" s="233"/>
      <c r="D119" s="235"/>
      <c r="E119" s="114"/>
      <c r="F119" s="114"/>
      <c r="G119" s="114"/>
      <c r="H119" s="114"/>
      <c r="I119" s="488" t="s">
        <v>882</v>
      </c>
      <c r="J119" s="112"/>
    </row>
    <row r="120" spans="1:10">
      <c r="A120" s="2"/>
      <c r="C120" s="48" t="s">
        <v>347</v>
      </c>
      <c r="D120" s="48" t="s">
        <v>348</v>
      </c>
      <c r="E120" s="48" t="s">
        <v>349</v>
      </c>
      <c r="F120" s="48" t="s">
        <v>350</v>
      </c>
      <c r="G120" s="48" t="s">
        <v>351</v>
      </c>
      <c r="H120" s="48" t="s">
        <v>352</v>
      </c>
      <c r="I120" s="48" t="s">
        <v>353</v>
      </c>
      <c r="J120" s="112"/>
    </row>
    <row r="121" spans="1:10">
      <c r="A121" s="104">
        <v>700</v>
      </c>
      <c r="B121" s="525"/>
      <c r="C121" s="526"/>
      <c r="D121" s="394"/>
      <c r="E121" s="394"/>
      <c r="F121" s="393"/>
      <c r="G121" s="393"/>
      <c r="H121" s="393"/>
      <c r="I121" s="524"/>
      <c r="J121" s="524"/>
    </row>
    <row r="122" spans="1:10">
      <c r="A122" s="104">
        <f>A121+1</f>
        <v>701</v>
      </c>
      <c r="B122" s="525"/>
      <c r="C122" s="526"/>
      <c r="D122" s="394"/>
      <c r="E122" s="394"/>
      <c r="F122" s="393"/>
      <c r="G122" s="393"/>
      <c r="H122" s="393"/>
      <c r="I122" s="524"/>
      <c r="J122" s="524"/>
    </row>
    <row r="123" spans="1:10">
      <c r="A123" s="104">
        <f>A122+1</f>
        <v>702</v>
      </c>
      <c r="B123" s="525"/>
      <c r="C123" s="526"/>
      <c r="D123" s="394"/>
      <c r="E123" s="394"/>
      <c r="F123" s="393"/>
      <c r="G123" s="393"/>
      <c r="H123" s="393"/>
      <c r="I123" s="524"/>
      <c r="J123" s="524"/>
    </row>
    <row r="124" spans="1:10">
      <c r="A124" s="104">
        <f>A123+1</f>
        <v>703</v>
      </c>
      <c r="B124" s="525"/>
      <c r="C124" s="526"/>
      <c r="D124" s="394"/>
      <c r="E124" s="394"/>
      <c r="F124" s="393"/>
      <c r="G124" s="393"/>
      <c r="H124" s="393"/>
      <c r="I124" s="524"/>
      <c r="J124" s="524"/>
    </row>
    <row r="125" spans="1:10">
      <c r="A125" s="104">
        <f>A124+1</f>
        <v>704</v>
      </c>
      <c r="B125" s="525" t="s">
        <v>641</v>
      </c>
      <c r="C125" s="526"/>
      <c r="D125" s="394"/>
      <c r="E125" s="393"/>
      <c r="F125" s="393"/>
      <c r="G125" s="393"/>
      <c r="H125" s="393"/>
      <c r="I125" s="524"/>
      <c r="J125" s="524"/>
    </row>
    <row r="126" spans="1:10">
      <c r="A126" s="2"/>
      <c r="B126" s="275"/>
      <c r="C126" s="233"/>
      <c r="D126" s="235"/>
      <c r="E126" s="114"/>
      <c r="F126" s="114"/>
      <c r="G126" s="114"/>
      <c r="H126" s="114"/>
      <c r="I126" s="112"/>
      <c r="J126" s="112"/>
    </row>
    <row r="127" spans="1:10">
      <c r="A127" s="2"/>
      <c r="B127" s="233"/>
      <c r="C127" s="48" t="s">
        <v>347</v>
      </c>
      <c r="D127" s="48" t="s">
        <v>348</v>
      </c>
      <c r="E127" s="48" t="s">
        <v>349</v>
      </c>
      <c r="F127" s="48" t="s">
        <v>350</v>
      </c>
      <c r="G127" s="48" t="s">
        <v>351</v>
      </c>
      <c r="H127" s="48" t="s">
        <v>352</v>
      </c>
      <c r="I127" s="184" t="s">
        <v>686</v>
      </c>
      <c r="J127" s="112"/>
    </row>
    <row r="128" spans="1:10">
      <c r="A128" s="2">
        <v>800</v>
      </c>
      <c r="B128" s="112"/>
      <c r="C128" s="233" t="s">
        <v>923</v>
      </c>
      <c r="D128" s="235">
        <f>SUM(D121:D124)</f>
        <v>0</v>
      </c>
      <c r="E128" s="235">
        <f>SUM(E121:E124)</f>
        <v>0</v>
      </c>
      <c r="F128" s="235">
        <f>SUM(F121:F124)</f>
        <v>0</v>
      </c>
      <c r="G128" s="235">
        <f>SUM(G121:G124)</f>
        <v>0</v>
      </c>
      <c r="H128" s="235">
        <f>SUM(H121:H124)</f>
        <v>0</v>
      </c>
      <c r="I128" s="123" t="str">
        <f>"Sum of Above Lines beginning on Line "&amp;A121&amp;""</f>
        <v>Sum of Above Lines beginning on Line 700</v>
      </c>
      <c r="J128" s="112"/>
    </row>
    <row r="129" spans="1:10">
      <c r="A129" s="2"/>
      <c r="B129" s="112"/>
      <c r="C129" s="233"/>
      <c r="D129" s="235"/>
      <c r="E129" s="235"/>
      <c r="F129" s="235"/>
      <c r="G129" s="235"/>
      <c r="H129" s="235"/>
      <c r="I129" s="123"/>
      <c r="J129" s="112"/>
    </row>
    <row r="130" spans="1:10">
      <c r="A130" s="2">
        <f>A128+1</f>
        <v>801</v>
      </c>
      <c r="B130" s="112"/>
      <c r="C130" s="233" t="s">
        <v>924</v>
      </c>
      <c r="D130" s="235">
        <f>D117+D128</f>
        <v>0</v>
      </c>
      <c r="E130" s="235">
        <f>E117+E128</f>
        <v>0</v>
      </c>
      <c r="F130" s="235">
        <f>F117+F128</f>
        <v>0</v>
      </c>
      <c r="G130" s="235">
        <f>G117+G128</f>
        <v>0</v>
      </c>
      <c r="H130" s="235">
        <f>H117+H128</f>
        <v>0</v>
      </c>
      <c r="I130" s="272" t="str">
        <f>"Line "&amp;A117&amp;" + Line "&amp;A128&amp;""</f>
        <v>Line 650 + Line 800</v>
      </c>
      <c r="J130" s="112"/>
    </row>
    <row r="131" spans="1:10">
      <c r="A131" s="2">
        <f>+A130+1</f>
        <v>802</v>
      </c>
      <c r="B131" s="303"/>
      <c r="C131" s="303" t="s">
        <v>903</v>
      </c>
      <c r="D131" s="507"/>
      <c r="E131" s="507"/>
      <c r="F131" s="318"/>
      <c r="G131" s="320" t="e">
        <f>'27-Allocators'!$G$28</f>
        <v>#DIV/0!</v>
      </c>
      <c r="H131" s="320" t="e">
        <f>'27-Allocators'!$G$15</f>
        <v>#DIV/0!</v>
      </c>
      <c r="I131" s="395" t="str">
        <f>"27-Allocators Lines "&amp;'27-Allocators'!A28&amp;" and "&amp;'27-Allocators'!A15&amp;" respectively."</f>
        <v>27-Allocators Lines 22 and 9 respectively.</v>
      </c>
      <c r="J131" s="112"/>
    </row>
    <row r="132" spans="1:10">
      <c r="A132" s="2">
        <f>+A131+1</f>
        <v>803</v>
      </c>
      <c r="B132" s="303"/>
      <c r="C132" s="303" t="s">
        <v>925</v>
      </c>
      <c r="D132" s="325" t="e">
        <f>SUM(F132:H132)</f>
        <v>#DIV/0!</v>
      </c>
      <c r="E132" s="318"/>
      <c r="F132" s="877">
        <f>+F130</f>
        <v>0</v>
      </c>
      <c r="G132" s="877" t="e">
        <f>+G130*G131</f>
        <v>#DIV/0!</v>
      </c>
      <c r="H132" s="878" t="e">
        <f>+H130*H131</f>
        <v>#DIV/0!</v>
      </c>
      <c r="I132" s="272" t="str">
        <f>"Line "&amp;A130&amp;" * Line "&amp;A131&amp;" for Cols 5 and 6.  Col. 4 100% ISO."</f>
        <v>Line 801 * Line 802 for Cols 5 and 6.  Col. 4 100% ISO.</v>
      </c>
      <c r="J132" s="112"/>
    </row>
    <row r="133" spans="1:10">
      <c r="A133" s="2"/>
      <c r="B133" s="112"/>
      <c r="C133" s="321" t="s">
        <v>905</v>
      </c>
      <c r="D133" s="235"/>
      <c r="E133" s="235"/>
      <c r="F133" s="235"/>
      <c r="G133" s="235"/>
      <c r="H133" s="235"/>
      <c r="I133" s="272"/>
      <c r="J133" s="114"/>
    </row>
    <row r="134" spans="1:10">
      <c r="A134" s="2"/>
      <c r="B134" s="112"/>
      <c r="C134" s="233"/>
      <c r="D134" s="235"/>
      <c r="E134" s="235"/>
      <c r="F134" s="235"/>
      <c r="G134" s="235"/>
      <c r="H134" s="235"/>
      <c r="I134" s="272"/>
      <c r="J134" s="112"/>
    </row>
    <row r="135" spans="1:10">
      <c r="A135" s="2">
        <f>A132+1</f>
        <v>804</v>
      </c>
      <c r="C135" s="303" t="s">
        <v>926</v>
      </c>
      <c r="D135" s="523"/>
      <c r="E135" s="627" t="str">
        <f>"Must match amount on Line "&amp;A130&amp;", Col. 2"</f>
        <v>Must match amount on Line 801, Col. 2</v>
      </c>
      <c r="F135" s="318"/>
      <c r="G135" s="318"/>
      <c r="H135" s="318"/>
      <c r="I135" s="123" t="s">
        <v>927</v>
      </c>
    </row>
    <row r="136" spans="1:10">
      <c r="A136" s="2"/>
      <c r="C136" s="303"/>
      <c r="D136" s="322"/>
      <c r="E136" s="322"/>
      <c r="F136" s="318"/>
      <c r="G136" s="318"/>
      <c r="H136" s="318"/>
      <c r="I136" s="123"/>
    </row>
    <row r="137" spans="1:10">
      <c r="B137"/>
      <c r="C137" s="112" t="s">
        <v>928</v>
      </c>
      <c r="D137" s="112"/>
      <c r="E137" s="112"/>
      <c r="F137" s="112"/>
      <c r="G137" s="112"/>
      <c r="J137"/>
    </row>
    <row r="138" spans="1:10">
      <c r="B138"/>
      <c r="C138" s="112" t="s">
        <v>929</v>
      </c>
      <c r="D138" s="112"/>
      <c r="E138" s="112"/>
      <c r="F138" s="112"/>
      <c r="G138" s="112"/>
      <c r="J138"/>
    </row>
    <row r="139" spans="1:10">
      <c r="B139"/>
      <c r="C139" s="112"/>
      <c r="D139" s="112"/>
      <c r="E139" s="112"/>
      <c r="F139" s="112"/>
      <c r="G139" s="112"/>
      <c r="J139"/>
    </row>
    <row r="140" spans="1:10">
      <c r="B140"/>
      <c r="C140" s="112" t="s">
        <v>930</v>
      </c>
      <c r="D140" s="112"/>
      <c r="E140" s="112"/>
      <c r="F140" s="112"/>
      <c r="G140" s="112"/>
      <c r="J140"/>
    </row>
    <row r="141" spans="1:10">
      <c r="B141"/>
      <c r="C141" s="112" t="s">
        <v>931</v>
      </c>
      <c r="D141" s="112"/>
      <c r="E141" s="112"/>
      <c r="F141" s="112"/>
      <c r="G141" s="112"/>
      <c r="J141"/>
    </row>
    <row r="142" spans="1:10">
      <c r="B142"/>
      <c r="C142" s="112" t="s">
        <v>932</v>
      </c>
      <c r="D142" s="112"/>
      <c r="E142" s="112"/>
      <c r="F142" s="112"/>
      <c r="G142" s="112"/>
      <c r="J142"/>
    </row>
    <row r="143" spans="1:10" s="233" customFormat="1">
      <c r="E143" s="2" t="s">
        <v>101</v>
      </c>
      <c r="G143" s="4" t="s">
        <v>933</v>
      </c>
      <c r="H143" s="112"/>
      <c r="I143" s="112"/>
    </row>
    <row r="144" spans="1:10" s="233" customFormat="1">
      <c r="E144" s="3" t="s">
        <v>104</v>
      </c>
      <c r="G144" s="3" t="s">
        <v>105</v>
      </c>
      <c r="H144" s="112"/>
      <c r="I144" s="112"/>
    </row>
    <row r="145" spans="2:10" s="233" customFormat="1" ht="12.5">
      <c r="C145" s="232" t="s">
        <v>934</v>
      </c>
      <c r="E145" s="233" t="s">
        <v>935</v>
      </c>
      <c r="G145" s="531"/>
      <c r="H145" s="112"/>
      <c r="I145" s="595"/>
    </row>
    <row r="146" spans="2:10" s="233" customFormat="1" ht="12.5">
      <c r="C146" s="232" t="s">
        <v>936</v>
      </c>
      <c r="E146" s="233" t="s">
        <v>937</v>
      </c>
      <c r="G146" s="253"/>
      <c r="H146" s="112"/>
      <c r="I146" s="595"/>
    </row>
    <row r="147" spans="2:10" s="233" customFormat="1" ht="12.5">
      <c r="C147" s="232" t="s">
        <v>938</v>
      </c>
      <c r="E147" s="233" t="s">
        <v>939</v>
      </c>
      <c r="G147" s="61"/>
      <c r="H147" s="112"/>
      <c r="I147" s="595"/>
    </row>
    <row r="148" spans="2:10" s="233" customFormat="1" ht="12.5">
      <c r="C148" s="232" t="s">
        <v>940</v>
      </c>
      <c r="E148" s="233" t="s">
        <v>941</v>
      </c>
      <c r="G148" s="235">
        <f>SUM(G145:G147)</f>
        <v>0</v>
      </c>
      <c r="H148" s="112"/>
      <c r="I148" s="112"/>
    </row>
    <row r="149" spans="2:10" s="233" customFormat="1" ht="12.5">
      <c r="C149" s="232" t="s">
        <v>942</v>
      </c>
      <c r="E149" s="243" t="s">
        <v>943</v>
      </c>
      <c r="G149" s="203" t="e">
        <f>(G146+G147)/G148</f>
        <v>#DIV/0!</v>
      </c>
      <c r="H149" s="112"/>
      <c r="I149" s="112"/>
    </row>
    <row r="150" spans="2:10" s="233" customFormat="1" ht="12.5">
      <c r="C150" s="482" t="s">
        <v>944</v>
      </c>
      <c r="D150" s="112"/>
      <c r="E150" s="112"/>
      <c r="F150" s="112"/>
      <c r="G150" s="112"/>
      <c r="H150" s="112"/>
      <c r="I150" s="112"/>
    </row>
    <row r="151" spans="2:10" s="233" customFormat="1">
      <c r="E151" s="2" t="s">
        <v>101</v>
      </c>
      <c r="G151" s="4" t="s">
        <v>933</v>
      </c>
      <c r="H151" s="112"/>
      <c r="I151" s="112"/>
    </row>
    <row r="152" spans="2:10" s="233" customFormat="1">
      <c r="E152" s="3" t="s">
        <v>104</v>
      </c>
      <c r="G152" s="3" t="s">
        <v>105</v>
      </c>
      <c r="H152" s="112"/>
      <c r="I152" s="112"/>
    </row>
    <row r="153" spans="2:10" s="233" customFormat="1" ht="12.5">
      <c r="C153" s="232" t="s">
        <v>945</v>
      </c>
      <c r="E153" s="233" t="s">
        <v>946</v>
      </c>
      <c r="G153" s="531"/>
      <c r="H153" s="112"/>
      <c r="I153" s="595"/>
    </row>
    <row r="154" spans="2:10" s="233" customFormat="1" ht="12.5">
      <c r="C154" s="232" t="s">
        <v>947</v>
      </c>
      <c r="E154" s="233" t="s">
        <v>948</v>
      </c>
      <c r="G154" s="253"/>
      <c r="H154" s="112"/>
      <c r="I154" s="112"/>
    </row>
    <row r="155" spans="2:10" s="233" customFormat="1" ht="12.5">
      <c r="C155" s="232" t="s">
        <v>949</v>
      </c>
      <c r="E155" s="233" t="s">
        <v>950</v>
      </c>
      <c r="G155" s="61"/>
      <c r="H155" s="112"/>
      <c r="I155" s="595"/>
    </row>
    <row r="156" spans="2:10" s="233" customFormat="1" ht="12.5">
      <c r="C156" s="232" t="s">
        <v>951</v>
      </c>
      <c r="E156" s="233" t="s">
        <v>952</v>
      </c>
      <c r="G156" s="235">
        <f>SUM(G153:G155)</f>
        <v>0</v>
      </c>
      <c r="H156" s="112"/>
      <c r="I156" s="112"/>
    </row>
    <row r="157" spans="2:10" s="233" customFormat="1" ht="12.5">
      <c r="C157" s="232" t="s">
        <v>953</v>
      </c>
      <c r="E157" s="243" t="s">
        <v>954</v>
      </c>
      <c r="G157" s="203" t="e">
        <f>(G154+G155)/G156</f>
        <v>#DIV/0!</v>
      </c>
      <c r="H157" s="112"/>
      <c r="I157" s="112"/>
    </row>
    <row r="158" spans="2:10" s="233" customFormat="1" ht="12.5">
      <c r="C158" s="112" t="s">
        <v>955</v>
      </c>
      <c r="D158" s="112"/>
      <c r="E158" s="112"/>
      <c r="F158" s="112"/>
      <c r="G158" s="112"/>
      <c r="H158" s="112"/>
      <c r="I158" s="112"/>
    </row>
    <row r="159" spans="2:10" s="233" customFormat="1" ht="12.5">
      <c r="B159" s="112"/>
      <c r="C159" s="112"/>
      <c r="D159" s="112"/>
      <c r="E159" s="112"/>
      <c r="F159" s="112"/>
      <c r="G159" s="112"/>
      <c r="H159" s="112"/>
      <c r="I159" s="112"/>
      <c r="J159" s="112"/>
    </row>
    <row r="160" spans="2:10" s="233" customFormat="1">
      <c r="B160" s="112"/>
      <c r="C160" s="30"/>
      <c r="D160" s="112"/>
      <c r="E160" s="112"/>
      <c r="F160" s="112"/>
      <c r="G160" s="112"/>
      <c r="H160" s="112"/>
      <c r="I160" s="112"/>
      <c r="J160" s="112"/>
    </row>
    <row r="161" spans="3:10">
      <c r="C161" s="233"/>
      <c r="G161" s="667"/>
      <c r="H161" s="732"/>
      <c r="I161" s="112"/>
      <c r="J161" s="112"/>
    </row>
    <row r="162" spans="3:10">
      <c r="C162" s="233"/>
    </row>
    <row r="163" spans="3:10">
      <c r="C163" s="232"/>
    </row>
    <row r="164" spans="3:10">
      <c r="C164" s="232"/>
    </row>
  </sheetData>
  <protectedRanges>
    <protectedRange password="F1C4" sqref="D20:E23 E15:E19 D14:D15 D17:D18 I52 B7:C12 F20 D25:F30 D24 B14:C14 B13 B17:C30 C16 B15" name="AAReport1_23_1_1_2"/>
    <protectedRange password="F1C4" sqref="E24" name="AAReport1_23_1_1_2_3"/>
    <protectedRange password="F1C4" sqref="I115" name="AAReport1_23_1_1_2_2"/>
    <protectedRange password="F1C4" sqref="D19" name="AAReport1_23_1_1_1_1_1_1"/>
    <protectedRange password="F1C4" sqref="F46" name="AAReport1_23_1_1_2_1_2"/>
    <protectedRange password="F1C4" sqref="I108" name="AAReport1_23_1_1_2_2_1"/>
    <protectedRange password="F1C4" sqref="F45" name="AAReport1_23_1_1_2_1_1"/>
    <protectedRange password="F1C4" sqref="J32:J35" name="AAReport1_23_1_1_2_1_2_2_2"/>
    <protectedRange password="F1C4" sqref="F32:F33" name="AAReport1_23_1_1_2_1_1_1_2_2"/>
  </protectedRanges>
  <phoneticPr fontId="24" type="noConversion"/>
  <conditionalFormatting sqref="B109 B126">
    <cfRule type="expression" dxfId="25" priority="58" stopIfTrue="1">
      <formula>Formulas</formula>
    </cfRule>
  </conditionalFormatting>
  <conditionalFormatting sqref="C99:C109">
    <cfRule type="expression" dxfId="24" priority="8" stopIfTrue="1">
      <formula>#REF!&lt;&gt;""</formula>
    </cfRule>
  </conditionalFormatting>
  <conditionalFormatting sqref="C115">
    <cfRule type="expression" dxfId="23" priority="37" stopIfTrue="1">
      <formula>#REF!&lt;&gt;""</formula>
    </cfRule>
  </conditionalFormatting>
  <conditionalFormatting sqref="C121:C126">
    <cfRule type="expression" dxfId="22" priority="1" stopIfTrue="1">
      <formula>#REF!&lt;&gt;""</formula>
    </cfRule>
  </conditionalFormatting>
  <conditionalFormatting sqref="D99:D109">
    <cfRule type="expression" dxfId="21" priority="7" stopIfTrue="1">
      <formula>Formulas</formula>
    </cfRule>
  </conditionalFormatting>
  <conditionalFormatting sqref="D115">
    <cfRule type="expression" dxfId="20" priority="38" stopIfTrue="1">
      <formula>Formulas</formula>
    </cfRule>
  </conditionalFormatting>
  <conditionalFormatting sqref="D121:D126">
    <cfRule type="expression" dxfId="19" priority="6" stopIfTrue="1">
      <formula>Formulas</formula>
    </cfRule>
  </conditionalFormatting>
  <conditionalFormatting sqref="E99">
    <cfRule type="expression" dxfId="18" priority="10" stopIfTrue="1">
      <formula>Formulas</formula>
    </cfRule>
  </conditionalFormatting>
  <conditionalFormatting sqref="E106:E107">
    <cfRule type="expression" dxfId="17" priority="9" stopIfTrue="1">
      <formula>Formulas</formula>
    </cfRule>
  </conditionalFormatting>
  <conditionalFormatting sqref="E121:E124">
    <cfRule type="expression" dxfId="16" priority="5" stopIfTrue="1">
      <formula>Formulas</formula>
    </cfRule>
  </conditionalFormatting>
  <pageMargins left="0.75" right="0.75" top="1" bottom="1" header="0.5" footer="0.5"/>
  <pageSetup scale="56" orientation="landscape" cellComments="asDisplayed" r:id="rId1"/>
  <headerFooter alignWithMargins="0">
    <oddHeader xml:space="preserve">&amp;C&amp;"Arial,Bold"Schedule 9-ADIT-1
ADIT
</oddHeader>
    <oddFooter>&amp;R&amp;A</oddFooter>
  </headerFooter>
  <rowBreaks count="4" manualBreakCount="4">
    <brk id="24" max="16383" man="1"/>
    <brk id="55" max="16383" man="1"/>
    <brk id="91" max="9" man="1"/>
    <brk id="136"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0745-916B-4E28-A134-3EC51E3C3EEA}">
  <dimension ref="A1:N74"/>
  <sheetViews>
    <sheetView topLeftCell="C1" zoomScaleNormal="100" workbookViewId="0">
      <selection activeCell="L41" sqref="L41"/>
    </sheetView>
  </sheetViews>
  <sheetFormatPr defaultColWidth="14.54296875" defaultRowHeight="12.5"/>
  <cols>
    <col min="1" max="1" width="5.54296875" customWidth="1"/>
    <col min="2" max="2" width="36.90625" customWidth="1"/>
    <col min="3" max="3" width="3.54296875" customWidth="1"/>
    <col min="4" max="5" width="14.08984375" customWidth="1"/>
    <col min="6" max="7" width="13.54296875" customWidth="1"/>
    <col min="10" max="10" width="15.08984375" customWidth="1"/>
    <col min="12" max="12" width="16" customWidth="1"/>
    <col min="13" max="13" width="15.453125" bestFit="1" customWidth="1"/>
  </cols>
  <sheetData>
    <row r="1" spans="1:14" ht="14.5">
      <c r="A1" s="731" t="s">
        <v>956</v>
      </c>
      <c r="B1" s="674"/>
      <c r="C1" s="674"/>
      <c r="D1" s="674"/>
      <c r="E1" s="674"/>
      <c r="F1" s="674"/>
      <c r="G1" s="674"/>
      <c r="H1" s="674"/>
      <c r="I1" s="674"/>
      <c r="J1" s="674"/>
      <c r="K1" s="674"/>
      <c r="L1" s="674"/>
      <c r="M1" s="674"/>
      <c r="N1" s="675"/>
    </row>
    <row r="2" spans="1:14" ht="13">
      <c r="A2" s="676"/>
      <c r="B2" s="673"/>
      <c r="C2" s="673"/>
      <c r="D2" s="676"/>
      <c r="E2" s="676"/>
      <c r="F2" s="676"/>
      <c r="G2" s="676"/>
      <c r="H2" s="676"/>
      <c r="I2" s="676"/>
      <c r="J2" s="676"/>
      <c r="L2" s="677" t="s">
        <v>657</v>
      </c>
      <c r="M2" s="678"/>
      <c r="N2" s="343"/>
    </row>
    <row r="3" spans="1:14">
      <c r="A3" s="676"/>
      <c r="B3" s="676"/>
      <c r="C3" s="676"/>
      <c r="D3" s="676"/>
      <c r="E3" s="676"/>
      <c r="F3" s="676"/>
      <c r="G3" s="676"/>
      <c r="H3" s="676"/>
      <c r="I3" s="676"/>
      <c r="J3" s="676"/>
      <c r="K3" s="676"/>
      <c r="L3" s="676"/>
      <c r="M3" s="676"/>
      <c r="N3" s="343"/>
    </row>
    <row r="4" spans="1:14" ht="13">
      <c r="A4" s="679"/>
      <c r="B4" s="680" t="s">
        <v>957</v>
      </c>
      <c r="C4" s="680"/>
      <c r="D4" s="680" t="s">
        <v>958</v>
      </c>
      <c r="E4" s="680" t="s">
        <v>959</v>
      </c>
      <c r="F4" s="680" t="s">
        <v>960</v>
      </c>
      <c r="G4" s="680" t="s">
        <v>961</v>
      </c>
      <c r="H4" s="680" t="s">
        <v>962</v>
      </c>
      <c r="I4" s="680" t="s">
        <v>963</v>
      </c>
      <c r="J4" s="680" t="s">
        <v>964</v>
      </c>
      <c r="K4" s="680" t="s">
        <v>965</v>
      </c>
      <c r="L4" s="680" t="s">
        <v>966</v>
      </c>
      <c r="M4" s="680" t="s">
        <v>967</v>
      </c>
      <c r="N4" s="681"/>
    </row>
    <row r="5" spans="1:14" ht="13.5" thickBot="1">
      <c r="A5" s="343"/>
      <c r="B5" s="682"/>
      <c r="C5" s="682"/>
      <c r="D5" s="682"/>
      <c r="E5" s="682"/>
      <c r="F5" s="681"/>
      <c r="G5" s="681"/>
      <c r="H5" s="681"/>
      <c r="I5" s="681"/>
      <c r="J5" s="682"/>
      <c r="K5" s="681"/>
      <c r="L5" s="942" t="s">
        <v>129</v>
      </c>
      <c r="M5" s="942" t="s">
        <v>968</v>
      </c>
      <c r="N5" s="682"/>
    </row>
    <row r="6" spans="1:14" ht="13.5" thickBot="1">
      <c r="A6" s="343"/>
      <c r="B6" s="682"/>
      <c r="C6" s="970"/>
      <c r="D6" s="683" t="s">
        <v>969</v>
      </c>
      <c r="E6" s="683" t="s">
        <v>969</v>
      </c>
      <c r="F6" s="683" t="s">
        <v>969</v>
      </c>
      <c r="G6" s="683" t="s">
        <v>969</v>
      </c>
      <c r="H6" s="683" t="s">
        <v>969</v>
      </c>
      <c r="I6" s="683" t="s">
        <v>969</v>
      </c>
      <c r="J6" s="684" t="s">
        <v>970</v>
      </c>
      <c r="K6" s="684" t="s">
        <v>971</v>
      </c>
      <c r="L6" s="684" t="s">
        <v>972</v>
      </c>
      <c r="M6" s="684" t="s">
        <v>972</v>
      </c>
      <c r="N6" s="682"/>
    </row>
    <row r="7" spans="1:14" ht="87" customHeight="1" thickBot="1">
      <c r="A7" s="685" t="s">
        <v>284</v>
      </c>
      <c r="B7" s="343"/>
      <c r="C7" s="686"/>
      <c r="D7" s="931" t="s">
        <v>973</v>
      </c>
      <c r="E7" s="931" t="s">
        <v>974</v>
      </c>
      <c r="F7" s="931" t="s">
        <v>975</v>
      </c>
      <c r="G7" s="931" t="s">
        <v>976</v>
      </c>
      <c r="H7" s="932" t="s">
        <v>977</v>
      </c>
      <c r="I7" s="931" t="s">
        <v>978</v>
      </c>
      <c r="J7" s="931" t="s">
        <v>979</v>
      </c>
      <c r="K7" s="932" t="s">
        <v>980</v>
      </c>
      <c r="L7" s="931" t="s">
        <v>981</v>
      </c>
      <c r="M7" s="931" t="s">
        <v>982</v>
      </c>
      <c r="N7" s="687"/>
    </row>
    <row r="8" spans="1:14" ht="13">
      <c r="A8" s="688">
        <v>1</v>
      </c>
      <c r="B8" s="689" t="s">
        <v>983</v>
      </c>
      <c r="C8" s="690"/>
      <c r="D8" s="676"/>
      <c r="E8" s="676"/>
      <c r="F8" s="676"/>
      <c r="G8" s="676"/>
      <c r="H8" s="676"/>
      <c r="I8" s="676"/>
      <c r="J8" s="676"/>
      <c r="K8" s="676"/>
      <c r="L8" s="676"/>
      <c r="M8" s="676"/>
      <c r="N8" s="343"/>
    </row>
    <row r="9" spans="1:14" ht="13">
      <c r="A9" s="688">
        <f t="shared" ref="A9:A45" si="0">+A8+1</f>
        <v>2</v>
      </c>
      <c r="B9" s="691" t="s">
        <v>984</v>
      </c>
      <c r="C9" s="692"/>
      <c r="D9" s="693"/>
      <c r="E9" s="693"/>
      <c r="F9" s="693"/>
      <c r="G9" s="976"/>
      <c r="H9" s="693"/>
      <c r="I9" s="976"/>
      <c r="J9" s="733">
        <f>SUM(D9:I9)</f>
        <v>0</v>
      </c>
      <c r="K9" s="733">
        <f>'9-ADIT-3'!I12</f>
        <v>0</v>
      </c>
      <c r="L9" s="733">
        <f>IF(+J9+K9&gt;0,+J9+K9,0)</f>
        <v>0</v>
      </c>
      <c r="M9" s="733">
        <f>IF(+J9+K9&gt;0,0,+J9+K9)</f>
        <v>0</v>
      </c>
      <c r="N9" s="343"/>
    </row>
    <row r="10" spans="1:14" ht="13">
      <c r="A10" s="688">
        <f t="shared" si="0"/>
        <v>3</v>
      </c>
      <c r="B10" s="691" t="s">
        <v>985</v>
      </c>
      <c r="C10" s="692"/>
      <c r="D10" s="693"/>
      <c r="E10" s="693"/>
      <c r="F10" s="976"/>
      <c r="G10" s="693"/>
      <c r="H10" s="693"/>
      <c r="I10" s="693"/>
      <c r="J10" s="733">
        <f t="shared" ref="J10:J13" si="1">SUM(D10:I10)</f>
        <v>0</v>
      </c>
      <c r="K10" s="733">
        <f>'9-ADIT-3'!I13</f>
        <v>0</v>
      </c>
      <c r="L10" s="733">
        <f t="shared" ref="L10:L12" si="2">IF(+J10+K10&gt;0,+J10+K10,0)</f>
        <v>0</v>
      </c>
      <c r="M10" s="733">
        <f t="shared" ref="M10:M12" si="3">IF(+J10+K10&gt;0,0,+J10+K10)</f>
        <v>0</v>
      </c>
      <c r="N10" s="343"/>
    </row>
    <row r="11" spans="1:14" ht="13">
      <c r="A11" s="688">
        <f t="shared" si="0"/>
        <v>4</v>
      </c>
      <c r="B11" s="691" t="s">
        <v>986</v>
      </c>
      <c r="C11" s="692"/>
      <c r="D11" s="693"/>
      <c r="E11" s="693"/>
      <c r="F11" s="693"/>
      <c r="G11" s="693"/>
      <c r="H11" s="693"/>
      <c r="I11" s="693"/>
      <c r="J11" s="733">
        <f t="shared" si="1"/>
        <v>0</v>
      </c>
      <c r="K11" s="733">
        <f>'9-ADIT-3'!I14</f>
        <v>0</v>
      </c>
      <c r="L11" s="733">
        <f t="shared" si="2"/>
        <v>0</v>
      </c>
      <c r="M11" s="733">
        <f t="shared" si="3"/>
        <v>0</v>
      </c>
      <c r="N11" s="343"/>
    </row>
    <row r="12" spans="1:14" ht="13">
      <c r="A12" s="688">
        <f t="shared" si="0"/>
        <v>5</v>
      </c>
      <c r="B12" s="691" t="s">
        <v>987</v>
      </c>
      <c r="C12" s="692"/>
      <c r="D12" s="693"/>
      <c r="E12" s="693"/>
      <c r="F12" s="693"/>
      <c r="G12" s="693"/>
      <c r="H12" s="693"/>
      <c r="I12" s="693"/>
      <c r="J12" s="733">
        <f t="shared" si="1"/>
        <v>0</v>
      </c>
      <c r="K12" s="733">
        <f>'9-ADIT-3'!I15</f>
        <v>0</v>
      </c>
      <c r="L12" s="733">
        <f t="shared" si="2"/>
        <v>0</v>
      </c>
      <c r="M12" s="733">
        <f t="shared" si="3"/>
        <v>0</v>
      </c>
      <c r="N12" s="343"/>
    </row>
    <row r="13" spans="1:14" ht="13">
      <c r="A13" s="688">
        <f t="shared" si="0"/>
        <v>6</v>
      </c>
      <c r="B13" s="694" t="s">
        <v>641</v>
      </c>
      <c r="C13" s="695"/>
      <c r="D13" s="693"/>
      <c r="E13" s="693"/>
      <c r="F13" s="693"/>
      <c r="G13" s="693"/>
      <c r="H13" s="693"/>
      <c r="I13" s="693"/>
      <c r="J13" s="733">
        <f t="shared" si="1"/>
        <v>0</v>
      </c>
      <c r="K13" s="733"/>
      <c r="L13" s="733"/>
      <c r="M13" s="733"/>
      <c r="N13" s="343"/>
    </row>
    <row r="14" spans="1:14" ht="13">
      <c r="A14" s="696" t="s">
        <v>988</v>
      </c>
      <c r="B14" s="697" t="s">
        <v>989</v>
      </c>
      <c r="C14" s="698"/>
      <c r="D14" s="734">
        <f t="shared" ref="D14:M14" si="4">SUM(D9:D13)</f>
        <v>0</v>
      </c>
      <c r="E14" s="734">
        <f t="shared" si="4"/>
        <v>0</v>
      </c>
      <c r="F14" s="734">
        <f t="shared" si="4"/>
        <v>0</v>
      </c>
      <c r="G14" s="734">
        <f t="shared" si="4"/>
        <v>0</v>
      </c>
      <c r="H14" s="734">
        <f t="shared" si="4"/>
        <v>0</v>
      </c>
      <c r="I14" s="734">
        <f t="shared" si="4"/>
        <v>0</v>
      </c>
      <c r="J14" s="734">
        <f t="shared" si="4"/>
        <v>0</v>
      </c>
      <c r="K14" s="734">
        <f t="shared" si="4"/>
        <v>0</v>
      </c>
      <c r="L14" s="734">
        <f t="shared" si="4"/>
        <v>0</v>
      </c>
      <c r="M14" s="734">
        <f t="shared" si="4"/>
        <v>0</v>
      </c>
      <c r="N14" s="343"/>
    </row>
    <row r="15" spans="1:14" ht="13">
      <c r="A15" s="688"/>
      <c r="B15" s="691"/>
      <c r="C15" s="698"/>
      <c r="D15" s="691"/>
      <c r="E15" s="691"/>
      <c r="F15" s="691"/>
      <c r="G15" s="691"/>
      <c r="H15" s="691"/>
      <c r="I15" s="691"/>
      <c r="J15" s="691"/>
      <c r="K15" s="691"/>
      <c r="L15" s="691"/>
      <c r="M15" s="691"/>
      <c r="N15" s="343"/>
    </row>
    <row r="16" spans="1:14" ht="13">
      <c r="A16" s="688">
        <v>100</v>
      </c>
      <c r="B16" s="699" t="s">
        <v>990</v>
      </c>
      <c r="C16" s="700"/>
      <c r="D16" s="691"/>
      <c r="E16" s="691"/>
      <c r="F16" s="691"/>
      <c r="G16" s="691"/>
      <c r="H16" s="691"/>
      <c r="I16" s="691"/>
      <c r="J16" s="691"/>
      <c r="K16" s="691"/>
      <c r="L16" s="691"/>
      <c r="M16" s="691"/>
      <c r="N16" s="343"/>
    </row>
    <row r="17" spans="1:14" ht="13">
      <c r="A17" s="688">
        <f t="shared" si="0"/>
        <v>101</v>
      </c>
      <c r="B17" s="691" t="s">
        <v>991</v>
      </c>
      <c r="C17" s="692"/>
      <c r="D17" s="693"/>
      <c r="E17" s="693"/>
      <c r="F17" s="693"/>
      <c r="G17" s="693"/>
      <c r="H17" s="693"/>
      <c r="I17" s="693"/>
      <c r="J17" s="733">
        <f t="shared" ref="J17:J23" si="5">SUM(D17:I17)</f>
        <v>0</v>
      </c>
      <c r="K17" s="733">
        <f>'9-ADIT-3'!I20</f>
        <v>0</v>
      </c>
      <c r="L17" s="733">
        <f t="shared" ref="L17:L22" si="6">IF(+J17+K17&gt;0,+J17+K17,0)</f>
        <v>0</v>
      </c>
      <c r="M17" s="733">
        <f t="shared" ref="M17:M22" si="7">IF(+J17+K17&gt;0,0,+J17+K17)</f>
        <v>0</v>
      </c>
      <c r="N17" s="343"/>
    </row>
    <row r="18" spans="1:14" ht="13">
      <c r="A18" s="688">
        <f t="shared" si="0"/>
        <v>102</v>
      </c>
      <c r="B18" s="691" t="s">
        <v>992</v>
      </c>
      <c r="C18" s="692"/>
      <c r="D18" s="693"/>
      <c r="E18" s="693"/>
      <c r="F18" s="693"/>
      <c r="G18" s="693"/>
      <c r="H18" s="693"/>
      <c r="I18" s="693"/>
      <c r="J18" s="733">
        <f t="shared" si="5"/>
        <v>0</v>
      </c>
      <c r="K18" s="733">
        <f>'9-ADIT-3'!I21</f>
        <v>0</v>
      </c>
      <c r="L18" s="733">
        <f t="shared" si="6"/>
        <v>0</v>
      </c>
      <c r="M18" s="733">
        <f t="shared" si="7"/>
        <v>0</v>
      </c>
      <c r="N18" s="343"/>
    </row>
    <row r="19" spans="1:14" ht="13">
      <c r="A19" s="688">
        <f t="shared" si="0"/>
        <v>103</v>
      </c>
      <c r="B19" s="691" t="s">
        <v>993</v>
      </c>
      <c r="C19" s="692"/>
      <c r="D19" s="693"/>
      <c r="E19" s="693"/>
      <c r="F19" s="693"/>
      <c r="G19" s="693"/>
      <c r="H19" s="693"/>
      <c r="I19" s="693"/>
      <c r="J19" s="733">
        <f t="shared" si="5"/>
        <v>0</v>
      </c>
      <c r="K19" s="733">
        <f>'9-ADIT-3'!I22</f>
        <v>0</v>
      </c>
      <c r="L19" s="733">
        <f t="shared" si="6"/>
        <v>0</v>
      </c>
      <c r="M19" s="733">
        <f t="shared" si="7"/>
        <v>0</v>
      </c>
      <c r="N19" s="343"/>
    </row>
    <row r="20" spans="1:14" ht="13">
      <c r="A20" s="688">
        <f t="shared" si="0"/>
        <v>104</v>
      </c>
      <c r="B20" s="691" t="s">
        <v>994</v>
      </c>
      <c r="C20" s="692"/>
      <c r="D20" s="693"/>
      <c r="E20" s="693"/>
      <c r="F20" s="693"/>
      <c r="G20" s="693"/>
      <c r="H20" s="693"/>
      <c r="I20" s="693"/>
      <c r="J20" s="733">
        <f t="shared" si="5"/>
        <v>0</v>
      </c>
      <c r="K20" s="733">
        <f>'9-ADIT-3'!I23</f>
        <v>0</v>
      </c>
      <c r="L20" s="733">
        <f t="shared" si="6"/>
        <v>0</v>
      </c>
      <c r="M20" s="733">
        <f t="shared" si="7"/>
        <v>0</v>
      </c>
      <c r="N20" s="343"/>
    </row>
    <row r="21" spans="1:14" ht="13">
      <c r="A21" s="688">
        <f t="shared" si="0"/>
        <v>105</v>
      </c>
      <c r="B21" s="691" t="s">
        <v>995</v>
      </c>
      <c r="C21" s="692"/>
      <c r="D21" s="693"/>
      <c r="E21" s="693"/>
      <c r="F21" s="693"/>
      <c r="G21" s="693"/>
      <c r="H21" s="693"/>
      <c r="I21" s="693"/>
      <c r="J21" s="733">
        <f t="shared" si="5"/>
        <v>0</v>
      </c>
      <c r="K21" s="733">
        <f>'9-ADIT-3'!I24</f>
        <v>0</v>
      </c>
      <c r="L21" s="733">
        <f t="shared" si="6"/>
        <v>0</v>
      </c>
      <c r="M21" s="733">
        <f t="shared" si="7"/>
        <v>0</v>
      </c>
      <c r="N21" s="343"/>
    </row>
    <row r="22" spans="1:14" ht="13">
      <c r="A22" s="688">
        <f t="shared" si="0"/>
        <v>106</v>
      </c>
      <c r="B22" s="691" t="s">
        <v>996</v>
      </c>
      <c r="C22" s="692"/>
      <c r="D22" s="693"/>
      <c r="E22" s="693"/>
      <c r="F22" s="693"/>
      <c r="G22" s="693"/>
      <c r="H22" s="693"/>
      <c r="I22" s="693"/>
      <c r="J22" s="733">
        <f t="shared" si="5"/>
        <v>0</v>
      </c>
      <c r="K22" s="733">
        <f>'9-ADIT-3'!I25</f>
        <v>0</v>
      </c>
      <c r="L22" s="733">
        <f t="shared" si="6"/>
        <v>0</v>
      </c>
      <c r="M22" s="733">
        <f t="shared" si="7"/>
        <v>0</v>
      </c>
      <c r="N22" s="343"/>
    </row>
    <row r="23" spans="1:14" ht="13">
      <c r="A23" s="688">
        <f t="shared" si="0"/>
        <v>107</v>
      </c>
      <c r="B23" s="694" t="s">
        <v>641</v>
      </c>
      <c r="C23" s="695"/>
      <c r="D23" s="693"/>
      <c r="E23" s="693"/>
      <c r="F23" s="693"/>
      <c r="G23" s="693"/>
      <c r="H23" s="693"/>
      <c r="I23" s="693"/>
      <c r="J23" s="733">
        <f t="shared" si="5"/>
        <v>0</v>
      </c>
      <c r="K23" s="733"/>
      <c r="L23" s="733"/>
      <c r="M23" s="733"/>
      <c r="N23" s="343"/>
    </row>
    <row r="24" spans="1:14" ht="13">
      <c r="A24" s="696" t="s">
        <v>997</v>
      </c>
      <c r="B24" s="697" t="s">
        <v>998</v>
      </c>
      <c r="C24" s="698"/>
      <c r="D24" s="735">
        <f t="shared" ref="D24:M24" si="8">SUM(D17:D23)</f>
        <v>0</v>
      </c>
      <c r="E24" s="735">
        <f t="shared" si="8"/>
        <v>0</v>
      </c>
      <c r="F24" s="735">
        <f t="shared" si="8"/>
        <v>0</v>
      </c>
      <c r="G24" s="735">
        <f t="shared" si="8"/>
        <v>0</v>
      </c>
      <c r="H24" s="735">
        <f t="shared" si="8"/>
        <v>0</v>
      </c>
      <c r="I24" s="735">
        <f t="shared" si="8"/>
        <v>0</v>
      </c>
      <c r="J24" s="735">
        <f t="shared" si="8"/>
        <v>0</v>
      </c>
      <c r="K24" s="735">
        <f t="shared" si="8"/>
        <v>0</v>
      </c>
      <c r="L24" s="735">
        <f t="shared" si="8"/>
        <v>0</v>
      </c>
      <c r="M24" s="735">
        <f t="shared" si="8"/>
        <v>0</v>
      </c>
      <c r="N24" s="343"/>
    </row>
    <row r="25" spans="1:14" ht="13">
      <c r="A25" s="688"/>
      <c r="B25" s="691"/>
      <c r="C25" s="698"/>
      <c r="D25" s="112"/>
      <c r="E25" s="112"/>
      <c r="F25" s="112"/>
      <c r="G25" s="112"/>
      <c r="H25" s="112"/>
      <c r="I25" s="112"/>
      <c r="J25" s="112"/>
      <c r="K25" s="112"/>
      <c r="L25" s="112"/>
      <c r="M25" s="701"/>
      <c r="N25" s="343"/>
    </row>
    <row r="26" spans="1:14" ht="13">
      <c r="A26" s="696" t="s">
        <v>999</v>
      </c>
      <c r="B26" s="702" t="s">
        <v>1000</v>
      </c>
      <c r="C26" s="692"/>
      <c r="D26" s="703"/>
      <c r="E26" s="703"/>
      <c r="F26" s="703"/>
      <c r="G26" s="703"/>
      <c r="H26" s="703"/>
      <c r="I26" s="703"/>
      <c r="J26" s="736">
        <f>SUM(D26:I26)</f>
        <v>0</v>
      </c>
      <c r="K26" s="736">
        <f>'9-ADIT-3'!I29</f>
        <v>0</v>
      </c>
      <c r="L26" s="736">
        <f>IF(+J26+K26&gt;0,+J26+K26,0)</f>
        <v>0</v>
      </c>
      <c r="M26" s="736">
        <f>IF(+J26+K26&gt;0,0,+J26+K26)</f>
        <v>0</v>
      </c>
      <c r="N26" s="343"/>
    </row>
    <row r="27" spans="1:14" ht="13">
      <c r="A27" s="688"/>
      <c r="B27" s="691"/>
      <c r="C27" s="698"/>
      <c r="D27" s="112"/>
      <c r="E27" s="112"/>
      <c r="F27" s="112"/>
      <c r="G27" s="112"/>
      <c r="H27" s="112"/>
      <c r="I27" s="112"/>
      <c r="J27" s="112"/>
      <c r="K27" s="112"/>
      <c r="L27" s="112"/>
      <c r="M27" s="112"/>
      <c r="N27" s="343"/>
    </row>
    <row r="28" spans="1:14" ht="13.5" thickBot="1">
      <c r="A28" s="696" t="s">
        <v>1001</v>
      </c>
      <c r="B28" s="704" t="s">
        <v>1002</v>
      </c>
      <c r="C28" s="705"/>
      <c r="D28" s="737">
        <f t="shared" ref="D28:M28" si="9">+D26+D24+D14</f>
        <v>0</v>
      </c>
      <c r="E28" s="737">
        <f t="shared" si="9"/>
        <v>0</v>
      </c>
      <c r="F28" s="737">
        <f t="shared" si="9"/>
        <v>0</v>
      </c>
      <c r="G28" s="737">
        <f t="shared" si="9"/>
        <v>0</v>
      </c>
      <c r="H28" s="737">
        <f t="shared" si="9"/>
        <v>0</v>
      </c>
      <c r="I28" s="737">
        <f t="shared" si="9"/>
        <v>0</v>
      </c>
      <c r="J28" s="737">
        <f t="shared" si="9"/>
        <v>0</v>
      </c>
      <c r="K28" s="737">
        <f t="shared" si="9"/>
        <v>0</v>
      </c>
      <c r="L28" s="737">
        <f t="shared" si="9"/>
        <v>0</v>
      </c>
      <c r="M28" s="737">
        <f t="shared" si="9"/>
        <v>0</v>
      </c>
      <c r="N28" s="343"/>
    </row>
    <row r="29" spans="1:14" ht="13.5" thickTop="1">
      <c r="A29" s="688"/>
      <c r="B29" s="706"/>
      <c r="C29" s="707"/>
      <c r="D29" s="691"/>
      <c r="E29" s="691"/>
      <c r="F29" s="691"/>
      <c r="G29" s="691"/>
      <c r="H29" s="691"/>
      <c r="I29" s="691"/>
      <c r="J29" s="691"/>
      <c r="K29" s="691"/>
      <c r="L29" s="691"/>
      <c r="M29" s="691"/>
      <c r="N29" s="343"/>
    </row>
    <row r="30" spans="1:14" ht="13">
      <c r="A30" s="696" t="s">
        <v>1003</v>
      </c>
      <c r="B30" s="699" t="s">
        <v>1004</v>
      </c>
      <c r="C30" s="700"/>
      <c r="D30" s="691"/>
      <c r="E30" s="691"/>
      <c r="F30" s="691"/>
      <c r="G30" s="691"/>
      <c r="H30" s="691"/>
      <c r="I30" s="691"/>
      <c r="J30" s="691"/>
      <c r="K30" s="691"/>
      <c r="L30" s="691"/>
      <c r="M30" s="691"/>
      <c r="N30" s="343"/>
    </row>
    <row r="31" spans="1:14" ht="13">
      <c r="A31" s="688">
        <f t="shared" si="0"/>
        <v>301</v>
      </c>
      <c r="B31" s="691" t="s">
        <v>892</v>
      </c>
      <c r="C31" s="692"/>
      <c r="D31" s="693"/>
      <c r="E31" s="693"/>
      <c r="F31" s="693"/>
      <c r="G31" s="693"/>
      <c r="H31" s="693"/>
      <c r="I31" s="693"/>
      <c r="J31" s="733">
        <f t="shared" ref="J31:J45" si="10">SUM(D31:I31)</f>
        <v>0</v>
      </c>
      <c r="K31" s="733">
        <f>'9-ADIT-3'!I34</f>
        <v>0</v>
      </c>
      <c r="L31" s="733">
        <f t="shared" ref="L31:L44" si="11">IF(+J31+K31&gt;0,+J31+K31,0)</f>
        <v>0</v>
      </c>
      <c r="M31" s="733">
        <f t="shared" ref="M31:M44" si="12">IF(+J31+K31&gt;0,0,+J31+K31)</f>
        <v>0</v>
      </c>
      <c r="N31" s="343"/>
    </row>
    <row r="32" spans="1:14" ht="13">
      <c r="A32" s="688">
        <f t="shared" si="0"/>
        <v>302</v>
      </c>
      <c r="B32" s="691" t="s">
        <v>893</v>
      </c>
      <c r="C32" s="692"/>
      <c r="D32" s="693"/>
      <c r="E32" s="693"/>
      <c r="F32" s="693"/>
      <c r="G32" s="693"/>
      <c r="H32" s="693"/>
      <c r="I32" s="693"/>
      <c r="J32" s="733">
        <f t="shared" si="10"/>
        <v>0</v>
      </c>
      <c r="K32" s="733">
        <f>'9-ADIT-3'!I35</f>
        <v>0</v>
      </c>
      <c r="L32" s="733">
        <f t="shared" si="11"/>
        <v>0</v>
      </c>
      <c r="M32" s="733">
        <f t="shared" si="12"/>
        <v>0</v>
      </c>
      <c r="N32" s="343"/>
    </row>
    <row r="33" spans="1:14" ht="13">
      <c r="A33" s="688">
        <f t="shared" si="0"/>
        <v>303</v>
      </c>
      <c r="B33" s="691" t="s">
        <v>916</v>
      </c>
      <c r="C33" s="692"/>
      <c r="D33" s="693"/>
      <c r="E33" s="693"/>
      <c r="F33" s="693"/>
      <c r="G33" s="693"/>
      <c r="H33" s="693"/>
      <c r="I33" s="693"/>
      <c r="J33" s="733">
        <f t="shared" si="10"/>
        <v>0</v>
      </c>
      <c r="K33" s="733">
        <f>'9-ADIT-3'!I36</f>
        <v>0</v>
      </c>
      <c r="L33" s="733">
        <f t="shared" si="11"/>
        <v>0</v>
      </c>
      <c r="M33" s="733">
        <f t="shared" si="12"/>
        <v>0</v>
      </c>
      <c r="N33" s="343"/>
    </row>
    <row r="34" spans="1:14" ht="13">
      <c r="A34" s="688">
        <f t="shared" si="0"/>
        <v>304</v>
      </c>
      <c r="B34" s="691" t="s">
        <v>1005</v>
      </c>
      <c r="C34" s="692"/>
      <c r="D34" s="693"/>
      <c r="E34" s="693"/>
      <c r="F34" s="693"/>
      <c r="G34" s="693"/>
      <c r="H34" s="693"/>
      <c r="I34" s="693"/>
      <c r="J34" s="733">
        <f t="shared" si="10"/>
        <v>0</v>
      </c>
      <c r="K34" s="733">
        <f>'9-ADIT-3'!I37</f>
        <v>0</v>
      </c>
      <c r="L34" s="733">
        <f t="shared" si="11"/>
        <v>0</v>
      </c>
      <c r="M34" s="733">
        <f t="shared" si="12"/>
        <v>0</v>
      </c>
      <c r="N34" s="343"/>
    </row>
    <row r="35" spans="1:14" ht="13">
      <c r="A35" s="688">
        <f t="shared" si="0"/>
        <v>305</v>
      </c>
      <c r="B35" s="691" t="s">
        <v>1006</v>
      </c>
      <c r="C35" s="692"/>
      <c r="D35" s="693"/>
      <c r="E35" s="693"/>
      <c r="F35" s="693"/>
      <c r="G35" s="693"/>
      <c r="H35" s="693"/>
      <c r="I35" s="693"/>
      <c r="J35" s="733">
        <f t="shared" si="10"/>
        <v>0</v>
      </c>
      <c r="K35" s="733">
        <f>'9-ADIT-3'!I38</f>
        <v>0</v>
      </c>
      <c r="L35" s="733">
        <f t="shared" si="11"/>
        <v>0</v>
      </c>
      <c r="M35" s="733">
        <f t="shared" si="12"/>
        <v>0</v>
      </c>
      <c r="N35" s="343"/>
    </row>
    <row r="36" spans="1:14" ht="13">
      <c r="A36" s="688">
        <f t="shared" si="0"/>
        <v>306</v>
      </c>
      <c r="B36" s="691" t="s">
        <v>1007</v>
      </c>
      <c r="C36" s="692"/>
      <c r="D36" s="693"/>
      <c r="E36" s="693"/>
      <c r="F36" s="693"/>
      <c r="G36" s="693"/>
      <c r="H36" s="693"/>
      <c r="I36" s="693"/>
      <c r="J36" s="733">
        <f t="shared" si="10"/>
        <v>0</v>
      </c>
      <c r="K36" s="733">
        <f>'9-ADIT-3'!I39</f>
        <v>0</v>
      </c>
      <c r="L36" s="733">
        <f t="shared" si="11"/>
        <v>0</v>
      </c>
      <c r="M36" s="733">
        <f t="shared" si="12"/>
        <v>0</v>
      </c>
      <c r="N36" s="343"/>
    </row>
    <row r="37" spans="1:14" ht="13">
      <c r="A37" s="688">
        <f t="shared" si="0"/>
        <v>307</v>
      </c>
      <c r="B37" s="691" t="s">
        <v>894</v>
      </c>
      <c r="C37" s="692"/>
      <c r="D37" s="693"/>
      <c r="E37" s="693"/>
      <c r="F37" s="693"/>
      <c r="G37" s="693"/>
      <c r="H37" s="693"/>
      <c r="I37" s="693"/>
      <c r="J37" s="733">
        <f t="shared" si="10"/>
        <v>0</v>
      </c>
      <c r="K37" s="733">
        <f>'9-ADIT-3'!I40</f>
        <v>0</v>
      </c>
      <c r="L37" s="733">
        <f t="shared" si="11"/>
        <v>0</v>
      </c>
      <c r="M37" s="733">
        <f t="shared" si="12"/>
        <v>0</v>
      </c>
      <c r="N37" s="343"/>
    </row>
    <row r="38" spans="1:14" ht="13">
      <c r="A38" s="688">
        <f t="shared" si="0"/>
        <v>308</v>
      </c>
      <c r="B38" s="691" t="s">
        <v>1008</v>
      </c>
      <c r="C38" s="692"/>
      <c r="D38" s="693"/>
      <c r="E38" s="693"/>
      <c r="F38" s="693"/>
      <c r="G38" s="693"/>
      <c r="H38" s="693"/>
      <c r="I38" s="693"/>
      <c r="J38" s="733">
        <f t="shared" si="10"/>
        <v>0</v>
      </c>
      <c r="K38" s="733">
        <f>'9-ADIT-3'!I41</f>
        <v>0</v>
      </c>
      <c r="L38" s="733">
        <f t="shared" si="11"/>
        <v>0</v>
      </c>
      <c r="M38" s="733">
        <f t="shared" si="12"/>
        <v>0</v>
      </c>
      <c r="N38" s="343"/>
    </row>
    <row r="39" spans="1:14" ht="13">
      <c r="A39" s="688">
        <f t="shared" si="0"/>
        <v>309</v>
      </c>
      <c r="B39" s="691" t="s">
        <v>1009</v>
      </c>
      <c r="C39" s="692"/>
      <c r="D39" s="693"/>
      <c r="E39" s="693"/>
      <c r="F39" s="693"/>
      <c r="G39" s="693"/>
      <c r="H39" s="693"/>
      <c r="I39" s="693"/>
      <c r="J39" s="733">
        <f t="shared" si="10"/>
        <v>0</v>
      </c>
      <c r="K39" s="733">
        <f>'9-ADIT-3'!I42</f>
        <v>0</v>
      </c>
      <c r="L39" s="733">
        <f t="shared" si="11"/>
        <v>0</v>
      </c>
      <c r="M39" s="733">
        <f t="shared" si="12"/>
        <v>0</v>
      </c>
      <c r="N39" s="343"/>
    </row>
    <row r="40" spans="1:14" ht="13">
      <c r="A40" s="688">
        <f t="shared" si="0"/>
        <v>310</v>
      </c>
      <c r="B40" s="691" t="s">
        <v>895</v>
      </c>
      <c r="C40" s="692"/>
      <c r="D40" s="693"/>
      <c r="E40" s="693"/>
      <c r="F40" s="693"/>
      <c r="G40" s="693"/>
      <c r="H40" s="693"/>
      <c r="I40" s="693"/>
      <c r="J40" s="733">
        <f t="shared" si="10"/>
        <v>0</v>
      </c>
      <c r="K40" s="733">
        <f>'9-ADIT-3'!I43</f>
        <v>0</v>
      </c>
      <c r="L40" s="733">
        <f t="shared" si="11"/>
        <v>0</v>
      </c>
      <c r="M40" s="733">
        <f t="shared" si="12"/>
        <v>0</v>
      </c>
      <c r="N40" s="343"/>
    </row>
    <row r="41" spans="1:14" ht="13">
      <c r="A41" s="688">
        <f t="shared" si="0"/>
        <v>311</v>
      </c>
      <c r="B41" s="691" t="s">
        <v>896</v>
      </c>
      <c r="C41" s="692"/>
      <c r="D41" s="693"/>
      <c r="E41" s="693"/>
      <c r="F41" s="693"/>
      <c r="G41" s="693"/>
      <c r="H41" s="693"/>
      <c r="I41" s="693"/>
      <c r="J41" s="733">
        <f t="shared" si="10"/>
        <v>0</v>
      </c>
      <c r="K41" s="733">
        <f>'9-ADIT-3'!I44</f>
        <v>0</v>
      </c>
      <c r="L41" s="733">
        <f t="shared" si="11"/>
        <v>0</v>
      </c>
      <c r="M41" s="733">
        <f t="shared" si="12"/>
        <v>0</v>
      </c>
      <c r="N41" s="343"/>
    </row>
    <row r="42" spans="1:14" ht="13">
      <c r="A42" s="688">
        <f t="shared" si="0"/>
        <v>312</v>
      </c>
      <c r="B42" s="691" t="s">
        <v>1010</v>
      </c>
      <c r="C42" s="692"/>
      <c r="D42" s="693"/>
      <c r="E42" s="693"/>
      <c r="F42" s="693"/>
      <c r="G42" s="693"/>
      <c r="H42" s="693"/>
      <c r="I42" s="693"/>
      <c r="J42" s="733">
        <f t="shared" si="10"/>
        <v>0</v>
      </c>
      <c r="K42" s="733">
        <f>'9-ADIT-3'!I45</f>
        <v>0</v>
      </c>
      <c r="L42" s="733">
        <f t="shared" si="11"/>
        <v>0</v>
      </c>
      <c r="M42" s="733">
        <f t="shared" si="12"/>
        <v>0</v>
      </c>
      <c r="N42" s="343"/>
    </row>
    <row r="43" spans="1:14" ht="13">
      <c r="A43" s="688">
        <f t="shared" si="0"/>
        <v>313</v>
      </c>
      <c r="B43" s="691" t="s">
        <v>918</v>
      </c>
      <c r="C43" s="692"/>
      <c r="D43" s="693"/>
      <c r="E43" s="693"/>
      <c r="F43" s="693"/>
      <c r="G43" s="693"/>
      <c r="H43" s="693"/>
      <c r="I43" s="693"/>
      <c r="J43" s="733">
        <f t="shared" si="10"/>
        <v>0</v>
      </c>
      <c r="K43" s="733">
        <f>'9-ADIT-3'!I46</f>
        <v>0</v>
      </c>
      <c r="L43" s="733">
        <f t="shared" si="11"/>
        <v>0</v>
      </c>
      <c r="M43" s="733">
        <f t="shared" si="12"/>
        <v>0</v>
      </c>
      <c r="N43" s="343"/>
    </row>
    <row r="44" spans="1:14" ht="13">
      <c r="A44" s="688">
        <f t="shared" si="0"/>
        <v>314</v>
      </c>
      <c r="B44" s="691" t="s">
        <v>917</v>
      </c>
      <c r="C44" s="692"/>
      <c r="D44" s="693"/>
      <c r="E44" s="693"/>
      <c r="F44" s="693"/>
      <c r="G44" s="693"/>
      <c r="H44" s="693"/>
      <c r="I44" s="693"/>
      <c r="J44" s="733">
        <f t="shared" si="10"/>
        <v>0</v>
      </c>
      <c r="K44" s="733">
        <f>'9-ADIT-3'!I47</f>
        <v>0</v>
      </c>
      <c r="L44" s="733">
        <f t="shared" si="11"/>
        <v>0</v>
      </c>
      <c r="M44" s="733">
        <f t="shared" si="12"/>
        <v>0</v>
      </c>
      <c r="N44" s="343"/>
    </row>
    <row r="45" spans="1:14" ht="13">
      <c r="A45" s="688">
        <f t="shared" si="0"/>
        <v>315</v>
      </c>
      <c r="B45" s="694" t="s">
        <v>641</v>
      </c>
      <c r="C45" s="693"/>
      <c r="D45" s="693"/>
      <c r="E45" s="693"/>
      <c r="F45" s="693"/>
      <c r="G45" s="693"/>
      <c r="H45" s="693"/>
      <c r="I45" s="693"/>
      <c r="J45" s="733">
        <f t="shared" si="10"/>
        <v>0</v>
      </c>
      <c r="K45" s="738"/>
      <c r="L45" s="738"/>
      <c r="M45" s="738"/>
      <c r="N45" s="343"/>
    </row>
    <row r="46" spans="1:14" ht="13.5" thickBot="1">
      <c r="A46" s="696" t="s">
        <v>1011</v>
      </c>
      <c r="B46" s="708" t="s">
        <v>1012</v>
      </c>
      <c r="C46" s="708"/>
      <c r="D46" s="739">
        <f t="shared" ref="D46" si="13">SUM(D31:D45)</f>
        <v>0</v>
      </c>
      <c r="E46" s="739">
        <f t="shared" ref="E46:M46" si="14">SUM(E31:E45)</f>
        <v>0</v>
      </c>
      <c r="F46" s="739">
        <f t="shared" si="14"/>
        <v>0</v>
      </c>
      <c r="G46" s="739">
        <f t="shared" si="14"/>
        <v>0</v>
      </c>
      <c r="H46" s="739">
        <f t="shared" si="14"/>
        <v>0</v>
      </c>
      <c r="I46" s="739">
        <f t="shared" si="14"/>
        <v>0</v>
      </c>
      <c r="J46" s="739">
        <f t="shared" si="14"/>
        <v>0</v>
      </c>
      <c r="K46" s="739">
        <f t="shared" si="14"/>
        <v>0</v>
      </c>
      <c r="L46" s="739">
        <f t="shared" si="14"/>
        <v>0</v>
      </c>
      <c r="M46" s="739">
        <f t="shared" si="14"/>
        <v>0</v>
      </c>
      <c r="N46" s="343"/>
    </row>
    <row r="47" spans="1:14" ht="13.5" thickTop="1">
      <c r="A47" s="688"/>
      <c r="B47" s="676"/>
      <c r="C47" s="676"/>
      <c r="D47" s="709"/>
      <c r="E47" s="709"/>
      <c r="F47" s="709"/>
      <c r="G47" s="709"/>
      <c r="H47" s="709"/>
      <c r="I47" s="709"/>
      <c r="J47" s="709"/>
      <c r="K47" s="709"/>
      <c r="L47" s="709"/>
      <c r="M47" s="709"/>
      <c r="N47" s="343"/>
    </row>
    <row r="48" spans="1:14" ht="13.5" thickBot="1">
      <c r="A48" s="688">
        <v>400</v>
      </c>
      <c r="B48" s="708" t="s">
        <v>1013</v>
      </c>
      <c r="C48" s="708"/>
      <c r="D48" s="740">
        <f t="shared" ref="D48:M48" si="15">D28+D46</f>
        <v>0</v>
      </c>
      <c r="E48" s="740">
        <f t="shared" si="15"/>
        <v>0</v>
      </c>
      <c r="F48" s="740">
        <f t="shared" si="15"/>
        <v>0</v>
      </c>
      <c r="G48" s="740">
        <f t="shared" si="15"/>
        <v>0</v>
      </c>
      <c r="H48" s="740">
        <f t="shared" si="15"/>
        <v>0</v>
      </c>
      <c r="I48" s="740">
        <f>I28+I46</f>
        <v>0</v>
      </c>
      <c r="J48" s="740">
        <f t="shared" si="15"/>
        <v>0</v>
      </c>
      <c r="K48" s="740">
        <f t="shared" si="15"/>
        <v>0</v>
      </c>
      <c r="L48" s="740">
        <f t="shared" si="15"/>
        <v>0</v>
      </c>
      <c r="M48" s="740">
        <f t="shared" si="15"/>
        <v>0</v>
      </c>
      <c r="N48" s="343"/>
    </row>
    <row r="49" spans="1:14" ht="14" thickTop="1" thickBot="1">
      <c r="A49" s="688">
        <v>500</v>
      </c>
      <c r="B49" s="708" t="s">
        <v>1014</v>
      </c>
      <c r="C49" s="710"/>
      <c r="D49" s="676"/>
      <c r="E49" s="741">
        <f>+E48+D48</f>
        <v>0</v>
      </c>
      <c r="F49" s="676"/>
      <c r="G49" s="676"/>
      <c r="H49" s="711"/>
      <c r="I49" s="741">
        <f>+I48+H48</f>
        <v>0</v>
      </c>
      <c r="J49" s="676"/>
      <c r="K49" s="676"/>
      <c r="L49" s="676"/>
      <c r="M49" s="741">
        <f>+M48+L48</f>
        <v>0</v>
      </c>
      <c r="N49" s="343"/>
    </row>
    <row r="50" spans="1:14" ht="13.5" thickTop="1">
      <c r="A50" s="688"/>
      <c r="B50" s="708"/>
      <c r="C50" s="710"/>
      <c r="D50" s="676"/>
      <c r="E50" s="941"/>
      <c r="F50" s="676"/>
      <c r="G50" s="676"/>
      <c r="H50" s="711"/>
      <c r="I50" s="941"/>
      <c r="J50" s="676"/>
      <c r="K50" s="676"/>
      <c r="L50" s="676"/>
      <c r="M50" s="941"/>
      <c r="N50" s="343"/>
    </row>
    <row r="51" spans="1:14" ht="13">
      <c r="A51" s="942">
        <v>600</v>
      </c>
      <c r="B51" s="965" t="s">
        <v>1015</v>
      </c>
      <c r="C51" s="936"/>
      <c r="D51" s="936"/>
      <c r="E51" s="941"/>
      <c r="F51" s="676"/>
      <c r="G51" s="676"/>
      <c r="H51" s="711"/>
      <c r="I51" s="941"/>
      <c r="J51" s="676"/>
      <c r="K51" s="676"/>
      <c r="L51" s="944">
        <f>'1-BaseTRR'!K104/(1-'1-BaseTRR'!K104)</f>
        <v>0</v>
      </c>
      <c r="M51" s="944">
        <f>'1-BaseTRR'!K104/(1-'1-BaseTRR'!K104)</f>
        <v>0</v>
      </c>
      <c r="N51" s="343"/>
    </row>
    <row r="52" spans="1:14" ht="13">
      <c r="A52" s="942">
        <v>601</v>
      </c>
      <c r="B52" s="965" t="s">
        <v>1016</v>
      </c>
      <c r="C52" s="936"/>
      <c r="D52" s="943" t="s">
        <v>1017</v>
      </c>
      <c r="E52" s="941"/>
      <c r="F52" s="676"/>
      <c r="G52" s="676"/>
      <c r="H52" s="711"/>
      <c r="I52" s="941"/>
      <c r="J52" s="676"/>
      <c r="K52" s="676"/>
      <c r="L52" s="1065">
        <f>L48*L51</f>
        <v>0</v>
      </c>
      <c r="M52" s="1065">
        <f>M48*M51</f>
        <v>0</v>
      </c>
      <c r="N52" s="343"/>
    </row>
    <row r="53" spans="1:14" ht="13">
      <c r="A53" s="688"/>
      <c r="B53" s="708"/>
      <c r="C53" s="710"/>
      <c r="D53" s="676"/>
      <c r="E53" s="941"/>
      <c r="F53" s="676"/>
      <c r="G53" s="676"/>
      <c r="H53" s="711"/>
      <c r="I53" s="941"/>
      <c r="J53" s="676"/>
      <c r="K53" s="676"/>
      <c r="L53" s="676"/>
      <c r="M53" s="941"/>
      <c r="N53" s="343"/>
    </row>
    <row r="54" spans="1:14" ht="13">
      <c r="A54" s="688"/>
      <c r="B54" s="712" t="s">
        <v>233</v>
      </c>
      <c r="C54" s="713"/>
      <c r="D54" s="676"/>
      <c r="E54" s="676"/>
      <c r="F54" s="676"/>
      <c r="G54" s="676"/>
      <c r="H54" s="676"/>
      <c r="I54" s="676"/>
      <c r="J54" s="676"/>
      <c r="K54" s="676"/>
      <c r="L54" s="676"/>
      <c r="M54" s="676"/>
      <c r="N54" s="343"/>
    </row>
    <row r="55" spans="1:14" ht="13">
      <c r="A55" s="688"/>
      <c r="B55" s="714" t="s">
        <v>1018</v>
      </c>
      <c r="C55" s="676"/>
      <c r="D55" s="676"/>
      <c r="E55" s="676"/>
      <c r="F55" s="676"/>
      <c r="G55" s="676"/>
      <c r="H55" s="676"/>
      <c r="I55" s="676"/>
      <c r="J55" s="676"/>
      <c r="K55" s="676"/>
      <c r="L55" s="676"/>
      <c r="M55" s="676"/>
      <c r="N55" s="343"/>
    </row>
    <row r="56" spans="1:14" ht="13">
      <c r="A56" s="688"/>
      <c r="B56" s="715" t="s">
        <v>1019</v>
      </c>
      <c r="C56" s="676"/>
      <c r="D56" s="676"/>
      <c r="E56" s="676"/>
      <c r="F56" s="676"/>
      <c r="G56" s="676"/>
      <c r="H56" s="676"/>
      <c r="I56" s="676"/>
      <c r="J56" s="676"/>
      <c r="K56" s="676"/>
      <c r="L56" s="676"/>
      <c r="M56" s="676"/>
      <c r="N56" s="343"/>
    </row>
    <row r="57" spans="1:14" ht="13">
      <c r="A57" s="688"/>
      <c r="B57" s="343"/>
      <c r="C57" s="716" t="s">
        <v>1020</v>
      </c>
      <c r="D57" s="717"/>
      <c r="E57" s="717"/>
      <c r="F57" s="676"/>
      <c r="G57" s="676"/>
      <c r="H57" s="676"/>
      <c r="I57" s="676"/>
      <c r="J57" s="676"/>
      <c r="K57" s="676"/>
      <c r="L57" s="676"/>
      <c r="M57" s="676"/>
      <c r="N57" s="343"/>
    </row>
    <row r="58" spans="1:14" ht="13">
      <c r="A58" s="688"/>
      <c r="B58" s="343"/>
      <c r="C58" s="716" t="s">
        <v>1021</v>
      </c>
      <c r="D58" s="718"/>
      <c r="E58" s="718"/>
      <c r="F58" s="676"/>
      <c r="G58" s="676"/>
      <c r="H58" s="676"/>
      <c r="I58" s="676"/>
      <c r="J58" s="676"/>
      <c r="K58" s="676"/>
      <c r="L58" s="676"/>
      <c r="M58" s="676"/>
      <c r="N58" s="343"/>
    </row>
    <row r="59" spans="1:14" ht="13">
      <c r="A59" s="688"/>
      <c r="B59" s="948" t="s">
        <v>1022</v>
      </c>
      <c r="C59" s="676"/>
      <c r="D59" s="676"/>
      <c r="E59" s="676"/>
      <c r="F59" s="676"/>
      <c r="G59" s="676"/>
      <c r="H59" s="676"/>
      <c r="I59" s="993"/>
      <c r="J59" s="993"/>
      <c r="K59" s="993"/>
      <c r="L59" s="993"/>
      <c r="M59" s="993"/>
      <c r="N59" s="343"/>
    </row>
    <row r="60" spans="1:14" ht="13">
      <c r="A60" s="688"/>
      <c r="B60" s="343"/>
      <c r="C60" s="716" t="s">
        <v>1020</v>
      </c>
      <c r="D60" s="717"/>
      <c r="E60" s="717"/>
      <c r="F60" s="676"/>
      <c r="G60" s="676"/>
      <c r="H60" s="676"/>
      <c r="I60" s="676"/>
      <c r="J60" s="676"/>
      <c r="K60" s="676"/>
      <c r="L60" s="676"/>
      <c r="M60" s="676"/>
      <c r="N60" s="343"/>
    </row>
    <row r="61" spans="1:14" ht="13">
      <c r="A61" s="688"/>
      <c r="B61" s="343"/>
      <c r="C61" s="716" t="s">
        <v>1021</v>
      </c>
      <c r="D61" s="718"/>
      <c r="E61" s="718"/>
      <c r="F61" s="676"/>
      <c r="G61" s="676"/>
      <c r="H61" s="676"/>
      <c r="I61" s="676"/>
      <c r="J61" s="676"/>
      <c r="K61" s="676"/>
      <c r="L61" s="676"/>
      <c r="M61" s="676"/>
      <c r="N61" s="343"/>
    </row>
    <row r="62" spans="1:14">
      <c r="A62" s="676"/>
      <c r="B62" s="715" t="s">
        <v>1023</v>
      </c>
      <c r="C62" s="343"/>
      <c r="D62" s="343"/>
      <c r="E62" s="343"/>
      <c r="F62" s="343"/>
      <c r="G62" s="343"/>
      <c r="H62" s="343"/>
      <c r="I62" s="343"/>
      <c r="J62" s="343"/>
      <c r="K62" s="343"/>
      <c r="L62" s="343"/>
      <c r="M62" s="343"/>
      <c r="N62" s="343"/>
    </row>
    <row r="63" spans="1:14">
      <c r="A63" s="676"/>
      <c r="B63" s="343"/>
      <c r="C63" s="716" t="s">
        <v>1020</v>
      </c>
      <c r="D63" s="717"/>
      <c r="E63" s="717"/>
      <c r="F63" s="343"/>
      <c r="G63" s="343"/>
      <c r="H63" s="343"/>
      <c r="I63" s="343"/>
      <c r="J63" s="343"/>
      <c r="K63" s="343"/>
      <c r="L63" s="343"/>
      <c r="M63" s="343"/>
      <c r="N63" s="343"/>
    </row>
    <row r="64" spans="1:14">
      <c r="A64" s="676"/>
      <c r="B64" s="343"/>
      <c r="C64" s="716" t="s">
        <v>1021</v>
      </c>
      <c r="D64" s="718"/>
      <c r="E64" s="718"/>
      <c r="F64" s="343"/>
      <c r="G64" s="343"/>
      <c r="H64" s="343"/>
      <c r="I64" s="343"/>
      <c r="J64" s="343"/>
      <c r="K64" s="343"/>
      <c r="L64" s="343"/>
      <c r="M64" s="343"/>
      <c r="N64" s="343"/>
    </row>
    <row r="65" spans="1:14">
      <c r="A65" s="343"/>
      <c r="B65" s="715" t="s">
        <v>1024</v>
      </c>
      <c r="C65" s="343"/>
      <c r="D65" s="343"/>
      <c r="E65" s="343"/>
      <c r="F65" s="343"/>
      <c r="G65" s="343"/>
      <c r="H65" s="343"/>
      <c r="I65" s="343"/>
      <c r="J65" s="343"/>
      <c r="K65" s="343"/>
      <c r="L65" s="343"/>
      <c r="M65" s="343"/>
      <c r="N65" s="343"/>
    </row>
    <row r="66" spans="1:14">
      <c r="A66" s="343"/>
      <c r="B66" s="343"/>
      <c r="C66" s="343"/>
      <c r="D66" s="343"/>
      <c r="E66" s="343"/>
      <c r="F66" s="343"/>
      <c r="G66" s="343"/>
      <c r="H66" s="343"/>
      <c r="I66" s="343"/>
      <c r="J66" s="343"/>
      <c r="K66" s="343"/>
      <c r="L66" s="343"/>
      <c r="M66" s="343"/>
      <c r="N66" s="343"/>
    </row>
    <row r="67" spans="1:14">
      <c r="A67" s="343"/>
      <c r="B67" s="933"/>
      <c r="C67" s="933"/>
      <c r="D67" s="933"/>
      <c r="E67" s="933"/>
      <c r="F67" s="934" t="s">
        <v>1025</v>
      </c>
      <c r="G67" s="933"/>
      <c r="H67" s="343"/>
      <c r="I67" s="343"/>
      <c r="J67" s="343"/>
      <c r="K67" s="343"/>
      <c r="L67" s="343"/>
      <c r="M67" s="343"/>
      <c r="N67" s="343"/>
    </row>
    <row r="68" spans="1:14">
      <c r="A68" s="343"/>
      <c r="B68" s="935" t="s">
        <v>1026</v>
      </c>
      <c r="C68" s="936"/>
      <c r="D68" s="936" t="s">
        <v>1027</v>
      </c>
      <c r="E68" s="936"/>
      <c r="F68" s="976"/>
      <c r="G68" s="937"/>
      <c r="H68" s="343"/>
      <c r="I68" s="343"/>
      <c r="J68" s="343"/>
      <c r="K68" s="343"/>
      <c r="L68" s="343" t="s">
        <v>132</v>
      </c>
      <c r="M68" s="343"/>
      <c r="N68" s="343"/>
    </row>
    <row r="69" spans="1:14">
      <c r="B69" s="935" t="s">
        <v>1028</v>
      </c>
      <c r="C69" s="936"/>
      <c r="D69" s="936" t="s">
        <v>1027</v>
      </c>
      <c r="E69" s="936"/>
      <c r="F69" s="976"/>
      <c r="G69" s="937"/>
    </row>
    <row r="70" spans="1:14">
      <c r="B70" s="938"/>
      <c r="C70" s="936"/>
      <c r="D70" s="936"/>
      <c r="E70" s="936"/>
      <c r="F70" s="936"/>
      <c r="G70" s="936"/>
    </row>
    <row r="71" spans="1:14">
      <c r="B71" s="935" t="s">
        <v>1029</v>
      </c>
      <c r="C71" s="936"/>
      <c r="D71" s="936" t="s">
        <v>1030</v>
      </c>
      <c r="E71" s="936"/>
      <c r="F71" s="976"/>
      <c r="G71" s="937"/>
    </row>
    <row r="72" spans="1:14">
      <c r="B72" s="935" t="s">
        <v>1031</v>
      </c>
      <c r="C72" s="936"/>
      <c r="D72" s="936" t="s">
        <v>1030</v>
      </c>
      <c r="E72" s="936"/>
      <c r="F72" s="976"/>
      <c r="G72" s="937"/>
    </row>
    <row r="73" spans="1:14" ht="14">
      <c r="B73" s="233"/>
      <c r="C73" s="233"/>
      <c r="D73" s="233"/>
      <c r="E73" s="939"/>
      <c r="F73" s="940"/>
      <c r="G73" s="940"/>
    </row>
    <row r="74" spans="1:14" ht="14">
      <c r="B74" s="935" t="s">
        <v>1032</v>
      </c>
      <c r="C74" s="233"/>
      <c r="D74" s="233"/>
      <c r="E74" s="939"/>
      <c r="F74" s="940"/>
      <c r="G74" s="940"/>
    </row>
  </sheetData>
  <pageMargins left="0.7" right="0.7" top="0.75" bottom="0.75" header="0.3" footer="0.3"/>
  <pageSetup scale="63" orientation="landscape" r:id="rId1"/>
  <headerFooter>
    <oddHeader>&amp;CSchedule 9-ADIT-2
EDIT</oddHeader>
    <oddFooter>&amp;R&amp;A</oddFooter>
  </headerFooter>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BD8FC-C6F9-4356-A610-E3701A85BDC0}">
  <dimension ref="A1:J71"/>
  <sheetViews>
    <sheetView topLeftCell="C1" zoomScaleNormal="100" workbookViewId="0">
      <selection activeCell="L41" sqref="L41"/>
    </sheetView>
  </sheetViews>
  <sheetFormatPr defaultColWidth="14.54296875" defaultRowHeight="12.5"/>
  <cols>
    <col min="1" max="1" width="5.54296875" customWidth="1"/>
    <col min="2" max="2" width="37.54296875" customWidth="1"/>
    <col min="3" max="3" width="6.54296875" customWidth="1"/>
    <col min="4" max="9" width="15.54296875" customWidth="1"/>
  </cols>
  <sheetData>
    <row r="1" spans="1:10" ht="14.5">
      <c r="A1" s="708" t="s">
        <v>1033</v>
      </c>
      <c r="B1" s="719"/>
      <c r="C1" s="674"/>
      <c r="D1" s="674"/>
      <c r="E1" s="674"/>
      <c r="F1" s="674"/>
      <c r="G1" s="674"/>
      <c r="H1" s="674"/>
      <c r="I1" s="674"/>
      <c r="J1" s="675"/>
    </row>
    <row r="2" spans="1:10" ht="14.5">
      <c r="A2" s="708"/>
      <c r="B2" s="719"/>
      <c r="C2" s="674"/>
      <c r="D2" s="674"/>
      <c r="E2" s="674"/>
      <c r="F2" s="674"/>
      <c r="G2" s="674"/>
      <c r="H2" s="677" t="s">
        <v>657</v>
      </c>
      <c r="I2" s="678"/>
      <c r="J2" s="675"/>
    </row>
    <row r="3" spans="1:10" ht="14.5">
      <c r="A3" s="708"/>
      <c r="B3" s="719"/>
      <c r="C3" s="674"/>
      <c r="D3" s="674"/>
      <c r="E3" s="674"/>
      <c r="F3" s="674"/>
      <c r="G3" s="674"/>
      <c r="H3" s="677" t="s">
        <v>1034</v>
      </c>
      <c r="I3" s="720"/>
      <c r="J3" s="675"/>
    </row>
    <row r="4" spans="1:10" ht="13">
      <c r="A4" s="676"/>
      <c r="B4" s="676"/>
      <c r="C4" s="676"/>
      <c r="D4" s="676"/>
      <c r="E4" s="676"/>
      <c r="F4" s="676"/>
      <c r="G4" s="676"/>
      <c r="H4" s="721" t="s">
        <v>1036</v>
      </c>
      <c r="I4" s="722"/>
      <c r="J4" s="343"/>
    </row>
    <row r="5" spans="1:10" ht="13">
      <c r="A5" s="676"/>
      <c r="B5" s="676"/>
      <c r="C5" s="676"/>
      <c r="D5" s="676"/>
      <c r="E5" s="676"/>
      <c r="F5" s="676"/>
      <c r="G5" s="676"/>
      <c r="H5" s="721"/>
      <c r="I5" s="721"/>
      <c r="J5" s="343"/>
    </row>
    <row r="6" spans="1:10" ht="13">
      <c r="A6" s="679"/>
      <c r="B6" s="680" t="s">
        <v>957</v>
      </c>
      <c r="C6" s="680" t="s">
        <v>958</v>
      </c>
      <c r="D6" s="680" t="s">
        <v>959</v>
      </c>
      <c r="E6" s="680" t="s">
        <v>960</v>
      </c>
      <c r="F6" s="680" t="s">
        <v>961</v>
      </c>
      <c r="G6" s="680" t="s">
        <v>962</v>
      </c>
      <c r="H6" s="680" t="s">
        <v>963</v>
      </c>
      <c r="I6" s="680" t="s">
        <v>964</v>
      </c>
      <c r="J6" s="343"/>
    </row>
    <row r="7" spans="1:10" ht="13.5" thickBot="1">
      <c r="A7" s="676"/>
      <c r="B7" s="679"/>
      <c r="C7" s="679"/>
      <c r="D7" s="966" t="s">
        <v>147</v>
      </c>
      <c r="E7" s="966" t="s">
        <v>147</v>
      </c>
      <c r="F7" s="676"/>
      <c r="G7" s="676"/>
      <c r="H7" s="676"/>
      <c r="I7" s="676"/>
      <c r="J7" s="343"/>
    </row>
    <row r="8" spans="1:10" ht="13.5" thickBot="1">
      <c r="A8" s="676"/>
      <c r="B8" s="679"/>
      <c r="C8" s="679"/>
      <c r="D8" s="1201" t="s">
        <v>1037</v>
      </c>
      <c r="E8" s="1202"/>
      <c r="F8" s="1202"/>
      <c r="G8" s="1202"/>
      <c r="H8" s="1202"/>
      <c r="I8" s="1203"/>
      <c r="J8" s="343"/>
    </row>
    <row r="9" spans="1:10" ht="13.5" thickBot="1">
      <c r="A9" s="676"/>
      <c r="B9" s="679"/>
      <c r="C9" s="679"/>
      <c r="D9" s="723" t="s">
        <v>969</v>
      </c>
      <c r="E9" s="724" t="s">
        <v>969</v>
      </c>
      <c r="F9" s="725" t="s">
        <v>1038</v>
      </c>
      <c r="G9" s="726" t="s">
        <v>1039</v>
      </c>
      <c r="H9" s="725" t="s">
        <v>1040</v>
      </c>
      <c r="I9" s="725" t="s">
        <v>1041</v>
      </c>
      <c r="J9" s="343"/>
    </row>
    <row r="10" spans="1:10" ht="72" customHeight="1" thickBot="1">
      <c r="A10" s="685" t="s">
        <v>284</v>
      </c>
      <c r="B10" s="676"/>
      <c r="C10" s="727" t="s">
        <v>1042</v>
      </c>
      <c r="D10" s="945" t="s">
        <v>1043</v>
      </c>
      <c r="E10" s="945" t="s">
        <v>1044</v>
      </c>
      <c r="F10" s="945" t="s">
        <v>1045</v>
      </c>
      <c r="G10" s="945" t="s">
        <v>1046</v>
      </c>
      <c r="H10" s="945" t="s">
        <v>1047</v>
      </c>
      <c r="I10" s="945" t="s">
        <v>1048</v>
      </c>
      <c r="J10" s="343"/>
    </row>
    <row r="11" spans="1:10" ht="13">
      <c r="A11" s="688">
        <v>1</v>
      </c>
      <c r="B11" s="689" t="s">
        <v>1049</v>
      </c>
      <c r="C11" s="690"/>
      <c r="D11" s="676"/>
      <c r="E11" s="676"/>
      <c r="F11" s="676"/>
      <c r="G11" s="676"/>
      <c r="H11" s="676"/>
      <c r="I11" s="676"/>
      <c r="J11" s="343"/>
    </row>
    <row r="12" spans="1:10" ht="13">
      <c r="A12" s="688">
        <f t="shared" ref="A12:A16" si="0">+A11+1</f>
        <v>2</v>
      </c>
      <c r="B12" s="691" t="s">
        <v>984</v>
      </c>
      <c r="C12" s="692">
        <v>282</v>
      </c>
      <c r="D12" s="728"/>
      <c r="E12" s="693"/>
      <c r="F12" s="733">
        <f>+D12*$I$4</f>
        <v>0</v>
      </c>
      <c r="G12" s="733">
        <f>+E12-F12</f>
        <v>0</v>
      </c>
      <c r="H12" s="733">
        <f>IF($I$3="No", 0,'9-ADIT-2'!J9)</f>
        <v>0</v>
      </c>
      <c r="I12" s="733">
        <f>+G12-H12</f>
        <v>0</v>
      </c>
      <c r="J12" s="343"/>
    </row>
    <row r="13" spans="1:10" ht="13">
      <c r="A13" s="688">
        <f t="shared" si="0"/>
        <v>3</v>
      </c>
      <c r="B13" s="691" t="s">
        <v>985</v>
      </c>
      <c r="C13" s="692">
        <v>282</v>
      </c>
      <c r="D13" s="728"/>
      <c r="E13" s="693"/>
      <c r="F13" s="733">
        <f t="shared" ref="F13:F15" si="1">+D13*$I$4</f>
        <v>0</v>
      </c>
      <c r="G13" s="733">
        <f>+E13-F13</f>
        <v>0</v>
      </c>
      <c r="H13" s="733">
        <f>IF($I$3="No", 0,'9-ADIT-2'!J10)</f>
        <v>0</v>
      </c>
      <c r="I13" s="733">
        <f t="shared" ref="I13:I15" si="2">+G13-H13</f>
        <v>0</v>
      </c>
      <c r="J13" s="343"/>
    </row>
    <row r="14" spans="1:10" ht="13">
      <c r="A14" s="688">
        <f t="shared" si="0"/>
        <v>4</v>
      </c>
      <c r="B14" s="691" t="s">
        <v>986</v>
      </c>
      <c r="C14" s="692">
        <v>282</v>
      </c>
      <c r="D14" s="728"/>
      <c r="E14" s="693"/>
      <c r="F14" s="733">
        <f t="shared" si="1"/>
        <v>0</v>
      </c>
      <c r="G14" s="733">
        <f>+E14-F14</f>
        <v>0</v>
      </c>
      <c r="H14" s="733">
        <f>IF($I$3="No", 0,'9-ADIT-2'!J11)</f>
        <v>0</v>
      </c>
      <c r="I14" s="733">
        <f t="shared" si="2"/>
        <v>0</v>
      </c>
      <c r="J14" s="343"/>
    </row>
    <row r="15" spans="1:10" ht="13">
      <c r="A15" s="688">
        <f t="shared" si="0"/>
        <v>5</v>
      </c>
      <c r="B15" s="691" t="s">
        <v>987</v>
      </c>
      <c r="C15" s="692">
        <v>190</v>
      </c>
      <c r="D15" s="728"/>
      <c r="E15" s="693"/>
      <c r="F15" s="733">
        <f t="shared" si="1"/>
        <v>0</v>
      </c>
      <c r="G15" s="733">
        <f>+E15-F15</f>
        <v>0</v>
      </c>
      <c r="H15" s="733">
        <f>IF($I$3="No", 0,'9-ADIT-2'!J12)</f>
        <v>0</v>
      </c>
      <c r="I15" s="733">
        <f t="shared" si="2"/>
        <v>0</v>
      </c>
      <c r="J15" s="343"/>
    </row>
    <row r="16" spans="1:10" ht="13">
      <c r="A16" s="688">
        <f t="shared" si="0"/>
        <v>6</v>
      </c>
      <c r="B16" s="694" t="s">
        <v>641</v>
      </c>
      <c r="C16" s="695"/>
      <c r="D16" s="693"/>
      <c r="E16" s="693"/>
      <c r="F16" s="691"/>
      <c r="G16" s="676"/>
      <c r="H16" s="691"/>
      <c r="I16" s="691"/>
      <c r="J16" s="343"/>
    </row>
    <row r="17" spans="1:10" ht="13">
      <c r="A17" s="696" t="s">
        <v>988</v>
      </c>
      <c r="B17" s="691"/>
      <c r="C17" s="698"/>
      <c r="D17" s="734">
        <f t="shared" ref="D17:H17" si="3">SUM(D12:D16)</f>
        <v>0</v>
      </c>
      <c r="E17" s="734">
        <f t="shared" si="3"/>
        <v>0</v>
      </c>
      <c r="F17" s="734">
        <f t="shared" si="3"/>
        <v>0</v>
      </c>
      <c r="G17" s="742">
        <f t="shared" si="3"/>
        <v>0</v>
      </c>
      <c r="H17" s="734">
        <f t="shared" si="3"/>
        <v>0</v>
      </c>
      <c r="I17" s="734">
        <f>SUM(I12:I16)</f>
        <v>0</v>
      </c>
      <c r="J17" s="343"/>
    </row>
    <row r="18" spans="1:10" ht="13">
      <c r="A18" s="688"/>
      <c r="B18" s="691"/>
      <c r="C18" s="698"/>
      <c r="D18" s="691"/>
      <c r="E18" s="691"/>
      <c r="F18" s="691"/>
      <c r="G18" s="676"/>
      <c r="H18" s="691"/>
      <c r="I18" s="691"/>
      <c r="J18" s="343"/>
    </row>
    <row r="19" spans="1:10" ht="13">
      <c r="A19" s="688">
        <v>100</v>
      </c>
      <c r="B19" s="729" t="s">
        <v>1050</v>
      </c>
      <c r="C19" s="700"/>
      <c r="D19" s="691"/>
      <c r="E19" s="691"/>
      <c r="F19" s="691"/>
      <c r="G19" s="676"/>
      <c r="H19" s="691"/>
      <c r="I19" s="691"/>
      <c r="J19" s="343"/>
    </row>
    <row r="20" spans="1:10" ht="13">
      <c r="A20" s="688">
        <f t="shared" ref="A20:A48" si="4">+A19+1</f>
        <v>101</v>
      </c>
      <c r="B20" s="691" t="s">
        <v>991</v>
      </c>
      <c r="C20" s="692">
        <v>282</v>
      </c>
      <c r="D20" s="693"/>
      <c r="E20" s="693"/>
      <c r="F20" s="733">
        <f t="shared" ref="F20:F25" si="5">+D20*$I$4</f>
        <v>0</v>
      </c>
      <c r="G20" s="733">
        <f t="shared" ref="G20:G25" si="6">+E20-F20</f>
        <v>0</v>
      </c>
      <c r="H20" s="733">
        <f>IF($I$3="No", 0,'9-ADIT-2'!J17)</f>
        <v>0</v>
      </c>
      <c r="I20" s="733">
        <f t="shared" ref="I20:I25" si="7">+G20-H20</f>
        <v>0</v>
      </c>
      <c r="J20" s="343"/>
    </row>
    <row r="21" spans="1:10" ht="13">
      <c r="A21" s="688">
        <f t="shared" si="4"/>
        <v>102</v>
      </c>
      <c r="B21" s="691" t="s">
        <v>992</v>
      </c>
      <c r="C21" s="692">
        <v>282</v>
      </c>
      <c r="D21" s="693"/>
      <c r="E21" s="693"/>
      <c r="F21" s="733">
        <f t="shared" si="5"/>
        <v>0</v>
      </c>
      <c r="G21" s="733">
        <f t="shared" si="6"/>
        <v>0</v>
      </c>
      <c r="H21" s="733">
        <f>IF($I$3="No", 0,'9-ADIT-2'!J18)</f>
        <v>0</v>
      </c>
      <c r="I21" s="733">
        <f t="shared" si="7"/>
        <v>0</v>
      </c>
      <c r="J21" s="343"/>
    </row>
    <row r="22" spans="1:10" ht="13">
      <c r="A22" s="688">
        <f t="shared" si="4"/>
        <v>103</v>
      </c>
      <c r="B22" s="691" t="s">
        <v>993</v>
      </c>
      <c r="C22" s="692">
        <v>282</v>
      </c>
      <c r="D22" s="693"/>
      <c r="E22" s="693"/>
      <c r="F22" s="733">
        <f t="shared" si="5"/>
        <v>0</v>
      </c>
      <c r="G22" s="733">
        <f t="shared" si="6"/>
        <v>0</v>
      </c>
      <c r="H22" s="733">
        <f>IF($I$3="No", 0,'9-ADIT-2'!J19)</f>
        <v>0</v>
      </c>
      <c r="I22" s="733">
        <f t="shared" si="7"/>
        <v>0</v>
      </c>
      <c r="J22" s="343"/>
    </row>
    <row r="23" spans="1:10" ht="13">
      <c r="A23" s="688">
        <f t="shared" si="4"/>
        <v>104</v>
      </c>
      <c r="B23" s="691" t="s">
        <v>994</v>
      </c>
      <c r="C23" s="692">
        <v>282</v>
      </c>
      <c r="D23" s="693"/>
      <c r="E23" s="693"/>
      <c r="F23" s="733">
        <f t="shared" si="5"/>
        <v>0</v>
      </c>
      <c r="G23" s="733">
        <f t="shared" si="6"/>
        <v>0</v>
      </c>
      <c r="H23" s="733">
        <f>IF($I$3="No", 0,'9-ADIT-2'!J20)</f>
        <v>0</v>
      </c>
      <c r="I23" s="733">
        <f t="shared" si="7"/>
        <v>0</v>
      </c>
      <c r="J23" s="343"/>
    </row>
    <row r="24" spans="1:10" ht="13">
      <c r="A24" s="688">
        <f t="shared" si="4"/>
        <v>105</v>
      </c>
      <c r="B24" s="691" t="s">
        <v>995</v>
      </c>
      <c r="C24" s="692">
        <v>282</v>
      </c>
      <c r="D24" s="693"/>
      <c r="E24" s="693"/>
      <c r="F24" s="733">
        <f t="shared" si="5"/>
        <v>0</v>
      </c>
      <c r="G24" s="733">
        <f t="shared" si="6"/>
        <v>0</v>
      </c>
      <c r="H24" s="733">
        <f>IF($I$3="No", 0,'9-ADIT-2'!J21)</f>
        <v>0</v>
      </c>
      <c r="I24" s="733">
        <f t="shared" si="7"/>
        <v>0</v>
      </c>
      <c r="J24" s="343"/>
    </row>
    <row r="25" spans="1:10" ht="13">
      <c r="A25" s="688">
        <f t="shared" si="4"/>
        <v>106</v>
      </c>
      <c r="B25" s="691" t="s">
        <v>996</v>
      </c>
      <c r="C25" s="692">
        <v>190</v>
      </c>
      <c r="D25" s="693"/>
      <c r="E25" s="693"/>
      <c r="F25" s="733">
        <f t="shared" si="5"/>
        <v>0</v>
      </c>
      <c r="G25" s="733">
        <f t="shared" si="6"/>
        <v>0</v>
      </c>
      <c r="H25" s="733">
        <f>IF($I$3="No", 0,'9-ADIT-2'!J22)</f>
        <v>0</v>
      </c>
      <c r="I25" s="733">
        <f t="shared" si="7"/>
        <v>0</v>
      </c>
      <c r="J25" s="343"/>
    </row>
    <row r="26" spans="1:10" ht="13">
      <c r="A26" s="688">
        <f t="shared" si="4"/>
        <v>107</v>
      </c>
      <c r="B26" s="694" t="s">
        <v>641</v>
      </c>
      <c r="C26" s="695"/>
      <c r="D26" s="693"/>
      <c r="E26" s="693"/>
      <c r="F26" s="691"/>
      <c r="G26" s="691"/>
      <c r="H26" s="691"/>
      <c r="I26" s="691"/>
      <c r="J26" s="343"/>
    </row>
    <row r="27" spans="1:10" ht="13">
      <c r="A27" s="688">
        <v>150</v>
      </c>
      <c r="B27" s="691"/>
      <c r="C27" s="698"/>
      <c r="D27" s="735">
        <f t="shared" ref="D27:I27" si="8">SUM(D20:D26)</f>
        <v>0</v>
      </c>
      <c r="E27" s="735">
        <f t="shared" si="8"/>
        <v>0</v>
      </c>
      <c r="F27" s="735">
        <f t="shared" si="8"/>
        <v>0</v>
      </c>
      <c r="G27" s="735">
        <f t="shared" si="8"/>
        <v>0</v>
      </c>
      <c r="H27" s="735">
        <f t="shared" si="8"/>
        <v>0</v>
      </c>
      <c r="I27" s="735">
        <f t="shared" si="8"/>
        <v>0</v>
      </c>
      <c r="J27" s="343"/>
    </row>
    <row r="28" spans="1:10" ht="13">
      <c r="A28" s="688"/>
      <c r="B28" s="691"/>
      <c r="C28" s="698"/>
      <c r="D28" s="112"/>
      <c r="E28" s="701"/>
      <c r="F28" s="112"/>
      <c r="G28" s="112"/>
      <c r="H28" s="112"/>
      <c r="I28" s="112"/>
      <c r="J28" s="343"/>
    </row>
    <row r="29" spans="1:10" ht="13">
      <c r="A29" s="688">
        <v>200</v>
      </c>
      <c r="B29" s="704" t="s">
        <v>1051</v>
      </c>
      <c r="C29" s="692">
        <v>282</v>
      </c>
      <c r="D29" s="703"/>
      <c r="E29" s="703"/>
      <c r="F29" s="743">
        <f t="shared" ref="F29" si="9">+D29*$I$4</f>
        <v>0</v>
      </c>
      <c r="G29" s="744">
        <f>+E29-F29</f>
        <v>0</v>
      </c>
      <c r="H29" s="743">
        <f>IF($I$3="No", 0,'9-ADIT-2'!J26)</f>
        <v>0</v>
      </c>
      <c r="I29" s="743">
        <f>+G29-H29</f>
        <v>0</v>
      </c>
      <c r="J29" s="343"/>
    </row>
    <row r="30" spans="1:10" ht="13">
      <c r="A30" s="688"/>
      <c r="B30" s="691"/>
      <c r="C30" s="698"/>
      <c r="D30" s="112"/>
      <c r="E30" s="112"/>
      <c r="F30" s="112"/>
      <c r="G30" s="112"/>
      <c r="H30" s="112"/>
      <c r="I30" s="112"/>
      <c r="J30" s="343"/>
    </row>
    <row r="31" spans="1:10" ht="13.5" thickBot="1">
      <c r="A31" s="688">
        <v>250</v>
      </c>
      <c r="B31" s="704" t="s">
        <v>1052</v>
      </c>
      <c r="C31" s="705"/>
      <c r="D31" s="737">
        <f t="shared" ref="D31:I31" si="10">+D29+D27+D17</f>
        <v>0</v>
      </c>
      <c r="E31" s="737">
        <f t="shared" si="10"/>
        <v>0</v>
      </c>
      <c r="F31" s="737">
        <f t="shared" si="10"/>
        <v>0</v>
      </c>
      <c r="G31" s="737">
        <f t="shared" si="10"/>
        <v>0</v>
      </c>
      <c r="H31" s="737">
        <f t="shared" si="10"/>
        <v>0</v>
      </c>
      <c r="I31" s="737">
        <f t="shared" si="10"/>
        <v>0</v>
      </c>
      <c r="J31" s="343"/>
    </row>
    <row r="32" spans="1:10" ht="13.5" thickTop="1">
      <c r="A32" s="688"/>
      <c r="B32" s="706"/>
      <c r="C32" s="707"/>
      <c r="D32" s="691"/>
      <c r="E32" s="691"/>
      <c r="F32" s="691"/>
      <c r="G32" s="691"/>
      <c r="H32" s="691"/>
      <c r="I32" s="691"/>
      <c r="J32" s="343"/>
    </row>
    <row r="33" spans="1:10" ht="13">
      <c r="A33" s="688">
        <v>300</v>
      </c>
      <c r="B33" s="729" t="s">
        <v>1053</v>
      </c>
      <c r="C33" s="700"/>
      <c r="D33" s="691"/>
      <c r="E33" s="691"/>
      <c r="F33" s="691"/>
      <c r="G33" s="691"/>
      <c r="H33" s="691"/>
      <c r="I33" s="691"/>
      <c r="J33" s="343"/>
    </row>
    <row r="34" spans="1:10" ht="13">
      <c r="A34" s="688">
        <f t="shared" si="4"/>
        <v>301</v>
      </c>
      <c r="B34" s="691" t="s">
        <v>892</v>
      </c>
      <c r="C34" s="692">
        <v>190</v>
      </c>
      <c r="D34" s="728"/>
      <c r="E34" s="693"/>
      <c r="F34" s="733">
        <f t="shared" ref="F34:F47" si="11">+D34*$I$4</f>
        <v>0</v>
      </c>
      <c r="G34" s="733">
        <f t="shared" ref="G34:G47" si="12">+E34-F34</f>
        <v>0</v>
      </c>
      <c r="H34" s="733">
        <f>IF($I$3="No", 0,'9-ADIT-2'!J31)</f>
        <v>0</v>
      </c>
      <c r="I34" s="733">
        <f t="shared" ref="I34:I47" si="13">+G34-H34</f>
        <v>0</v>
      </c>
      <c r="J34" s="343"/>
    </row>
    <row r="35" spans="1:10" ht="13">
      <c r="A35" s="688">
        <f t="shared" si="4"/>
        <v>302</v>
      </c>
      <c r="B35" s="691" t="s">
        <v>893</v>
      </c>
      <c r="C35" s="692">
        <v>190</v>
      </c>
      <c r="D35" s="728"/>
      <c r="E35" s="693"/>
      <c r="F35" s="733">
        <f t="shared" si="11"/>
        <v>0</v>
      </c>
      <c r="G35" s="733">
        <f t="shared" si="12"/>
        <v>0</v>
      </c>
      <c r="H35" s="733">
        <f>IF($I$3="No", 0,'9-ADIT-2'!J32)</f>
        <v>0</v>
      </c>
      <c r="I35" s="733">
        <f t="shared" si="13"/>
        <v>0</v>
      </c>
      <c r="J35" s="343"/>
    </row>
    <row r="36" spans="1:10" ht="13">
      <c r="A36" s="688">
        <f t="shared" si="4"/>
        <v>303</v>
      </c>
      <c r="B36" s="691" t="s">
        <v>916</v>
      </c>
      <c r="C36" s="692">
        <v>190</v>
      </c>
      <c r="D36" s="728"/>
      <c r="E36" s="693"/>
      <c r="F36" s="733">
        <f t="shared" si="11"/>
        <v>0</v>
      </c>
      <c r="G36" s="733">
        <f t="shared" si="12"/>
        <v>0</v>
      </c>
      <c r="H36" s="733">
        <f>IF($I$3="No", 0,'9-ADIT-2'!J33)</f>
        <v>0</v>
      </c>
      <c r="I36" s="733">
        <f t="shared" si="13"/>
        <v>0</v>
      </c>
      <c r="J36" s="343"/>
    </row>
    <row r="37" spans="1:10" ht="13">
      <c r="A37" s="688">
        <f t="shared" si="4"/>
        <v>304</v>
      </c>
      <c r="B37" s="691" t="s">
        <v>1005</v>
      </c>
      <c r="C37" s="692">
        <v>190</v>
      </c>
      <c r="D37" s="728"/>
      <c r="E37" s="693"/>
      <c r="F37" s="733">
        <f t="shared" si="11"/>
        <v>0</v>
      </c>
      <c r="G37" s="733">
        <f t="shared" si="12"/>
        <v>0</v>
      </c>
      <c r="H37" s="733">
        <f>IF($I$3="No", 0,'9-ADIT-2'!J34)</f>
        <v>0</v>
      </c>
      <c r="I37" s="733">
        <f t="shared" si="13"/>
        <v>0</v>
      </c>
      <c r="J37" s="343"/>
    </row>
    <row r="38" spans="1:10" ht="13">
      <c r="A38" s="688">
        <f t="shared" si="4"/>
        <v>305</v>
      </c>
      <c r="B38" s="691" t="s">
        <v>1006</v>
      </c>
      <c r="C38" s="692">
        <v>190</v>
      </c>
      <c r="D38" s="728"/>
      <c r="E38" s="693"/>
      <c r="F38" s="733">
        <f t="shared" si="11"/>
        <v>0</v>
      </c>
      <c r="G38" s="733">
        <f t="shared" si="12"/>
        <v>0</v>
      </c>
      <c r="H38" s="733">
        <f>IF($I$3="No", 0,'9-ADIT-2'!J35)</f>
        <v>0</v>
      </c>
      <c r="I38" s="733">
        <f t="shared" si="13"/>
        <v>0</v>
      </c>
      <c r="J38" s="343"/>
    </row>
    <row r="39" spans="1:10" ht="13">
      <c r="A39" s="688">
        <f t="shared" si="4"/>
        <v>306</v>
      </c>
      <c r="B39" s="691" t="s">
        <v>1007</v>
      </c>
      <c r="C39" s="692">
        <v>190</v>
      </c>
      <c r="D39" s="728"/>
      <c r="E39" s="693"/>
      <c r="F39" s="733">
        <f t="shared" si="11"/>
        <v>0</v>
      </c>
      <c r="G39" s="733">
        <f t="shared" si="12"/>
        <v>0</v>
      </c>
      <c r="H39" s="733">
        <f>IF($I$3="No", 0,'9-ADIT-2'!J36)</f>
        <v>0</v>
      </c>
      <c r="I39" s="733">
        <f t="shared" si="13"/>
        <v>0</v>
      </c>
      <c r="J39" s="343"/>
    </row>
    <row r="40" spans="1:10" ht="13">
      <c r="A40" s="688">
        <f t="shared" si="4"/>
        <v>307</v>
      </c>
      <c r="B40" s="691" t="s">
        <v>894</v>
      </c>
      <c r="C40" s="692">
        <v>190</v>
      </c>
      <c r="D40" s="728"/>
      <c r="E40" s="693"/>
      <c r="F40" s="733">
        <f t="shared" si="11"/>
        <v>0</v>
      </c>
      <c r="G40" s="733">
        <f t="shared" si="12"/>
        <v>0</v>
      </c>
      <c r="H40" s="733">
        <f>IF($I$3="No", 0,'9-ADIT-2'!J37)</f>
        <v>0</v>
      </c>
      <c r="I40" s="733">
        <f t="shared" si="13"/>
        <v>0</v>
      </c>
      <c r="J40" s="343"/>
    </row>
    <row r="41" spans="1:10" ht="13">
      <c r="A41" s="688">
        <f t="shared" si="4"/>
        <v>308</v>
      </c>
      <c r="B41" s="691" t="s">
        <v>1008</v>
      </c>
      <c r="C41" s="692">
        <v>190</v>
      </c>
      <c r="D41" s="728"/>
      <c r="E41" s="693"/>
      <c r="F41" s="733">
        <f t="shared" si="11"/>
        <v>0</v>
      </c>
      <c r="G41" s="733">
        <f t="shared" si="12"/>
        <v>0</v>
      </c>
      <c r="H41" s="733">
        <f>IF($I$3="No", 0,'9-ADIT-2'!J38)</f>
        <v>0</v>
      </c>
      <c r="I41" s="733">
        <f t="shared" si="13"/>
        <v>0</v>
      </c>
      <c r="J41" s="343"/>
    </row>
    <row r="42" spans="1:10" ht="13">
      <c r="A42" s="688">
        <f t="shared" si="4"/>
        <v>309</v>
      </c>
      <c r="B42" s="691" t="s">
        <v>1009</v>
      </c>
      <c r="C42" s="692">
        <v>190</v>
      </c>
      <c r="D42" s="728"/>
      <c r="E42" s="693"/>
      <c r="F42" s="733">
        <f t="shared" si="11"/>
        <v>0</v>
      </c>
      <c r="G42" s="733">
        <f t="shared" si="12"/>
        <v>0</v>
      </c>
      <c r="H42" s="733">
        <f>IF($I$3="No", 0,'9-ADIT-2'!J39)</f>
        <v>0</v>
      </c>
      <c r="I42" s="733">
        <f t="shared" si="13"/>
        <v>0</v>
      </c>
      <c r="J42" s="343"/>
    </row>
    <row r="43" spans="1:10" ht="13">
      <c r="A43" s="688">
        <f t="shared" si="4"/>
        <v>310</v>
      </c>
      <c r="B43" s="691" t="s">
        <v>895</v>
      </c>
      <c r="C43" s="692">
        <v>190</v>
      </c>
      <c r="D43" s="728"/>
      <c r="E43" s="693"/>
      <c r="F43" s="733">
        <f t="shared" si="11"/>
        <v>0</v>
      </c>
      <c r="G43" s="733">
        <f t="shared" si="12"/>
        <v>0</v>
      </c>
      <c r="H43" s="733">
        <f>IF($I$3="No", 0,'9-ADIT-2'!J40)</f>
        <v>0</v>
      </c>
      <c r="I43" s="733">
        <f t="shared" si="13"/>
        <v>0</v>
      </c>
      <c r="J43" s="343"/>
    </row>
    <row r="44" spans="1:10" ht="13">
      <c r="A44" s="688">
        <f t="shared" si="4"/>
        <v>311</v>
      </c>
      <c r="B44" s="691" t="s">
        <v>896</v>
      </c>
      <c r="C44" s="692">
        <v>190</v>
      </c>
      <c r="D44" s="728"/>
      <c r="E44" s="693"/>
      <c r="F44" s="733">
        <f t="shared" si="11"/>
        <v>0</v>
      </c>
      <c r="G44" s="733">
        <f t="shared" si="12"/>
        <v>0</v>
      </c>
      <c r="H44" s="733">
        <f>IF($I$3="No", 0,'9-ADIT-2'!J41)</f>
        <v>0</v>
      </c>
      <c r="I44" s="733">
        <f t="shared" si="13"/>
        <v>0</v>
      </c>
      <c r="J44" s="343"/>
    </row>
    <row r="45" spans="1:10" ht="13">
      <c r="A45" s="688">
        <f t="shared" si="4"/>
        <v>312</v>
      </c>
      <c r="B45" s="691" t="s">
        <v>1010</v>
      </c>
      <c r="C45" s="692">
        <v>283</v>
      </c>
      <c r="D45" s="728"/>
      <c r="E45" s="693"/>
      <c r="F45" s="733">
        <f t="shared" si="11"/>
        <v>0</v>
      </c>
      <c r="G45" s="733">
        <f t="shared" si="12"/>
        <v>0</v>
      </c>
      <c r="H45" s="733">
        <f>IF($I$3="No", 0,'9-ADIT-2'!J42)</f>
        <v>0</v>
      </c>
      <c r="I45" s="733">
        <f t="shared" si="13"/>
        <v>0</v>
      </c>
      <c r="J45" s="343"/>
    </row>
    <row r="46" spans="1:10" ht="13">
      <c r="A46" s="688">
        <f t="shared" si="4"/>
        <v>313</v>
      </c>
      <c r="B46" s="691" t="s">
        <v>918</v>
      </c>
      <c r="C46" s="692">
        <v>283</v>
      </c>
      <c r="D46" s="728"/>
      <c r="E46" s="693"/>
      <c r="F46" s="733">
        <f t="shared" si="11"/>
        <v>0</v>
      </c>
      <c r="G46" s="733">
        <f t="shared" si="12"/>
        <v>0</v>
      </c>
      <c r="H46" s="733">
        <f>IF($I$3="No", 0,'9-ADIT-2'!J43)</f>
        <v>0</v>
      </c>
      <c r="I46" s="733">
        <f t="shared" si="13"/>
        <v>0</v>
      </c>
      <c r="J46" s="343"/>
    </row>
    <row r="47" spans="1:10" ht="13">
      <c r="A47" s="688">
        <f t="shared" si="4"/>
        <v>314</v>
      </c>
      <c r="B47" s="691" t="s">
        <v>917</v>
      </c>
      <c r="C47" s="692">
        <v>283</v>
      </c>
      <c r="D47" s="728"/>
      <c r="E47" s="693"/>
      <c r="F47" s="733">
        <f t="shared" si="11"/>
        <v>0</v>
      </c>
      <c r="G47" s="733">
        <f t="shared" si="12"/>
        <v>0</v>
      </c>
      <c r="H47" s="733">
        <f>IF($I$3="No", 0,'9-ADIT-2'!J44)</f>
        <v>0</v>
      </c>
      <c r="I47" s="733">
        <f t="shared" si="13"/>
        <v>0</v>
      </c>
      <c r="J47" s="343"/>
    </row>
    <row r="48" spans="1:10" ht="13">
      <c r="A48" s="688">
        <f t="shared" si="4"/>
        <v>315</v>
      </c>
      <c r="B48" s="694" t="s">
        <v>641</v>
      </c>
      <c r="C48" s="693"/>
      <c r="D48" s="693"/>
      <c r="E48" s="693"/>
      <c r="F48" s="691"/>
      <c r="G48" s="691"/>
      <c r="H48" s="676"/>
      <c r="I48" s="676"/>
      <c r="J48" s="343"/>
    </row>
    <row r="49" spans="1:10" ht="13.5" thickBot="1">
      <c r="A49" s="688">
        <v>350</v>
      </c>
      <c r="B49" s="708" t="s">
        <v>1054</v>
      </c>
      <c r="C49" s="708"/>
      <c r="D49" s="739">
        <f t="shared" ref="D49:I49" si="14">SUM(D34:D48)</f>
        <v>0</v>
      </c>
      <c r="E49" s="739">
        <f t="shared" si="14"/>
        <v>0</v>
      </c>
      <c r="F49" s="739">
        <f t="shared" si="14"/>
        <v>0</v>
      </c>
      <c r="G49" s="739">
        <f t="shared" si="14"/>
        <v>0</v>
      </c>
      <c r="H49" s="739">
        <f t="shared" si="14"/>
        <v>0</v>
      </c>
      <c r="I49" s="739">
        <f t="shared" si="14"/>
        <v>0</v>
      </c>
      <c r="J49" s="343"/>
    </row>
    <row r="50" spans="1:10" ht="13.5" thickTop="1">
      <c r="A50" s="688"/>
      <c r="B50" s="676"/>
      <c r="C50" s="676"/>
      <c r="D50" s="709"/>
      <c r="E50" s="709"/>
      <c r="F50" s="709"/>
      <c r="G50" s="709"/>
      <c r="H50" s="709"/>
      <c r="I50" s="709"/>
      <c r="J50" s="343"/>
    </row>
    <row r="51" spans="1:10" ht="13.5" thickBot="1">
      <c r="A51" s="688">
        <v>400</v>
      </c>
      <c r="B51" s="708" t="s">
        <v>1013</v>
      </c>
      <c r="C51" s="708"/>
      <c r="D51" s="740">
        <f t="shared" ref="D51:I51" si="15">D31+D49</f>
        <v>0</v>
      </c>
      <c r="E51" s="740">
        <f t="shared" si="15"/>
        <v>0</v>
      </c>
      <c r="F51" s="740">
        <f t="shared" si="15"/>
        <v>0</v>
      </c>
      <c r="G51" s="740">
        <f t="shared" si="15"/>
        <v>0</v>
      </c>
      <c r="H51" s="740">
        <f t="shared" si="15"/>
        <v>0</v>
      </c>
      <c r="I51" s="740">
        <f t="shared" si="15"/>
        <v>0</v>
      </c>
      <c r="J51" s="343"/>
    </row>
    <row r="52" spans="1:10" ht="13.5" thickTop="1">
      <c r="A52" s="688"/>
      <c r="B52" s="710"/>
      <c r="C52" s="710"/>
      <c r="D52" s="676"/>
      <c r="E52" s="676"/>
      <c r="F52" s="676"/>
      <c r="G52" s="676"/>
      <c r="H52" s="676"/>
      <c r="I52" s="676"/>
      <c r="J52" s="343"/>
    </row>
    <row r="53" spans="1:10" ht="13">
      <c r="A53" s="688"/>
      <c r="B53" s="712" t="s">
        <v>444</v>
      </c>
      <c r="C53" s="710"/>
      <c r="D53" s="676"/>
      <c r="E53" s="676"/>
      <c r="F53" s="676"/>
      <c r="G53" s="676"/>
      <c r="H53" s="676"/>
      <c r="I53" s="676"/>
      <c r="J53" s="343"/>
    </row>
    <row r="54" spans="1:10" ht="16">
      <c r="A54" s="688"/>
      <c r="B54" s="730" t="s">
        <v>1055</v>
      </c>
      <c r="C54" s="710"/>
      <c r="D54" s="676"/>
      <c r="E54" s="676"/>
      <c r="F54" s="676"/>
      <c r="G54" s="676"/>
      <c r="H54" s="676"/>
      <c r="I54" s="676"/>
      <c r="J54" s="343"/>
    </row>
    <row r="55" spans="1:10" ht="13">
      <c r="A55" s="688"/>
      <c r="B55" s="715" t="s">
        <v>1056</v>
      </c>
      <c r="C55" s="710"/>
      <c r="D55" s="676"/>
      <c r="E55" s="676"/>
      <c r="F55" s="676"/>
      <c r="G55" s="676"/>
      <c r="H55" s="676"/>
      <c r="I55" s="676"/>
      <c r="J55" s="343"/>
    </row>
    <row r="56" spans="1:10" ht="13">
      <c r="A56" s="688"/>
      <c r="B56" s="712"/>
      <c r="C56" s="713"/>
      <c r="D56" s="676"/>
      <c r="E56" s="676"/>
      <c r="F56" s="676"/>
      <c r="G56" s="676"/>
      <c r="H56" s="676"/>
      <c r="I56" s="676"/>
      <c r="J56" s="343"/>
    </row>
    <row r="57" spans="1:10" ht="13">
      <c r="A57" s="688"/>
      <c r="B57" s="946" t="s">
        <v>233</v>
      </c>
      <c r="C57" s="676"/>
      <c r="D57" s="676"/>
      <c r="E57" s="676"/>
      <c r="F57" s="676"/>
      <c r="G57" s="676"/>
      <c r="H57" s="676"/>
      <c r="I57" s="676"/>
      <c r="J57" s="343"/>
    </row>
    <row r="58" spans="1:10" ht="13">
      <c r="A58" s="688"/>
      <c r="B58" s="947" t="s">
        <v>1057</v>
      </c>
      <c r="C58" s="676"/>
      <c r="D58" s="676"/>
      <c r="E58" s="676"/>
      <c r="F58" s="676"/>
      <c r="G58" s="676"/>
      <c r="H58" s="676"/>
      <c r="I58" s="676"/>
      <c r="J58" s="343"/>
    </row>
    <row r="59" spans="1:10" ht="13">
      <c r="A59" s="688"/>
      <c r="B59" s="948" t="s">
        <v>1058</v>
      </c>
      <c r="C59" s="716"/>
      <c r="D59" s="676"/>
      <c r="E59" s="676"/>
      <c r="F59" s="676"/>
      <c r="G59" s="676"/>
      <c r="H59" s="676"/>
      <c r="I59" s="676"/>
      <c r="J59" s="343"/>
    </row>
    <row r="60" spans="1:10" ht="13">
      <c r="A60" s="688"/>
      <c r="B60" s="948" t="s">
        <v>1059</v>
      </c>
      <c r="C60" s="716"/>
      <c r="D60" s="676"/>
      <c r="E60" s="676"/>
      <c r="F60" s="676"/>
      <c r="G60" s="676"/>
      <c r="H60" s="676"/>
      <c r="I60" s="676"/>
      <c r="J60" s="343"/>
    </row>
    <row r="61" spans="1:10" ht="13">
      <c r="A61" s="688"/>
      <c r="B61" s="948" t="s">
        <v>1060</v>
      </c>
      <c r="C61" s="676"/>
      <c r="D61" s="676"/>
      <c r="E61" s="676"/>
      <c r="F61" s="676"/>
      <c r="G61" s="676"/>
      <c r="H61" s="676"/>
      <c r="I61" s="676"/>
      <c r="J61" s="343"/>
    </row>
    <row r="62" spans="1:10" ht="13">
      <c r="A62" s="688"/>
      <c r="B62" s="343"/>
      <c r="C62" s="716"/>
      <c r="D62" s="676"/>
      <c r="E62" s="676"/>
      <c r="F62" s="676"/>
      <c r="G62" s="676"/>
      <c r="H62" s="676"/>
      <c r="I62" s="676"/>
      <c r="J62" s="343"/>
    </row>
    <row r="63" spans="1:10" ht="13">
      <c r="A63" s="688"/>
      <c r="B63" s="343"/>
      <c r="C63" s="716"/>
      <c r="D63" s="676"/>
      <c r="E63" s="676"/>
      <c r="F63" s="676"/>
      <c r="G63" s="676"/>
      <c r="H63" s="676"/>
      <c r="I63" s="676"/>
      <c r="J63" s="343"/>
    </row>
    <row r="64" spans="1:10" ht="13">
      <c r="A64" s="688"/>
      <c r="B64" s="715"/>
      <c r="C64" s="343"/>
      <c r="D64" s="676"/>
      <c r="E64" s="343"/>
      <c r="F64" s="343"/>
      <c r="G64" s="343"/>
      <c r="H64" s="676"/>
      <c r="I64" s="676"/>
      <c r="J64" s="343"/>
    </row>
    <row r="65" spans="1:10">
      <c r="A65" s="343"/>
      <c r="B65" s="343"/>
      <c r="C65" s="716"/>
      <c r="D65" s="676"/>
      <c r="E65" s="343"/>
      <c r="F65" s="343"/>
      <c r="G65" s="343"/>
      <c r="H65" s="343"/>
      <c r="I65" s="343"/>
      <c r="J65" s="343"/>
    </row>
    <row r="66" spans="1:10">
      <c r="A66" s="343"/>
      <c r="B66" s="343"/>
      <c r="C66" s="716"/>
      <c r="D66" s="676"/>
      <c r="E66" s="343"/>
      <c r="F66" s="343"/>
      <c r="G66" s="343"/>
      <c r="H66" s="343"/>
      <c r="I66" s="343"/>
      <c r="J66" s="343"/>
    </row>
    <row r="67" spans="1:10">
      <c r="A67" s="343"/>
      <c r="B67" s="715"/>
      <c r="C67" s="343"/>
      <c r="D67" s="676"/>
      <c r="E67" s="343"/>
      <c r="F67" s="343"/>
      <c r="G67" s="343"/>
      <c r="H67" s="343"/>
      <c r="I67" s="343"/>
      <c r="J67" s="343"/>
    </row>
    <row r="68" spans="1:10">
      <c r="A68" s="343"/>
      <c r="B68" s="343"/>
      <c r="C68" s="343"/>
      <c r="D68" s="343"/>
      <c r="E68" s="343"/>
      <c r="F68" s="343"/>
      <c r="G68" s="343"/>
      <c r="H68" s="343"/>
      <c r="I68" s="343"/>
      <c r="J68" s="343"/>
    </row>
    <row r="69" spans="1:10">
      <c r="A69" s="343"/>
      <c r="B69" s="343"/>
      <c r="C69" s="343"/>
      <c r="D69" s="343"/>
      <c r="E69" s="343"/>
      <c r="F69" s="343"/>
      <c r="G69" s="343"/>
      <c r="H69" s="343"/>
      <c r="I69" s="343"/>
      <c r="J69" s="343"/>
    </row>
    <row r="70" spans="1:10">
      <c r="A70" s="343"/>
      <c r="B70" s="343"/>
      <c r="C70" s="343"/>
      <c r="D70" s="343"/>
      <c r="E70" s="343"/>
      <c r="F70" s="343"/>
      <c r="G70" s="343"/>
      <c r="H70" s="343"/>
      <c r="I70" s="343"/>
      <c r="J70" s="343"/>
    </row>
    <row r="71" spans="1:10">
      <c r="A71" s="343"/>
      <c r="B71" s="343"/>
      <c r="C71" s="343"/>
      <c r="D71" s="343"/>
      <c r="E71" s="343"/>
      <c r="F71" s="343"/>
      <c r="G71" s="343"/>
      <c r="H71" s="343"/>
      <c r="I71" s="343"/>
      <c r="J71" s="343"/>
    </row>
  </sheetData>
  <mergeCells count="1">
    <mergeCell ref="D8:I8"/>
  </mergeCells>
  <pageMargins left="0.7" right="0.7" top="0.75" bottom="0.75" header="0.3" footer="0.3"/>
  <pageSetup scale="59" orientation="landscape" r:id="rId1"/>
  <headerFooter>
    <oddHeader>&amp;CSchedule 9-ADIT-3
EDIT - Tax Rate Change</oddHeader>
    <oddFooter>&amp;R&amp;A</oddFooter>
  </headerFooter>
  <rowBreaks count="1" manualBreakCount="1">
    <brk id="52"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51"/>
  <sheetViews>
    <sheetView topLeftCell="B1" zoomScaleNormal="100" workbookViewId="0">
      <selection activeCell="L41" sqref="L41"/>
    </sheetView>
  </sheetViews>
  <sheetFormatPr defaultRowHeight="12.5"/>
  <cols>
    <col min="1" max="1" width="4.54296875" customWidth="1"/>
    <col min="2" max="2" width="12.54296875" customWidth="1"/>
    <col min="3" max="3" width="8.54296875" customWidth="1"/>
    <col min="4" max="4" width="15.453125" bestFit="1" customWidth="1"/>
    <col min="5" max="5" width="18.54296875" customWidth="1"/>
    <col min="6" max="6" width="16.453125" customWidth="1"/>
    <col min="7" max="7" width="13.453125" customWidth="1"/>
    <col min="8" max="8" width="13.54296875" bestFit="1" customWidth="1"/>
    <col min="9" max="9" width="16.90625" bestFit="1" customWidth="1"/>
    <col min="10" max="10" width="15.453125" customWidth="1"/>
    <col min="11" max="11" width="17.453125" customWidth="1"/>
    <col min="12" max="12" width="14.54296875" bestFit="1" customWidth="1"/>
    <col min="13" max="13" width="13.453125" bestFit="1" customWidth="1"/>
  </cols>
  <sheetData>
    <row r="1" spans="1:12" ht="13">
      <c r="A1" s="1" t="s">
        <v>1061</v>
      </c>
      <c r="K1" s="1"/>
    </row>
    <row r="2" spans="1:12" ht="13">
      <c r="A2" s="1"/>
      <c r="K2" s="1"/>
    </row>
    <row r="3" spans="1:12" ht="13">
      <c r="A3" s="1"/>
      <c r="B3" s="233" t="s">
        <v>1062</v>
      </c>
      <c r="K3" s="1"/>
    </row>
    <row r="4" spans="1:12" ht="13">
      <c r="B4" s="233" t="s">
        <v>1063</v>
      </c>
      <c r="K4" s="1"/>
      <c r="L4" s="233"/>
    </row>
    <row r="5" spans="1:12" ht="13">
      <c r="B5" s="233"/>
      <c r="K5" s="1"/>
    </row>
    <row r="6" spans="1:12" ht="13">
      <c r="A6" s="233"/>
      <c r="B6" s="1" t="s">
        <v>1064</v>
      </c>
      <c r="E6" s="39" t="s">
        <v>200</v>
      </c>
      <c r="F6" s="240" t="s">
        <v>1065</v>
      </c>
      <c r="G6" s="54"/>
      <c r="K6" s="1"/>
    </row>
    <row r="7" spans="1:12" ht="13">
      <c r="A7" s="233"/>
      <c r="B7" s="663"/>
      <c r="D7" s="48" t="s">
        <v>347</v>
      </c>
      <c r="E7" s="48" t="s">
        <v>348</v>
      </c>
      <c r="F7" s="48" t="s">
        <v>349</v>
      </c>
      <c r="G7" s="48" t="s">
        <v>350</v>
      </c>
      <c r="H7" s="48" t="s">
        <v>351</v>
      </c>
      <c r="I7" s="48" t="s">
        <v>352</v>
      </c>
      <c r="J7" s="48"/>
      <c r="K7" s="1"/>
      <c r="L7" s="48"/>
    </row>
    <row r="8" spans="1:12">
      <c r="D8" s="234" t="s">
        <v>1066</v>
      </c>
    </row>
    <row r="9" spans="1:12">
      <c r="D9" s="37" t="s">
        <v>1067</v>
      </c>
    </row>
    <row r="10" spans="1:12" ht="13">
      <c r="B10" s="2"/>
    </row>
    <row r="11" spans="1:12" ht="13">
      <c r="B11" s="2"/>
      <c r="D11" s="2" t="s">
        <v>371</v>
      </c>
      <c r="F11" s="2" t="s">
        <v>1068</v>
      </c>
      <c r="G11" s="181" t="s">
        <v>1069</v>
      </c>
      <c r="H11" s="181" t="s">
        <v>1070</v>
      </c>
      <c r="I11" s="2"/>
      <c r="J11" s="2"/>
      <c r="K11" s="233"/>
    </row>
    <row r="12" spans="1:12" ht="13">
      <c r="A12" s="30" t="s">
        <v>284</v>
      </c>
      <c r="B12" s="328" t="s">
        <v>382</v>
      </c>
      <c r="C12" s="328" t="s">
        <v>383</v>
      </c>
      <c r="D12" s="3" t="s">
        <v>1071</v>
      </c>
      <c r="E12" s="3" t="s">
        <v>1072</v>
      </c>
      <c r="F12" s="3" t="s">
        <v>1073</v>
      </c>
      <c r="G12" s="182" t="s">
        <v>1074</v>
      </c>
      <c r="H12" s="182" t="s">
        <v>1075</v>
      </c>
      <c r="I12" s="3" t="s">
        <v>1076</v>
      </c>
      <c r="J12" s="3"/>
      <c r="K12" s="233"/>
    </row>
    <row r="13" spans="1:12" ht="13">
      <c r="A13" s="2">
        <v>1</v>
      </c>
      <c r="B13" s="329" t="s">
        <v>390</v>
      </c>
      <c r="C13" s="330"/>
      <c r="D13" s="6">
        <f t="shared" ref="D13:D25" si="0">SUM(E13:I13)+SUM(D33:K33)</f>
        <v>0</v>
      </c>
      <c r="E13" s="263"/>
      <c r="F13" s="59"/>
      <c r="G13" s="59"/>
      <c r="H13" s="59"/>
      <c r="I13" s="59"/>
      <c r="J13" s="331"/>
    </row>
    <row r="14" spans="1:12" ht="13">
      <c r="A14" s="2">
        <f>A13+1</f>
        <v>2</v>
      </c>
      <c r="B14" s="329" t="s">
        <v>392</v>
      </c>
      <c r="C14" s="330"/>
      <c r="D14" s="6">
        <f t="shared" si="0"/>
        <v>0</v>
      </c>
      <c r="E14" s="263"/>
      <c r="F14" s="59"/>
      <c r="G14" s="59"/>
      <c r="H14" s="59"/>
      <c r="I14" s="59"/>
      <c r="J14" s="331"/>
    </row>
    <row r="15" spans="1:12" ht="13">
      <c r="A15" s="2">
        <f t="shared" ref="A15:A26" si="1">A14+1</f>
        <v>3</v>
      </c>
      <c r="B15" s="329" t="s">
        <v>393</v>
      </c>
      <c r="C15" s="330"/>
      <c r="D15" s="6">
        <f t="shared" si="0"/>
        <v>0</v>
      </c>
      <c r="E15" s="263"/>
      <c r="F15" s="59"/>
      <c r="G15" s="59"/>
      <c r="H15" s="59"/>
      <c r="I15" s="59"/>
      <c r="J15" s="331"/>
    </row>
    <row r="16" spans="1:12" ht="13">
      <c r="A16" s="2">
        <f t="shared" si="1"/>
        <v>4</v>
      </c>
      <c r="B16" s="329" t="s">
        <v>394</v>
      </c>
      <c r="C16" s="330"/>
      <c r="D16" s="6">
        <f t="shared" si="0"/>
        <v>0</v>
      </c>
      <c r="E16" s="263"/>
      <c r="F16" s="59"/>
      <c r="G16" s="59"/>
      <c r="H16" s="59"/>
      <c r="I16" s="59"/>
      <c r="J16" s="331"/>
    </row>
    <row r="17" spans="1:12" ht="13">
      <c r="A17" s="2">
        <f t="shared" si="1"/>
        <v>5</v>
      </c>
      <c r="B17" s="329" t="s">
        <v>395</v>
      </c>
      <c r="C17" s="330"/>
      <c r="D17" s="6">
        <f t="shared" si="0"/>
        <v>0</v>
      </c>
      <c r="E17" s="263"/>
      <c r="F17" s="59"/>
      <c r="G17" s="59"/>
      <c r="H17" s="59"/>
      <c r="I17" s="59"/>
      <c r="J17" s="331"/>
    </row>
    <row r="18" spans="1:12" ht="13">
      <c r="A18" s="2">
        <f t="shared" si="1"/>
        <v>6</v>
      </c>
      <c r="B18" s="329" t="s">
        <v>396</v>
      </c>
      <c r="C18" s="330"/>
      <c r="D18" s="6">
        <f t="shared" si="0"/>
        <v>0</v>
      </c>
      <c r="E18" s="263"/>
      <c r="F18" s="59"/>
      <c r="G18" s="59"/>
      <c r="H18" s="59"/>
      <c r="I18" s="59"/>
      <c r="J18" s="331"/>
    </row>
    <row r="19" spans="1:12" ht="13">
      <c r="A19" s="2">
        <f t="shared" si="1"/>
        <v>7</v>
      </c>
      <c r="B19" s="329" t="s">
        <v>397</v>
      </c>
      <c r="C19" s="330"/>
      <c r="D19" s="6">
        <f t="shared" si="0"/>
        <v>0</v>
      </c>
      <c r="E19" s="263"/>
      <c r="F19" s="59"/>
      <c r="G19" s="59"/>
      <c r="H19" s="59"/>
      <c r="I19" s="59"/>
      <c r="J19" s="331"/>
    </row>
    <row r="20" spans="1:12" ht="13">
      <c r="A20" s="2">
        <f t="shared" si="1"/>
        <v>8</v>
      </c>
      <c r="B20" s="329" t="s">
        <v>398</v>
      </c>
      <c r="C20" s="330"/>
      <c r="D20" s="6">
        <f t="shared" si="0"/>
        <v>0</v>
      </c>
      <c r="E20" s="263"/>
      <c r="F20" s="59"/>
      <c r="G20" s="59"/>
      <c r="H20" s="59"/>
      <c r="I20" s="59"/>
      <c r="J20" s="331"/>
    </row>
    <row r="21" spans="1:12" ht="13">
      <c r="A21" s="2">
        <f t="shared" si="1"/>
        <v>9</v>
      </c>
      <c r="B21" s="329" t="s">
        <v>399</v>
      </c>
      <c r="C21" s="330"/>
      <c r="D21" s="6">
        <f t="shared" si="0"/>
        <v>0</v>
      </c>
      <c r="E21" s="263"/>
      <c r="F21" s="59"/>
      <c r="G21" s="59"/>
      <c r="H21" s="59"/>
      <c r="I21" s="59"/>
      <c r="J21" s="331"/>
    </row>
    <row r="22" spans="1:12" ht="13">
      <c r="A22" s="2">
        <f t="shared" si="1"/>
        <v>10</v>
      </c>
      <c r="B22" s="329" t="s">
        <v>400</v>
      </c>
      <c r="C22" s="330"/>
      <c r="D22" s="6">
        <f t="shared" si="0"/>
        <v>0</v>
      </c>
      <c r="E22" s="263"/>
      <c r="F22" s="59"/>
      <c r="G22" s="59"/>
      <c r="H22" s="59"/>
      <c r="I22" s="59"/>
      <c r="J22" s="331"/>
    </row>
    <row r="23" spans="1:12" ht="13">
      <c r="A23" s="2">
        <f t="shared" si="1"/>
        <v>11</v>
      </c>
      <c r="B23" s="329" t="s">
        <v>1077</v>
      </c>
      <c r="C23" s="330"/>
      <c r="D23" s="6">
        <f t="shared" si="0"/>
        <v>0</v>
      </c>
      <c r="E23" s="263"/>
      <c r="F23" s="59"/>
      <c r="G23" s="59"/>
      <c r="H23" s="59"/>
      <c r="I23" s="59"/>
      <c r="J23" s="331"/>
    </row>
    <row r="24" spans="1:12" ht="13">
      <c r="A24" s="2">
        <f t="shared" si="1"/>
        <v>12</v>
      </c>
      <c r="B24" s="329" t="s">
        <v>402</v>
      </c>
      <c r="C24" s="330"/>
      <c r="D24" s="6">
        <f t="shared" si="0"/>
        <v>0</v>
      </c>
      <c r="E24" s="263"/>
      <c r="F24" s="59"/>
      <c r="G24" s="59"/>
      <c r="H24" s="59"/>
      <c r="I24" s="59"/>
      <c r="J24" s="331"/>
    </row>
    <row r="25" spans="1:12" ht="13">
      <c r="A25" s="2">
        <f t="shared" si="1"/>
        <v>13</v>
      </c>
      <c r="B25" s="329" t="s">
        <v>390</v>
      </c>
      <c r="C25" s="330"/>
      <c r="D25" s="53">
        <f t="shared" si="0"/>
        <v>0</v>
      </c>
      <c r="E25" s="206"/>
      <c r="F25" s="61"/>
      <c r="G25" s="61"/>
      <c r="H25" s="61"/>
      <c r="I25" s="61"/>
      <c r="J25" s="331"/>
    </row>
    <row r="26" spans="1:12" ht="13">
      <c r="A26" s="2">
        <f t="shared" si="1"/>
        <v>14</v>
      </c>
      <c r="B26" s="329"/>
      <c r="C26" s="332" t="s">
        <v>1078</v>
      </c>
      <c r="D26" s="261">
        <f t="shared" ref="D26:I26" si="2">SUM(D13:D25)/13</f>
        <v>0</v>
      </c>
      <c r="E26" s="261">
        <f t="shared" si="2"/>
        <v>0</v>
      </c>
      <c r="F26" s="261">
        <f t="shared" si="2"/>
        <v>0</v>
      </c>
      <c r="G26" s="261">
        <f t="shared" si="2"/>
        <v>0</v>
      </c>
      <c r="H26" s="261">
        <f t="shared" si="2"/>
        <v>0</v>
      </c>
      <c r="I26" s="261">
        <f t="shared" si="2"/>
        <v>0</v>
      </c>
      <c r="J26" s="331"/>
      <c r="K26" s="331"/>
    </row>
    <row r="27" spans="1:12" ht="13">
      <c r="A27" s="2"/>
      <c r="B27" s="329"/>
      <c r="C27" s="332"/>
      <c r="D27" s="261"/>
      <c r="E27" s="261"/>
      <c r="F27" s="261"/>
      <c r="G27" s="261"/>
      <c r="H27" s="261"/>
      <c r="I27" s="331"/>
      <c r="J27" s="232"/>
      <c r="K27" s="331"/>
    </row>
    <row r="28" spans="1:12" ht="13">
      <c r="A28" s="2"/>
      <c r="B28" s="329"/>
      <c r="C28" s="332"/>
      <c r="D28" s="48" t="s">
        <v>353</v>
      </c>
      <c r="E28" s="48" t="s">
        <v>354</v>
      </c>
      <c r="F28" s="48" t="s">
        <v>355</v>
      </c>
      <c r="G28" s="48" t="s">
        <v>605</v>
      </c>
      <c r="H28" s="48" t="s">
        <v>606</v>
      </c>
      <c r="I28" s="48" t="s">
        <v>607</v>
      </c>
      <c r="J28" s="795" t="s">
        <v>608</v>
      </c>
      <c r="K28" s="795" t="s">
        <v>609</v>
      </c>
      <c r="L28" s="795" t="s">
        <v>1079</v>
      </c>
    </row>
    <row r="29" spans="1:12" ht="13">
      <c r="A29" s="2"/>
      <c r="B29" s="329"/>
      <c r="C29" s="332"/>
      <c r="E29" s="181" t="s">
        <v>1080</v>
      </c>
      <c r="F29" s="181"/>
      <c r="G29" s="181"/>
      <c r="H29" s="261"/>
      <c r="I29" s="331"/>
      <c r="J29" s="594"/>
      <c r="K29" s="1071"/>
      <c r="L29" s="1071"/>
    </row>
    <row r="30" spans="1:12" ht="13">
      <c r="B30" s="2"/>
      <c r="D30" s="2" t="s">
        <v>1081</v>
      </c>
      <c r="E30" s="2" t="s">
        <v>1082</v>
      </c>
      <c r="F30" s="749"/>
      <c r="G30" s="749"/>
      <c r="H30" s="749"/>
      <c r="I30" s="181"/>
      <c r="J30" s="594"/>
      <c r="K30" s="1071"/>
      <c r="L30" s="1071"/>
    </row>
    <row r="31" spans="1:12" ht="13">
      <c r="B31" s="2"/>
      <c r="D31" s="2" t="s">
        <v>757</v>
      </c>
      <c r="E31" s="2" t="s">
        <v>757</v>
      </c>
      <c r="F31" s="752"/>
      <c r="G31" s="752"/>
      <c r="H31" s="753" t="s">
        <v>1083</v>
      </c>
      <c r="I31" s="181"/>
      <c r="J31" s="790"/>
      <c r="K31" s="1072"/>
      <c r="L31" s="1072"/>
    </row>
    <row r="32" spans="1:12" ht="26">
      <c r="A32" s="30" t="s">
        <v>284</v>
      </c>
      <c r="B32" s="328" t="s">
        <v>382</v>
      </c>
      <c r="C32" s="328" t="s">
        <v>383</v>
      </c>
      <c r="D32" s="3" t="s">
        <v>1084</v>
      </c>
      <c r="E32" s="3" t="s">
        <v>1084</v>
      </c>
      <c r="F32" s="752" t="s">
        <v>1085</v>
      </c>
      <c r="G32" s="752" t="s">
        <v>1086</v>
      </c>
      <c r="H32" s="752" t="s">
        <v>1087</v>
      </c>
      <c r="I32" s="182" t="s">
        <v>1088</v>
      </c>
      <c r="J32" s="1080" t="s">
        <v>1089</v>
      </c>
      <c r="K32" s="1080" t="s">
        <v>1090</v>
      </c>
      <c r="L32" s="1081"/>
    </row>
    <row r="33" spans="1:12" ht="13">
      <c r="A33" s="2">
        <f>+A26+1</f>
        <v>15</v>
      </c>
      <c r="B33" s="329" t="s">
        <v>390</v>
      </c>
      <c r="C33" s="330"/>
      <c r="D33" s="59"/>
      <c r="E33" s="59"/>
      <c r="F33" s="59"/>
      <c r="G33" s="59"/>
      <c r="H33" s="59"/>
      <c r="I33" s="574"/>
      <c r="J33" s="574"/>
      <c r="K33" s="574"/>
      <c r="L33" s="574"/>
    </row>
    <row r="34" spans="1:12" ht="13">
      <c r="A34" s="2">
        <f>A33+1</f>
        <v>16</v>
      </c>
      <c r="B34" s="329" t="s">
        <v>392</v>
      </c>
      <c r="C34" s="330"/>
      <c r="D34" s="59"/>
      <c r="E34" s="59"/>
      <c r="F34" s="59"/>
      <c r="G34" s="59"/>
      <c r="H34" s="59"/>
      <c r="I34" s="574"/>
      <c r="J34" s="574"/>
      <c r="K34" s="574"/>
      <c r="L34" s="574"/>
    </row>
    <row r="35" spans="1:12" ht="13">
      <c r="A35" s="2">
        <f t="shared" ref="A35:A46" si="3">A34+1</f>
        <v>17</v>
      </c>
      <c r="B35" s="329" t="s">
        <v>393</v>
      </c>
      <c r="C35" s="330"/>
      <c r="D35" s="59"/>
      <c r="E35" s="59"/>
      <c r="F35" s="59"/>
      <c r="G35" s="59"/>
      <c r="H35" s="59"/>
      <c r="I35" s="574"/>
      <c r="J35" s="574"/>
      <c r="K35" s="574"/>
      <c r="L35" s="574"/>
    </row>
    <row r="36" spans="1:12" ht="13">
      <c r="A36" s="2">
        <f t="shared" si="3"/>
        <v>18</v>
      </c>
      <c r="B36" s="329" t="s">
        <v>394</v>
      </c>
      <c r="C36" s="330"/>
      <c r="D36" s="59"/>
      <c r="E36" s="59"/>
      <c r="F36" s="59"/>
      <c r="G36" s="59"/>
      <c r="H36" s="59"/>
      <c r="I36" s="574"/>
      <c r="J36" s="574"/>
      <c r="K36" s="574"/>
      <c r="L36" s="574"/>
    </row>
    <row r="37" spans="1:12" ht="13">
      <c r="A37" s="2">
        <f t="shared" si="3"/>
        <v>19</v>
      </c>
      <c r="B37" s="329" t="s">
        <v>395</v>
      </c>
      <c r="C37" s="330"/>
      <c r="D37" s="59"/>
      <c r="E37" s="59"/>
      <c r="F37" s="59"/>
      <c r="G37" s="59"/>
      <c r="H37" s="59"/>
      <c r="I37" s="574"/>
      <c r="J37" s="574"/>
      <c r="K37" s="574"/>
      <c r="L37" s="574"/>
    </row>
    <row r="38" spans="1:12" ht="13">
      <c r="A38" s="2">
        <f t="shared" si="3"/>
        <v>20</v>
      </c>
      <c r="B38" s="329" t="s">
        <v>396</v>
      </c>
      <c r="C38" s="330"/>
      <c r="D38" s="59"/>
      <c r="E38" s="59"/>
      <c r="F38" s="59"/>
      <c r="G38" s="59"/>
      <c r="H38" s="59"/>
      <c r="I38" s="574"/>
      <c r="J38" s="574"/>
      <c r="K38" s="574"/>
      <c r="L38" s="574"/>
    </row>
    <row r="39" spans="1:12" ht="13">
      <c r="A39" s="2">
        <f t="shared" si="3"/>
        <v>21</v>
      </c>
      <c r="B39" s="329" t="s">
        <v>397</v>
      </c>
      <c r="C39" s="330"/>
      <c r="D39" s="59"/>
      <c r="E39" s="59"/>
      <c r="F39" s="59"/>
      <c r="G39" s="59"/>
      <c r="H39" s="59"/>
      <c r="I39" s="574"/>
      <c r="J39" s="574"/>
      <c r="K39" s="574"/>
      <c r="L39" s="574"/>
    </row>
    <row r="40" spans="1:12" ht="13">
      <c r="A40" s="2">
        <f t="shared" si="3"/>
        <v>22</v>
      </c>
      <c r="B40" s="329" t="s">
        <v>398</v>
      </c>
      <c r="C40" s="330"/>
      <c r="D40" s="59"/>
      <c r="E40" s="59"/>
      <c r="F40" s="59"/>
      <c r="G40" s="59"/>
      <c r="H40" s="59"/>
      <c r="I40" s="574"/>
      <c r="J40" s="574"/>
      <c r="K40" s="574"/>
      <c r="L40" s="574"/>
    </row>
    <row r="41" spans="1:12" ht="13">
      <c r="A41" s="2">
        <f>A40+1</f>
        <v>23</v>
      </c>
      <c r="B41" s="329" t="s">
        <v>399</v>
      </c>
      <c r="C41" s="330"/>
      <c r="D41" s="59"/>
      <c r="E41" s="59"/>
      <c r="F41" s="59"/>
      <c r="G41" s="59"/>
      <c r="H41" s="59"/>
      <c r="I41" s="574"/>
      <c r="J41" s="574"/>
      <c r="K41" s="574"/>
      <c r="L41" s="574"/>
    </row>
    <row r="42" spans="1:12" ht="13">
      <c r="A42" s="2">
        <f t="shared" si="3"/>
        <v>24</v>
      </c>
      <c r="B42" s="329" t="s">
        <v>400</v>
      </c>
      <c r="C42" s="330"/>
      <c r="D42" s="59"/>
      <c r="E42" s="59"/>
      <c r="F42" s="59"/>
      <c r="G42" s="59"/>
      <c r="H42" s="59"/>
      <c r="I42" s="574"/>
      <c r="J42" s="574"/>
      <c r="K42" s="574"/>
      <c r="L42" s="574"/>
    </row>
    <row r="43" spans="1:12" ht="13">
      <c r="A43" s="2">
        <f t="shared" si="3"/>
        <v>25</v>
      </c>
      <c r="B43" s="329" t="s">
        <v>1077</v>
      </c>
      <c r="C43" s="330"/>
      <c r="D43" s="59"/>
      <c r="E43" s="59"/>
      <c r="F43" s="59"/>
      <c r="G43" s="59"/>
      <c r="H43" s="59"/>
      <c r="I43" s="574"/>
      <c r="J43" s="574"/>
      <c r="K43" s="574"/>
      <c r="L43" s="574"/>
    </row>
    <row r="44" spans="1:12" ht="13">
      <c r="A44" s="2">
        <f t="shared" si="3"/>
        <v>26</v>
      </c>
      <c r="B44" s="329" t="s">
        <v>402</v>
      </c>
      <c r="C44" s="330"/>
      <c r="D44" s="59"/>
      <c r="E44" s="59"/>
      <c r="F44" s="574"/>
      <c r="G44" s="574"/>
      <c r="H44" s="263"/>
      <c r="I44" s="574"/>
      <c r="J44" s="574"/>
      <c r="K44" s="574"/>
      <c r="L44" s="574"/>
    </row>
    <row r="45" spans="1:12" ht="13">
      <c r="A45" s="2">
        <f t="shared" si="3"/>
        <v>27</v>
      </c>
      <c r="B45" s="329" t="s">
        <v>390</v>
      </c>
      <c r="C45" s="330"/>
      <c r="D45" s="61"/>
      <c r="E45" s="61"/>
      <c r="F45" s="791"/>
      <c r="G45" s="791"/>
      <c r="H45" s="206"/>
      <c r="I45" s="791"/>
      <c r="J45" s="791"/>
      <c r="K45" s="791"/>
      <c r="L45" s="1073"/>
    </row>
    <row r="46" spans="1:12" ht="13">
      <c r="A46" s="2">
        <f t="shared" si="3"/>
        <v>28</v>
      </c>
      <c r="B46" s="329"/>
      <c r="C46" s="332" t="s">
        <v>1078</v>
      </c>
      <c r="D46" s="261">
        <f t="shared" ref="D46:H46" si="4">SUM(D33:D45)/13</f>
        <v>0</v>
      </c>
      <c r="E46" s="261">
        <f t="shared" si="4"/>
        <v>0</v>
      </c>
      <c r="F46" s="261">
        <f t="shared" si="4"/>
        <v>0</v>
      </c>
      <c r="G46" s="261">
        <f t="shared" si="4"/>
        <v>0</v>
      </c>
      <c r="H46" s="261">
        <f t="shared" si="4"/>
        <v>0</v>
      </c>
      <c r="I46" s="261">
        <f>SUM(I33:I45)/13</f>
        <v>0</v>
      </c>
      <c r="J46" s="6">
        <f>SUM(J33:J45)/13</f>
        <v>0</v>
      </c>
      <c r="K46" s="6">
        <f>SUM(K33:K45)/13</f>
        <v>0</v>
      </c>
      <c r="L46" s="6">
        <f>SUM(L33:L45)/13</f>
        <v>0</v>
      </c>
    </row>
    <row r="48" spans="1:12" ht="13">
      <c r="B48" s="334" t="s">
        <v>1091</v>
      </c>
    </row>
    <row r="49" spans="1:13" ht="13">
      <c r="B49" s="334"/>
      <c r="D49" s="3" t="s">
        <v>347</v>
      </c>
      <c r="E49" s="3" t="s">
        <v>348</v>
      </c>
      <c r="F49" s="3" t="s">
        <v>349</v>
      </c>
      <c r="G49" s="3" t="s">
        <v>350</v>
      </c>
      <c r="H49" s="3" t="s">
        <v>351</v>
      </c>
      <c r="I49" s="3" t="s">
        <v>352</v>
      </c>
      <c r="J49" s="3" t="s">
        <v>353</v>
      </c>
      <c r="K49" s="3" t="s">
        <v>354</v>
      </c>
    </row>
    <row r="50" spans="1:13" s="349" customFormat="1">
      <c r="D50" s="234" t="s">
        <v>357</v>
      </c>
      <c r="E50" s="234" t="s">
        <v>357</v>
      </c>
      <c r="F50" s="234" t="s">
        <v>357</v>
      </c>
      <c r="G50" s="234" t="s">
        <v>357</v>
      </c>
      <c r="H50" s="234" t="s">
        <v>357</v>
      </c>
      <c r="I50" s="234" t="s">
        <v>357</v>
      </c>
      <c r="J50" s="234" t="s">
        <v>357</v>
      </c>
      <c r="K50" s="234" t="s">
        <v>357</v>
      </c>
    </row>
    <row r="51" spans="1:13" ht="13">
      <c r="G51" s="2" t="s">
        <v>1092</v>
      </c>
      <c r="K51" s="2"/>
    </row>
    <row r="52" spans="1:13" ht="13">
      <c r="A52" s="2"/>
      <c r="B52" s="2"/>
      <c r="C52" s="2"/>
      <c r="D52" s="2" t="s">
        <v>1093</v>
      </c>
      <c r="E52" s="2" t="s">
        <v>1094</v>
      </c>
      <c r="F52" s="2" t="s">
        <v>1095</v>
      </c>
      <c r="G52" s="2" t="s">
        <v>252</v>
      </c>
      <c r="H52" s="2" t="s">
        <v>1096</v>
      </c>
      <c r="I52" s="350" t="s">
        <v>1097</v>
      </c>
      <c r="J52" s="2" t="s">
        <v>1093</v>
      </c>
      <c r="K52" s="2" t="s">
        <v>1098</v>
      </c>
    </row>
    <row r="53" spans="1:13" ht="13">
      <c r="A53" s="30" t="s">
        <v>284</v>
      </c>
      <c r="B53" s="328" t="s">
        <v>382</v>
      </c>
      <c r="C53" s="328" t="s">
        <v>383</v>
      </c>
      <c r="D53" s="3" t="s">
        <v>1099</v>
      </c>
      <c r="E53" s="3" t="s">
        <v>1100</v>
      </c>
      <c r="F53" s="3" t="s">
        <v>1101</v>
      </c>
      <c r="G53" s="3" t="s">
        <v>1102</v>
      </c>
      <c r="H53" s="3" t="s">
        <v>1103</v>
      </c>
      <c r="I53" s="3" t="s">
        <v>1104</v>
      </c>
      <c r="J53" s="3" t="s">
        <v>1105</v>
      </c>
      <c r="K53" s="3" t="s">
        <v>1106</v>
      </c>
    </row>
    <row r="54" spans="1:13" ht="13">
      <c r="A54" s="2">
        <f>A46+1</f>
        <v>29</v>
      </c>
      <c r="B54" s="329" t="s">
        <v>390</v>
      </c>
      <c r="C54" s="330"/>
      <c r="D54" s="239" t="s">
        <v>391</v>
      </c>
      <c r="E54" s="239" t="s">
        <v>391</v>
      </c>
      <c r="F54" s="239" t="s">
        <v>391</v>
      </c>
      <c r="G54" s="239" t="s">
        <v>391</v>
      </c>
      <c r="H54" s="239" t="s">
        <v>391</v>
      </c>
      <c r="I54" s="239" t="s">
        <v>391</v>
      </c>
      <c r="J54" s="6">
        <f>D25</f>
        <v>0</v>
      </c>
      <c r="K54" s="239" t="s">
        <v>391</v>
      </c>
    </row>
    <row r="55" spans="1:13" ht="13">
      <c r="A55" s="2">
        <f>A54+1</f>
        <v>30</v>
      </c>
      <c r="B55" s="329" t="s">
        <v>392</v>
      </c>
      <c r="C55" s="330"/>
      <c r="D55" s="6">
        <f>D89+D122+D155+D188+D221+D254+D287+D320+D353+D386+D419+D452+D485</f>
        <v>0</v>
      </c>
      <c r="E55" s="6">
        <f t="shared" ref="E55:K55" si="5">E89+E122+E155+E188+E221+E254+E287+E320+E353+E386+E419+E452+E485</f>
        <v>0</v>
      </c>
      <c r="F55" s="6">
        <f t="shared" si="5"/>
        <v>0</v>
      </c>
      <c r="G55" s="6">
        <f t="shared" si="5"/>
        <v>0</v>
      </c>
      <c r="H55" s="6">
        <f t="shared" si="5"/>
        <v>0</v>
      </c>
      <c r="I55" s="6">
        <f t="shared" si="5"/>
        <v>0</v>
      </c>
      <c r="J55" s="6">
        <f t="shared" si="5"/>
        <v>0</v>
      </c>
      <c r="K55" s="6">
        <f t="shared" si="5"/>
        <v>0</v>
      </c>
      <c r="L55" s="439"/>
      <c r="M55" s="6"/>
    </row>
    <row r="56" spans="1:13" ht="13">
      <c r="A56" s="2">
        <f t="shared" ref="A56:A79" si="6">A55+1</f>
        <v>31</v>
      </c>
      <c r="B56" s="329" t="s">
        <v>393</v>
      </c>
      <c r="C56" s="330"/>
      <c r="D56" s="6">
        <f t="shared" ref="D56:K56" si="7">D90+D123+D156+D189+D222+D255+D288+D321+D354+D387+D420+D453+D486</f>
        <v>0</v>
      </c>
      <c r="E56" s="6">
        <f t="shared" si="7"/>
        <v>0</v>
      </c>
      <c r="F56" s="6">
        <f t="shared" si="7"/>
        <v>0</v>
      </c>
      <c r="G56" s="6">
        <f t="shared" si="7"/>
        <v>0</v>
      </c>
      <c r="H56" s="6">
        <f t="shared" si="7"/>
        <v>0</v>
      </c>
      <c r="I56" s="6">
        <f t="shared" si="7"/>
        <v>0</v>
      </c>
      <c r="J56" s="6">
        <f t="shared" si="7"/>
        <v>0</v>
      </c>
      <c r="K56" s="6">
        <f t="shared" si="7"/>
        <v>0</v>
      </c>
      <c r="L56" s="439"/>
      <c r="M56" s="6"/>
    </row>
    <row r="57" spans="1:13" ht="13">
      <c r="A57" s="2">
        <f t="shared" si="6"/>
        <v>32</v>
      </c>
      <c r="B57" s="329" t="s">
        <v>394</v>
      </c>
      <c r="C57" s="330"/>
      <c r="D57" s="6">
        <f t="shared" ref="D57:K57" si="8">D91+D124+D157+D190+D223+D256+D289+D322+D355+D388+D421+D454+D487</f>
        <v>0</v>
      </c>
      <c r="E57" s="6">
        <f t="shared" si="8"/>
        <v>0</v>
      </c>
      <c r="F57" s="6">
        <f t="shared" si="8"/>
        <v>0</v>
      </c>
      <c r="G57" s="6">
        <f t="shared" si="8"/>
        <v>0</v>
      </c>
      <c r="H57" s="6">
        <f t="shared" si="8"/>
        <v>0</v>
      </c>
      <c r="I57" s="6">
        <f t="shared" si="8"/>
        <v>0</v>
      </c>
      <c r="J57" s="6">
        <f t="shared" si="8"/>
        <v>0</v>
      </c>
      <c r="K57" s="6">
        <f t="shared" si="8"/>
        <v>0</v>
      </c>
      <c r="L57" s="439"/>
      <c r="M57" s="6"/>
    </row>
    <row r="58" spans="1:13" ht="13">
      <c r="A58" s="2">
        <f t="shared" si="6"/>
        <v>33</v>
      </c>
      <c r="B58" s="329" t="s">
        <v>395</v>
      </c>
      <c r="C58" s="330"/>
      <c r="D58" s="6">
        <f t="shared" ref="D58:K58" si="9">D92+D125+D158+D191+D224+D257+D290+D323+D356+D389+D422+D455+D488</f>
        <v>0</v>
      </c>
      <c r="E58" s="6">
        <f t="shared" si="9"/>
        <v>0</v>
      </c>
      <c r="F58" s="6">
        <f t="shared" si="9"/>
        <v>0</v>
      </c>
      <c r="G58" s="6">
        <f t="shared" si="9"/>
        <v>0</v>
      </c>
      <c r="H58" s="6">
        <f t="shared" si="9"/>
        <v>0</v>
      </c>
      <c r="I58" s="6">
        <f t="shared" si="9"/>
        <v>0</v>
      </c>
      <c r="J58" s="6">
        <f t="shared" si="9"/>
        <v>0</v>
      </c>
      <c r="K58" s="6">
        <f t="shared" si="9"/>
        <v>0</v>
      </c>
      <c r="L58" s="439"/>
      <c r="M58" s="6"/>
    </row>
    <row r="59" spans="1:13" ht="13">
      <c r="A59" s="2">
        <f t="shared" si="6"/>
        <v>34</v>
      </c>
      <c r="B59" s="329" t="s">
        <v>396</v>
      </c>
      <c r="C59" s="330"/>
      <c r="D59" s="6">
        <f t="shared" ref="D59:K59" si="10">D93+D126+D159+D192+D225+D258+D291+D324+D357+D390+D423+D456+D489</f>
        <v>0</v>
      </c>
      <c r="E59" s="6">
        <f t="shared" si="10"/>
        <v>0</v>
      </c>
      <c r="F59" s="6">
        <f t="shared" si="10"/>
        <v>0</v>
      </c>
      <c r="G59" s="6">
        <f t="shared" si="10"/>
        <v>0</v>
      </c>
      <c r="H59" s="6">
        <f t="shared" si="10"/>
        <v>0</v>
      </c>
      <c r="I59" s="6">
        <f t="shared" si="10"/>
        <v>0</v>
      </c>
      <c r="J59" s="6">
        <f t="shared" si="10"/>
        <v>0</v>
      </c>
      <c r="K59" s="6">
        <f t="shared" si="10"/>
        <v>0</v>
      </c>
      <c r="L59" s="439"/>
      <c r="M59" s="6"/>
    </row>
    <row r="60" spans="1:13" ht="13">
      <c r="A60" s="2">
        <f t="shared" si="6"/>
        <v>35</v>
      </c>
      <c r="B60" s="329" t="s">
        <v>610</v>
      </c>
      <c r="C60" s="330"/>
      <c r="D60" s="6">
        <f t="shared" ref="D60:K60" si="11">D94+D127+D160+D193+D226+D259+D292+D325+D358+D391+D424+D457+D490</f>
        <v>0</v>
      </c>
      <c r="E60" s="6">
        <f t="shared" si="11"/>
        <v>0</v>
      </c>
      <c r="F60" s="6">
        <f t="shared" si="11"/>
        <v>0</v>
      </c>
      <c r="G60" s="6">
        <f t="shared" si="11"/>
        <v>0</v>
      </c>
      <c r="H60" s="6">
        <f t="shared" si="11"/>
        <v>0</v>
      </c>
      <c r="I60" s="6">
        <f t="shared" si="11"/>
        <v>0</v>
      </c>
      <c r="J60" s="6">
        <f t="shared" si="11"/>
        <v>0</v>
      </c>
      <c r="K60" s="6">
        <f t="shared" si="11"/>
        <v>0</v>
      </c>
      <c r="L60" s="439"/>
      <c r="M60" s="6"/>
    </row>
    <row r="61" spans="1:13" ht="13">
      <c r="A61" s="2">
        <f t="shared" si="6"/>
        <v>36</v>
      </c>
      <c r="B61" s="329" t="s">
        <v>398</v>
      </c>
      <c r="C61" s="330"/>
      <c r="D61" s="6">
        <f t="shared" ref="D61:K61" si="12">D95+D128+D161+D194+D227+D260+D293+D326+D359+D392+D425+D458+D491</f>
        <v>0</v>
      </c>
      <c r="E61" s="6">
        <f t="shared" si="12"/>
        <v>0</v>
      </c>
      <c r="F61" s="6">
        <f t="shared" si="12"/>
        <v>0</v>
      </c>
      <c r="G61" s="6">
        <f t="shared" si="12"/>
        <v>0</v>
      </c>
      <c r="H61" s="6">
        <f t="shared" si="12"/>
        <v>0</v>
      </c>
      <c r="I61" s="6">
        <f>I95+I128+I161+I194+I227+I260+I293+I326+I359+I392+I425+I458+I491</f>
        <v>0</v>
      </c>
      <c r="J61" s="6">
        <f t="shared" si="12"/>
        <v>0</v>
      </c>
      <c r="K61" s="6">
        <f t="shared" si="12"/>
        <v>0</v>
      </c>
      <c r="L61" s="439"/>
      <c r="M61" s="6"/>
    </row>
    <row r="62" spans="1:13" ht="13">
      <c r="A62" s="2">
        <f t="shared" si="6"/>
        <v>37</v>
      </c>
      <c r="B62" s="329" t="s">
        <v>399</v>
      </c>
      <c r="C62" s="330"/>
      <c r="D62" s="6">
        <f t="shared" ref="D62:K62" si="13">D96+D129+D162+D195+D228+D261+D294+D327+D360+D393+D426+D459+D492</f>
        <v>0</v>
      </c>
      <c r="E62" s="6">
        <f t="shared" si="13"/>
        <v>0</v>
      </c>
      <c r="F62" s="6">
        <f t="shared" si="13"/>
        <v>0</v>
      </c>
      <c r="G62" s="6">
        <f t="shared" si="13"/>
        <v>0</v>
      </c>
      <c r="H62" s="6">
        <f t="shared" si="13"/>
        <v>0</v>
      </c>
      <c r="I62" s="6">
        <f t="shared" si="13"/>
        <v>0</v>
      </c>
      <c r="J62" s="6">
        <f t="shared" si="13"/>
        <v>0</v>
      </c>
      <c r="K62" s="6">
        <f t="shared" si="13"/>
        <v>0</v>
      </c>
      <c r="L62" s="439"/>
      <c r="M62" s="6"/>
    </row>
    <row r="63" spans="1:13" ht="13">
      <c r="A63" s="2">
        <f t="shared" si="6"/>
        <v>38</v>
      </c>
      <c r="B63" s="329" t="s">
        <v>400</v>
      </c>
      <c r="C63" s="330"/>
      <c r="D63" s="6">
        <f t="shared" ref="D63:K63" si="14">D97+D130+D163+D196+D229+D262+D295+D328+D361+D394+D427+D460+D493</f>
        <v>0</v>
      </c>
      <c r="E63" s="6">
        <f t="shared" si="14"/>
        <v>0</v>
      </c>
      <c r="F63" s="6">
        <f t="shared" si="14"/>
        <v>0</v>
      </c>
      <c r="G63" s="6">
        <f t="shared" si="14"/>
        <v>0</v>
      </c>
      <c r="H63" s="6">
        <f t="shared" si="14"/>
        <v>0</v>
      </c>
      <c r="I63" s="6">
        <f t="shared" si="14"/>
        <v>0</v>
      </c>
      <c r="J63" s="6">
        <f t="shared" si="14"/>
        <v>0</v>
      </c>
      <c r="K63" s="6">
        <f t="shared" si="14"/>
        <v>0</v>
      </c>
      <c r="L63" s="439"/>
      <c r="M63" s="6"/>
    </row>
    <row r="64" spans="1:13" ht="13">
      <c r="A64" s="2">
        <f t="shared" si="6"/>
        <v>39</v>
      </c>
      <c r="B64" s="329" t="s">
        <v>401</v>
      </c>
      <c r="C64" s="330"/>
      <c r="D64" s="6">
        <f t="shared" ref="D64:K64" si="15">D98+D131+D164+D197+D230+D263+D296+D329+D362+D395+D428+D461+D494</f>
        <v>0</v>
      </c>
      <c r="E64" s="6">
        <f t="shared" si="15"/>
        <v>0</v>
      </c>
      <c r="F64" s="6">
        <f t="shared" si="15"/>
        <v>0</v>
      </c>
      <c r="G64" s="6">
        <f t="shared" si="15"/>
        <v>0</v>
      </c>
      <c r="H64" s="6">
        <f t="shared" si="15"/>
        <v>0</v>
      </c>
      <c r="I64" s="6">
        <f t="shared" si="15"/>
        <v>0</v>
      </c>
      <c r="J64" s="6">
        <f t="shared" si="15"/>
        <v>0</v>
      </c>
      <c r="K64" s="6">
        <f t="shared" si="15"/>
        <v>0</v>
      </c>
      <c r="L64" s="439"/>
      <c r="M64" s="6"/>
    </row>
    <row r="65" spans="1:13" ht="13">
      <c r="A65" s="2">
        <f t="shared" si="6"/>
        <v>40</v>
      </c>
      <c r="B65" s="329" t="s">
        <v>402</v>
      </c>
      <c r="C65" s="330"/>
      <c r="D65" s="6">
        <f t="shared" ref="D65:K65" si="16">D99+D132+D165+D198+D231+D264+D297+D330+D363+D396+D429+D462+D495</f>
        <v>0</v>
      </c>
      <c r="E65" s="6">
        <f t="shared" si="16"/>
        <v>0</v>
      </c>
      <c r="F65" s="6">
        <f t="shared" si="16"/>
        <v>0</v>
      </c>
      <c r="G65" s="6">
        <f t="shared" si="16"/>
        <v>0</v>
      </c>
      <c r="H65" s="6">
        <f t="shared" si="16"/>
        <v>0</v>
      </c>
      <c r="I65" s="6">
        <f t="shared" si="16"/>
        <v>0</v>
      </c>
      <c r="J65" s="6">
        <f t="shared" si="16"/>
        <v>0</v>
      </c>
      <c r="K65" s="6">
        <f t="shared" si="16"/>
        <v>0</v>
      </c>
      <c r="L65" s="439"/>
      <c r="M65" s="6"/>
    </row>
    <row r="66" spans="1:13" ht="13">
      <c r="A66" s="2">
        <f t="shared" si="6"/>
        <v>41</v>
      </c>
      <c r="B66" s="329" t="s">
        <v>390</v>
      </c>
      <c r="C66" s="330"/>
      <c r="D66" s="6">
        <f t="shared" ref="D66:K66" si="17">D100+D133+D166+D199+D232+D265+D298+D331+D364+D397+D430+D463+D496</f>
        <v>0</v>
      </c>
      <c r="E66" s="6">
        <f t="shared" si="17"/>
        <v>0</v>
      </c>
      <c r="F66" s="6">
        <f t="shared" si="17"/>
        <v>0</v>
      </c>
      <c r="G66" s="6">
        <f t="shared" si="17"/>
        <v>0</v>
      </c>
      <c r="H66" s="6">
        <f t="shared" si="17"/>
        <v>0</v>
      </c>
      <c r="I66" s="6">
        <f t="shared" si="17"/>
        <v>0</v>
      </c>
      <c r="J66" s="6">
        <f t="shared" si="17"/>
        <v>0</v>
      </c>
      <c r="K66" s="6">
        <f t="shared" si="17"/>
        <v>0</v>
      </c>
      <c r="L66" s="439"/>
      <c r="M66" s="6"/>
    </row>
    <row r="67" spans="1:13" ht="13">
      <c r="A67" s="2">
        <f t="shared" si="6"/>
        <v>42</v>
      </c>
      <c r="B67" s="329" t="s">
        <v>392</v>
      </c>
      <c r="C67" s="330"/>
      <c r="D67" s="6">
        <f t="shared" ref="D67:K67" si="18">D101+D134+D167+D200+D233+D266+D299+D332+D365+D398+D431+D464+D497</f>
        <v>0</v>
      </c>
      <c r="E67" s="6">
        <f t="shared" si="18"/>
        <v>0</v>
      </c>
      <c r="F67" s="6">
        <f t="shared" si="18"/>
        <v>0</v>
      </c>
      <c r="G67" s="6">
        <f t="shared" si="18"/>
        <v>0</v>
      </c>
      <c r="H67" s="6">
        <f t="shared" si="18"/>
        <v>0</v>
      </c>
      <c r="I67" s="6">
        <f t="shared" si="18"/>
        <v>0</v>
      </c>
      <c r="J67" s="6">
        <f t="shared" si="18"/>
        <v>0</v>
      </c>
      <c r="K67" s="6">
        <f t="shared" si="18"/>
        <v>0</v>
      </c>
      <c r="L67" s="439"/>
      <c r="M67" s="6"/>
    </row>
    <row r="68" spans="1:13" ht="13">
      <c r="A68" s="2">
        <f t="shared" si="6"/>
        <v>43</v>
      </c>
      <c r="B68" s="329" t="s">
        <v>393</v>
      </c>
      <c r="C68" s="330"/>
      <c r="D68" s="6">
        <f t="shared" ref="D68:K68" si="19">D102+D135+D168+D201+D234+D267+D300+D333+D366+D399+D432+D465+D498</f>
        <v>0</v>
      </c>
      <c r="E68" s="6">
        <f t="shared" si="19"/>
        <v>0</v>
      </c>
      <c r="F68" s="6">
        <f t="shared" si="19"/>
        <v>0</v>
      </c>
      <c r="G68" s="6">
        <f t="shared" si="19"/>
        <v>0</v>
      </c>
      <c r="H68" s="6">
        <f t="shared" si="19"/>
        <v>0</v>
      </c>
      <c r="I68" s="6">
        <f t="shared" si="19"/>
        <v>0</v>
      </c>
      <c r="J68" s="6">
        <f t="shared" si="19"/>
        <v>0</v>
      </c>
      <c r="K68" s="6">
        <f t="shared" si="19"/>
        <v>0</v>
      </c>
      <c r="L68" s="439"/>
      <c r="M68" s="6"/>
    </row>
    <row r="69" spans="1:13" ht="13">
      <c r="A69" s="2">
        <f t="shared" si="6"/>
        <v>44</v>
      </c>
      <c r="B69" s="329" t="s">
        <v>394</v>
      </c>
      <c r="C69" s="330"/>
      <c r="D69" s="6">
        <f t="shared" ref="D69:K69" si="20">D103+D136+D169+D202+D235+D268+D301+D334+D367+D400+D433+D466+D499</f>
        <v>0</v>
      </c>
      <c r="E69" s="6">
        <f t="shared" si="20"/>
        <v>0</v>
      </c>
      <c r="F69" s="6">
        <f t="shared" si="20"/>
        <v>0</v>
      </c>
      <c r="G69" s="6">
        <f t="shared" si="20"/>
        <v>0</v>
      </c>
      <c r="H69" s="6">
        <f t="shared" si="20"/>
        <v>0</v>
      </c>
      <c r="I69" s="6">
        <f t="shared" si="20"/>
        <v>0</v>
      </c>
      <c r="J69" s="6">
        <f t="shared" si="20"/>
        <v>0</v>
      </c>
      <c r="K69" s="6">
        <f t="shared" si="20"/>
        <v>0</v>
      </c>
      <c r="L69" s="439"/>
      <c r="M69" s="6"/>
    </row>
    <row r="70" spans="1:13" ht="13">
      <c r="A70" s="2">
        <f t="shared" si="6"/>
        <v>45</v>
      </c>
      <c r="B70" s="329" t="s">
        <v>395</v>
      </c>
      <c r="C70" s="330"/>
      <c r="D70" s="6">
        <f t="shared" ref="D70:K70" si="21">D104+D137+D170+D203+D236+D269+D302+D335+D368+D401+D434+D467+D500</f>
        <v>0</v>
      </c>
      <c r="E70" s="6">
        <f t="shared" si="21"/>
        <v>0</v>
      </c>
      <c r="F70" s="6">
        <f t="shared" si="21"/>
        <v>0</v>
      </c>
      <c r="G70" s="6">
        <f t="shared" si="21"/>
        <v>0</v>
      </c>
      <c r="H70" s="6">
        <f t="shared" si="21"/>
        <v>0</v>
      </c>
      <c r="I70" s="6">
        <f t="shared" si="21"/>
        <v>0</v>
      </c>
      <c r="J70" s="6">
        <f t="shared" si="21"/>
        <v>0</v>
      </c>
      <c r="K70" s="6">
        <f t="shared" si="21"/>
        <v>0</v>
      </c>
      <c r="L70" s="439"/>
      <c r="M70" s="6"/>
    </row>
    <row r="71" spans="1:13" ht="13">
      <c r="A71" s="2">
        <f t="shared" si="6"/>
        <v>46</v>
      </c>
      <c r="B71" s="329" t="s">
        <v>396</v>
      </c>
      <c r="C71" s="330"/>
      <c r="D71" s="6">
        <f t="shared" ref="D71:K71" si="22">D105+D138+D171+D204+D237+D270+D303+D336+D369+D402+D435+D468+D501</f>
        <v>0</v>
      </c>
      <c r="E71" s="6">
        <f t="shared" si="22"/>
        <v>0</v>
      </c>
      <c r="F71" s="6">
        <f t="shared" si="22"/>
        <v>0</v>
      </c>
      <c r="G71" s="6">
        <f t="shared" si="22"/>
        <v>0</v>
      </c>
      <c r="H71" s="6">
        <f t="shared" si="22"/>
        <v>0</v>
      </c>
      <c r="I71" s="6">
        <f t="shared" si="22"/>
        <v>0</v>
      </c>
      <c r="J71" s="6">
        <f t="shared" si="22"/>
        <v>0</v>
      </c>
      <c r="K71" s="6">
        <f t="shared" si="22"/>
        <v>0</v>
      </c>
      <c r="L71" s="439"/>
      <c r="M71" s="6"/>
    </row>
    <row r="72" spans="1:13" ht="13">
      <c r="A72" s="2">
        <f t="shared" si="6"/>
        <v>47</v>
      </c>
      <c r="B72" s="329" t="s">
        <v>610</v>
      </c>
      <c r="C72" s="330"/>
      <c r="D72" s="6">
        <f t="shared" ref="D72:K72" si="23">D106+D139+D172+D205+D238+D271+D304+D337+D370+D403+D436+D469+D502</f>
        <v>0</v>
      </c>
      <c r="E72" s="6">
        <f t="shared" si="23"/>
        <v>0</v>
      </c>
      <c r="F72" s="6">
        <f t="shared" si="23"/>
        <v>0</v>
      </c>
      <c r="G72" s="6">
        <f t="shared" si="23"/>
        <v>0</v>
      </c>
      <c r="H72" s="6">
        <f t="shared" si="23"/>
        <v>0</v>
      </c>
      <c r="I72" s="6">
        <f t="shared" si="23"/>
        <v>0</v>
      </c>
      <c r="J72" s="6">
        <f t="shared" si="23"/>
        <v>0</v>
      </c>
      <c r="K72" s="6">
        <f t="shared" si="23"/>
        <v>0</v>
      </c>
      <c r="L72" s="439"/>
      <c r="M72" s="6"/>
    </row>
    <row r="73" spans="1:13" ht="13">
      <c r="A73" s="2">
        <f t="shared" si="6"/>
        <v>48</v>
      </c>
      <c r="B73" s="329" t="s">
        <v>398</v>
      </c>
      <c r="C73" s="330"/>
      <c r="D73" s="6">
        <f t="shared" ref="D73:K73" si="24">D107+D140+D173+D206+D239+D272+D305+D338+D371+D404+D437+D470+D503</f>
        <v>0</v>
      </c>
      <c r="E73" s="6">
        <f t="shared" si="24"/>
        <v>0</v>
      </c>
      <c r="F73" s="6">
        <f t="shared" si="24"/>
        <v>0</v>
      </c>
      <c r="G73" s="6">
        <f t="shared" si="24"/>
        <v>0</v>
      </c>
      <c r="H73" s="6">
        <f t="shared" si="24"/>
        <v>0</v>
      </c>
      <c r="I73" s="6">
        <f t="shared" si="24"/>
        <v>0</v>
      </c>
      <c r="J73" s="6">
        <f t="shared" si="24"/>
        <v>0</v>
      </c>
      <c r="K73" s="6">
        <f t="shared" si="24"/>
        <v>0</v>
      </c>
      <c r="L73" s="439"/>
      <c r="M73" s="6"/>
    </row>
    <row r="74" spans="1:13" ht="13">
      <c r="A74" s="2">
        <f t="shared" si="6"/>
        <v>49</v>
      </c>
      <c r="B74" s="329" t="s">
        <v>399</v>
      </c>
      <c r="C74" s="330"/>
      <c r="D74" s="6">
        <f t="shared" ref="D74:K74" si="25">D108+D141+D174+D207+D240+D273+D306+D339+D372+D405+D438+D471+D504</f>
        <v>0</v>
      </c>
      <c r="E74" s="6">
        <f t="shared" si="25"/>
        <v>0</v>
      </c>
      <c r="F74" s="6">
        <f t="shared" si="25"/>
        <v>0</v>
      </c>
      <c r="G74" s="6">
        <f t="shared" si="25"/>
        <v>0</v>
      </c>
      <c r="H74" s="6">
        <f t="shared" si="25"/>
        <v>0</v>
      </c>
      <c r="I74" s="6">
        <f t="shared" si="25"/>
        <v>0</v>
      </c>
      <c r="J74" s="6">
        <f t="shared" si="25"/>
        <v>0</v>
      </c>
      <c r="K74" s="6">
        <f t="shared" si="25"/>
        <v>0</v>
      </c>
      <c r="L74" s="439"/>
      <c r="M74" s="6"/>
    </row>
    <row r="75" spans="1:13" ht="13">
      <c r="A75" s="2">
        <f t="shared" si="6"/>
        <v>50</v>
      </c>
      <c r="B75" s="329" t="s">
        <v>400</v>
      </c>
      <c r="C75" s="330"/>
      <c r="D75" s="6">
        <f t="shared" ref="D75:K75" si="26">D109+D142+D175+D208+D241+D274+D307+D340+D373+D406+D439+D472+D505</f>
        <v>0</v>
      </c>
      <c r="E75" s="6">
        <f t="shared" si="26"/>
        <v>0</v>
      </c>
      <c r="F75" s="6">
        <f t="shared" si="26"/>
        <v>0</v>
      </c>
      <c r="G75" s="6">
        <f t="shared" si="26"/>
        <v>0</v>
      </c>
      <c r="H75" s="6">
        <f t="shared" si="26"/>
        <v>0</v>
      </c>
      <c r="I75" s="6">
        <f t="shared" si="26"/>
        <v>0</v>
      </c>
      <c r="J75" s="6">
        <f t="shared" si="26"/>
        <v>0</v>
      </c>
      <c r="K75" s="6">
        <f t="shared" si="26"/>
        <v>0</v>
      </c>
      <c r="L75" s="439"/>
      <c r="M75" s="6"/>
    </row>
    <row r="76" spans="1:13" ht="13">
      <c r="A76" s="2">
        <f t="shared" si="6"/>
        <v>51</v>
      </c>
      <c r="B76" s="329" t="s">
        <v>401</v>
      </c>
      <c r="C76" s="330"/>
      <c r="D76" s="6">
        <f t="shared" ref="D76:K76" si="27">D110+D143+D176+D209+D242+D275+D308+D341+D374+D407+D440+D473+D506</f>
        <v>0</v>
      </c>
      <c r="E76" s="6">
        <f t="shared" si="27"/>
        <v>0</v>
      </c>
      <c r="F76" s="6">
        <f t="shared" si="27"/>
        <v>0</v>
      </c>
      <c r="G76" s="6">
        <f t="shared" si="27"/>
        <v>0</v>
      </c>
      <c r="H76" s="6">
        <f t="shared" si="27"/>
        <v>0</v>
      </c>
      <c r="I76" s="6">
        <f t="shared" si="27"/>
        <v>0</v>
      </c>
      <c r="J76" s="6">
        <f t="shared" si="27"/>
        <v>0</v>
      </c>
      <c r="K76" s="6">
        <f t="shared" si="27"/>
        <v>0</v>
      </c>
      <c r="L76" s="439"/>
      <c r="M76" s="6"/>
    </row>
    <row r="77" spans="1:13" ht="13">
      <c r="A77" s="2">
        <f t="shared" si="6"/>
        <v>52</v>
      </c>
      <c r="B77" s="329" t="s">
        <v>402</v>
      </c>
      <c r="C77" s="330"/>
      <c r="D77" s="6">
        <f t="shared" ref="D77:K77" si="28">D111+D144+D177+D210+D243+D276+D309+D342+D375+D408+D441+D474+D507</f>
        <v>0</v>
      </c>
      <c r="E77" s="6">
        <f t="shared" si="28"/>
        <v>0</v>
      </c>
      <c r="F77" s="6">
        <f t="shared" si="28"/>
        <v>0</v>
      </c>
      <c r="G77" s="6">
        <f t="shared" si="28"/>
        <v>0</v>
      </c>
      <c r="H77" s="6">
        <f t="shared" si="28"/>
        <v>0</v>
      </c>
      <c r="I77" s="6">
        <f t="shared" si="28"/>
        <v>0</v>
      </c>
      <c r="J77" s="6">
        <f t="shared" si="28"/>
        <v>0</v>
      </c>
      <c r="K77" s="6">
        <f t="shared" si="28"/>
        <v>0</v>
      </c>
      <c r="L77" s="439"/>
      <c r="M77" s="6"/>
    </row>
    <row r="78" spans="1:13" ht="13">
      <c r="A78" s="2">
        <f t="shared" si="6"/>
        <v>53</v>
      </c>
      <c r="B78" s="329" t="s">
        <v>390</v>
      </c>
      <c r="C78" s="330"/>
      <c r="D78" s="6">
        <f t="shared" ref="D78:K78" si="29">D112+D145+D178+D211+D244+D277+D310+D343+D376+D409+D442+D475+D508</f>
        <v>0</v>
      </c>
      <c r="E78" s="6">
        <f t="shared" si="29"/>
        <v>0</v>
      </c>
      <c r="F78" s="6">
        <f t="shared" si="29"/>
        <v>0</v>
      </c>
      <c r="G78" s="6">
        <f t="shared" si="29"/>
        <v>0</v>
      </c>
      <c r="H78" s="6">
        <f t="shared" si="29"/>
        <v>0</v>
      </c>
      <c r="I78" s="6">
        <f t="shared" si="29"/>
        <v>0</v>
      </c>
      <c r="J78" s="6">
        <f t="shared" si="29"/>
        <v>0</v>
      </c>
      <c r="K78" s="53">
        <f t="shared" si="29"/>
        <v>0</v>
      </c>
      <c r="L78" s="440"/>
      <c r="M78" s="6"/>
    </row>
    <row r="79" spans="1:13" ht="13">
      <c r="A79" s="2">
        <f t="shared" si="6"/>
        <v>54</v>
      </c>
      <c r="C79" s="351" t="s">
        <v>1107</v>
      </c>
      <c r="K79" s="42">
        <f>AVERAGE(K66:K78)</f>
        <v>0</v>
      </c>
      <c r="L79" s="441"/>
    </row>
    <row r="81" spans="1:11" ht="13">
      <c r="B81" s="334" t="s">
        <v>1108</v>
      </c>
      <c r="F81" s="39" t="s">
        <v>200</v>
      </c>
      <c r="G81" s="240" t="s">
        <v>1109</v>
      </c>
      <c r="H81" s="54"/>
    </row>
    <row r="82" spans="1:11" ht="13">
      <c r="B82" s="34" t="s">
        <v>1110</v>
      </c>
      <c r="D82" s="1204" t="s">
        <v>1072</v>
      </c>
      <c r="E82" s="1204"/>
    </row>
    <row r="83" spans="1:11" s="3" customFormat="1" ht="13">
      <c r="D83" s="3" t="s">
        <v>347</v>
      </c>
      <c r="E83" s="3" t="s">
        <v>348</v>
      </c>
      <c r="F83" s="3" t="s">
        <v>349</v>
      </c>
      <c r="G83" s="3" t="s">
        <v>350</v>
      </c>
      <c r="H83" s="3" t="s">
        <v>351</v>
      </c>
      <c r="I83" s="3" t="s">
        <v>352</v>
      </c>
      <c r="J83" s="3" t="s">
        <v>353</v>
      </c>
      <c r="K83" s="3" t="s">
        <v>354</v>
      </c>
    </row>
    <row r="84" spans="1:11" ht="26.25" customHeight="1">
      <c r="D84" s="48"/>
      <c r="E84" s="352" t="s">
        <v>1111</v>
      </c>
      <c r="F84" s="239" t="s">
        <v>1112</v>
      </c>
      <c r="G84" s="239"/>
      <c r="H84" s="48"/>
      <c r="I84" s="352" t="s">
        <v>1113</v>
      </c>
      <c r="J84" s="352" t="s">
        <v>1114</v>
      </c>
      <c r="K84" s="352" t="s">
        <v>1115</v>
      </c>
    </row>
    <row r="85" spans="1:11" ht="13">
      <c r="D85" s="48"/>
      <c r="E85" s="353"/>
      <c r="F85" s="353"/>
      <c r="G85" s="2" t="str">
        <f>G51</f>
        <v>Unloaded</v>
      </c>
      <c r="H85" s="48"/>
      <c r="I85" s="353"/>
      <c r="J85" s="353"/>
      <c r="K85" s="2"/>
    </row>
    <row r="86" spans="1:11" s="2" customFormat="1" ht="13">
      <c r="D86" s="2" t="str">
        <f>D$52</f>
        <v>Forecast</v>
      </c>
      <c r="E86" s="2" t="str">
        <f t="shared" ref="E86:J86" si="30">E$52</f>
        <v>Corporate</v>
      </c>
      <c r="F86" s="2" t="str">
        <f t="shared" si="30"/>
        <v xml:space="preserve">Total </v>
      </c>
      <c r="G86" s="2" t="str">
        <f>G52</f>
        <v>Total</v>
      </c>
      <c r="H86" s="2" t="str">
        <f t="shared" si="30"/>
        <v>Prior Period</v>
      </c>
      <c r="I86" s="2" t="str">
        <f t="shared" si="30"/>
        <v>Over Heads</v>
      </c>
      <c r="J86" s="2" t="str">
        <f t="shared" si="30"/>
        <v>Forecast</v>
      </c>
      <c r="K86" s="2" t="str">
        <f>K$52</f>
        <v>Forecast Period</v>
      </c>
    </row>
    <row r="87" spans="1:11" ht="13">
      <c r="A87" s="30" t="s">
        <v>284</v>
      </c>
      <c r="B87" s="328" t="s">
        <v>382</v>
      </c>
      <c r="C87" s="328" t="s">
        <v>383</v>
      </c>
      <c r="D87" s="3" t="str">
        <f>D$53</f>
        <v>Expenditures</v>
      </c>
      <c r="E87" s="3" t="str">
        <f t="shared" ref="E87:J87" si="31">E$53</f>
        <v>Overheads</v>
      </c>
      <c r="F87" s="3" t="str">
        <f t="shared" si="31"/>
        <v>CWIP Exp</v>
      </c>
      <c r="G87" s="3" t="str">
        <f>G53</f>
        <v>Plant Adds</v>
      </c>
      <c r="H87" s="3" t="str">
        <f t="shared" si="31"/>
        <v>CWIP Closed</v>
      </c>
      <c r="I87" s="3" t="str">
        <f t="shared" si="31"/>
        <v>Closed to PIS</v>
      </c>
      <c r="J87" s="3" t="str">
        <f t="shared" si="31"/>
        <v>Period CWIP</v>
      </c>
      <c r="K87" s="3" t="str">
        <f>K$53</f>
        <v>Incremental CWIP</v>
      </c>
    </row>
    <row r="88" spans="1:11" ht="13">
      <c r="A88" s="2">
        <f>A79+1</f>
        <v>55</v>
      </c>
      <c r="B88" s="329" t="s">
        <v>390</v>
      </c>
      <c r="C88" s="330"/>
      <c r="D88" s="239" t="s">
        <v>391</v>
      </c>
      <c r="E88" s="239" t="s">
        <v>391</v>
      </c>
      <c r="F88" s="239" t="s">
        <v>391</v>
      </c>
      <c r="G88" s="239" t="s">
        <v>391</v>
      </c>
      <c r="H88" s="239" t="s">
        <v>391</v>
      </c>
      <c r="I88" s="239" t="s">
        <v>391</v>
      </c>
      <c r="J88" s="6">
        <f>E25</f>
        <v>0</v>
      </c>
      <c r="K88" s="239" t="s">
        <v>391</v>
      </c>
    </row>
    <row r="89" spans="1:11" ht="13">
      <c r="A89" s="2">
        <f>A88+1</f>
        <v>56</v>
      </c>
      <c r="B89" s="329" t="s">
        <v>392</v>
      </c>
      <c r="C89" s="330"/>
      <c r="D89" s="59"/>
      <c r="E89" s="6">
        <f>D89*'16-PlantAdditions'!$E$103</f>
        <v>0</v>
      </c>
      <c r="F89" s="6">
        <f>E89+D89</f>
        <v>0</v>
      </c>
      <c r="G89" s="59"/>
      <c r="H89" s="59"/>
      <c r="I89" s="6">
        <f>(G89-H89)*'16-PlantAdditions'!$E$103</f>
        <v>0</v>
      </c>
      <c r="J89" s="6">
        <f>J88+F89-G89-I89</f>
        <v>0</v>
      </c>
      <c r="K89" s="6">
        <f>J89-$J$88</f>
        <v>0</v>
      </c>
    </row>
    <row r="90" spans="1:11" ht="13">
      <c r="A90" s="2">
        <f t="shared" ref="A90:A108" si="32">A89+1</f>
        <v>57</v>
      </c>
      <c r="B90" s="329" t="s">
        <v>393</v>
      </c>
      <c r="C90" s="330"/>
      <c r="D90" s="59"/>
      <c r="E90" s="6">
        <f>D90*'16-PlantAdditions'!$E$103</f>
        <v>0</v>
      </c>
      <c r="F90" s="6">
        <f t="shared" ref="F90:F112" si="33">E90+D90</f>
        <v>0</v>
      </c>
      <c r="G90" s="59"/>
      <c r="H90" s="59"/>
      <c r="I90" s="6">
        <f>(G90-H90)*'16-PlantAdditions'!$E$103</f>
        <v>0</v>
      </c>
      <c r="J90" s="6">
        <f t="shared" ref="J90:J108" si="34">J89+F90-G90-I90</f>
        <v>0</v>
      </c>
      <c r="K90" s="6">
        <f t="shared" ref="K90:K112" si="35">J90-$J$88</f>
        <v>0</v>
      </c>
    </row>
    <row r="91" spans="1:11" ht="13">
      <c r="A91" s="2">
        <f t="shared" si="32"/>
        <v>58</v>
      </c>
      <c r="B91" s="329" t="s">
        <v>394</v>
      </c>
      <c r="C91" s="330"/>
      <c r="D91" s="59"/>
      <c r="E91" s="6">
        <f>D91*'16-PlantAdditions'!$E$103</f>
        <v>0</v>
      </c>
      <c r="F91" s="6">
        <f t="shared" si="33"/>
        <v>0</v>
      </c>
      <c r="G91" s="59"/>
      <c r="H91" s="59"/>
      <c r="I91" s="6">
        <f>(G91-H91)*'16-PlantAdditions'!$E$103</f>
        <v>0</v>
      </c>
      <c r="J91" s="6">
        <f t="shared" si="34"/>
        <v>0</v>
      </c>
      <c r="K91" s="6">
        <f>J91-$J$88</f>
        <v>0</v>
      </c>
    </row>
    <row r="92" spans="1:11" ht="13">
      <c r="A92" s="2">
        <f t="shared" si="32"/>
        <v>59</v>
      </c>
      <c r="B92" s="329" t="s">
        <v>395</v>
      </c>
      <c r="C92" s="330"/>
      <c r="D92" s="59"/>
      <c r="E92" s="6">
        <f>D92*'16-PlantAdditions'!$E$103</f>
        <v>0</v>
      </c>
      <c r="F92" s="6">
        <f t="shared" si="33"/>
        <v>0</v>
      </c>
      <c r="G92" s="59"/>
      <c r="H92" s="59"/>
      <c r="I92" s="6">
        <f>(G92-H92)*'16-PlantAdditions'!$E$103</f>
        <v>0</v>
      </c>
      <c r="J92" s="6">
        <f>J91+F92-G92-I92</f>
        <v>0</v>
      </c>
      <c r="K92" s="6">
        <f>J92-$J$88</f>
        <v>0</v>
      </c>
    </row>
    <row r="93" spans="1:11" ht="13">
      <c r="A93" s="2">
        <f t="shared" si="32"/>
        <v>60</v>
      </c>
      <c r="B93" s="329" t="s">
        <v>396</v>
      </c>
      <c r="C93" s="330"/>
      <c r="D93" s="59"/>
      <c r="E93" s="6">
        <f>D93*'16-PlantAdditions'!$E$103</f>
        <v>0</v>
      </c>
      <c r="F93" s="6">
        <f t="shared" si="33"/>
        <v>0</v>
      </c>
      <c r="G93" s="59"/>
      <c r="H93" s="59"/>
      <c r="I93" s="6">
        <f>(G93-H93)*'16-PlantAdditions'!$E$103</f>
        <v>0</v>
      </c>
      <c r="J93" s="6">
        <f t="shared" si="34"/>
        <v>0</v>
      </c>
      <c r="K93" s="6">
        <f t="shared" si="35"/>
        <v>0</v>
      </c>
    </row>
    <row r="94" spans="1:11" ht="13">
      <c r="A94" s="2">
        <f t="shared" si="32"/>
        <v>61</v>
      </c>
      <c r="B94" s="329" t="s">
        <v>610</v>
      </c>
      <c r="C94" s="330"/>
      <c r="D94" s="59"/>
      <c r="E94" s="6">
        <f>D94*'16-PlantAdditions'!$E$103</f>
        <v>0</v>
      </c>
      <c r="F94" s="6">
        <f t="shared" si="33"/>
        <v>0</v>
      </c>
      <c r="G94" s="59"/>
      <c r="H94" s="59"/>
      <c r="I94" s="6">
        <f>(G94-H94)*'16-PlantAdditions'!$E$103</f>
        <v>0</v>
      </c>
      <c r="J94" s="6">
        <f t="shared" si="34"/>
        <v>0</v>
      </c>
      <c r="K94" s="6">
        <f t="shared" si="35"/>
        <v>0</v>
      </c>
    </row>
    <row r="95" spans="1:11" ht="13">
      <c r="A95" s="2">
        <f t="shared" si="32"/>
        <v>62</v>
      </c>
      <c r="B95" s="329" t="s">
        <v>398</v>
      </c>
      <c r="C95" s="330"/>
      <c r="D95" s="59"/>
      <c r="E95" s="6">
        <f>D95*'16-PlantAdditions'!$E$103</f>
        <v>0</v>
      </c>
      <c r="F95" s="6">
        <f t="shared" si="33"/>
        <v>0</v>
      </c>
      <c r="G95" s="59"/>
      <c r="H95" s="59"/>
      <c r="I95" s="6">
        <f>(G95-H95)*'16-PlantAdditions'!$E$103</f>
        <v>0</v>
      </c>
      <c r="J95" s="6">
        <f t="shared" si="34"/>
        <v>0</v>
      </c>
      <c r="K95" s="6">
        <f t="shared" si="35"/>
        <v>0</v>
      </c>
    </row>
    <row r="96" spans="1:11" ht="13">
      <c r="A96" s="2">
        <f t="shared" si="32"/>
        <v>63</v>
      </c>
      <c r="B96" s="329" t="s">
        <v>399</v>
      </c>
      <c r="C96" s="330"/>
      <c r="D96" s="59"/>
      <c r="E96" s="6">
        <f>D96*'16-PlantAdditions'!$E$103</f>
        <v>0</v>
      </c>
      <c r="F96" s="6">
        <f t="shared" si="33"/>
        <v>0</v>
      </c>
      <c r="G96" s="59"/>
      <c r="H96" s="59"/>
      <c r="I96" s="6">
        <f>(G96-H96)*'16-PlantAdditions'!$E$103</f>
        <v>0</v>
      </c>
      <c r="J96" s="6">
        <f t="shared" si="34"/>
        <v>0</v>
      </c>
      <c r="K96" s="6">
        <f t="shared" si="35"/>
        <v>0</v>
      </c>
    </row>
    <row r="97" spans="1:11" ht="13">
      <c r="A97" s="2">
        <f t="shared" si="32"/>
        <v>64</v>
      </c>
      <c r="B97" s="329" t="s">
        <v>400</v>
      </c>
      <c r="C97" s="330"/>
      <c r="D97" s="59"/>
      <c r="E97" s="6">
        <f>D97*'16-PlantAdditions'!$E$103</f>
        <v>0</v>
      </c>
      <c r="F97" s="6">
        <f t="shared" si="33"/>
        <v>0</v>
      </c>
      <c r="G97" s="59"/>
      <c r="H97" s="59"/>
      <c r="I97" s="6">
        <f>(G97-H97)*'16-PlantAdditions'!$E$103</f>
        <v>0</v>
      </c>
      <c r="J97" s="6">
        <f t="shared" si="34"/>
        <v>0</v>
      </c>
      <c r="K97" s="6">
        <f t="shared" si="35"/>
        <v>0</v>
      </c>
    </row>
    <row r="98" spans="1:11" ht="13">
      <c r="A98" s="2">
        <f t="shared" si="32"/>
        <v>65</v>
      </c>
      <c r="B98" s="329" t="s">
        <v>401</v>
      </c>
      <c r="C98" s="330"/>
      <c r="D98" s="59"/>
      <c r="E98" s="6">
        <f>D98*'16-PlantAdditions'!$E$103</f>
        <v>0</v>
      </c>
      <c r="F98" s="6">
        <f t="shared" si="33"/>
        <v>0</v>
      </c>
      <c r="G98" s="59"/>
      <c r="H98" s="59"/>
      <c r="I98" s="6">
        <f>(G98-H98)*'16-PlantAdditions'!$E$103</f>
        <v>0</v>
      </c>
      <c r="J98" s="6">
        <f t="shared" si="34"/>
        <v>0</v>
      </c>
      <c r="K98" s="6">
        <f t="shared" si="35"/>
        <v>0</v>
      </c>
    </row>
    <row r="99" spans="1:11" ht="13">
      <c r="A99" s="2">
        <f t="shared" si="32"/>
        <v>66</v>
      </c>
      <c r="B99" s="329" t="s">
        <v>402</v>
      </c>
      <c r="C99" s="330"/>
      <c r="D99" s="59"/>
      <c r="E99" s="6">
        <f>D99*'16-PlantAdditions'!$E$103</f>
        <v>0</v>
      </c>
      <c r="F99" s="6">
        <f t="shared" si="33"/>
        <v>0</v>
      </c>
      <c r="G99" s="59"/>
      <c r="H99" s="59"/>
      <c r="I99" s="6">
        <f>(G99-H99)*'16-PlantAdditions'!$E$103</f>
        <v>0</v>
      </c>
      <c r="J99" s="6">
        <f t="shared" si="34"/>
        <v>0</v>
      </c>
      <c r="K99" s="6">
        <f t="shared" si="35"/>
        <v>0</v>
      </c>
    </row>
    <row r="100" spans="1:11" ht="13">
      <c r="A100" s="2">
        <f t="shared" si="32"/>
        <v>67</v>
      </c>
      <c r="B100" s="329" t="s">
        <v>390</v>
      </c>
      <c r="C100" s="330"/>
      <c r="D100" s="59"/>
      <c r="E100" s="6">
        <f>D100*'16-PlantAdditions'!$E$103</f>
        <v>0</v>
      </c>
      <c r="F100" s="6">
        <f t="shared" si="33"/>
        <v>0</v>
      </c>
      <c r="G100" s="59"/>
      <c r="H100" s="59"/>
      <c r="I100" s="6">
        <f>(G100-H100)*'16-PlantAdditions'!$E$103</f>
        <v>0</v>
      </c>
      <c r="J100" s="6">
        <f t="shared" si="34"/>
        <v>0</v>
      </c>
      <c r="K100" s="6">
        <f t="shared" si="35"/>
        <v>0</v>
      </c>
    </row>
    <row r="101" spans="1:11" ht="13">
      <c r="A101" s="2">
        <f t="shared" si="32"/>
        <v>68</v>
      </c>
      <c r="B101" s="329" t="s">
        <v>392</v>
      </c>
      <c r="C101" s="330"/>
      <c r="D101" s="59"/>
      <c r="E101" s="6">
        <f>D101*'16-PlantAdditions'!$E$103</f>
        <v>0</v>
      </c>
      <c r="F101" s="6">
        <f t="shared" si="33"/>
        <v>0</v>
      </c>
      <c r="G101" s="59"/>
      <c r="H101" s="59"/>
      <c r="I101" s="6">
        <f>(G101-H101)*'16-PlantAdditions'!$E$103</f>
        <v>0</v>
      </c>
      <c r="J101" s="6">
        <f t="shared" si="34"/>
        <v>0</v>
      </c>
      <c r="K101" s="6">
        <f t="shared" si="35"/>
        <v>0</v>
      </c>
    </row>
    <row r="102" spans="1:11" ht="13">
      <c r="A102" s="2">
        <f t="shared" si="32"/>
        <v>69</v>
      </c>
      <c r="B102" s="329" t="s">
        <v>393</v>
      </c>
      <c r="C102" s="330"/>
      <c r="D102" s="59"/>
      <c r="E102" s="6">
        <f>D102*'16-PlantAdditions'!$E$103</f>
        <v>0</v>
      </c>
      <c r="F102" s="6">
        <f t="shared" si="33"/>
        <v>0</v>
      </c>
      <c r="G102" s="59"/>
      <c r="H102" s="59"/>
      <c r="I102" s="6">
        <f>(G102-H102)*'16-PlantAdditions'!$E$103</f>
        <v>0</v>
      </c>
      <c r="J102" s="6">
        <f t="shared" si="34"/>
        <v>0</v>
      </c>
      <c r="K102" s="6">
        <f t="shared" si="35"/>
        <v>0</v>
      </c>
    </row>
    <row r="103" spans="1:11" ht="13">
      <c r="A103" s="2">
        <f t="shared" si="32"/>
        <v>70</v>
      </c>
      <c r="B103" s="329" t="s">
        <v>394</v>
      </c>
      <c r="C103" s="330"/>
      <c r="D103" s="59"/>
      <c r="E103" s="6">
        <f>D103*'16-PlantAdditions'!$E$103</f>
        <v>0</v>
      </c>
      <c r="F103" s="6">
        <f t="shared" si="33"/>
        <v>0</v>
      </c>
      <c r="G103" s="59"/>
      <c r="H103" s="59"/>
      <c r="I103" s="6">
        <f>(G103-H103)*'16-PlantAdditions'!$E$103</f>
        <v>0</v>
      </c>
      <c r="J103" s="6">
        <f t="shared" si="34"/>
        <v>0</v>
      </c>
      <c r="K103" s="6">
        <f t="shared" si="35"/>
        <v>0</v>
      </c>
    </row>
    <row r="104" spans="1:11" ht="13">
      <c r="A104" s="2">
        <f t="shared" si="32"/>
        <v>71</v>
      </c>
      <c r="B104" s="329" t="s">
        <v>395</v>
      </c>
      <c r="C104" s="330"/>
      <c r="D104" s="59"/>
      <c r="E104" s="6">
        <f>D104*'16-PlantAdditions'!$E$103</f>
        <v>0</v>
      </c>
      <c r="F104" s="6">
        <f t="shared" si="33"/>
        <v>0</v>
      </c>
      <c r="G104" s="59"/>
      <c r="H104" s="59"/>
      <c r="I104" s="6">
        <f>(G104-H104)*'16-PlantAdditions'!$E$103</f>
        <v>0</v>
      </c>
      <c r="J104" s="6">
        <f t="shared" si="34"/>
        <v>0</v>
      </c>
      <c r="K104" s="6">
        <f t="shared" si="35"/>
        <v>0</v>
      </c>
    </row>
    <row r="105" spans="1:11" ht="13">
      <c r="A105" s="2">
        <f t="shared" si="32"/>
        <v>72</v>
      </c>
      <c r="B105" s="329" t="s">
        <v>396</v>
      </c>
      <c r="C105" s="330"/>
      <c r="D105" s="59"/>
      <c r="E105" s="6">
        <f>D105*'16-PlantAdditions'!$E$103</f>
        <v>0</v>
      </c>
      <c r="F105" s="6">
        <f t="shared" si="33"/>
        <v>0</v>
      </c>
      <c r="G105" s="59"/>
      <c r="H105" s="59"/>
      <c r="I105" s="6">
        <f>(G105-H105)*'16-PlantAdditions'!$E$103</f>
        <v>0</v>
      </c>
      <c r="J105" s="6">
        <f t="shared" si="34"/>
        <v>0</v>
      </c>
      <c r="K105" s="6">
        <f t="shared" si="35"/>
        <v>0</v>
      </c>
    </row>
    <row r="106" spans="1:11" ht="13">
      <c r="A106" s="2">
        <f t="shared" si="32"/>
        <v>73</v>
      </c>
      <c r="B106" s="329" t="s">
        <v>610</v>
      </c>
      <c r="C106" s="330"/>
      <c r="D106" s="59"/>
      <c r="E106" s="6">
        <f>D106*'16-PlantAdditions'!$E$103</f>
        <v>0</v>
      </c>
      <c r="F106" s="6">
        <f t="shared" si="33"/>
        <v>0</v>
      </c>
      <c r="G106" s="59"/>
      <c r="H106" s="59"/>
      <c r="I106" s="6">
        <f>(G106-H106)*'16-PlantAdditions'!$E$103</f>
        <v>0</v>
      </c>
      <c r="J106" s="6">
        <f t="shared" si="34"/>
        <v>0</v>
      </c>
      <c r="K106" s="6">
        <f t="shared" si="35"/>
        <v>0</v>
      </c>
    </row>
    <row r="107" spans="1:11" ht="13">
      <c r="A107" s="2">
        <f t="shared" si="32"/>
        <v>74</v>
      </c>
      <c r="B107" s="329" t="s">
        <v>398</v>
      </c>
      <c r="C107" s="330"/>
      <c r="D107" s="59"/>
      <c r="E107" s="6">
        <f>D107*'16-PlantAdditions'!$E$103</f>
        <v>0</v>
      </c>
      <c r="F107" s="6">
        <f t="shared" si="33"/>
        <v>0</v>
      </c>
      <c r="G107" s="59"/>
      <c r="H107" s="59"/>
      <c r="I107" s="6">
        <f>(G107-H107)*'16-PlantAdditions'!$E$103</f>
        <v>0</v>
      </c>
      <c r="J107" s="6">
        <f t="shared" si="34"/>
        <v>0</v>
      </c>
      <c r="K107" s="6">
        <f t="shared" si="35"/>
        <v>0</v>
      </c>
    </row>
    <row r="108" spans="1:11" ht="13">
      <c r="A108" s="2">
        <f t="shared" si="32"/>
        <v>75</v>
      </c>
      <c r="B108" s="329" t="s">
        <v>399</v>
      </c>
      <c r="C108" s="330"/>
      <c r="D108" s="59"/>
      <c r="E108" s="6">
        <f>D108*'16-PlantAdditions'!$E$103</f>
        <v>0</v>
      </c>
      <c r="F108" s="6">
        <f t="shared" si="33"/>
        <v>0</v>
      </c>
      <c r="G108" s="59"/>
      <c r="H108" s="59"/>
      <c r="I108" s="6">
        <f>(G108-H108)*'16-PlantAdditions'!$E$103</f>
        <v>0</v>
      </c>
      <c r="J108" s="6">
        <f t="shared" si="34"/>
        <v>0</v>
      </c>
      <c r="K108" s="6">
        <f t="shared" si="35"/>
        <v>0</v>
      </c>
    </row>
    <row r="109" spans="1:11" ht="13">
      <c r="A109" s="2">
        <f>A108+1</f>
        <v>76</v>
      </c>
      <c r="B109" s="329" t="s">
        <v>400</v>
      </c>
      <c r="C109" s="330"/>
      <c r="D109" s="59"/>
      <c r="E109" s="6">
        <f>D109*'16-PlantAdditions'!$E$103</f>
        <v>0</v>
      </c>
      <c r="F109" s="6">
        <f t="shared" si="33"/>
        <v>0</v>
      </c>
      <c r="G109" s="59"/>
      <c r="H109" s="59"/>
      <c r="I109" s="6">
        <f>(G109-H109)*'16-PlantAdditions'!$E$103</f>
        <v>0</v>
      </c>
      <c r="J109" s="6">
        <f>J108+F109-G109-I109</f>
        <v>0</v>
      </c>
      <c r="K109" s="6">
        <f t="shared" si="35"/>
        <v>0</v>
      </c>
    </row>
    <row r="110" spans="1:11" ht="13">
      <c r="A110" s="2">
        <f t="shared" ref="A110:A113" si="36">A109+1</f>
        <v>77</v>
      </c>
      <c r="B110" s="329" t="s">
        <v>401</v>
      </c>
      <c r="C110" s="330"/>
      <c r="D110" s="59"/>
      <c r="E110" s="6">
        <f>D110*'16-PlantAdditions'!$E$103</f>
        <v>0</v>
      </c>
      <c r="F110" s="6">
        <f t="shared" si="33"/>
        <v>0</v>
      </c>
      <c r="G110" s="59"/>
      <c r="H110" s="59"/>
      <c r="I110" s="6">
        <f>(G110-H110)*'16-PlantAdditions'!$E$103</f>
        <v>0</v>
      </c>
      <c r="J110" s="6">
        <f t="shared" ref="J110:J112" si="37">J109+F110-G110-I110</f>
        <v>0</v>
      </c>
      <c r="K110" s="6">
        <f t="shared" si="35"/>
        <v>0</v>
      </c>
    </row>
    <row r="111" spans="1:11" ht="13">
      <c r="A111" s="2">
        <f t="shared" si="36"/>
        <v>78</v>
      </c>
      <c r="B111" s="329" t="s">
        <v>402</v>
      </c>
      <c r="C111" s="330"/>
      <c r="D111" s="59"/>
      <c r="E111" s="6">
        <f>D111*'16-PlantAdditions'!$E$103</f>
        <v>0</v>
      </c>
      <c r="F111" s="6">
        <f t="shared" si="33"/>
        <v>0</v>
      </c>
      <c r="G111" s="59"/>
      <c r="H111" s="59"/>
      <c r="I111" s="6">
        <f>(G111-H111)*'16-PlantAdditions'!$E$103</f>
        <v>0</v>
      </c>
      <c r="J111" s="6">
        <f t="shared" si="37"/>
        <v>0</v>
      </c>
      <c r="K111" s="6">
        <f t="shared" si="35"/>
        <v>0</v>
      </c>
    </row>
    <row r="112" spans="1:11" ht="13">
      <c r="A112" s="2">
        <f t="shared" si="36"/>
        <v>79</v>
      </c>
      <c r="B112" s="329" t="s">
        <v>390</v>
      </c>
      <c r="C112" s="330"/>
      <c r="D112" s="59"/>
      <c r="E112" s="6">
        <f>D112*'16-PlantAdditions'!$E$103</f>
        <v>0</v>
      </c>
      <c r="F112" s="6">
        <f t="shared" si="33"/>
        <v>0</v>
      </c>
      <c r="G112" s="59"/>
      <c r="H112" s="59"/>
      <c r="I112" s="6">
        <f>(G112-H112)*'16-PlantAdditions'!$E$103</f>
        <v>0</v>
      </c>
      <c r="J112" s="6">
        <f t="shared" si="37"/>
        <v>0</v>
      </c>
      <c r="K112" s="53">
        <f t="shared" si="35"/>
        <v>0</v>
      </c>
    </row>
    <row r="113" spans="1:11" ht="13">
      <c r="A113" s="2">
        <f t="shared" si="36"/>
        <v>80</v>
      </c>
      <c r="C113" s="351" t="s">
        <v>1107</v>
      </c>
      <c r="K113" s="42">
        <f>AVERAGE(K100:K112)</f>
        <v>0</v>
      </c>
    </row>
    <row r="114" spans="1:11" ht="13">
      <c r="A114" s="2"/>
      <c r="C114" s="351"/>
      <c r="K114" s="42"/>
    </row>
    <row r="115" spans="1:11" ht="13">
      <c r="B115" s="34" t="s">
        <v>1116</v>
      </c>
      <c r="D115" s="1204" t="s">
        <v>1117</v>
      </c>
      <c r="E115" s="1204"/>
    </row>
    <row r="116" spans="1:11" ht="13">
      <c r="A116" s="3"/>
      <c r="B116" s="3"/>
      <c r="C116" s="3"/>
      <c r="D116" s="3" t="s">
        <v>347</v>
      </c>
      <c r="E116" s="3" t="s">
        <v>348</v>
      </c>
      <c r="F116" s="3" t="s">
        <v>349</v>
      </c>
      <c r="G116" s="3" t="s">
        <v>350</v>
      </c>
      <c r="H116" s="3" t="s">
        <v>351</v>
      </c>
      <c r="I116" s="3" t="s">
        <v>352</v>
      </c>
      <c r="J116" s="3" t="s">
        <v>353</v>
      </c>
      <c r="K116" s="3" t="s">
        <v>354</v>
      </c>
    </row>
    <row r="117" spans="1:11" ht="25.5">
      <c r="D117" s="48"/>
      <c r="E117" s="352" t="s">
        <v>1111</v>
      </c>
      <c r="F117" s="239" t="s">
        <v>1112</v>
      </c>
      <c r="G117" s="239"/>
      <c r="H117" s="48"/>
      <c r="I117" s="352" t="s">
        <v>1113</v>
      </c>
      <c r="J117" s="352" t="s">
        <v>1114</v>
      </c>
      <c r="K117" s="352" t="s">
        <v>1115</v>
      </c>
    </row>
    <row r="118" spans="1:11" ht="13">
      <c r="D118" s="48"/>
      <c r="E118" s="48"/>
      <c r="F118" s="48"/>
      <c r="G118" s="2" t="str">
        <f>G51</f>
        <v>Unloaded</v>
      </c>
      <c r="H118" s="48"/>
      <c r="I118" s="48"/>
    </row>
    <row r="119" spans="1:11" ht="13">
      <c r="A119" s="2"/>
      <c r="B119" s="2"/>
      <c r="C119" s="2"/>
      <c r="D119" s="2" t="str">
        <f>D$52</f>
        <v>Forecast</v>
      </c>
      <c r="E119" s="2" t="str">
        <f t="shared" ref="E119:J119" si="38">E$52</f>
        <v>Corporate</v>
      </c>
      <c r="F119" s="2" t="str">
        <f t="shared" si="38"/>
        <v xml:space="preserve">Total </v>
      </c>
      <c r="G119" s="2" t="str">
        <f>G52</f>
        <v>Total</v>
      </c>
      <c r="H119" s="2" t="str">
        <f t="shared" si="38"/>
        <v>Prior Period</v>
      </c>
      <c r="I119" s="2" t="str">
        <f t="shared" si="38"/>
        <v>Over Heads</v>
      </c>
      <c r="J119" s="2" t="str">
        <f t="shared" si="38"/>
        <v>Forecast</v>
      </c>
      <c r="K119" s="2" t="str">
        <f>K$52</f>
        <v>Forecast Period</v>
      </c>
    </row>
    <row r="120" spans="1:11" ht="13">
      <c r="A120" s="30" t="s">
        <v>284</v>
      </c>
      <c r="B120" s="328" t="s">
        <v>382</v>
      </c>
      <c r="C120" s="328" t="s">
        <v>383</v>
      </c>
      <c r="D120" s="3" t="str">
        <f>D$53</f>
        <v>Expenditures</v>
      </c>
      <c r="E120" s="3" t="str">
        <f t="shared" ref="E120:J120" si="39">E$53</f>
        <v>Overheads</v>
      </c>
      <c r="F120" s="3" t="str">
        <f t="shared" si="39"/>
        <v>CWIP Exp</v>
      </c>
      <c r="G120" s="3" t="str">
        <f>G53</f>
        <v>Plant Adds</v>
      </c>
      <c r="H120" s="3" t="str">
        <f t="shared" si="39"/>
        <v>CWIP Closed</v>
      </c>
      <c r="I120" s="3" t="str">
        <f t="shared" si="39"/>
        <v>Closed to PIS</v>
      </c>
      <c r="J120" s="3" t="str">
        <f t="shared" si="39"/>
        <v>Period CWIP</v>
      </c>
      <c r="K120" s="3" t="str">
        <f>K$53</f>
        <v>Incremental CWIP</v>
      </c>
    </row>
    <row r="121" spans="1:11" ht="13">
      <c r="A121" s="2">
        <f>A113+1</f>
        <v>81</v>
      </c>
      <c r="B121" s="329" t="s">
        <v>390</v>
      </c>
      <c r="C121" s="330"/>
      <c r="D121" s="239" t="s">
        <v>391</v>
      </c>
      <c r="E121" s="239" t="s">
        <v>391</v>
      </c>
      <c r="F121" s="239" t="s">
        <v>391</v>
      </c>
      <c r="G121" s="239" t="s">
        <v>391</v>
      </c>
      <c r="H121" s="239" t="s">
        <v>391</v>
      </c>
      <c r="I121" s="239" t="s">
        <v>391</v>
      </c>
      <c r="J121" s="6">
        <f>F25</f>
        <v>0</v>
      </c>
      <c r="K121" s="239" t="s">
        <v>391</v>
      </c>
    </row>
    <row r="122" spans="1:11" ht="13">
      <c r="A122" s="2">
        <f>A121+1</f>
        <v>82</v>
      </c>
      <c r="B122" s="329" t="s">
        <v>392</v>
      </c>
      <c r="C122" s="330"/>
      <c r="D122" s="59"/>
      <c r="E122" s="6">
        <f>D122*'16-PlantAdditions'!$E$103</f>
        <v>0</v>
      </c>
      <c r="F122" s="6">
        <f>E122+D122</f>
        <v>0</v>
      </c>
      <c r="G122" s="59"/>
      <c r="H122" s="59"/>
      <c r="I122" s="6">
        <f>(G122-H122)*'16-PlantAdditions'!$E$103</f>
        <v>0</v>
      </c>
      <c r="J122" s="6">
        <f>J121+F122-G122-I122</f>
        <v>0</v>
      </c>
      <c r="K122" s="235">
        <f>J122-$J$121</f>
        <v>0</v>
      </c>
    </row>
    <row r="123" spans="1:11" ht="13">
      <c r="A123" s="2">
        <f t="shared" ref="A123:A146" si="40">A122+1</f>
        <v>83</v>
      </c>
      <c r="B123" s="329" t="s">
        <v>393</v>
      </c>
      <c r="C123" s="330"/>
      <c r="D123" s="59"/>
      <c r="E123" s="6">
        <f>D123*'16-PlantAdditions'!$E$103</f>
        <v>0</v>
      </c>
      <c r="F123" s="6">
        <f t="shared" ref="F123:F145" si="41">E123+D123</f>
        <v>0</v>
      </c>
      <c r="G123" s="59"/>
      <c r="H123" s="59"/>
      <c r="I123" s="6">
        <f>(G123-H123)*'16-PlantAdditions'!$E$103</f>
        <v>0</v>
      </c>
      <c r="J123" s="6">
        <f t="shared" ref="J123:J145" si="42">J122+F123-G123-I123</f>
        <v>0</v>
      </c>
      <c r="K123" s="235">
        <f t="shared" ref="K123:K145" si="43">J123-$J$121</f>
        <v>0</v>
      </c>
    </row>
    <row r="124" spans="1:11" ht="13">
      <c r="A124" s="2">
        <f t="shared" si="40"/>
        <v>84</v>
      </c>
      <c r="B124" s="329" t="s">
        <v>394</v>
      </c>
      <c r="C124" s="330"/>
      <c r="D124" s="59"/>
      <c r="E124" s="6">
        <f>D124*'16-PlantAdditions'!$E$103</f>
        <v>0</v>
      </c>
      <c r="F124" s="6">
        <f t="shared" si="41"/>
        <v>0</v>
      </c>
      <c r="G124" s="59"/>
      <c r="H124" s="59"/>
      <c r="I124" s="6">
        <f>(G124-H124)*'16-PlantAdditions'!$E$103</f>
        <v>0</v>
      </c>
      <c r="J124" s="6">
        <f t="shared" si="42"/>
        <v>0</v>
      </c>
      <c r="K124" s="235">
        <f t="shared" si="43"/>
        <v>0</v>
      </c>
    </row>
    <row r="125" spans="1:11" ht="13">
      <c r="A125" s="2">
        <f t="shared" si="40"/>
        <v>85</v>
      </c>
      <c r="B125" s="329" t="s">
        <v>395</v>
      </c>
      <c r="C125" s="330"/>
      <c r="D125" s="59"/>
      <c r="E125" s="6">
        <f>D125*'16-PlantAdditions'!$E$103</f>
        <v>0</v>
      </c>
      <c r="F125" s="6">
        <f t="shared" si="41"/>
        <v>0</v>
      </c>
      <c r="G125" s="59"/>
      <c r="H125" s="59"/>
      <c r="I125" s="6">
        <f>(G125-H125)*'16-PlantAdditions'!$E$103</f>
        <v>0</v>
      </c>
      <c r="J125" s="6">
        <f t="shared" si="42"/>
        <v>0</v>
      </c>
      <c r="K125" s="235">
        <f t="shared" si="43"/>
        <v>0</v>
      </c>
    </row>
    <row r="126" spans="1:11" ht="13">
      <c r="A126" s="2">
        <f t="shared" si="40"/>
        <v>86</v>
      </c>
      <c r="B126" s="329" t="s">
        <v>396</v>
      </c>
      <c r="C126" s="330"/>
      <c r="D126" s="59"/>
      <c r="E126" s="6">
        <f>D126*'16-PlantAdditions'!$E$103</f>
        <v>0</v>
      </c>
      <c r="F126" s="6">
        <f t="shared" si="41"/>
        <v>0</v>
      </c>
      <c r="G126" s="59"/>
      <c r="H126" s="59"/>
      <c r="I126" s="6">
        <f>(G126-H126)*'16-PlantAdditions'!$E$103</f>
        <v>0</v>
      </c>
      <c r="J126" s="6">
        <f t="shared" si="42"/>
        <v>0</v>
      </c>
      <c r="K126" s="235">
        <f t="shared" si="43"/>
        <v>0</v>
      </c>
    </row>
    <row r="127" spans="1:11" ht="13">
      <c r="A127" s="2">
        <f t="shared" si="40"/>
        <v>87</v>
      </c>
      <c r="B127" s="329" t="s">
        <v>610</v>
      </c>
      <c r="C127" s="330"/>
      <c r="D127" s="59"/>
      <c r="E127" s="6">
        <f>D127*'16-PlantAdditions'!$E$103</f>
        <v>0</v>
      </c>
      <c r="F127" s="6">
        <f t="shared" si="41"/>
        <v>0</v>
      </c>
      <c r="G127" s="59"/>
      <c r="H127" s="59"/>
      <c r="I127" s="6">
        <f>(G127-H127)*'16-PlantAdditions'!$E$103</f>
        <v>0</v>
      </c>
      <c r="J127" s="6">
        <f t="shared" si="42"/>
        <v>0</v>
      </c>
      <c r="K127" s="235">
        <f t="shared" si="43"/>
        <v>0</v>
      </c>
    </row>
    <row r="128" spans="1:11" ht="13">
      <c r="A128" s="2">
        <f t="shared" si="40"/>
        <v>88</v>
      </c>
      <c r="B128" s="329" t="s">
        <v>398</v>
      </c>
      <c r="C128" s="330"/>
      <c r="D128" s="59"/>
      <c r="E128" s="6">
        <f>D128*'16-PlantAdditions'!$E$103</f>
        <v>0</v>
      </c>
      <c r="F128" s="6">
        <f t="shared" si="41"/>
        <v>0</v>
      </c>
      <c r="G128" s="59"/>
      <c r="H128" s="59"/>
      <c r="I128" s="6">
        <f>(G128-H128)*'16-PlantAdditions'!$E$103</f>
        <v>0</v>
      </c>
      <c r="J128" s="6">
        <f t="shared" si="42"/>
        <v>0</v>
      </c>
      <c r="K128" s="235">
        <f t="shared" si="43"/>
        <v>0</v>
      </c>
    </row>
    <row r="129" spans="1:11" ht="13">
      <c r="A129" s="2">
        <f t="shared" si="40"/>
        <v>89</v>
      </c>
      <c r="B129" s="329" t="s">
        <v>399</v>
      </c>
      <c r="C129" s="330"/>
      <c r="D129" s="59"/>
      <c r="E129" s="6">
        <f>D129*'16-PlantAdditions'!$E$103</f>
        <v>0</v>
      </c>
      <c r="F129" s="6">
        <f t="shared" si="41"/>
        <v>0</v>
      </c>
      <c r="G129" s="59"/>
      <c r="H129" s="59"/>
      <c r="I129" s="6">
        <f>(G129-H129)*'16-PlantAdditions'!$E$103</f>
        <v>0</v>
      </c>
      <c r="J129" s="6">
        <f t="shared" si="42"/>
        <v>0</v>
      </c>
      <c r="K129" s="235">
        <f t="shared" si="43"/>
        <v>0</v>
      </c>
    </row>
    <row r="130" spans="1:11" ht="13">
      <c r="A130" s="2">
        <f t="shared" si="40"/>
        <v>90</v>
      </c>
      <c r="B130" s="329" t="s">
        <v>400</v>
      </c>
      <c r="C130" s="330"/>
      <c r="D130" s="59"/>
      <c r="E130" s="6">
        <f>D130*'16-PlantAdditions'!$E$103</f>
        <v>0</v>
      </c>
      <c r="F130" s="6">
        <f t="shared" si="41"/>
        <v>0</v>
      </c>
      <c r="G130" s="59"/>
      <c r="H130" s="59"/>
      <c r="I130" s="6">
        <f>(G130-H130)*'16-PlantAdditions'!$E$103</f>
        <v>0</v>
      </c>
      <c r="J130" s="6">
        <f t="shared" si="42"/>
        <v>0</v>
      </c>
      <c r="K130" s="235">
        <f t="shared" si="43"/>
        <v>0</v>
      </c>
    </row>
    <row r="131" spans="1:11" ht="13">
      <c r="A131" s="2">
        <f t="shared" si="40"/>
        <v>91</v>
      </c>
      <c r="B131" s="329" t="s">
        <v>401</v>
      </c>
      <c r="C131" s="330"/>
      <c r="D131" s="59"/>
      <c r="E131" s="6">
        <f>D131*'16-PlantAdditions'!$E$103</f>
        <v>0</v>
      </c>
      <c r="F131" s="6">
        <f t="shared" si="41"/>
        <v>0</v>
      </c>
      <c r="G131" s="59"/>
      <c r="H131" s="59"/>
      <c r="I131" s="6">
        <f>(G131-H131)*'16-PlantAdditions'!$E$103</f>
        <v>0</v>
      </c>
      <c r="J131" s="6">
        <f t="shared" si="42"/>
        <v>0</v>
      </c>
      <c r="K131" s="235">
        <f t="shared" si="43"/>
        <v>0</v>
      </c>
    </row>
    <row r="132" spans="1:11" ht="13">
      <c r="A132" s="2">
        <f t="shared" si="40"/>
        <v>92</v>
      </c>
      <c r="B132" s="329" t="s">
        <v>402</v>
      </c>
      <c r="C132" s="330"/>
      <c r="D132" s="59"/>
      <c r="E132" s="6">
        <f>D132*'16-PlantAdditions'!$E$103</f>
        <v>0</v>
      </c>
      <c r="F132" s="6">
        <f t="shared" si="41"/>
        <v>0</v>
      </c>
      <c r="G132" s="59"/>
      <c r="H132" s="59"/>
      <c r="I132" s="6">
        <f>(G132-H132)*'16-PlantAdditions'!$E$103</f>
        <v>0</v>
      </c>
      <c r="J132" s="6">
        <f t="shared" si="42"/>
        <v>0</v>
      </c>
      <c r="K132" s="235">
        <f t="shared" si="43"/>
        <v>0</v>
      </c>
    </row>
    <row r="133" spans="1:11" ht="13">
      <c r="A133" s="2">
        <f t="shared" si="40"/>
        <v>93</v>
      </c>
      <c r="B133" s="329" t="s">
        <v>390</v>
      </c>
      <c r="C133" s="330"/>
      <c r="D133" s="59"/>
      <c r="E133" s="6">
        <f>D133*'16-PlantAdditions'!$E$103</f>
        <v>0</v>
      </c>
      <c r="F133" s="6">
        <f t="shared" si="41"/>
        <v>0</v>
      </c>
      <c r="G133" s="59"/>
      <c r="H133" s="59"/>
      <c r="I133" s="6">
        <f>(G133-H133)*'16-PlantAdditions'!$E$103</f>
        <v>0</v>
      </c>
      <c r="J133" s="6">
        <f t="shared" si="42"/>
        <v>0</v>
      </c>
      <c r="K133" s="235">
        <f t="shared" si="43"/>
        <v>0</v>
      </c>
    </row>
    <row r="134" spans="1:11" ht="13">
      <c r="A134" s="2">
        <f t="shared" si="40"/>
        <v>94</v>
      </c>
      <c r="B134" s="329" t="s">
        <v>392</v>
      </c>
      <c r="C134" s="330"/>
      <c r="D134" s="59"/>
      <c r="E134" s="6">
        <f>D134*'16-PlantAdditions'!$E$103</f>
        <v>0</v>
      </c>
      <c r="F134" s="6">
        <f t="shared" si="41"/>
        <v>0</v>
      </c>
      <c r="G134" s="59"/>
      <c r="H134" s="59"/>
      <c r="I134" s="6">
        <f>(G134-H134)*'16-PlantAdditions'!$E$103</f>
        <v>0</v>
      </c>
      <c r="J134" s="6">
        <f t="shared" si="42"/>
        <v>0</v>
      </c>
      <c r="K134" s="235">
        <f t="shared" si="43"/>
        <v>0</v>
      </c>
    </row>
    <row r="135" spans="1:11" ht="13">
      <c r="A135" s="2">
        <f t="shared" si="40"/>
        <v>95</v>
      </c>
      <c r="B135" s="329" t="s">
        <v>393</v>
      </c>
      <c r="C135" s="330"/>
      <c r="D135" s="59"/>
      <c r="E135" s="6">
        <f>D135*'16-PlantAdditions'!$E$103</f>
        <v>0</v>
      </c>
      <c r="F135" s="6">
        <f t="shared" si="41"/>
        <v>0</v>
      </c>
      <c r="G135" s="59"/>
      <c r="H135" s="59"/>
      <c r="I135" s="6">
        <f>(G135-H135)*'16-PlantAdditions'!$E$103</f>
        <v>0</v>
      </c>
      <c r="J135" s="6">
        <f t="shared" si="42"/>
        <v>0</v>
      </c>
      <c r="K135" s="235">
        <f t="shared" si="43"/>
        <v>0</v>
      </c>
    </row>
    <row r="136" spans="1:11" ht="13">
      <c r="A136" s="2">
        <f t="shared" si="40"/>
        <v>96</v>
      </c>
      <c r="B136" s="329" t="s">
        <v>394</v>
      </c>
      <c r="C136" s="330"/>
      <c r="D136" s="59"/>
      <c r="E136" s="6">
        <f>D136*'16-PlantAdditions'!$E$103</f>
        <v>0</v>
      </c>
      <c r="F136" s="6">
        <f t="shared" si="41"/>
        <v>0</v>
      </c>
      <c r="G136" s="59"/>
      <c r="H136" s="59"/>
      <c r="I136" s="6">
        <f>(G136-H136)*'16-PlantAdditions'!$E$103</f>
        <v>0</v>
      </c>
      <c r="J136" s="6">
        <f t="shared" si="42"/>
        <v>0</v>
      </c>
      <c r="K136" s="235">
        <f t="shared" si="43"/>
        <v>0</v>
      </c>
    </row>
    <row r="137" spans="1:11" ht="13">
      <c r="A137" s="2">
        <f t="shared" si="40"/>
        <v>97</v>
      </c>
      <c r="B137" s="329" t="s">
        <v>395</v>
      </c>
      <c r="C137" s="330"/>
      <c r="D137" s="59"/>
      <c r="E137" s="6">
        <f>D137*'16-PlantAdditions'!$E$103</f>
        <v>0</v>
      </c>
      <c r="F137" s="6">
        <f t="shared" si="41"/>
        <v>0</v>
      </c>
      <c r="G137" s="59"/>
      <c r="H137" s="59"/>
      <c r="I137" s="6">
        <f>(G137-H137)*'16-PlantAdditions'!$E$103</f>
        <v>0</v>
      </c>
      <c r="J137" s="6">
        <f t="shared" si="42"/>
        <v>0</v>
      </c>
      <c r="K137" s="235">
        <f t="shared" si="43"/>
        <v>0</v>
      </c>
    </row>
    <row r="138" spans="1:11" ht="13">
      <c r="A138" s="2">
        <f t="shared" si="40"/>
        <v>98</v>
      </c>
      <c r="B138" s="329" t="s">
        <v>396</v>
      </c>
      <c r="C138" s="330"/>
      <c r="D138" s="59"/>
      <c r="E138" s="6">
        <f>D138*'16-PlantAdditions'!$E$103</f>
        <v>0</v>
      </c>
      <c r="F138" s="6">
        <f t="shared" si="41"/>
        <v>0</v>
      </c>
      <c r="G138" s="59"/>
      <c r="H138" s="59"/>
      <c r="I138" s="6">
        <f>(G138-H138)*'16-PlantAdditions'!$E$103</f>
        <v>0</v>
      </c>
      <c r="J138" s="6">
        <f t="shared" si="42"/>
        <v>0</v>
      </c>
      <c r="K138" s="235">
        <f t="shared" si="43"/>
        <v>0</v>
      </c>
    </row>
    <row r="139" spans="1:11" ht="13">
      <c r="A139" s="2">
        <f t="shared" si="40"/>
        <v>99</v>
      </c>
      <c r="B139" s="329" t="s">
        <v>610</v>
      </c>
      <c r="C139" s="330"/>
      <c r="D139" s="59"/>
      <c r="E139" s="6">
        <f>D139*'16-PlantAdditions'!$E$103</f>
        <v>0</v>
      </c>
      <c r="F139" s="6">
        <f t="shared" si="41"/>
        <v>0</v>
      </c>
      <c r="G139" s="59"/>
      <c r="H139" s="59"/>
      <c r="I139" s="6">
        <f>(G139-H139)*'16-PlantAdditions'!$E$103</f>
        <v>0</v>
      </c>
      <c r="J139" s="6">
        <f t="shared" si="42"/>
        <v>0</v>
      </c>
      <c r="K139" s="235">
        <f t="shared" si="43"/>
        <v>0</v>
      </c>
    </row>
    <row r="140" spans="1:11" ht="13">
      <c r="A140" s="2">
        <f t="shared" si="40"/>
        <v>100</v>
      </c>
      <c r="B140" s="329" t="s">
        <v>398</v>
      </c>
      <c r="C140" s="330"/>
      <c r="D140" s="59"/>
      <c r="E140" s="6">
        <f>D140*'16-PlantAdditions'!$E$103</f>
        <v>0</v>
      </c>
      <c r="F140" s="6">
        <f t="shared" si="41"/>
        <v>0</v>
      </c>
      <c r="G140" s="59"/>
      <c r="H140" s="59"/>
      <c r="I140" s="6">
        <f>(G140-H140)*'16-PlantAdditions'!$E$103</f>
        <v>0</v>
      </c>
      <c r="J140" s="6">
        <f t="shared" si="42"/>
        <v>0</v>
      </c>
      <c r="K140" s="235">
        <f t="shared" si="43"/>
        <v>0</v>
      </c>
    </row>
    <row r="141" spans="1:11" ht="13">
      <c r="A141" s="2">
        <f t="shared" si="40"/>
        <v>101</v>
      </c>
      <c r="B141" s="329" t="s">
        <v>399</v>
      </c>
      <c r="C141" s="330"/>
      <c r="D141" s="59"/>
      <c r="E141" s="6">
        <f>D141*'16-PlantAdditions'!$E$103</f>
        <v>0</v>
      </c>
      <c r="F141" s="6">
        <f t="shared" si="41"/>
        <v>0</v>
      </c>
      <c r="G141" s="59"/>
      <c r="H141" s="59"/>
      <c r="I141" s="6">
        <f>(G141-H141)*'16-PlantAdditions'!$E$103</f>
        <v>0</v>
      </c>
      <c r="J141" s="6">
        <f t="shared" si="42"/>
        <v>0</v>
      </c>
      <c r="K141" s="235">
        <f t="shared" si="43"/>
        <v>0</v>
      </c>
    </row>
    <row r="142" spans="1:11" ht="13">
      <c r="A142" s="2">
        <f t="shared" si="40"/>
        <v>102</v>
      </c>
      <c r="B142" s="329" t="s">
        <v>400</v>
      </c>
      <c r="C142" s="330"/>
      <c r="D142" s="59"/>
      <c r="E142" s="6">
        <f>D142*'16-PlantAdditions'!$E$103</f>
        <v>0</v>
      </c>
      <c r="F142" s="6">
        <f t="shared" si="41"/>
        <v>0</v>
      </c>
      <c r="G142" s="59"/>
      <c r="H142" s="59"/>
      <c r="I142" s="6">
        <f>(G142-H142)*'16-PlantAdditions'!$E$103</f>
        <v>0</v>
      </c>
      <c r="J142" s="6">
        <f t="shared" si="42"/>
        <v>0</v>
      </c>
      <c r="K142" s="235">
        <f t="shared" si="43"/>
        <v>0</v>
      </c>
    </row>
    <row r="143" spans="1:11" ht="13">
      <c r="A143" s="2">
        <f t="shared" si="40"/>
        <v>103</v>
      </c>
      <c r="B143" s="329" t="s">
        <v>401</v>
      </c>
      <c r="C143" s="330"/>
      <c r="D143" s="59"/>
      <c r="E143" s="6">
        <f>D143*'16-PlantAdditions'!$E$103</f>
        <v>0</v>
      </c>
      <c r="F143" s="6">
        <f t="shared" si="41"/>
        <v>0</v>
      </c>
      <c r="G143" s="59"/>
      <c r="H143" s="59"/>
      <c r="I143" s="6">
        <f>(G143-H143)*'16-PlantAdditions'!$E$103</f>
        <v>0</v>
      </c>
      <c r="J143" s="6">
        <f t="shared" si="42"/>
        <v>0</v>
      </c>
      <c r="K143" s="235">
        <f t="shared" si="43"/>
        <v>0</v>
      </c>
    </row>
    <row r="144" spans="1:11" ht="13">
      <c r="A144" s="2">
        <f t="shared" si="40"/>
        <v>104</v>
      </c>
      <c r="B144" s="329" t="s">
        <v>402</v>
      </c>
      <c r="C144" s="330"/>
      <c r="D144" s="59"/>
      <c r="E144" s="6">
        <f>D144*'16-PlantAdditions'!$E$103</f>
        <v>0</v>
      </c>
      <c r="F144" s="6">
        <f t="shared" si="41"/>
        <v>0</v>
      </c>
      <c r="G144" s="59"/>
      <c r="H144" s="59"/>
      <c r="I144" s="6">
        <f>(G144-H144)*'16-PlantAdditions'!$E$103</f>
        <v>0</v>
      </c>
      <c r="J144" s="6">
        <f t="shared" si="42"/>
        <v>0</v>
      </c>
      <c r="K144" s="235">
        <f t="shared" si="43"/>
        <v>0</v>
      </c>
    </row>
    <row r="145" spans="1:11" ht="13">
      <c r="A145" s="2">
        <f t="shared" si="40"/>
        <v>105</v>
      </c>
      <c r="B145" s="329" t="s">
        <v>390</v>
      </c>
      <c r="C145" s="330"/>
      <c r="D145" s="59"/>
      <c r="E145" s="6">
        <f>D145*'16-PlantAdditions'!$E$103</f>
        <v>0</v>
      </c>
      <c r="F145" s="6">
        <f t="shared" si="41"/>
        <v>0</v>
      </c>
      <c r="G145" s="59"/>
      <c r="H145" s="59"/>
      <c r="I145" s="6">
        <f>(G145-H145)*'16-PlantAdditions'!$E$103</f>
        <v>0</v>
      </c>
      <c r="J145" s="6">
        <f t="shared" si="42"/>
        <v>0</v>
      </c>
      <c r="K145" s="53">
        <f t="shared" si="43"/>
        <v>0</v>
      </c>
    </row>
    <row r="146" spans="1:11" ht="13">
      <c r="A146" s="2">
        <f t="shared" si="40"/>
        <v>106</v>
      </c>
      <c r="C146" s="351" t="s">
        <v>1107</v>
      </c>
      <c r="K146" s="42">
        <f>AVERAGE(K133:K145)</f>
        <v>0</v>
      </c>
    </row>
    <row r="147" spans="1:11" ht="13">
      <c r="A147" s="2"/>
      <c r="C147" s="351"/>
      <c r="K147" s="42"/>
    </row>
    <row r="148" spans="1:11" ht="13">
      <c r="B148" s="34" t="s">
        <v>1118</v>
      </c>
      <c r="D148" s="1204" t="s">
        <v>1119</v>
      </c>
      <c r="E148" s="1204"/>
    </row>
    <row r="149" spans="1:11" ht="13">
      <c r="B149" s="34"/>
      <c r="D149" s="3" t="s">
        <v>347</v>
      </c>
      <c r="E149" s="3" t="s">
        <v>348</v>
      </c>
      <c r="F149" s="3" t="s">
        <v>349</v>
      </c>
      <c r="G149" s="3" t="s">
        <v>350</v>
      </c>
      <c r="H149" s="3" t="s">
        <v>351</v>
      </c>
      <c r="I149" s="3" t="s">
        <v>352</v>
      </c>
      <c r="J149" s="3" t="s">
        <v>353</v>
      </c>
      <c r="K149" s="3" t="s">
        <v>354</v>
      </c>
    </row>
    <row r="150" spans="1:11" ht="25.5">
      <c r="B150" s="34"/>
      <c r="D150" s="48"/>
      <c r="E150" s="352" t="s">
        <v>1111</v>
      </c>
      <c r="F150" s="239" t="s">
        <v>1112</v>
      </c>
      <c r="G150" s="239"/>
      <c r="H150" s="48"/>
      <c r="I150" s="352" t="s">
        <v>1113</v>
      </c>
      <c r="J150" s="352" t="s">
        <v>1114</v>
      </c>
      <c r="K150" s="352" t="s">
        <v>1115</v>
      </c>
    </row>
    <row r="151" spans="1:11" ht="13">
      <c r="D151" s="48"/>
      <c r="E151" s="48"/>
      <c r="F151" s="48"/>
      <c r="G151" s="2" t="str">
        <f>G51</f>
        <v>Unloaded</v>
      </c>
      <c r="H151" s="48"/>
      <c r="I151" s="48"/>
    </row>
    <row r="152" spans="1:11" ht="13">
      <c r="A152" s="2"/>
      <c r="B152" s="2"/>
      <c r="C152" s="2"/>
      <c r="D152" s="2" t="str">
        <f>D$52</f>
        <v>Forecast</v>
      </c>
      <c r="E152" s="2" t="str">
        <f t="shared" ref="E152:J152" si="44">E$52</f>
        <v>Corporate</v>
      </c>
      <c r="F152" s="2" t="str">
        <f t="shared" si="44"/>
        <v xml:space="preserve">Total </v>
      </c>
      <c r="G152" s="2" t="str">
        <f>G52</f>
        <v>Total</v>
      </c>
      <c r="H152" s="2" t="str">
        <f t="shared" si="44"/>
        <v>Prior Period</v>
      </c>
      <c r="I152" s="2" t="str">
        <f t="shared" si="44"/>
        <v>Over Heads</v>
      </c>
      <c r="J152" s="2" t="str">
        <f t="shared" si="44"/>
        <v>Forecast</v>
      </c>
      <c r="K152" s="2" t="str">
        <f>K$52</f>
        <v>Forecast Period</v>
      </c>
    </row>
    <row r="153" spans="1:11" ht="13">
      <c r="A153" s="30" t="s">
        <v>284</v>
      </c>
      <c r="B153" s="328" t="s">
        <v>382</v>
      </c>
      <c r="C153" s="328" t="s">
        <v>383</v>
      </c>
      <c r="D153" s="3" t="str">
        <f>D$53</f>
        <v>Expenditures</v>
      </c>
      <c r="E153" s="3" t="str">
        <f t="shared" ref="E153:J153" si="45">E$53</f>
        <v>Overheads</v>
      </c>
      <c r="F153" s="3" t="str">
        <f t="shared" si="45"/>
        <v>CWIP Exp</v>
      </c>
      <c r="G153" s="3" t="str">
        <f>G53</f>
        <v>Plant Adds</v>
      </c>
      <c r="H153" s="3" t="str">
        <f t="shared" si="45"/>
        <v>CWIP Closed</v>
      </c>
      <c r="I153" s="3" t="str">
        <f t="shared" si="45"/>
        <v>Closed to PIS</v>
      </c>
      <c r="J153" s="3" t="str">
        <f t="shared" si="45"/>
        <v>Period CWIP</v>
      </c>
      <c r="K153" s="3" t="str">
        <f>K$53</f>
        <v>Incremental CWIP</v>
      </c>
    </row>
    <row r="154" spans="1:11" ht="13">
      <c r="A154" s="2">
        <f>A146+1</f>
        <v>107</v>
      </c>
      <c r="B154" s="329" t="s">
        <v>390</v>
      </c>
      <c r="C154" s="330"/>
      <c r="D154" s="239" t="s">
        <v>391</v>
      </c>
      <c r="E154" s="239" t="s">
        <v>391</v>
      </c>
      <c r="F154" s="239" t="s">
        <v>391</v>
      </c>
      <c r="G154" s="239" t="s">
        <v>391</v>
      </c>
      <c r="H154" s="239" t="s">
        <v>391</v>
      </c>
      <c r="I154" s="239" t="s">
        <v>391</v>
      </c>
      <c r="J154" s="6">
        <f>G25</f>
        <v>0</v>
      </c>
      <c r="K154" s="239" t="s">
        <v>391</v>
      </c>
    </row>
    <row r="155" spans="1:11" ht="13">
      <c r="A155" s="2">
        <f>A154+1</f>
        <v>108</v>
      </c>
      <c r="B155" s="329" t="s">
        <v>392</v>
      </c>
      <c r="C155" s="330"/>
      <c r="D155" s="59"/>
      <c r="E155" s="6">
        <f>D155*'16-PlantAdditions'!$E$103</f>
        <v>0</v>
      </c>
      <c r="F155" s="6">
        <f>E155+D155</f>
        <v>0</v>
      </c>
      <c r="G155" s="59"/>
      <c r="H155" s="59"/>
      <c r="I155" s="6">
        <f>(G155-H155)*'16-PlantAdditions'!$E$103</f>
        <v>0</v>
      </c>
      <c r="J155" s="6">
        <f>J154+F155-G155-I155</f>
        <v>0</v>
      </c>
      <c r="K155" s="6">
        <f>J155-$J$154</f>
        <v>0</v>
      </c>
    </row>
    <row r="156" spans="1:11" ht="13">
      <c r="A156" s="2">
        <f t="shared" ref="A156:A179" si="46">A155+1</f>
        <v>109</v>
      </c>
      <c r="B156" s="329" t="s">
        <v>393</v>
      </c>
      <c r="C156" s="330"/>
      <c r="D156" s="59"/>
      <c r="E156" s="6">
        <f>D156*'16-PlantAdditions'!$E$103</f>
        <v>0</v>
      </c>
      <c r="F156" s="6">
        <f t="shared" ref="F156:F178" si="47">E156+D156</f>
        <v>0</v>
      </c>
      <c r="G156" s="59"/>
      <c r="H156" s="59"/>
      <c r="I156" s="6">
        <f>(G156-H156)*'16-PlantAdditions'!$E$103</f>
        <v>0</v>
      </c>
      <c r="J156" s="6">
        <f t="shared" ref="J156:J175" si="48">J155+F156-G156-I156</f>
        <v>0</v>
      </c>
      <c r="K156" s="6">
        <f t="shared" ref="K156:K178" si="49">J156-$J$154</f>
        <v>0</v>
      </c>
    </row>
    <row r="157" spans="1:11" ht="13">
      <c r="A157" s="2">
        <f t="shared" si="46"/>
        <v>110</v>
      </c>
      <c r="B157" s="329" t="s">
        <v>394</v>
      </c>
      <c r="C157" s="330"/>
      <c r="D157" s="59"/>
      <c r="E157" s="6">
        <f>D157*'16-PlantAdditions'!$E$103</f>
        <v>0</v>
      </c>
      <c r="F157" s="6">
        <f t="shared" si="47"/>
        <v>0</v>
      </c>
      <c r="G157" s="59"/>
      <c r="H157" s="59"/>
      <c r="I157" s="6">
        <f>(G157-H157)*'16-PlantAdditions'!$E$103</f>
        <v>0</v>
      </c>
      <c r="J157" s="6">
        <f t="shared" si="48"/>
        <v>0</v>
      </c>
      <c r="K157" s="6">
        <f t="shared" si="49"/>
        <v>0</v>
      </c>
    </row>
    <row r="158" spans="1:11" ht="13">
      <c r="A158" s="2">
        <f t="shared" si="46"/>
        <v>111</v>
      </c>
      <c r="B158" s="329" t="s">
        <v>395</v>
      </c>
      <c r="C158" s="330"/>
      <c r="D158" s="59"/>
      <c r="E158" s="6">
        <f>D158*'16-PlantAdditions'!$E$103</f>
        <v>0</v>
      </c>
      <c r="F158" s="6">
        <f t="shared" si="47"/>
        <v>0</v>
      </c>
      <c r="G158" s="59"/>
      <c r="H158" s="59"/>
      <c r="I158" s="6">
        <f>(G158-H158)*'16-PlantAdditions'!$E$103</f>
        <v>0</v>
      </c>
      <c r="J158" s="6">
        <f t="shared" si="48"/>
        <v>0</v>
      </c>
      <c r="K158" s="6">
        <f t="shared" si="49"/>
        <v>0</v>
      </c>
    </row>
    <row r="159" spans="1:11" ht="13">
      <c r="A159" s="2">
        <f t="shared" si="46"/>
        <v>112</v>
      </c>
      <c r="B159" s="329" t="s">
        <v>396</v>
      </c>
      <c r="C159" s="330"/>
      <c r="D159" s="59"/>
      <c r="E159" s="6">
        <f>D159*'16-PlantAdditions'!$E$103</f>
        <v>0</v>
      </c>
      <c r="F159" s="6">
        <f t="shared" si="47"/>
        <v>0</v>
      </c>
      <c r="G159" s="59"/>
      <c r="H159" s="59"/>
      <c r="I159" s="6">
        <f>(G159-H159)*'16-PlantAdditions'!$E$103</f>
        <v>0</v>
      </c>
      <c r="J159" s="6">
        <f t="shared" si="48"/>
        <v>0</v>
      </c>
      <c r="K159" s="6">
        <f t="shared" si="49"/>
        <v>0</v>
      </c>
    </row>
    <row r="160" spans="1:11" ht="13">
      <c r="A160" s="2">
        <f t="shared" si="46"/>
        <v>113</v>
      </c>
      <c r="B160" s="329" t="s">
        <v>610</v>
      </c>
      <c r="C160" s="330"/>
      <c r="D160" s="59"/>
      <c r="E160" s="6">
        <f>D160*'16-PlantAdditions'!$E$103</f>
        <v>0</v>
      </c>
      <c r="F160" s="6">
        <f t="shared" si="47"/>
        <v>0</v>
      </c>
      <c r="G160" s="59"/>
      <c r="H160" s="59"/>
      <c r="I160" s="6">
        <f>(G160-H160)*'16-PlantAdditions'!$E$103</f>
        <v>0</v>
      </c>
      <c r="J160" s="6">
        <f t="shared" si="48"/>
        <v>0</v>
      </c>
      <c r="K160" s="6">
        <f t="shared" si="49"/>
        <v>0</v>
      </c>
    </row>
    <row r="161" spans="1:11" ht="13">
      <c r="A161" s="2">
        <f t="shared" si="46"/>
        <v>114</v>
      </c>
      <c r="B161" s="329" t="s">
        <v>398</v>
      </c>
      <c r="C161" s="330"/>
      <c r="D161" s="59"/>
      <c r="E161" s="6">
        <f>D161*'16-PlantAdditions'!$E$103</f>
        <v>0</v>
      </c>
      <c r="F161" s="6">
        <f t="shared" si="47"/>
        <v>0</v>
      </c>
      <c r="G161" s="59"/>
      <c r="H161" s="59"/>
      <c r="I161" s="6">
        <f>(G161-H161)*'16-PlantAdditions'!$E$103</f>
        <v>0</v>
      </c>
      <c r="J161" s="6">
        <f t="shared" si="48"/>
        <v>0</v>
      </c>
      <c r="K161" s="6">
        <f t="shared" si="49"/>
        <v>0</v>
      </c>
    </row>
    <row r="162" spans="1:11" ht="13">
      <c r="A162" s="2">
        <f t="shared" si="46"/>
        <v>115</v>
      </c>
      <c r="B162" s="329" t="s">
        <v>399</v>
      </c>
      <c r="C162" s="330"/>
      <c r="D162" s="59"/>
      <c r="E162" s="6">
        <f>D162*'16-PlantAdditions'!$E$103</f>
        <v>0</v>
      </c>
      <c r="F162" s="6">
        <f t="shared" si="47"/>
        <v>0</v>
      </c>
      <c r="G162" s="59"/>
      <c r="H162" s="59"/>
      <c r="I162" s="6">
        <f>(G162-H162)*'16-PlantAdditions'!$E$103</f>
        <v>0</v>
      </c>
      <c r="J162" s="6">
        <f t="shared" si="48"/>
        <v>0</v>
      </c>
      <c r="K162" s="6">
        <f t="shared" si="49"/>
        <v>0</v>
      </c>
    </row>
    <row r="163" spans="1:11" ht="13">
      <c r="A163" s="2">
        <f t="shared" si="46"/>
        <v>116</v>
      </c>
      <c r="B163" s="329" t="s">
        <v>400</v>
      </c>
      <c r="C163" s="330"/>
      <c r="D163" s="59"/>
      <c r="E163" s="6">
        <f>D163*'16-PlantAdditions'!$E$103</f>
        <v>0</v>
      </c>
      <c r="F163" s="6">
        <f t="shared" si="47"/>
        <v>0</v>
      </c>
      <c r="G163" s="59"/>
      <c r="H163" s="59"/>
      <c r="I163" s="6">
        <f>(G163-H163)*'16-PlantAdditions'!$E$103</f>
        <v>0</v>
      </c>
      <c r="J163" s="6">
        <f t="shared" si="48"/>
        <v>0</v>
      </c>
      <c r="K163" s="6">
        <f t="shared" si="49"/>
        <v>0</v>
      </c>
    </row>
    <row r="164" spans="1:11" ht="13">
      <c r="A164" s="2">
        <f t="shared" si="46"/>
        <v>117</v>
      </c>
      <c r="B164" s="329" t="s">
        <v>401</v>
      </c>
      <c r="C164" s="330"/>
      <c r="D164" s="59"/>
      <c r="E164" s="6">
        <f>D164*'16-PlantAdditions'!$E$103</f>
        <v>0</v>
      </c>
      <c r="F164" s="6">
        <f t="shared" si="47"/>
        <v>0</v>
      </c>
      <c r="G164" s="59"/>
      <c r="H164" s="59"/>
      <c r="I164" s="6">
        <f>(G164-H164)*'16-PlantAdditions'!$E$103</f>
        <v>0</v>
      </c>
      <c r="J164" s="6">
        <f t="shared" si="48"/>
        <v>0</v>
      </c>
      <c r="K164" s="6">
        <f t="shared" si="49"/>
        <v>0</v>
      </c>
    </row>
    <row r="165" spans="1:11" ht="13">
      <c r="A165" s="2">
        <f t="shared" si="46"/>
        <v>118</v>
      </c>
      <c r="B165" s="329" t="s">
        <v>402</v>
      </c>
      <c r="C165" s="330"/>
      <c r="D165" s="59"/>
      <c r="E165" s="6">
        <f>D165*'16-PlantAdditions'!$E$103</f>
        <v>0</v>
      </c>
      <c r="F165" s="6">
        <f t="shared" si="47"/>
        <v>0</v>
      </c>
      <c r="G165" s="59"/>
      <c r="H165" s="59"/>
      <c r="I165" s="6">
        <f>(G165-H165)*'16-PlantAdditions'!$E$103</f>
        <v>0</v>
      </c>
      <c r="J165" s="6">
        <f t="shared" si="48"/>
        <v>0</v>
      </c>
      <c r="K165" s="6">
        <f t="shared" si="49"/>
        <v>0</v>
      </c>
    </row>
    <row r="166" spans="1:11" ht="13">
      <c r="A166" s="2">
        <f t="shared" si="46"/>
        <v>119</v>
      </c>
      <c r="B166" s="329" t="s">
        <v>390</v>
      </c>
      <c r="C166" s="330"/>
      <c r="D166" s="59"/>
      <c r="E166" s="6">
        <f>D166*'16-PlantAdditions'!$E$103</f>
        <v>0</v>
      </c>
      <c r="F166" s="6">
        <f t="shared" si="47"/>
        <v>0</v>
      </c>
      <c r="G166" s="59"/>
      <c r="H166" s="59"/>
      <c r="I166" s="6">
        <f>(G166-H166)*'16-PlantAdditions'!$E$103</f>
        <v>0</v>
      </c>
      <c r="J166" s="6">
        <f t="shared" si="48"/>
        <v>0</v>
      </c>
      <c r="K166" s="6">
        <f t="shared" si="49"/>
        <v>0</v>
      </c>
    </row>
    <row r="167" spans="1:11" ht="13">
      <c r="A167" s="2">
        <f t="shared" si="46"/>
        <v>120</v>
      </c>
      <c r="B167" s="329" t="s">
        <v>392</v>
      </c>
      <c r="C167" s="330"/>
      <c r="D167" s="59"/>
      <c r="E167" s="6">
        <f>D167*'16-PlantAdditions'!$E$103</f>
        <v>0</v>
      </c>
      <c r="F167" s="6">
        <f t="shared" si="47"/>
        <v>0</v>
      </c>
      <c r="G167" s="59"/>
      <c r="H167" s="59"/>
      <c r="I167" s="6">
        <f>(G167-H167)*'16-PlantAdditions'!$E$103</f>
        <v>0</v>
      </c>
      <c r="J167" s="6">
        <f t="shared" si="48"/>
        <v>0</v>
      </c>
      <c r="K167" s="6">
        <f t="shared" si="49"/>
        <v>0</v>
      </c>
    </row>
    <row r="168" spans="1:11" ht="13">
      <c r="A168" s="2">
        <f t="shared" si="46"/>
        <v>121</v>
      </c>
      <c r="B168" s="329" t="s">
        <v>393</v>
      </c>
      <c r="C168" s="330"/>
      <c r="D168" s="59"/>
      <c r="E168" s="6">
        <f>D168*'16-PlantAdditions'!$E$103</f>
        <v>0</v>
      </c>
      <c r="F168" s="6">
        <f t="shared" si="47"/>
        <v>0</v>
      </c>
      <c r="G168" s="59"/>
      <c r="H168" s="59"/>
      <c r="I168" s="6">
        <f>(G168-H168)*'16-PlantAdditions'!$E$103</f>
        <v>0</v>
      </c>
      <c r="J168" s="6">
        <f t="shared" si="48"/>
        <v>0</v>
      </c>
      <c r="K168" s="6">
        <f t="shared" si="49"/>
        <v>0</v>
      </c>
    </row>
    <row r="169" spans="1:11" ht="13">
      <c r="A169" s="2">
        <f t="shared" si="46"/>
        <v>122</v>
      </c>
      <c r="B169" s="329" t="s">
        <v>394</v>
      </c>
      <c r="C169" s="330"/>
      <c r="D169" s="59"/>
      <c r="E169" s="6">
        <f>D169*'16-PlantAdditions'!$E$103</f>
        <v>0</v>
      </c>
      <c r="F169" s="6">
        <f t="shared" si="47"/>
        <v>0</v>
      </c>
      <c r="G169" s="59"/>
      <c r="H169" s="59"/>
      <c r="I169" s="6">
        <f>(G169-H169)*'16-PlantAdditions'!$E$103</f>
        <v>0</v>
      </c>
      <c r="J169" s="6">
        <f t="shared" si="48"/>
        <v>0</v>
      </c>
      <c r="K169" s="6">
        <f t="shared" si="49"/>
        <v>0</v>
      </c>
    </row>
    <row r="170" spans="1:11" ht="13">
      <c r="A170" s="2">
        <f t="shared" si="46"/>
        <v>123</v>
      </c>
      <c r="B170" s="329" t="s">
        <v>395</v>
      </c>
      <c r="C170" s="330"/>
      <c r="D170" s="59"/>
      <c r="E170" s="6">
        <f>D170*'16-PlantAdditions'!$E$103</f>
        <v>0</v>
      </c>
      <c r="F170" s="6">
        <f t="shared" si="47"/>
        <v>0</v>
      </c>
      <c r="G170" s="59"/>
      <c r="H170" s="59"/>
      <c r="I170" s="6">
        <f>(G170-H170)*'16-PlantAdditions'!$E$103</f>
        <v>0</v>
      </c>
      <c r="J170" s="6">
        <f t="shared" si="48"/>
        <v>0</v>
      </c>
      <c r="K170" s="6">
        <f t="shared" si="49"/>
        <v>0</v>
      </c>
    </row>
    <row r="171" spans="1:11" ht="13">
      <c r="A171" s="2">
        <f t="shared" si="46"/>
        <v>124</v>
      </c>
      <c r="B171" s="329" t="s">
        <v>396</v>
      </c>
      <c r="C171" s="330"/>
      <c r="D171" s="59"/>
      <c r="E171" s="6">
        <f>D171*'16-PlantAdditions'!$E$103</f>
        <v>0</v>
      </c>
      <c r="F171" s="6">
        <f t="shared" si="47"/>
        <v>0</v>
      </c>
      <c r="G171" s="59"/>
      <c r="H171" s="59"/>
      <c r="I171" s="6">
        <f>(G171-H171)*'16-PlantAdditions'!$E$103</f>
        <v>0</v>
      </c>
      <c r="J171" s="6">
        <f t="shared" si="48"/>
        <v>0</v>
      </c>
      <c r="K171" s="6">
        <f t="shared" si="49"/>
        <v>0</v>
      </c>
    </row>
    <row r="172" spans="1:11" ht="13">
      <c r="A172" s="2">
        <f t="shared" si="46"/>
        <v>125</v>
      </c>
      <c r="B172" s="329" t="s">
        <v>610</v>
      </c>
      <c r="C172" s="330"/>
      <c r="D172" s="59"/>
      <c r="E172" s="6">
        <f>D172*'16-PlantAdditions'!$E$103</f>
        <v>0</v>
      </c>
      <c r="F172" s="6">
        <f t="shared" si="47"/>
        <v>0</v>
      </c>
      <c r="G172" s="59"/>
      <c r="H172" s="59"/>
      <c r="I172" s="6">
        <f>(G172-H172)*'16-PlantAdditions'!$E$103</f>
        <v>0</v>
      </c>
      <c r="J172" s="6">
        <f t="shared" si="48"/>
        <v>0</v>
      </c>
      <c r="K172" s="6">
        <f t="shared" si="49"/>
        <v>0</v>
      </c>
    </row>
    <row r="173" spans="1:11" ht="13">
      <c r="A173" s="2">
        <f t="shared" si="46"/>
        <v>126</v>
      </c>
      <c r="B173" s="329" t="s">
        <v>398</v>
      </c>
      <c r="C173" s="330"/>
      <c r="D173" s="59"/>
      <c r="E173" s="6">
        <f>D173*'16-PlantAdditions'!$E$103</f>
        <v>0</v>
      </c>
      <c r="F173" s="6">
        <f t="shared" si="47"/>
        <v>0</v>
      </c>
      <c r="G173" s="59"/>
      <c r="H173" s="59"/>
      <c r="I173" s="6">
        <f>(G173-H173)*'16-PlantAdditions'!$E$103</f>
        <v>0</v>
      </c>
      <c r="J173" s="6">
        <f t="shared" si="48"/>
        <v>0</v>
      </c>
      <c r="K173" s="6">
        <f t="shared" si="49"/>
        <v>0</v>
      </c>
    </row>
    <row r="174" spans="1:11" ht="13">
      <c r="A174" s="2">
        <f t="shared" si="46"/>
        <v>127</v>
      </c>
      <c r="B174" s="329" t="s">
        <v>399</v>
      </c>
      <c r="C174" s="330"/>
      <c r="D174" s="59"/>
      <c r="E174" s="6">
        <f>D174*'16-PlantAdditions'!$E$103</f>
        <v>0</v>
      </c>
      <c r="F174" s="6">
        <f t="shared" si="47"/>
        <v>0</v>
      </c>
      <c r="G174" s="59"/>
      <c r="H174" s="59"/>
      <c r="I174" s="6">
        <f>(G174-H174)*'16-PlantAdditions'!$E$103</f>
        <v>0</v>
      </c>
      <c r="J174" s="6">
        <f t="shared" si="48"/>
        <v>0</v>
      </c>
      <c r="K174" s="6">
        <f t="shared" si="49"/>
        <v>0</v>
      </c>
    </row>
    <row r="175" spans="1:11" ht="13">
      <c r="A175" s="2">
        <f t="shared" si="46"/>
        <v>128</v>
      </c>
      <c r="B175" s="329" t="s">
        <v>400</v>
      </c>
      <c r="C175" s="330"/>
      <c r="D175" s="59"/>
      <c r="E175" s="6">
        <f>D175*'16-PlantAdditions'!$E$103</f>
        <v>0</v>
      </c>
      <c r="F175" s="6">
        <f t="shared" si="47"/>
        <v>0</v>
      </c>
      <c r="G175" s="59"/>
      <c r="H175" s="59"/>
      <c r="I175" s="6">
        <f>(G175-H175)*'16-PlantAdditions'!$E$103</f>
        <v>0</v>
      </c>
      <c r="J175" s="6">
        <f t="shared" si="48"/>
        <v>0</v>
      </c>
      <c r="K175" s="6">
        <f t="shared" si="49"/>
        <v>0</v>
      </c>
    </row>
    <row r="176" spans="1:11" ht="13">
      <c r="A176" s="2">
        <f t="shared" si="46"/>
        <v>129</v>
      </c>
      <c r="B176" s="329" t="s">
        <v>401</v>
      </c>
      <c r="C176" s="330"/>
      <c r="D176" s="59"/>
      <c r="E176" s="6">
        <f>D176*'16-PlantAdditions'!$E$103</f>
        <v>0</v>
      </c>
      <c r="F176" s="6">
        <f t="shared" si="47"/>
        <v>0</v>
      </c>
      <c r="G176" s="59"/>
      <c r="H176" s="59"/>
      <c r="I176" s="6">
        <f>(G176-H176)*'16-PlantAdditions'!$E$103</f>
        <v>0</v>
      </c>
      <c r="J176" s="6">
        <f t="shared" ref="J176:J178" si="50">J175+F176-G176-I176</f>
        <v>0</v>
      </c>
      <c r="K176" s="6">
        <f t="shared" si="49"/>
        <v>0</v>
      </c>
    </row>
    <row r="177" spans="1:11" ht="13">
      <c r="A177" s="2">
        <f t="shared" si="46"/>
        <v>130</v>
      </c>
      <c r="B177" s="329" t="s">
        <v>402</v>
      </c>
      <c r="C177" s="330"/>
      <c r="D177" s="59"/>
      <c r="E177" s="6">
        <f>D177*'16-PlantAdditions'!$E$103</f>
        <v>0</v>
      </c>
      <c r="F177" s="6">
        <f t="shared" si="47"/>
        <v>0</v>
      </c>
      <c r="G177" s="59"/>
      <c r="H177" s="59"/>
      <c r="I177" s="6">
        <f>(G177-H177)*'16-PlantAdditions'!$E$103</f>
        <v>0</v>
      </c>
      <c r="J177" s="6">
        <f t="shared" si="50"/>
        <v>0</v>
      </c>
      <c r="K177" s="6">
        <f t="shared" si="49"/>
        <v>0</v>
      </c>
    </row>
    <row r="178" spans="1:11" ht="13">
      <c r="A178" s="2">
        <f t="shared" si="46"/>
        <v>131</v>
      </c>
      <c r="B178" s="329" t="s">
        <v>390</v>
      </c>
      <c r="C178" s="330"/>
      <c r="D178" s="59"/>
      <c r="E178" s="6">
        <f>D178*'16-PlantAdditions'!$E$103</f>
        <v>0</v>
      </c>
      <c r="F178" s="6">
        <f t="shared" si="47"/>
        <v>0</v>
      </c>
      <c r="G178" s="59"/>
      <c r="H178" s="59"/>
      <c r="I178" s="6">
        <f>(G178-H178)*'16-PlantAdditions'!$E$103</f>
        <v>0</v>
      </c>
      <c r="J178" s="6">
        <f t="shared" si="50"/>
        <v>0</v>
      </c>
      <c r="K178" s="53">
        <f t="shared" si="49"/>
        <v>0</v>
      </c>
    </row>
    <row r="179" spans="1:11" ht="13">
      <c r="A179" s="2">
        <f t="shared" si="46"/>
        <v>132</v>
      </c>
      <c r="C179" s="351" t="s">
        <v>1107</v>
      </c>
      <c r="K179" s="42">
        <f>AVERAGE(K166:K178)</f>
        <v>0</v>
      </c>
    </row>
    <row r="180" spans="1:11" ht="13">
      <c r="A180" s="2"/>
      <c r="C180" s="351"/>
      <c r="K180" s="42"/>
    </row>
    <row r="181" spans="1:11" ht="13">
      <c r="B181" s="34" t="s">
        <v>1120</v>
      </c>
      <c r="D181" s="1204" t="s">
        <v>1121</v>
      </c>
      <c r="E181" s="1204"/>
    </row>
    <row r="182" spans="1:11" ht="13">
      <c r="A182" s="3"/>
      <c r="B182" s="3"/>
      <c r="C182" s="3"/>
      <c r="D182" s="3" t="s">
        <v>347</v>
      </c>
      <c r="E182" s="3" t="s">
        <v>348</v>
      </c>
      <c r="F182" s="3" t="s">
        <v>349</v>
      </c>
      <c r="G182" s="3" t="s">
        <v>350</v>
      </c>
      <c r="H182" s="3" t="s">
        <v>351</v>
      </c>
      <c r="I182" s="3" t="s">
        <v>352</v>
      </c>
      <c r="J182" s="3" t="s">
        <v>353</v>
      </c>
      <c r="K182" s="3" t="s">
        <v>354</v>
      </c>
    </row>
    <row r="183" spans="1:11" ht="25.5">
      <c r="D183" s="48"/>
      <c r="E183" s="352" t="s">
        <v>1111</v>
      </c>
      <c r="F183" s="239" t="s">
        <v>1112</v>
      </c>
      <c r="G183" s="239"/>
      <c r="H183" s="48"/>
      <c r="I183" s="352" t="s">
        <v>1113</v>
      </c>
      <c r="J183" s="352" t="s">
        <v>1114</v>
      </c>
      <c r="K183" s="352" t="s">
        <v>1115</v>
      </c>
    </row>
    <row r="184" spans="1:11" ht="13">
      <c r="D184" s="48"/>
      <c r="E184" s="352"/>
      <c r="F184" s="239"/>
      <c r="G184" s="4" t="str">
        <f>G51</f>
        <v>Unloaded</v>
      </c>
      <c r="H184" s="48"/>
      <c r="I184" s="352"/>
      <c r="J184" s="352"/>
      <c r="K184" s="352"/>
    </row>
    <row r="185" spans="1:11" ht="13">
      <c r="A185" s="2"/>
      <c r="B185" s="2"/>
      <c r="C185" s="2"/>
      <c r="D185" s="2" t="str">
        <f>D$52</f>
        <v>Forecast</v>
      </c>
      <c r="E185" s="2" t="str">
        <f t="shared" ref="E185:J185" si="51">E$52</f>
        <v>Corporate</v>
      </c>
      <c r="F185" s="2" t="str">
        <f t="shared" si="51"/>
        <v xml:space="preserve">Total </v>
      </c>
      <c r="G185" s="4" t="str">
        <f>G52</f>
        <v>Total</v>
      </c>
      <c r="H185" s="2" t="str">
        <f t="shared" si="51"/>
        <v>Prior Period</v>
      </c>
      <c r="I185" s="2" t="str">
        <f t="shared" si="51"/>
        <v>Over Heads</v>
      </c>
      <c r="J185" s="2" t="str">
        <f t="shared" si="51"/>
        <v>Forecast</v>
      </c>
      <c r="K185" s="2" t="str">
        <f>K$52</f>
        <v>Forecast Period</v>
      </c>
    </row>
    <row r="186" spans="1:11" ht="13">
      <c r="A186" s="30" t="s">
        <v>284</v>
      </c>
      <c r="B186" s="328" t="s">
        <v>382</v>
      </c>
      <c r="C186" s="328" t="s">
        <v>383</v>
      </c>
      <c r="D186" s="3" t="str">
        <f>D$53</f>
        <v>Expenditures</v>
      </c>
      <c r="E186" s="3" t="str">
        <f t="shared" ref="E186:J186" si="52">E$53</f>
        <v>Overheads</v>
      </c>
      <c r="F186" s="3" t="str">
        <f t="shared" si="52"/>
        <v>CWIP Exp</v>
      </c>
      <c r="G186" s="48" t="str">
        <f>G53</f>
        <v>Plant Adds</v>
      </c>
      <c r="H186" s="3" t="str">
        <f t="shared" si="52"/>
        <v>CWIP Closed</v>
      </c>
      <c r="I186" s="3" t="str">
        <f t="shared" si="52"/>
        <v>Closed to PIS</v>
      </c>
      <c r="J186" s="3" t="str">
        <f t="shared" si="52"/>
        <v>Period CWIP</v>
      </c>
      <c r="K186" s="3" t="str">
        <f>K$53</f>
        <v>Incremental CWIP</v>
      </c>
    </row>
    <row r="187" spans="1:11" ht="13">
      <c r="A187" s="2">
        <f>A179+1</f>
        <v>133</v>
      </c>
      <c r="B187" s="329" t="s">
        <v>390</v>
      </c>
      <c r="C187" s="330"/>
      <c r="D187" s="239" t="s">
        <v>391</v>
      </c>
      <c r="E187" s="239" t="s">
        <v>391</v>
      </c>
      <c r="F187" s="239" t="s">
        <v>391</v>
      </c>
      <c r="G187" s="239" t="s">
        <v>391</v>
      </c>
      <c r="H187" s="239" t="s">
        <v>391</v>
      </c>
      <c r="I187" s="239" t="s">
        <v>391</v>
      </c>
      <c r="J187" s="6">
        <f>H25</f>
        <v>0</v>
      </c>
      <c r="K187" s="239" t="s">
        <v>391</v>
      </c>
    </row>
    <row r="188" spans="1:11" ht="13">
      <c r="A188" s="2">
        <f>A187+1</f>
        <v>134</v>
      </c>
      <c r="B188" s="329" t="s">
        <v>392</v>
      </c>
      <c r="C188" s="330"/>
      <c r="D188" s="59"/>
      <c r="E188" s="6">
        <f>D188*'16-PlantAdditions'!$E$103</f>
        <v>0</v>
      </c>
      <c r="F188" s="6">
        <f>E188+D188</f>
        <v>0</v>
      </c>
      <c r="G188" s="59"/>
      <c r="H188" s="59"/>
      <c r="I188" s="6">
        <f>(G188-H188)*'16-PlantAdditions'!$E$103</f>
        <v>0</v>
      </c>
      <c r="J188" s="6">
        <f>J187+F188-G188-I188</f>
        <v>0</v>
      </c>
      <c r="K188" s="6">
        <f>J188-$J$187</f>
        <v>0</v>
      </c>
    </row>
    <row r="189" spans="1:11" ht="13">
      <c r="A189" s="2">
        <f t="shared" ref="A189:A212" si="53">A188+1</f>
        <v>135</v>
      </c>
      <c r="B189" s="329" t="s">
        <v>393</v>
      </c>
      <c r="C189" s="330"/>
      <c r="D189" s="59"/>
      <c r="E189" s="6">
        <f>D189*'16-PlantAdditions'!$E$103</f>
        <v>0</v>
      </c>
      <c r="F189" s="6">
        <f t="shared" ref="F189:F208" si="54">E189+D189</f>
        <v>0</v>
      </c>
      <c r="G189" s="59"/>
      <c r="H189" s="59"/>
      <c r="I189" s="6">
        <f>(G189-H189)*'16-PlantAdditions'!$E$103</f>
        <v>0</v>
      </c>
      <c r="J189" s="6">
        <f t="shared" ref="J189:J208" si="55">J188+F189-G189-I189</f>
        <v>0</v>
      </c>
      <c r="K189" s="6">
        <f t="shared" ref="K189:K211" si="56">J189-$J$187</f>
        <v>0</v>
      </c>
    </row>
    <row r="190" spans="1:11" ht="13">
      <c r="A190" s="2">
        <f t="shared" si="53"/>
        <v>136</v>
      </c>
      <c r="B190" s="329" t="s">
        <v>394</v>
      </c>
      <c r="C190" s="330"/>
      <c r="D190" s="59"/>
      <c r="E190" s="6">
        <f>D190*'16-PlantAdditions'!$E$103</f>
        <v>0</v>
      </c>
      <c r="F190" s="6">
        <f t="shared" si="54"/>
        <v>0</v>
      </c>
      <c r="G190" s="59"/>
      <c r="H190" s="59"/>
      <c r="I190" s="6">
        <f>(G190-H190)*'16-PlantAdditions'!$E$103</f>
        <v>0</v>
      </c>
      <c r="J190" s="6">
        <f t="shared" si="55"/>
        <v>0</v>
      </c>
      <c r="K190" s="6">
        <f t="shared" si="56"/>
        <v>0</v>
      </c>
    </row>
    <row r="191" spans="1:11" ht="13">
      <c r="A191" s="2">
        <f t="shared" si="53"/>
        <v>137</v>
      </c>
      <c r="B191" s="329" t="s">
        <v>395</v>
      </c>
      <c r="C191" s="330"/>
      <c r="D191" s="59"/>
      <c r="E191" s="6">
        <f>D191*'16-PlantAdditions'!$E$103</f>
        <v>0</v>
      </c>
      <c r="F191" s="6">
        <f t="shared" si="54"/>
        <v>0</v>
      </c>
      <c r="G191" s="59"/>
      <c r="H191" s="59"/>
      <c r="I191" s="6">
        <f>(G191-H191)*'16-PlantAdditions'!$E$103</f>
        <v>0</v>
      </c>
      <c r="J191" s="6">
        <f t="shared" si="55"/>
        <v>0</v>
      </c>
      <c r="K191" s="6">
        <f t="shared" si="56"/>
        <v>0</v>
      </c>
    </row>
    <row r="192" spans="1:11" ht="13">
      <c r="A192" s="2">
        <f t="shared" si="53"/>
        <v>138</v>
      </c>
      <c r="B192" s="329" t="s">
        <v>396</v>
      </c>
      <c r="C192" s="330"/>
      <c r="D192" s="59"/>
      <c r="E192" s="6">
        <f>D192*'16-PlantAdditions'!$E$103</f>
        <v>0</v>
      </c>
      <c r="F192" s="6">
        <f t="shared" si="54"/>
        <v>0</v>
      </c>
      <c r="G192" s="59"/>
      <c r="H192" s="59"/>
      <c r="I192" s="6">
        <f>(G192-H192)*'16-PlantAdditions'!$E$103</f>
        <v>0</v>
      </c>
      <c r="J192" s="6">
        <f t="shared" si="55"/>
        <v>0</v>
      </c>
      <c r="K192" s="6">
        <f t="shared" si="56"/>
        <v>0</v>
      </c>
    </row>
    <row r="193" spans="1:11" ht="13">
      <c r="A193" s="2">
        <f t="shared" si="53"/>
        <v>139</v>
      </c>
      <c r="B193" s="329" t="s">
        <v>610</v>
      </c>
      <c r="C193" s="330"/>
      <c r="D193" s="59"/>
      <c r="E193" s="6">
        <f>D193*'16-PlantAdditions'!$E$103</f>
        <v>0</v>
      </c>
      <c r="F193" s="6">
        <f t="shared" si="54"/>
        <v>0</v>
      </c>
      <c r="G193" s="59"/>
      <c r="H193" s="59"/>
      <c r="I193" s="6">
        <f>(G193-H193)*'16-PlantAdditions'!$E$103</f>
        <v>0</v>
      </c>
      <c r="J193" s="6">
        <f t="shared" si="55"/>
        <v>0</v>
      </c>
      <c r="K193" s="6">
        <f t="shared" si="56"/>
        <v>0</v>
      </c>
    </row>
    <row r="194" spans="1:11" ht="13">
      <c r="A194" s="2">
        <f t="shared" si="53"/>
        <v>140</v>
      </c>
      <c r="B194" s="329" t="s">
        <v>398</v>
      </c>
      <c r="C194" s="330"/>
      <c r="D194" s="59"/>
      <c r="E194" s="6">
        <f>D194*'16-PlantAdditions'!$E$103</f>
        <v>0</v>
      </c>
      <c r="F194" s="6">
        <f t="shared" si="54"/>
        <v>0</v>
      </c>
      <c r="G194" s="59"/>
      <c r="H194" s="59"/>
      <c r="I194" s="6">
        <f>(G194-H194)*'16-PlantAdditions'!$E$103</f>
        <v>0</v>
      </c>
      <c r="J194" s="6">
        <f t="shared" si="55"/>
        <v>0</v>
      </c>
      <c r="K194" s="6">
        <f t="shared" si="56"/>
        <v>0</v>
      </c>
    </row>
    <row r="195" spans="1:11" ht="13">
      <c r="A195" s="2">
        <f t="shared" si="53"/>
        <v>141</v>
      </c>
      <c r="B195" s="329" t="s">
        <v>399</v>
      </c>
      <c r="C195" s="330"/>
      <c r="D195" s="59"/>
      <c r="E195" s="6">
        <f>D195*'16-PlantAdditions'!$E$103</f>
        <v>0</v>
      </c>
      <c r="F195" s="6">
        <f t="shared" si="54"/>
        <v>0</v>
      </c>
      <c r="G195" s="59"/>
      <c r="H195" s="59"/>
      <c r="I195" s="6">
        <f>(G195-H195)*'16-PlantAdditions'!$E$103</f>
        <v>0</v>
      </c>
      <c r="J195" s="6">
        <f t="shared" si="55"/>
        <v>0</v>
      </c>
      <c r="K195" s="6">
        <f t="shared" si="56"/>
        <v>0</v>
      </c>
    </row>
    <row r="196" spans="1:11" ht="13">
      <c r="A196" s="2">
        <f t="shared" si="53"/>
        <v>142</v>
      </c>
      <c r="B196" s="329" t="s">
        <v>400</v>
      </c>
      <c r="C196" s="330"/>
      <c r="D196" s="59"/>
      <c r="E196" s="6">
        <f>D196*'16-PlantAdditions'!$E$103</f>
        <v>0</v>
      </c>
      <c r="F196" s="6">
        <f t="shared" si="54"/>
        <v>0</v>
      </c>
      <c r="G196" s="59"/>
      <c r="H196" s="59"/>
      <c r="I196" s="6">
        <f>(G196-H196)*'16-PlantAdditions'!$E$103</f>
        <v>0</v>
      </c>
      <c r="J196" s="6">
        <f t="shared" si="55"/>
        <v>0</v>
      </c>
      <c r="K196" s="6">
        <f t="shared" si="56"/>
        <v>0</v>
      </c>
    </row>
    <row r="197" spans="1:11" ht="13">
      <c r="A197" s="2">
        <f t="shared" si="53"/>
        <v>143</v>
      </c>
      <c r="B197" s="329" t="s">
        <v>401</v>
      </c>
      <c r="C197" s="330"/>
      <c r="D197" s="59"/>
      <c r="E197" s="6">
        <f>D197*'16-PlantAdditions'!$E$103</f>
        <v>0</v>
      </c>
      <c r="F197" s="6">
        <f t="shared" si="54"/>
        <v>0</v>
      </c>
      <c r="G197" s="59"/>
      <c r="H197" s="59"/>
      <c r="I197" s="6">
        <f>(G197-H197)*'16-PlantAdditions'!$E$103</f>
        <v>0</v>
      </c>
      <c r="J197" s="6">
        <f t="shared" si="55"/>
        <v>0</v>
      </c>
      <c r="K197" s="6">
        <f t="shared" si="56"/>
        <v>0</v>
      </c>
    </row>
    <row r="198" spans="1:11" ht="13">
      <c r="A198" s="2">
        <f t="shared" si="53"/>
        <v>144</v>
      </c>
      <c r="B198" s="329" t="s">
        <v>402</v>
      </c>
      <c r="C198" s="330"/>
      <c r="D198" s="59"/>
      <c r="E198" s="6">
        <f>D198*'16-PlantAdditions'!$E$103</f>
        <v>0</v>
      </c>
      <c r="F198" s="6">
        <f t="shared" si="54"/>
        <v>0</v>
      </c>
      <c r="G198" s="59"/>
      <c r="H198" s="59"/>
      <c r="I198" s="6">
        <f>(G198-H198)*'16-PlantAdditions'!$E$103</f>
        <v>0</v>
      </c>
      <c r="J198" s="6">
        <f t="shared" si="55"/>
        <v>0</v>
      </c>
      <c r="K198" s="6">
        <f t="shared" si="56"/>
        <v>0</v>
      </c>
    </row>
    <row r="199" spans="1:11" ht="13">
      <c r="A199" s="2">
        <f t="shared" si="53"/>
        <v>145</v>
      </c>
      <c r="B199" s="329" t="s">
        <v>390</v>
      </c>
      <c r="C199" s="330"/>
      <c r="D199" s="59"/>
      <c r="E199" s="6">
        <f>D199*'16-PlantAdditions'!$E$103</f>
        <v>0</v>
      </c>
      <c r="F199" s="6">
        <f t="shared" si="54"/>
        <v>0</v>
      </c>
      <c r="G199" s="59"/>
      <c r="H199" s="59"/>
      <c r="I199" s="6">
        <f>(G199-H199)*'16-PlantAdditions'!$E$103</f>
        <v>0</v>
      </c>
      <c r="J199" s="6">
        <f t="shared" si="55"/>
        <v>0</v>
      </c>
      <c r="K199" s="6">
        <f t="shared" si="56"/>
        <v>0</v>
      </c>
    </row>
    <row r="200" spans="1:11" ht="13">
      <c r="A200" s="2">
        <f t="shared" si="53"/>
        <v>146</v>
      </c>
      <c r="B200" s="329" t="s">
        <v>392</v>
      </c>
      <c r="C200" s="330"/>
      <c r="D200" s="59"/>
      <c r="E200" s="6">
        <f>D200*'16-PlantAdditions'!$E$103</f>
        <v>0</v>
      </c>
      <c r="F200" s="6">
        <f t="shared" si="54"/>
        <v>0</v>
      </c>
      <c r="G200" s="59"/>
      <c r="H200" s="59"/>
      <c r="I200" s="6">
        <f>(G200-H200)*'16-PlantAdditions'!$E$103</f>
        <v>0</v>
      </c>
      <c r="J200" s="6">
        <f t="shared" si="55"/>
        <v>0</v>
      </c>
      <c r="K200" s="6">
        <f t="shared" si="56"/>
        <v>0</v>
      </c>
    </row>
    <row r="201" spans="1:11" ht="13">
      <c r="A201" s="2">
        <f t="shared" si="53"/>
        <v>147</v>
      </c>
      <c r="B201" s="329" t="s">
        <v>393</v>
      </c>
      <c r="C201" s="330"/>
      <c r="D201" s="59"/>
      <c r="E201" s="6">
        <f>D201*'16-PlantAdditions'!$E$103</f>
        <v>0</v>
      </c>
      <c r="F201" s="6">
        <f t="shared" si="54"/>
        <v>0</v>
      </c>
      <c r="G201" s="59"/>
      <c r="H201" s="59"/>
      <c r="I201" s="6">
        <f>(G201-H201)*'16-PlantAdditions'!$E$103</f>
        <v>0</v>
      </c>
      <c r="J201" s="6">
        <f t="shared" si="55"/>
        <v>0</v>
      </c>
      <c r="K201" s="6">
        <f t="shared" si="56"/>
        <v>0</v>
      </c>
    </row>
    <row r="202" spans="1:11" ht="13">
      <c r="A202" s="2">
        <f t="shared" si="53"/>
        <v>148</v>
      </c>
      <c r="B202" s="329" t="s">
        <v>394</v>
      </c>
      <c r="C202" s="330"/>
      <c r="D202" s="59"/>
      <c r="E202" s="6">
        <f>D202*'16-PlantAdditions'!$E$103</f>
        <v>0</v>
      </c>
      <c r="F202" s="6">
        <f t="shared" si="54"/>
        <v>0</v>
      </c>
      <c r="G202" s="59"/>
      <c r="H202" s="59"/>
      <c r="I202" s="6">
        <f>(G202-H202)*'16-PlantAdditions'!$E$103</f>
        <v>0</v>
      </c>
      <c r="J202" s="6">
        <f t="shared" si="55"/>
        <v>0</v>
      </c>
      <c r="K202" s="6">
        <f t="shared" si="56"/>
        <v>0</v>
      </c>
    </row>
    <row r="203" spans="1:11" ht="13">
      <c r="A203" s="2">
        <f t="shared" si="53"/>
        <v>149</v>
      </c>
      <c r="B203" s="329" t="s">
        <v>395</v>
      </c>
      <c r="C203" s="330"/>
      <c r="D203" s="59"/>
      <c r="E203" s="6">
        <f>D203*'16-PlantAdditions'!$E$103</f>
        <v>0</v>
      </c>
      <c r="F203" s="6">
        <f t="shared" si="54"/>
        <v>0</v>
      </c>
      <c r="G203" s="59"/>
      <c r="H203" s="59"/>
      <c r="I203" s="6">
        <f>(G203-H203)*'16-PlantAdditions'!$E$103</f>
        <v>0</v>
      </c>
      <c r="J203" s="6">
        <f t="shared" si="55"/>
        <v>0</v>
      </c>
      <c r="K203" s="6">
        <f t="shared" si="56"/>
        <v>0</v>
      </c>
    </row>
    <row r="204" spans="1:11" ht="13">
      <c r="A204" s="2">
        <f t="shared" si="53"/>
        <v>150</v>
      </c>
      <c r="B204" s="329" t="s">
        <v>396</v>
      </c>
      <c r="C204" s="330"/>
      <c r="D204" s="59"/>
      <c r="E204" s="6">
        <f>D204*'16-PlantAdditions'!$E$103</f>
        <v>0</v>
      </c>
      <c r="F204" s="6">
        <f t="shared" si="54"/>
        <v>0</v>
      </c>
      <c r="G204" s="59"/>
      <c r="H204" s="59"/>
      <c r="I204" s="6">
        <f>(G204-H204)*'16-PlantAdditions'!$E$103</f>
        <v>0</v>
      </c>
      <c r="J204" s="6">
        <f t="shared" si="55"/>
        <v>0</v>
      </c>
      <c r="K204" s="6">
        <f t="shared" si="56"/>
        <v>0</v>
      </c>
    </row>
    <row r="205" spans="1:11" ht="13">
      <c r="A205" s="2">
        <f t="shared" si="53"/>
        <v>151</v>
      </c>
      <c r="B205" s="329" t="s">
        <v>610</v>
      </c>
      <c r="C205" s="330"/>
      <c r="D205" s="59"/>
      <c r="E205" s="6">
        <f>D205*'16-PlantAdditions'!$E$103</f>
        <v>0</v>
      </c>
      <c r="F205" s="6">
        <f t="shared" si="54"/>
        <v>0</v>
      </c>
      <c r="G205" s="59"/>
      <c r="H205" s="59"/>
      <c r="I205" s="6">
        <f>(G205-H205)*'16-PlantAdditions'!$E$103</f>
        <v>0</v>
      </c>
      <c r="J205" s="6">
        <f t="shared" si="55"/>
        <v>0</v>
      </c>
      <c r="K205" s="6">
        <f t="shared" si="56"/>
        <v>0</v>
      </c>
    </row>
    <row r="206" spans="1:11" ht="13">
      <c r="A206" s="2">
        <f t="shared" si="53"/>
        <v>152</v>
      </c>
      <c r="B206" s="329" t="s">
        <v>398</v>
      </c>
      <c r="C206" s="330"/>
      <c r="D206" s="59"/>
      <c r="E206" s="6">
        <f>D206*'16-PlantAdditions'!$E$103</f>
        <v>0</v>
      </c>
      <c r="F206" s="6">
        <f t="shared" si="54"/>
        <v>0</v>
      </c>
      <c r="G206" s="59"/>
      <c r="H206" s="59"/>
      <c r="I206" s="6">
        <f>(G206-H206)*'16-PlantAdditions'!$E$103</f>
        <v>0</v>
      </c>
      <c r="J206" s="6">
        <f t="shared" si="55"/>
        <v>0</v>
      </c>
      <c r="K206" s="6">
        <f t="shared" si="56"/>
        <v>0</v>
      </c>
    </row>
    <row r="207" spans="1:11" ht="13">
      <c r="A207" s="2">
        <f t="shared" si="53"/>
        <v>153</v>
      </c>
      <c r="B207" s="329" t="s">
        <v>399</v>
      </c>
      <c r="C207" s="330"/>
      <c r="D207" s="59"/>
      <c r="E207" s="6">
        <f>D207*'16-PlantAdditions'!$E$103</f>
        <v>0</v>
      </c>
      <c r="F207" s="6">
        <f t="shared" si="54"/>
        <v>0</v>
      </c>
      <c r="G207" s="59"/>
      <c r="H207" s="59"/>
      <c r="I207" s="6">
        <f>(G207-H207)*'16-PlantAdditions'!$E$103</f>
        <v>0</v>
      </c>
      <c r="J207" s="6">
        <f t="shared" si="55"/>
        <v>0</v>
      </c>
      <c r="K207" s="6">
        <f t="shared" si="56"/>
        <v>0</v>
      </c>
    </row>
    <row r="208" spans="1:11" ht="13">
      <c r="A208" s="2">
        <f t="shared" si="53"/>
        <v>154</v>
      </c>
      <c r="B208" s="329" t="s">
        <v>400</v>
      </c>
      <c r="C208" s="330"/>
      <c r="D208" s="59"/>
      <c r="E208" s="6">
        <f>D208*'16-PlantAdditions'!$E$103</f>
        <v>0</v>
      </c>
      <c r="F208" s="6">
        <f t="shared" si="54"/>
        <v>0</v>
      </c>
      <c r="G208" s="59"/>
      <c r="H208" s="59"/>
      <c r="I208" s="6">
        <f>(G208-H208)*'16-PlantAdditions'!$E$103</f>
        <v>0</v>
      </c>
      <c r="J208" s="6">
        <f t="shared" si="55"/>
        <v>0</v>
      </c>
      <c r="K208" s="6">
        <f t="shared" si="56"/>
        <v>0</v>
      </c>
    </row>
    <row r="209" spans="1:11" ht="13">
      <c r="A209" s="2">
        <f t="shared" si="53"/>
        <v>155</v>
      </c>
      <c r="B209" s="329" t="s">
        <v>401</v>
      </c>
      <c r="C209" s="330"/>
      <c r="D209" s="59"/>
      <c r="E209" s="6">
        <f>D209*'16-PlantAdditions'!$E$103</f>
        <v>0</v>
      </c>
      <c r="F209" s="6">
        <f t="shared" ref="F209:F211" si="57">E209+D209</f>
        <v>0</v>
      </c>
      <c r="G209" s="59"/>
      <c r="H209" s="59"/>
      <c r="I209" s="6">
        <f>(G209-H209)*'16-PlantAdditions'!$E$103</f>
        <v>0</v>
      </c>
      <c r="J209" s="6">
        <f t="shared" ref="J209:J211" si="58">J208+F209-G209-I209</f>
        <v>0</v>
      </c>
      <c r="K209" s="6">
        <f t="shared" si="56"/>
        <v>0</v>
      </c>
    </row>
    <row r="210" spans="1:11" ht="13">
      <c r="A210" s="2">
        <f t="shared" si="53"/>
        <v>156</v>
      </c>
      <c r="B210" s="329" t="s">
        <v>402</v>
      </c>
      <c r="C210" s="330"/>
      <c r="D210" s="59"/>
      <c r="E210" s="6">
        <f>D210*'16-PlantAdditions'!$E$103</f>
        <v>0</v>
      </c>
      <c r="F210" s="6">
        <f t="shared" si="57"/>
        <v>0</v>
      </c>
      <c r="G210" s="59"/>
      <c r="H210" s="59"/>
      <c r="I210" s="6">
        <f>(G210-H210)*'16-PlantAdditions'!$E$103</f>
        <v>0</v>
      </c>
      <c r="J210" s="6">
        <f t="shared" si="58"/>
        <v>0</v>
      </c>
      <c r="K210" s="6">
        <f t="shared" si="56"/>
        <v>0</v>
      </c>
    </row>
    <row r="211" spans="1:11" ht="13">
      <c r="A211" s="2">
        <f t="shared" si="53"/>
        <v>157</v>
      </c>
      <c r="B211" s="329" t="s">
        <v>390</v>
      </c>
      <c r="C211" s="330"/>
      <c r="D211" s="59"/>
      <c r="E211" s="6">
        <f>D211*'16-PlantAdditions'!$E$103</f>
        <v>0</v>
      </c>
      <c r="F211" s="6">
        <f t="shared" si="57"/>
        <v>0</v>
      </c>
      <c r="G211" s="59"/>
      <c r="H211" s="59"/>
      <c r="I211" s="6">
        <f>(G211-H211)*'16-PlantAdditions'!$E$103</f>
        <v>0</v>
      </c>
      <c r="J211" s="6">
        <f t="shared" si="58"/>
        <v>0</v>
      </c>
      <c r="K211" s="53">
        <f t="shared" si="56"/>
        <v>0</v>
      </c>
    </row>
    <row r="212" spans="1:11" ht="13">
      <c r="A212" s="2">
        <f t="shared" si="53"/>
        <v>158</v>
      </c>
      <c r="C212" s="351" t="s">
        <v>1107</v>
      </c>
      <c r="K212" s="42">
        <f>AVERAGE(K199:K211)</f>
        <v>0</v>
      </c>
    </row>
    <row r="213" spans="1:11" ht="13">
      <c r="A213" s="2"/>
      <c r="C213" s="351"/>
      <c r="K213" s="42"/>
    </row>
    <row r="214" spans="1:11" ht="13">
      <c r="B214" s="34" t="s">
        <v>1122</v>
      </c>
      <c r="D214" s="1204" t="s">
        <v>1076</v>
      </c>
      <c r="E214" s="1204"/>
    </row>
    <row r="215" spans="1:11" ht="13">
      <c r="B215" s="34"/>
      <c r="D215" s="3" t="s">
        <v>347</v>
      </c>
      <c r="E215" s="3" t="s">
        <v>348</v>
      </c>
      <c r="F215" s="3" t="s">
        <v>349</v>
      </c>
      <c r="G215" s="3" t="s">
        <v>350</v>
      </c>
      <c r="H215" s="3" t="s">
        <v>351</v>
      </c>
      <c r="I215" s="3" t="s">
        <v>352</v>
      </c>
      <c r="J215" s="3" t="s">
        <v>353</v>
      </c>
      <c r="K215" s="3" t="s">
        <v>354</v>
      </c>
    </row>
    <row r="216" spans="1:11" ht="25.5">
      <c r="B216" s="34"/>
      <c r="D216" s="48"/>
      <c r="E216" s="352" t="s">
        <v>1111</v>
      </c>
      <c r="F216" s="239" t="s">
        <v>1112</v>
      </c>
      <c r="G216" s="239"/>
      <c r="H216" s="48"/>
      <c r="I216" s="352" t="s">
        <v>1113</v>
      </c>
      <c r="J216" s="352" t="s">
        <v>1114</v>
      </c>
      <c r="K216" s="352" t="s">
        <v>1115</v>
      </c>
    </row>
    <row r="217" spans="1:11" ht="13">
      <c r="D217" s="48"/>
      <c r="E217" s="48"/>
      <c r="F217" s="48"/>
      <c r="G217" s="2" t="str">
        <f>G51</f>
        <v>Unloaded</v>
      </c>
      <c r="H217" s="48"/>
      <c r="I217" s="48"/>
    </row>
    <row r="218" spans="1:11" ht="13">
      <c r="A218" s="2"/>
      <c r="B218" s="2"/>
      <c r="C218" s="2"/>
      <c r="D218" s="2" t="str">
        <f>D$52</f>
        <v>Forecast</v>
      </c>
      <c r="E218" s="2" t="str">
        <f t="shared" ref="E218:J218" si="59">E$52</f>
        <v>Corporate</v>
      </c>
      <c r="F218" s="2" t="str">
        <f t="shared" si="59"/>
        <v xml:space="preserve">Total </v>
      </c>
      <c r="G218" s="2" t="str">
        <f>G52</f>
        <v>Total</v>
      </c>
      <c r="H218" s="2" t="str">
        <f t="shared" si="59"/>
        <v>Prior Period</v>
      </c>
      <c r="I218" s="2" t="str">
        <f t="shared" si="59"/>
        <v>Over Heads</v>
      </c>
      <c r="J218" s="2" t="str">
        <f t="shared" si="59"/>
        <v>Forecast</v>
      </c>
      <c r="K218" s="2" t="str">
        <f>K$52</f>
        <v>Forecast Period</v>
      </c>
    </row>
    <row r="219" spans="1:11" ht="13">
      <c r="A219" s="30" t="s">
        <v>284</v>
      </c>
      <c r="B219" s="328" t="s">
        <v>382</v>
      </c>
      <c r="C219" s="328" t="s">
        <v>383</v>
      </c>
      <c r="D219" s="3" t="str">
        <f>D$53</f>
        <v>Expenditures</v>
      </c>
      <c r="E219" s="3" t="str">
        <f t="shared" ref="E219:J219" si="60">E$53</f>
        <v>Overheads</v>
      </c>
      <c r="F219" s="3" t="str">
        <f t="shared" si="60"/>
        <v>CWIP Exp</v>
      </c>
      <c r="G219" s="3" t="str">
        <f>G53</f>
        <v>Plant Adds</v>
      </c>
      <c r="H219" s="3" t="str">
        <f t="shared" si="60"/>
        <v>CWIP Closed</v>
      </c>
      <c r="I219" s="3" t="str">
        <f t="shared" si="60"/>
        <v>Closed to PIS</v>
      </c>
      <c r="J219" s="3" t="str">
        <f t="shared" si="60"/>
        <v>Period CWIP</v>
      </c>
      <c r="K219" s="3" t="str">
        <f>K$53</f>
        <v>Incremental CWIP</v>
      </c>
    </row>
    <row r="220" spans="1:11" ht="13">
      <c r="A220" s="2">
        <f>A212+1</f>
        <v>159</v>
      </c>
      <c r="B220" s="329" t="s">
        <v>390</v>
      </c>
      <c r="C220" s="330"/>
      <c r="D220" s="239" t="s">
        <v>391</v>
      </c>
      <c r="E220" s="239" t="s">
        <v>391</v>
      </c>
      <c r="F220" s="239" t="s">
        <v>391</v>
      </c>
      <c r="G220" s="239" t="s">
        <v>391</v>
      </c>
      <c r="H220" s="239" t="s">
        <v>391</v>
      </c>
      <c r="I220" s="239" t="s">
        <v>391</v>
      </c>
      <c r="J220" s="6">
        <f>I25</f>
        <v>0</v>
      </c>
      <c r="K220" s="239" t="s">
        <v>391</v>
      </c>
    </row>
    <row r="221" spans="1:11" ht="13">
      <c r="A221" s="2">
        <f>A220+1</f>
        <v>160</v>
      </c>
      <c r="B221" s="329" t="s">
        <v>392</v>
      </c>
      <c r="C221" s="330"/>
      <c r="D221" s="59"/>
      <c r="E221" s="6">
        <f>D221*'16-PlantAdditions'!$E$103</f>
        <v>0</v>
      </c>
      <c r="F221" s="6">
        <f>E221+D221</f>
        <v>0</v>
      </c>
      <c r="G221" s="59"/>
      <c r="H221" s="59"/>
      <c r="I221" s="6">
        <f>(G221-H221)*'16-PlantAdditions'!$E$103</f>
        <v>0</v>
      </c>
      <c r="J221" s="6">
        <f>J220+F221-G221-I221</f>
        <v>0</v>
      </c>
      <c r="K221" s="6">
        <f>J221-$J$220</f>
        <v>0</v>
      </c>
    </row>
    <row r="222" spans="1:11" ht="13">
      <c r="A222" s="2">
        <f t="shared" ref="A222:A245" si="61">A221+1</f>
        <v>161</v>
      </c>
      <c r="B222" s="329" t="s">
        <v>393</v>
      </c>
      <c r="C222" s="330"/>
      <c r="D222" s="59"/>
      <c r="E222" s="6">
        <f>D222*'16-PlantAdditions'!$E$103</f>
        <v>0</v>
      </c>
      <c r="F222" s="6">
        <f t="shared" ref="F222:F241" si="62">E222+D222</f>
        <v>0</v>
      </c>
      <c r="G222" s="59"/>
      <c r="H222" s="59"/>
      <c r="I222" s="6">
        <f>(G222-H222)*'16-PlantAdditions'!$E$103</f>
        <v>0</v>
      </c>
      <c r="J222" s="6">
        <f t="shared" ref="J222:J241" si="63">J221+F222-G222-I222</f>
        <v>0</v>
      </c>
      <c r="K222" s="6">
        <f t="shared" ref="K222:K244" si="64">J222-$J$220</f>
        <v>0</v>
      </c>
    </row>
    <row r="223" spans="1:11" ht="13">
      <c r="A223" s="2">
        <f t="shared" si="61"/>
        <v>162</v>
      </c>
      <c r="B223" s="329" t="s">
        <v>394</v>
      </c>
      <c r="C223" s="330"/>
      <c r="D223" s="59"/>
      <c r="E223" s="6">
        <f>D223*'16-PlantAdditions'!$E$103</f>
        <v>0</v>
      </c>
      <c r="F223" s="6">
        <f t="shared" si="62"/>
        <v>0</v>
      </c>
      <c r="G223" s="59"/>
      <c r="H223" s="59"/>
      <c r="I223" s="6">
        <f>(G223-H223)*'16-PlantAdditions'!$E$103</f>
        <v>0</v>
      </c>
      <c r="J223" s="6">
        <f t="shared" si="63"/>
        <v>0</v>
      </c>
      <c r="K223" s="6">
        <f t="shared" si="64"/>
        <v>0</v>
      </c>
    </row>
    <row r="224" spans="1:11" ht="13">
      <c r="A224" s="2">
        <f t="shared" si="61"/>
        <v>163</v>
      </c>
      <c r="B224" s="329" t="s">
        <v>395</v>
      </c>
      <c r="C224" s="330"/>
      <c r="D224" s="59"/>
      <c r="E224" s="6">
        <f>D224*'16-PlantAdditions'!$E$103</f>
        <v>0</v>
      </c>
      <c r="F224" s="6">
        <f t="shared" si="62"/>
        <v>0</v>
      </c>
      <c r="G224" s="59"/>
      <c r="H224" s="59"/>
      <c r="I224" s="6">
        <f>(G224-H224)*'16-PlantAdditions'!$E$103</f>
        <v>0</v>
      </c>
      <c r="J224" s="6">
        <f t="shared" si="63"/>
        <v>0</v>
      </c>
      <c r="K224" s="6">
        <f t="shared" si="64"/>
        <v>0</v>
      </c>
    </row>
    <row r="225" spans="1:11" ht="13">
      <c r="A225" s="2">
        <f t="shared" si="61"/>
        <v>164</v>
      </c>
      <c r="B225" s="329" t="s">
        <v>396</v>
      </c>
      <c r="C225" s="330"/>
      <c r="D225" s="59"/>
      <c r="E225" s="6">
        <f>D225*'16-PlantAdditions'!$E$103</f>
        <v>0</v>
      </c>
      <c r="F225" s="6">
        <f t="shared" si="62"/>
        <v>0</v>
      </c>
      <c r="G225" s="59"/>
      <c r="H225" s="59"/>
      <c r="I225" s="6">
        <f>(G225-H225)*'16-PlantAdditions'!$E$103</f>
        <v>0</v>
      </c>
      <c r="J225" s="6">
        <f t="shared" si="63"/>
        <v>0</v>
      </c>
      <c r="K225" s="6">
        <f t="shared" si="64"/>
        <v>0</v>
      </c>
    </row>
    <row r="226" spans="1:11" ht="13">
      <c r="A226" s="2">
        <f t="shared" si="61"/>
        <v>165</v>
      </c>
      <c r="B226" s="329" t="s">
        <v>610</v>
      </c>
      <c r="C226" s="330"/>
      <c r="D226" s="59"/>
      <c r="E226" s="6">
        <f>D226*'16-PlantAdditions'!$E$103</f>
        <v>0</v>
      </c>
      <c r="F226" s="6">
        <f t="shared" si="62"/>
        <v>0</v>
      </c>
      <c r="G226" s="59"/>
      <c r="H226" s="59"/>
      <c r="I226" s="6">
        <f>(G226-H226)*'16-PlantAdditions'!$E$103</f>
        <v>0</v>
      </c>
      <c r="J226" s="6">
        <f t="shared" si="63"/>
        <v>0</v>
      </c>
      <c r="K226" s="6">
        <f t="shared" si="64"/>
        <v>0</v>
      </c>
    </row>
    <row r="227" spans="1:11" ht="13">
      <c r="A227" s="2">
        <f t="shared" si="61"/>
        <v>166</v>
      </c>
      <c r="B227" s="329" t="s">
        <v>398</v>
      </c>
      <c r="C227" s="330"/>
      <c r="D227" s="59"/>
      <c r="E227" s="6">
        <f>D227*'16-PlantAdditions'!$E$103</f>
        <v>0</v>
      </c>
      <c r="F227" s="6">
        <f t="shared" si="62"/>
        <v>0</v>
      </c>
      <c r="G227" s="59"/>
      <c r="H227" s="59"/>
      <c r="I227" s="6">
        <f>(G227-H227)*'16-PlantAdditions'!$E$103</f>
        <v>0</v>
      </c>
      <c r="J227" s="6">
        <f t="shared" si="63"/>
        <v>0</v>
      </c>
      <c r="K227" s="6">
        <f t="shared" si="64"/>
        <v>0</v>
      </c>
    </row>
    <row r="228" spans="1:11" ht="13">
      <c r="A228" s="2">
        <f t="shared" si="61"/>
        <v>167</v>
      </c>
      <c r="B228" s="329" t="s">
        <v>399</v>
      </c>
      <c r="C228" s="330"/>
      <c r="D228" s="59"/>
      <c r="E228" s="6">
        <f>D228*'16-PlantAdditions'!$E$103</f>
        <v>0</v>
      </c>
      <c r="F228" s="6">
        <f t="shared" si="62"/>
        <v>0</v>
      </c>
      <c r="G228" s="59"/>
      <c r="H228" s="59"/>
      <c r="I228" s="6">
        <f>(G228-H228)*'16-PlantAdditions'!$E$103</f>
        <v>0</v>
      </c>
      <c r="J228" s="6">
        <f t="shared" si="63"/>
        <v>0</v>
      </c>
      <c r="K228" s="6">
        <f t="shared" si="64"/>
        <v>0</v>
      </c>
    </row>
    <row r="229" spans="1:11" ht="13">
      <c r="A229" s="2">
        <f t="shared" si="61"/>
        <v>168</v>
      </c>
      <c r="B229" s="329" t="s">
        <v>400</v>
      </c>
      <c r="C229" s="330"/>
      <c r="D229" s="59"/>
      <c r="E229" s="6">
        <f>D229*'16-PlantAdditions'!$E$103</f>
        <v>0</v>
      </c>
      <c r="F229" s="6">
        <f t="shared" si="62"/>
        <v>0</v>
      </c>
      <c r="G229" s="59"/>
      <c r="H229" s="59"/>
      <c r="I229" s="6">
        <f>(G229-H229)*'16-PlantAdditions'!$E$103</f>
        <v>0</v>
      </c>
      <c r="J229" s="6">
        <f t="shared" si="63"/>
        <v>0</v>
      </c>
      <c r="K229" s="6">
        <f t="shared" si="64"/>
        <v>0</v>
      </c>
    </row>
    <row r="230" spans="1:11" ht="13">
      <c r="A230" s="2">
        <f t="shared" si="61"/>
        <v>169</v>
      </c>
      <c r="B230" s="329" t="s">
        <v>401</v>
      </c>
      <c r="C230" s="330"/>
      <c r="D230" s="59"/>
      <c r="E230" s="6">
        <f>D230*'16-PlantAdditions'!$E$103</f>
        <v>0</v>
      </c>
      <c r="F230" s="6">
        <f t="shared" si="62"/>
        <v>0</v>
      </c>
      <c r="G230" s="59"/>
      <c r="H230" s="59"/>
      <c r="I230" s="6">
        <f>(G230-H230)*'16-PlantAdditions'!$E$103</f>
        <v>0</v>
      </c>
      <c r="J230" s="6">
        <f t="shared" si="63"/>
        <v>0</v>
      </c>
      <c r="K230" s="6">
        <f t="shared" si="64"/>
        <v>0</v>
      </c>
    </row>
    <row r="231" spans="1:11" ht="13">
      <c r="A231" s="2">
        <f t="shared" si="61"/>
        <v>170</v>
      </c>
      <c r="B231" s="329" t="s">
        <v>402</v>
      </c>
      <c r="C231" s="330"/>
      <c r="D231" s="59"/>
      <c r="E231" s="6">
        <f>D231*'16-PlantAdditions'!$E$103</f>
        <v>0</v>
      </c>
      <c r="F231" s="6">
        <f t="shared" si="62"/>
        <v>0</v>
      </c>
      <c r="G231" s="59"/>
      <c r="H231" s="59"/>
      <c r="I231" s="6">
        <f>(G231-H231)*'16-PlantAdditions'!$E$103</f>
        <v>0</v>
      </c>
      <c r="J231" s="6">
        <f t="shared" si="63"/>
        <v>0</v>
      </c>
      <c r="K231" s="6">
        <f t="shared" si="64"/>
        <v>0</v>
      </c>
    </row>
    <row r="232" spans="1:11" ht="13">
      <c r="A232" s="2">
        <f t="shared" si="61"/>
        <v>171</v>
      </c>
      <c r="B232" s="329" t="s">
        <v>390</v>
      </c>
      <c r="C232" s="330"/>
      <c r="D232" s="59"/>
      <c r="E232" s="6">
        <f>D232*'16-PlantAdditions'!$E$103</f>
        <v>0</v>
      </c>
      <c r="F232" s="6">
        <f t="shared" si="62"/>
        <v>0</v>
      </c>
      <c r="G232" s="59"/>
      <c r="H232" s="59"/>
      <c r="I232" s="6">
        <f>(G232-H232)*'16-PlantAdditions'!$E$103</f>
        <v>0</v>
      </c>
      <c r="J232" s="6">
        <f t="shared" si="63"/>
        <v>0</v>
      </c>
      <c r="K232" s="6">
        <f t="shared" si="64"/>
        <v>0</v>
      </c>
    </row>
    <row r="233" spans="1:11" ht="13">
      <c r="A233" s="2">
        <f t="shared" si="61"/>
        <v>172</v>
      </c>
      <c r="B233" s="329" t="s">
        <v>392</v>
      </c>
      <c r="C233" s="330"/>
      <c r="D233" s="59"/>
      <c r="E233" s="6">
        <f>D233*'16-PlantAdditions'!$E$103</f>
        <v>0</v>
      </c>
      <c r="F233" s="6">
        <f t="shared" si="62"/>
        <v>0</v>
      </c>
      <c r="G233" s="59"/>
      <c r="H233" s="59"/>
      <c r="I233" s="6">
        <f>(G233-H233)*'16-PlantAdditions'!$E$103</f>
        <v>0</v>
      </c>
      <c r="J233" s="6">
        <f t="shared" si="63"/>
        <v>0</v>
      </c>
      <c r="K233" s="6">
        <f t="shared" si="64"/>
        <v>0</v>
      </c>
    </row>
    <row r="234" spans="1:11" ht="13">
      <c r="A234" s="2">
        <f t="shared" si="61"/>
        <v>173</v>
      </c>
      <c r="B234" s="329" t="s">
        <v>393</v>
      </c>
      <c r="C234" s="330"/>
      <c r="D234" s="59"/>
      <c r="E234" s="6">
        <f>D234*'16-PlantAdditions'!$E$103</f>
        <v>0</v>
      </c>
      <c r="F234" s="6">
        <f t="shared" si="62"/>
        <v>0</v>
      </c>
      <c r="G234" s="59"/>
      <c r="H234" s="59"/>
      <c r="I234" s="6">
        <f>(G234-H234)*'16-PlantAdditions'!$E$103</f>
        <v>0</v>
      </c>
      <c r="J234" s="6">
        <f t="shared" si="63"/>
        <v>0</v>
      </c>
      <c r="K234" s="6">
        <f t="shared" si="64"/>
        <v>0</v>
      </c>
    </row>
    <row r="235" spans="1:11" ht="13">
      <c r="A235" s="2">
        <f t="shared" si="61"/>
        <v>174</v>
      </c>
      <c r="B235" s="329" t="s">
        <v>394</v>
      </c>
      <c r="C235" s="330"/>
      <c r="D235" s="59"/>
      <c r="E235" s="6">
        <f>D235*'16-PlantAdditions'!$E$103</f>
        <v>0</v>
      </c>
      <c r="F235" s="6">
        <f t="shared" si="62"/>
        <v>0</v>
      </c>
      <c r="G235" s="59"/>
      <c r="H235" s="59"/>
      <c r="I235" s="6">
        <f>(G235-H235)*'16-PlantAdditions'!$E$103</f>
        <v>0</v>
      </c>
      <c r="J235" s="6">
        <f t="shared" si="63"/>
        <v>0</v>
      </c>
      <c r="K235" s="6">
        <f t="shared" si="64"/>
        <v>0</v>
      </c>
    </row>
    <row r="236" spans="1:11" ht="13">
      <c r="A236" s="2">
        <f t="shared" si="61"/>
        <v>175</v>
      </c>
      <c r="B236" s="329" t="s">
        <v>395</v>
      </c>
      <c r="C236" s="330"/>
      <c r="D236" s="59"/>
      <c r="E236" s="6">
        <f>D236*'16-PlantAdditions'!$E$103</f>
        <v>0</v>
      </c>
      <c r="F236" s="6">
        <f t="shared" si="62"/>
        <v>0</v>
      </c>
      <c r="G236" s="59"/>
      <c r="H236" s="59"/>
      <c r="I236" s="6">
        <f>(G236-H236)*'16-PlantAdditions'!$E$103</f>
        <v>0</v>
      </c>
      <c r="J236" s="6">
        <f t="shared" si="63"/>
        <v>0</v>
      </c>
      <c r="K236" s="6">
        <f t="shared" si="64"/>
        <v>0</v>
      </c>
    </row>
    <row r="237" spans="1:11" ht="13">
      <c r="A237" s="2">
        <f t="shared" si="61"/>
        <v>176</v>
      </c>
      <c r="B237" s="329" t="s">
        <v>396</v>
      </c>
      <c r="C237" s="330"/>
      <c r="D237" s="59"/>
      <c r="E237" s="6">
        <f>D237*'16-PlantAdditions'!$E$103</f>
        <v>0</v>
      </c>
      <c r="F237" s="6">
        <f t="shared" si="62"/>
        <v>0</v>
      </c>
      <c r="G237" s="59"/>
      <c r="H237" s="59"/>
      <c r="I237" s="6">
        <f>(G237-H237)*'16-PlantAdditions'!$E$103</f>
        <v>0</v>
      </c>
      <c r="J237" s="6">
        <f t="shared" si="63"/>
        <v>0</v>
      </c>
      <c r="K237" s="6">
        <f t="shared" si="64"/>
        <v>0</v>
      </c>
    </row>
    <row r="238" spans="1:11" ht="13">
      <c r="A238" s="2">
        <f t="shared" si="61"/>
        <v>177</v>
      </c>
      <c r="B238" s="329" t="s">
        <v>610</v>
      </c>
      <c r="C238" s="330"/>
      <c r="D238" s="59"/>
      <c r="E238" s="6">
        <f>D238*'16-PlantAdditions'!$E$103</f>
        <v>0</v>
      </c>
      <c r="F238" s="6">
        <f t="shared" si="62"/>
        <v>0</v>
      </c>
      <c r="G238" s="59"/>
      <c r="H238" s="59"/>
      <c r="I238" s="6">
        <f>(G238-H238)*'16-PlantAdditions'!$E$103</f>
        <v>0</v>
      </c>
      <c r="J238" s="6">
        <f t="shared" si="63"/>
        <v>0</v>
      </c>
      <c r="K238" s="6">
        <f t="shared" si="64"/>
        <v>0</v>
      </c>
    </row>
    <row r="239" spans="1:11" ht="13">
      <c r="A239" s="2">
        <f t="shared" si="61"/>
        <v>178</v>
      </c>
      <c r="B239" s="329" t="s">
        <v>398</v>
      </c>
      <c r="C239" s="330"/>
      <c r="D239" s="59"/>
      <c r="E239" s="6">
        <f>D239*'16-PlantAdditions'!$E$103</f>
        <v>0</v>
      </c>
      <c r="F239" s="6">
        <f t="shared" si="62"/>
        <v>0</v>
      </c>
      <c r="G239" s="59"/>
      <c r="H239" s="59"/>
      <c r="I239" s="6">
        <f>(G239-H239)*'16-PlantAdditions'!$E$103</f>
        <v>0</v>
      </c>
      <c r="J239" s="6">
        <f t="shared" si="63"/>
        <v>0</v>
      </c>
      <c r="K239" s="6">
        <f t="shared" si="64"/>
        <v>0</v>
      </c>
    </row>
    <row r="240" spans="1:11" ht="13">
      <c r="A240" s="2">
        <f t="shared" si="61"/>
        <v>179</v>
      </c>
      <c r="B240" s="329" t="s">
        <v>399</v>
      </c>
      <c r="C240" s="330"/>
      <c r="D240" s="59"/>
      <c r="E240" s="6">
        <f>D240*'16-PlantAdditions'!$E$103</f>
        <v>0</v>
      </c>
      <c r="F240" s="6">
        <f t="shared" si="62"/>
        <v>0</v>
      </c>
      <c r="G240" s="59"/>
      <c r="H240" s="59"/>
      <c r="I240" s="6">
        <f>(G240-H240)*'16-PlantAdditions'!$E$103</f>
        <v>0</v>
      </c>
      <c r="J240" s="6">
        <f t="shared" si="63"/>
        <v>0</v>
      </c>
      <c r="K240" s="6">
        <f t="shared" si="64"/>
        <v>0</v>
      </c>
    </row>
    <row r="241" spans="1:11" ht="13">
      <c r="A241" s="2">
        <f t="shared" si="61"/>
        <v>180</v>
      </c>
      <c r="B241" s="329" t="s">
        <v>400</v>
      </c>
      <c r="C241" s="330"/>
      <c r="D241" s="59"/>
      <c r="E241" s="6">
        <f>D241*'16-PlantAdditions'!$E$103</f>
        <v>0</v>
      </c>
      <c r="F241" s="6">
        <f t="shared" si="62"/>
        <v>0</v>
      </c>
      <c r="G241" s="59"/>
      <c r="H241" s="59"/>
      <c r="I241" s="6">
        <f>(G241-H241)*'16-PlantAdditions'!$E$103</f>
        <v>0</v>
      </c>
      <c r="J241" s="6">
        <f t="shared" si="63"/>
        <v>0</v>
      </c>
      <c r="K241" s="6">
        <f t="shared" si="64"/>
        <v>0</v>
      </c>
    </row>
    <row r="242" spans="1:11" ht="13">
      <c r="A242" s="2">
        <f t="shared" si="61"/>
        <v>181</v>
      </c>
      <c r="B242" s="329" t="s">
        <v>401</v>
      </c>
      <c r="C242" s="330"/>
      <c r="D242" s="59"/>
      <c r="E242" s="6">
        <f>D242*'16-PlantAdditions'!$E$103</f>
        <v>0</v>
      </c>
      <c r="F242" s="6">
        <f t="shared" ref="F242:F244" si="65">E242+D242</f>
        <v>0</v>
      </c>
      <c r="G242" s="59"/>
      <c r="H242" s="59"/>
      <c r="I242" s="6">
        <f>(G242-H242)*'16-PlantAdditions'!$E$103</f>
        <v>0</v>
      </c>
      <c r="J242" s="6">
        <f t="shared" ref="J242:J244" si="66">J241+F242-G242-I242</f>
        <v>0</v>
      </c>
      <c r="K242" s="6">
        <f t="shared" si="64"/>
        <v>0</v>
      </c>
    </row>
    <row r="243" spans="1:11" ht="13">
      <c r="A243" s="2">
        <f t="shared" si="61"/>
        <v>182</v>
      </c>
      <c r="B243" s="329" t="s">
        <v>402</v>
      </c>
      <c r="C243" s="330"/>
      <c r="D243" s="59"/>
      <c r="E243" s="6">
        <f>D243*'16-PlantAdditions'!$E$103</f>
        <v>0</v>
      </c>
      <c r="F243" s="6">
        <f t="shared" si="65"/>
        <v>0</v>
      </c>
      <c r="G243" s="59"/>
      <c r="H243" s="59"/>
      <c r="I243" s="6">
        <f>(G243-H243)*'16-PlantAdditions'!$E$103</f>
        <v>0</v>
      </c>
      <c r="J243" s="6">
        <f t="shared" si="66"/>
        <v>0</v>
      </c>
      <c r="K243" s="6">
        <f t="shared" si="64"/>
        <v>0</v>
      </c>
    </row>
    <row r="244" spans="1:11" ht="13">
      <c r="A244" s="2">
        <f t="shared" si="61"/>
        <v>183</v>
      </c>
      <c r="B244" s="329" t="s">
        <v>390</v>
      </c>
      <c r="C244" s="330"/>
      <c r="D244" s="59"/>
      <c r="E244" s="6">
        <f>D244*'16-PlantAdditions'!$E$103</f>
        <v>0</v>
      </c>
      <c r="F244" s="6">
        <f t="shared" si="65"/>
        <v>0</v>
      </c>
      <c r="G244" s="59"/>
      <c r="H244" s="59"/>
      <c r="I244" s="6">
        <f>(G244-H244)*'16-PlantAdditions'!$E$103</f>
        <v>0</v>
      </c>
      <c r="J244" s="6">
        <f t="shared" si="66"/>
        <v>0</v>
      </c>
      <c r="K244" s="53">
        <f t="shared" si="64"/>
        <v>0</v>
      </c>
    </row>
    <row r="245" spans="1:11" ht="13">
      <c r="A245" s="2">
        <f t="shared" si="61"/>
        <v>184</v>
      </c>
      <c r="C245" s="351" t="s">
        <v>1107</v>
      </c>
      <c r="K245" s="42">
        <f>AVERAGE(K232:K244)</f>
        <v>0</v>
      </c>
    </row>
    <row r="246" spans="1:11" ht="13">
      <c r="A246" s="2"/>
      <c r="C246" s="351"/>
      <c r="K246" s="42"/>
    </row>
    <row r="247" spans="1:11" ht="13">
      <c r="B247" s="34" t="s">
        <v>1123</v>
      </c>
      <c r="D247" s="1204" t="s">
        <v>1124</v>
      </c>
      <c r="E247" s="1204"/>
    </row>
    <row r="248" spans="1:11" ht="13">
      <c r="A248" s="3"/>
      <c r="B248" s="3"/>
      <c r="C248" s="3"/>
      <c r="D248" s="3" t="s">
        <v>347</v>
      </c>
      <c r="E248" s="3" t="s">
        <v>348</v>
      </c>
      <c r="F248" s="3" t="s">
        <v>349</v>
      </c>
      <c r="G248" s="3" t="s">
        <v>350</v>
      </c>
      <c r="H248" s="3" t="s">
        <v>351</v>
      </c>
      <c r="I248" s="3" t="s">
        <v>352</v>
      </c>
      <c r="J248" s="3" t="s">
        <v>353</v>
      </c>
      <c r="K248" s="3" t="s">
        <v>354</v>
      </c>
    </row>
    <row r="249" spans="1:11" ht="25.5">
      <c r="D249" s="48"/>
      <c r="E249" s="352" t="s">
        <v>1111</v>
      </c>
      <c r="F249" s="239" t="s">
        <v>1112</v>
      </c>
      <c r="G249" s="239"/>
      <c r="H249" s="48"/>
      <c r="I249" s="352" t="s">
        <v>1113</v>
      </c>
      <c r="J249" s="352" t="s">
        <v>1114</v>
      </c>
      <c r="K249" s="352" t="s">
        <v>1115</v>
      </c>
    </row>
    <row r="250" spans="1:11" ht="13">
      <c r="D250" s="48"/>
      <c r="E250" s="48"/>
      <c r="F250" s="48"/>
      <c r="G250" s="2" t="s">
        <v>1125</v>
      </c>
      <c r="H250" s="48"/>
      <c r="I250" s="48"/>
    </row>
    <row r="251" spans="1:11" ht="13">
      <c r="A251" s="2"/>
      <c r="B251" s="2"/>
      <c r="C251" s="2"/>
      <c r="D251" s="2" t="str">
        <f>D$52</f>
        <v>Forecast</v>
      </c>
      <c r="E251" s="2" t="str">
        <f t="shared" ref="E251:J251" si="67">E$52</f>
        <v>Corporate</v>
      </c>
      <c r="F251" s="2" t="str">
        <f t="shared" si="67"/>
        <v xml:space="preserve">Total </v>
      </c>
      <c r="G251" s="2" t="s">
        <v>252</v>
      </c>
      <c r="H251" s="2" t="str">
        <f t="shared" si="67"/>
        <v>Prior Period</v>
      </c>
      <c r="I251" s="2" t="str">
        <f t="shared" si="67"/>
        <v>Over Heads</v>
      </c>
      <c r="J251" s="2" t="str">
        <f t="shared" si="67"/>
        <v>Forecast</v>
      </c>
      <c r="K251" s="2" t="str">
        <f>K$52</f>
        <v>Forecast Period</v>
      </c>
    </row>
    <row r="252" spans="1:11" ht="13">
      <c r="A252" s="30" t="s">
        <v>284</v>
      </c>
      <c r="B252" s="328" t="s">
        <v>382</v>
      </c>
      <c r="C252" s="328" t="s">
        <v>383</v>
      </c>
      <c r="D252" s="3" t="str">
        <f>D$53</f>
        <v>Expenditures</v>
      </c>
      <c r="E252" s="3" t="str">
        <f t="shared" ref="E252:J252" si="68">E$53</f>
        <v>Overheads</v>
      </c>
      <c r="F252" s="3" t="str">
        <f t="shared" si="68"/>
        <v>CWIP Exp</v>
      </c>
      <c r="G252" s="3" t="s">
        <v>1102</v>
      </c>
      <c r="H252" s="3" t="str">
        <f t="shared" si="68"/>
        <v>CWIP Closed</v>
      </c>
      <c r="I252" s="3" t="str">
        <f t="shared" si="68"/>
        <v>Closed to PIS</v>
      </c>
      <c r="J252" s="3" t="str">
        <f t="shared" si="68"/>
        <v>Period CWIP</v>
      </c>
      <c r="K252" s="3" t="str">
        <f>K$53</f>
        <v>Incremental CWIP</v>
      </c>
    </row>
    <row r="253" spans="1:11" ht="13">
      <c r="A253" s="2">
        <f>A245+1</f>
        <v>185</v>
      </c>
      <c r="B253" s="329" t="s">
        <v>390</v>
      </c>
      <c r="C253" s="330"/>
      <c r="D253" s="239" t="s">
        <v>391</v>
      </c>
      <c r="E253" s="239" t="s">
        <v>391</v>
      </c>
      <c r="F253" s="239" t="s">
        <v>391</v>
      </c>
      <c r="G253" s="239" t="s">
        <v>391</v>
      </c>
      <c r="H253" s="239" t="s">
        <v>391</v>
      </c>
      <c r="I253" s="239" t="s">
        <v>391</v>
      </c>
      <c r="J253" s="6">
        <f>D45</f>
        <v>0</v>
      </c>
      <c r="K253" s="239" t="s">
        <v>391</v>
      </c>
    </row>
    <row r="254" spans="1:11" ht="13">
      <c r="A254" s="2">
        <f>A253+1</f>
        <v>186</v>
      </c>
      <c r="B254" s="329" t="s">
        <v>392</v>
      </c>
      <c r="C254" s="330"/>
      <c r="D254" s="59"/>
      <c r="E254" s="6">
        <f>D254*'16-PlantAdditions'!$E$103</f>
        <v>0</v>
      </c>
      <c r="F254" s="6">
        <f>E254+D254</f>
        <v>0</v>
      </c>
      <c r="G254" s="59"/>
      <c r="H254" s="59"/>
      <c r="I254" s="6">
        <f>(G254-H254)*'16-PlantAdditions'!$E$103</f>
        <v>0</v>
      </c>
      <c r="J254" s="6">
        <f>J253+F254-G254-I254</f>
        <v>0</v>
      </c>
      <c r="K254" s="6">
        <f>J254-$J$253</f>
        <v>0</v>
      </c>
    </row>
    <row r="255" spans="1:11" ht="13">
      <c r="A255" s="2">
        <f t="shared" ref="A255:A278" si="69">A254+1</f>
        <v>187</v>
      </c>
      <c r="B255" s="329" t="s">
        <v>393</v>
      </c>
      <c r="C255" s="330"/>
      <c r="D255" s="59"/>
      <c r="E255" s="6">
        <f>D255*'16-PlantAdditions'!$E$103</f>
        <v>0</v>
      </c>
      <c r="F255" s="6">
        <f t="shared" ref="F255:F274" si="70">E255+D255</f>
        <v>0</v>
      </c>
      <c r="G255" s="59"/>
      <c r="H255" s="59"/>
      <c r="I255" s="6">
        <f>(G255-H255)*'16-PlantAdditions'!$E$103</f>
        <v>0</v>
      </c>
      <c r="J255" s="6">
        <f t="shared" ref="J255:J274" si="71">J254+F255-G255-I255</f>
        <v>0</v>
      </c>
      <c r="K255" s="6">
        <f t="shared" ref="K255:K277" si="72">J255-$J$253</f>
        <v>0</v>
      </c>
    </row>
    <row r="256" spans="1:11" ht="13">
      <c r="A256" s="2">
        <f t="shared" si="69"/>
        <v>188</v>
      </c>
      <c r="B256" s="329" t="s">
        <v>394</v>
      </c>
      <c r="C256" s="330"/>
      <c r="D256" s="59"/>
      <c r="E256" s="6">
        <f>D256*'16-PlantAdditions'!$E$103</f>
        <v>0</v>
      </c>
      <c r="F256" s="6">
        <f t="shared" si="70"/>
        <v>0</v>
      </c>
      <c r="G256" s="59"/>
      <c r="H256" s="59"/>
      <c r="I256" s="6">
        <f>(G256-H256)*'16-PlantAdditions'!$E$103</f>
        <v>0</v>
      </c>
      <c r="J256" s="6">
        <f t="shared" si="71"/>
        <v>0</v>
      </c>
      <c r="K256" s="6">
        <f t="shared" si="72"/>
        <v>0</v>
      </c>
    </row>
    <row r="257" spans="1:11" ht="13">
      <c r="A257" s="2">
        <f t="shared" si="69"/>
        <v>189</v>
      </c>
      <c r="B257" s="329" t="s">
        <v>395</v>
      </c>
      <c r="C257" s="330"/>
      <c r="D257" s="59"/>
      <c r="E257" s="6">
        <f>D257*'16-PlantAdditions'!$E$103</f>
        <v>0</v>
      </c>
      <c r="F257" s="6">
        <f t="shared" si="70"/>
        <v>0</v>
      </c>
      <c r="G257" s="59"/>
      <c r="H257" s="59"/>
      <c r="I257" s="6">
        <f>(G257-H257)*'16-PlantAdditions'!$E$103</f>
        <v>0</v>
      </c>
      <c r="J257" s="6">
        <f t="shared" si="71"/>
        <v>0</v>
      </c>
      <c r="K257" s="6">
        <f t="shared" si="72"/>
        <v>0</v>
      </c>
    </row>
    <row r="258" spans="1:11" ht="13">
      <c r="A258" s="2">
        <f t="shared" si="69"/>
        <v>190</v>
      </c>
      <c r="B258" s="329" t="s">
        <v>396</v>
      </c>
      <c r="C258" s="330"/>
      <c r="D258" s="59"/>
      <c r="E258" s="6">
        <f>D258*'16-PlantAdditions'!$E$103</f>
        <v>0</v>
      </c>
      <c r="F258" s="6">
        <f t="shared" si="70"/>
        <v>0</v>
      </c>
      <c r="G258" s="59"/>
      <c r="H258" s="59"/>
      <c r="I258" s="6">
        <f>(G258-H258)*'16-PlantAdditions'!$E$103</f>
        <v>0</v>
      </c>
      <c r="J258" s="6">
        <f t="shared" si="71"/>
        <v>0</v>
      </c>
      <c r="K258" s="6">
        <f t="shared" si="72"/>
        <v>0</v>
      </c>
    </row>
    <row r="259" spans="1:11" ht="13">
      <c r="A259" s="2">
        <f t="shared" si="69"/>
        <v>191</v>
      </c>
      <c r="B259" s="329" t="s">
        <v>610</v>
      </c>
      <c r="C259" s="330"/>
      <c r="D259" s="59"/>
      <c r="E259" s="6">
        <f>D259*'16-PlantAdditions'!$E$103</f>
        <v>0</v>
      </c>
      <c r="F259" s="6">
        <f t="shared" si="70"/>
        <v>0</v>
      </c>
      <c r="G259" s="59"/>
      <c r="H259" s="59"/>
      <c r="I259" s="6">
        <f>(G259-H259)*'16-PlantAdditions'!$E$103</f>
        <v>0</v>
      </c>
      <c r="J259" s="6">
        <f>J258+F259-G259-I259</f>
        <v>0</v>
      </c>
      <c r="K259" s="6">
        <f t="shared" si="72"/>
        <v>0</v>
      </c>
    </row>
    <row r="260" spans="1:11" ht="13">
      <c r="A260" s="2">
        <f t="shared" si="69"/>
        <v>192</v>
      </c>
      <c r="B260" s="329" t="s">
        <v>398</v>
      </c>
      <c r="C260" s="330"/>
      <c r="D260" s="59"/>
      <c r="E260" s="6">
        <f>D260*'16-PlantAdditions'!$E$103</f>
        <v>0</v>
      </c>
      <c r="F260" s="6">
        <f t="shared" si="70"/>
        <v>0</v>
      </c>
      <c r="G260" s="59"/>
      <c r="H260" s="59"/>
      <c r="I260" s="6">
        <f>(G260-H260)*'16-PlantAdditions'!$E$103</f>
        <v>0</v>
      </c>
      <c r="J260" s="6">
        <f t="shared" si="71"/>
        <v>0</v>
      </c>
      <c r="K260" s="6">
        <f t="shared" si="72"/>
        <v>0</v>
      </c>
    </row>
    <row r="261" spans="1:11" ht="13">
      <c r="A261" s="2">
        <f t="shared" si="69"/>
        <v>193</v>
      </c>
      <c r="B261" s="329" t="s">
        <v>399</v>
      </c>
      <c r="C261" s="330"/>
      <c r="D261" s="59"/>
      <c r="E261" s="6">
        <f>D261*'16-PlantAdditions'!$E$103</f>
        <v>0</v>
      </c>
      <c r="F261" s="6">
        <f t="shared" si="70"/>
        <v>0</v>
      </c>
      <c r="G261" s="59"/>
      <c r="H261" s="59"/>
      <c r="I261" s="6">
        <f>(G261-H261)*'16-PlantAdditions'!$E$103</f>
        <v>0</v>
      </c>
      <c r="J261" s="6">
        <f t="shared" si="71"/>
        <v>0</v>
      </c>
      <c r="K261" s="6">
        <f t="shared" si="72"/>
        <v>0</v>
      </c>
    </row>
    <row r="262" spans="1:11" ht="13">
      <c r="A262" s="2">
        <f t="shared" si="69"/>
        <v>194</v>
      </c>
      <c r="B262" s="329" t="s">
        <v>400</v>
      </c>
      <c r="C262" s="330"/>
      <c r="D262" s="59"/>
      <c r="E262" s="6">
        <f>D262*'16-PlantAdditions'!$E$103</f>
        <v>0</v>
      </c>
      <c r="F262" s="6">
        <f t="shared" si="70"/>
        <v>0</v>
      </c>
      <c r="G262" s="59"/>
      <c r="H262" s="59"/>
      <c r="I262" s="6">
        <f>(G262-H262)*'16-PlantAdditions'!$E$103</f>
        <v>0</v>
      </c>
      <c r="J262" s="6">
        <f t="shared" si="71"/>
        <v>0</v>
      </c>
      <c r="K262" s="6">
        <f t="shared" si="72"/>
        <v>0</v>
      </c>
    </row>
    <row r="263" spans="1:11" ht="13">
      <c r="A263" s="2">
        <f t="shared" si="69"/>
        <v>195</v>
      </c>
      <c r="B263" s="329" t="s">
        <v>401</v>
      </c>
      <c r="C263" s="330"/>
      <c r="D263" s="59"/>
      <c r="E263" s="6">
        <f>D263*'16-PlantAdditions'!$E$103</f>
        <v>0</v>
      </c>
      <c r="F263" s="6">
        <f t="shared" si="70"/>
        <v>0</v>
      </c>
      <c r="G263" s="59"/>
      <c r="H263" s="59"/>
      <c r="I263" s="6">
        <f>(G263-H263)*'16-PlantAdditions'!$E$103</f>
        <v>0</v>
      </c>
      <c r="J263" s="6">
        <f t="shared" si="71"/>
        <v>0</v>
      </c>
      <c r="K263" s="6">
        <f t="shared" si="72"/>
        <v>0</v>
      </c>
    </row>
    <row r="264" spans="1:11" ht="13">
      <c r="A264" s="2">
        <f t="shared" si="69"/>
        <v>196</v>
      </c>
      <c r="B264" s="329" t="s">
        <v>402</v>
      </c>
      <c r="C264" s="330"/>
      <c r="D264" s="59"/>
      <c r="E264" s="6">
        <f>D264*'16-PlantAdditions'!$E$103</f>
        <v>0</v>
      </c>
      <c r="F264" s="6">
        <f t="shared" si="70"/>
        <v>0</v>
      </c>
      <c r="G264" s="59"/>
      <c r="H264" s="59"/>
      <c r="I264" s="6">
        <f>(G264-H264)*'16-PlantAdditions'!$E$103</f>
        <v>0</v>
      </c>
      <c r="J264" s="6">
        <f t="shared" si="71"/>
        <v>0</v>
      </c>
      <c r="K264" s="6">
        <f t="shared" si="72"/>
        <v>0</v>
      </c>
    </row>
    <row r="265" spans="1:11" ht="13">
      <c r="A265" s="2">
        <f t="shared" si="69"/>
        <v>197</v>
      </c>
      <c r="B265" s="329" t="s">
        <v>390</v>
      </c>
      <c r="C265" s="330"/>
      <c r="D265" s="59"/>
      <c r="E265" s="6">
        <f>D265*'16-PlantAdditions'!$E$103</f>
        <v>0</v>
      </c>
      <c r="F265" s="6">
        <f t="shared" si="70"/>
        <v>0</v>
      </c>
      <c r="G265" s="59"/>
      <c r="H265" s="59"/>
      <c r="I265" s="6">
        <f>(G265-H265)*'16-PlantAdditions'!$E$103</f>
        <v>0</v>
      </c>
      <c r="J265" s="6">
        <f t="shared" si="71"/>
        <v>0</v>
      </c>
      <c r="K265" s="6">
        <f t="shared" si="72"/>
        <v>0</v>
      </c>
    </row>
    <row r="266" spans="1:11" ht="13">
      <c r="A266" s="2">
        <f t="shared" si="69"/>
        <v>198</v>
      </c>
      <c r="B266" s="329" t="s">
        <v>392</v>
      </c>
      <c r="C266" s="330"/>
      <c r="D266" s="59"/>
      <c r="E266" s="6">
        <f>D266*'16-PlantAdditions'!$E$103</f>
        <v>0</v>
      </c>
      <c r="F266" s="6">
        <f t="shared" si="70"/>
        <v>0</v>
      </c>
      <c r="G266" s="59"/>
      <c r="H266" s="59"/>
      <c r="I266" s="6">
        <f>(G266-H266)*'16-PlantAdditions'!$E$103</f>
        <v>0</v>
      </c>
      <c r="J266" s="6">
        <f t="shared" si="71"/>
        <v>0</v>
      </c>
      <c r="K266" s="6">
        <f t="shared" si="72"/>
        <v>0</v>
      </c>
    </row>
    <row r="267" spans="1:11" ht="13">
      <c r="A267" s="2">
        <f t="shared" si="69"/>
        <v>199</v>
      </c>
      <c r="B267" s="329" t="s">
        <v>393</v>
      </c>
      <c r="C267" s="330"/>
      <c r="D267" s="59"/>
      <c r="E267" s="6">
        <f>D267*'16-PlantAdditions'!$E$103</f>
        <v>0</v>
      </c>
      <c r="F267" s="6">
        <f t="shared" si="70"/>
        <v>0</v>
      </c>
      <c r="G267" s="59"/>
      <c r="H267" s="59"/>
      <c r="I267" s="6">
        <f>(G267-H267)*'16-PlantAdditions'!$E$103</f>
        <v>0</v>
      </c>
      <c r="J267" s="6">
        <f t="shared" si="71"/>
        <v>0</v>
      </c>
      <c r="K267" s="6">
        <f t="shared" si="72"/>
        <v>0</v>
      </c>
    </row>
    <row r="268" spans="1:11" ht="13">
      <c r="A268" s="2">
        <f t="shared" si="69"/>
        <v>200</v>
      </c>
      <c r="B268" s="329" t="s">
        <v>394</v>
      </c>
      <c r="C268" s="330"/>
      <c r="D268" s="59"/>
      <c r="E268" s="6">
        <f>D268*'16-PlantAdditions'!$E$103</f>
        <v>0</v>
      </c>
      <c r="F268" s="6">
        <f t="shared" si="70"/>
        <v>0</v>
      </c>
      <c r="G268" s="59"/>
      <c r="H268" s="59"/>
      <c r="I268" s="6">
        <f>(G268-H268)*'16-PlantAdditions'!$E$103</f>
        <v>0</v>
      </c>
      <c r="J268" s="6">
        <f t="shared" si="71"/>
        <v>0</v>
      </c>
      <c r="K268" s="6">
        <f t="shared" si="72"/>
        <v>0</v>
      </c>
    </row>
    <row r="269" spans="1:11" ht="13">
      <c r="A269" s="2">
        <f t="shared" si="69"/>
        <v>201</v>
      </c>
      <c r="B269" s="329" t="s">
        <v>395</v>
      </c>
      <c r="C269" s="330"/>
      <c r="D269" s="59"/>
      <c r="E269" s="6">
        <f>D269*'16-PlantAdditions'!$E$103</f>
        <v>0</v>
      </c>
      <c r="F269" s="6">
        <f t="shared" si="70"/>
        <v>0</v>
      </c>
      <c r="G269" s="59"/>
      <c r="H269" s="59"/>
      <c r="I269" s="6">
        <f>(G269-H269)*'16-PlantAdditions'!$E$103</f>
        <v>0</v>
      </c>
      <c r="J269" s="6">
        <f t="shared" si="71"/>
        <v>0</v>
      </c>
      <c r="K269" s="6">
        <f t="shared" si="72"/>
        <v>0</v>
      </c>
    </row>
    <row r="270" spans="1:11" ht="13">
      <c r="A270" s="2">
        <f t="shared" si="69"/>
        <v>202</v>
      </c>
      <c r="B270" s="329" t="s">
        <v>396</v>
      </c>
      <c r="C270" s="330"/>
      <c r="D270" s="59"/>
      <c r="E270" s="6">
        <f>D270*'16-PlantAdditions'!$E$103</f>
        <v>0</v>
      </c>
      <c r="F270" s="6">
        <f t="shared" si="70"/>
        <v>0</v>
      </c>
      <c r="G270" s="59"/>
      <c r="H270" s="59"/>
      <c r="I270" s="6">
        <f>(G270-H270)*'16-PlantAdditions'!$E$103</f>
        <v>0</v>
      </c>
      <c r="J270" s="6">
        <f t="shared" si="71"/>
        <v>0</v>
      </c>
      <c r="K270" s="6">
        <f t="shared" si="72"/>
        <v>0</v>
      </c>
    </row>
    <row r="271" spans="1:11" ht="13">
      <c r="A271" s="2">
        <f t="shared" si="69"/>
        <v>203</v>
      </c>
      <c r="B271" s="329" t="s">
        <v>610</v>
      </c>
      <c r="C271" s="330"/>
      <c r="D271" s="59"/>
      <c r="E271" s="6">
        <f>D271*'16-PlantAdditions'!$E$103</f>
        <v>0</v>
      </c>
      <c r="F271" s="6">
        <f t="shared" si="70"/>
        <v>0</v>
      </c>
      <c r="G271" s="59"/>
      <c r="H271" s="59"/>
      <c r="I271" s="6">
        <f>(G271-H271)*'16-PlantAdditions'!$E$103</f>
        <v>0</v>
      </c>
      <c r="J271" s="6">
        <f t="shared" si="71"/>
        <v>0</v>
      </c>
      <c r="K271" s="6">
        <f t="shared" si="72"/>
        <v>0</v>
      </c>
    </row>
    <row r="272" spans="1:11" ht="13">
      <c r="A272" s="2">
        <f t="shared" si="69"/>
        <v>204</v>
      </c>
      <c r="B272" s="329" t="s">
        <v>398</v>
      </c>
      <c r="C272" s="330"/>
      <c r="D272" s="59"/>
      <c r="E272" s="6">
        <f>D272*'16-PlantAdditions'!$E$103</f>
        <v>0</v>
      </c>
      <c r="F272" s="6">
        <f t="shared" si="70"/>
        <v>0</v>
      </c>
      <c r="G272" s="59"/>
      <c r="H272" s="59"/>
      <c r="I272" s="6">
        <f>(G272-H272)*'16-PlantAdditions'!$E$103</f>
        <v>0</v>
      </c>
      <c r="J272" s="6">
        <f t="shared" si="71"/>
        <v>0</v>
      </c>
      <c r="K272" s="6">
        <f t="shared" si="72"/>
        <v>0</v>
      </c>
    </row>
    <row r="273" spans="1:11" ht="13">
      <c r="A273" s="2">
        <f t="shared" si="69"/>
        <v>205</v>
      </c>
      <c r="B273" s="329" t="s">
        <v>399</v>
      </c>
      <c r="C273" s="330"/>
      <c r="D273" s="59"/>
      <c r="E273" s="6">
        <f>D273*'16-PlantAdditions'!$E$103</f>
        <v>0</v>
      </c>
      <c r="F273" s="6">
        <f t="shared" si="70"/>
        <v>0</v>
      </c>
      <c r="G273" s="59"/>
      <c r="H273" s="59"/>
      <c r="I273" s="6">
        <f>(G273-H273)*'16-PlantAdditions'!$E$103</f>
        <v>0</v>
      </c>
      <c r="J273" s="6">
        <f t="shared" si="71"/>
        <v>0</v>
      </c>
      <c r="K273" s="6">
        <f t="shared" si="72"/>
        <v>0</v>
      </c>
    </row>
    <row r="274" spans="1:11" ht="13">
      <c r="A274" s="2">
        <f t="shared" si="69"/>
        <v>206</v>
      </c>
      <c r="B274" s="329" t="s">
        <v>400</v>
      </c>
      <c r="C274" s="330"/>
      <c r="D274" s="59"/>
      <c r="E274" s="6">
        <f>D274*'16-PlantAdditions'!$E$103</f>
        <v>0</v>
      </c>
      <c r="F274" s="6">
        <f t="shared" si="70"/>
        <v>0</v>
      </c>
      <c r="G274" s="59"/>
      <c r="H274" s="59"/>
      <c r="I274" s="6">
        <f>(G274-H274)*'16-PlantAdditions'!$E$103</f>
        <v>0</v>
      </c>
      <c r="J274" s="6">
        <f t="shared" si="71"/>
        <v>0</v>
      </c>
      <c r="K274" s="6">
        <f t="shared" si="72"/>
        <v>0</v>
      </c>
    </row>
    <row r="275" spans="1:11" ht="13">
      <c r="A275" s="2">
        <f t="shared" si="69"/>
        <v>207</v>
      </c>
      <c r="B275" s="329" t="s">
        <v>401</v>
      </c>
      <c r="C275" s="330"/>
      <c r="D275" s="59"/>
      <c r="E275" s="6">
        <f>D275*'16-PlantAdditions'!$E$103</f>
        <v>0</v>
      </c>
      <c r="F275" s="6">
        <f t="shared" ref="F275:F277" si="73">E275+D275</f>
        <v>0</v>
      </c>
      <c r="G275" s="59"/>
      <c r="H275" s="59"/>
      <c r="I275" s="6">
        <f>(G275-H275)*'16-PlantAdditions'!$E$103</f>
        <v>0</v>
      </c>
      <c r="J275" s="6">
        <f t="shared" ref="J275:J277" si="74">J274+F275-G275-I275</f>
        <v>0</v>
      </c>
      <c r="K275" s="6">
        <f t="shared" si="72"/>
        <v>0</v>
      </c>
    </row>
    <row r="276" spans="1:11" ht="13">
      <c r="A276" s="2">
        <f t="shared" si="69"/>
        <v>208</v>
      </c>
      <c r="B276" s="329" t="s">
        <v>402</v>
      </c>
      <c r="C276" s="330"/>
      <c r="D276" s="59"/>
      <c r="E276" s="6">
        <f>D276*'16-PlantAdditions'!$E$103</f>
        <v>0</v>
      </c>
      <c r="F276" s="6">
        <f t="shared" si="73"/>
        <v>0</v>
      </c>
      <c r="G276" s="59"/>
      <c r="H276" s="59"/>
      <c r="I276" s="6">
        <f>(G276-H276)*'16-PlantAdditions'!$E$103</f>
        <v>0</v>
      </c>
      <c r="J276" s="6">
        <f t="shared" si="74"/>
        <v>0</v>
      </c>
      <c r="K276" s="6">
        <f t="shared" si="72"/>
        <v>0</v>
      </c>
    </row>
    <row r="277" spans="1:11" ht="13">
      <c r="A277" s="2">
        <f t="shared" si="69"/>
        <v>209</v>
      </c>
      <c r="B277" s="329" t="s">
        <v>390</v>
      </c>
      <c r="C277" s="330"/>
      <c r="D277" s="59"/>
      <c r="E277" s="6">
        <f>D277*'16-PlantAdditions'!$E$103</f>
        <v>0</v>
      </c>
      <c r="F277" s="6">
        <f t="shared" si="73"/>
        <v>0</v>
      </c>
      <c r="G277" s="59"/>
      <c r="H277" s="59"/>
      <c r="I277" s="6">
        <f>(G277-H277)*'16-PlantAdditions'!$E$103</f>
        <v>0</v>
      </c>
      <c r="J277" s="6">
        <f t="shared" si="74"/>
        <v>0</v>
      </c>
      <c r="K277" s="53">
        <f t="shared" si="72"/>
        <v>0</v>
      </c>
    </row>
    <row r="278" spans="1:11" ht="13">
      <c r="A278" s="2">
        <f t="shared" si="69"/>
        <v>210</v>
      </c>
      <c r="C278" s="351" t="s">
        <v>1107</v>
      </c>
      <c r="K278" s="42">
        <f>AVERAGE(K265:K277)</f>
        <v>0</v>
      </c>
    </row>
    <row r="279" spans="1:11" ht="12.75" customHeight="1">
      <c r="A279" s="2"/>
      <c r="C279" s="351"/>
      <c r="K279" s="42"/>
    </row>
    <row r="280" spans="1:11" ht="13">
      <c r="B280" s="34" t="s">
        <v>1126</v>
      </c>
      <c r="D280" s="1204" t="s">
        <v>1127</v>
      </c>
      <c r="E280" s="1204"/>
    </row>
    <row r="281" spans="1:11" ht="13">
      <c r="B281" s="34"/>
      <c r="D281" s="3" t="s">
        <v>347</v>
      </c>
      <c r="E281" s="3" t="s">
        <v>348</v>
      </c>
      <c r="F281" s="3" t="s">
        <v>349</v>
      </c>
      <c r="G281" s="3" t="s">
        <v>350</v>
      </c>
      <c r="H281" s="3" t="s">
        <v>351</v>
      </c>
      <c r="I281" s="3" t="s">
        <v>352</v>
      </c>
      <c r="J281" s="3" t="s">
        <v>353</v>
      </c>
      <c r="K281" s="3" t="s">
        <v>354</v>
      </c>
    </row>
    <row r="282" spans="1:11" ht="25.5">
      <c r="B282" s="34"/>
      <c r="D282" s="48"/>
      <c r="E282" s="352" t="s">
        <v>1111</v>
      </c>
      <c r="F282" s="239" t="s">
        <v>1112</v>
      </c>
      <c r="G282" s="239"/>
      <c r="H282" s="48"/>
      <c r="I282" s="352" t="s">
        <v>1113</v>
      </c>
      <c r="J282" s="352" t="s">
        <v>1114</v>
      </c>
      <c r="K282" s="352" t="s">
        <v>1115</v>
      </c>
    </row>
    <row r="283" spans="1:11" ht="13">
      <c r="D283" s="48"/>
      <c r="E283" s="352"/>
      <c r="F283" s="239"/>
      <c r="G283" s="2" t="str">
        <f>G51</f>
        <v>Unloaded</v>
      </c>
      <c r="H283" s="48"/>
      <c r="I283" s="352"/>
      <c r="J283" s="352"/>
      <c r="K283" s="352"/>
    </row>
    <row r="284" spans="1:11" ht="13">
      <c r="A284" s="2"/>
      <c r="B284" s="2"/>
      <c r="C284" s="2"/>
      <c r="D284" s="2" t="str">
        <f>D$52</f>
        <v>Forecast</v>
      </c>
      <c r="E284" s="2" t="str">
        <f t="shared" ref="E284:J284" si="75">E$52</f>
        <v>Corporate</v>
      </c>
      <c r="F284" s="2" t="str">
        <f t="shared" si="75"/>
        <v xml:space="preserve">Total </v>
      </c>
      <c r="G284" s="2" t="str">
        <f>G52</f>
        <v>Total</v>
      </c>
      <c r="H284" s="2" t="str">
        <f t="shared" si="75"/>
        <v>Prior Period</v>
      </c>
      <c r="I284" s="2" t="str">
        <f t="shared" si="75"/>
        <v>Over Heads</v>
      </c>
      <c r="J284" s="2" t="str">
        <f t="shared" si="75"/>
        <v>Forecast</v>
      </c>
      <c r="K284" s="2" t="str">
        <f>K$52</f>
        <v>Forecast Period</v>
      </c>
    </row>
    <row r="285" spans="1:11" ht="13">
      <c r="A285" s="30" t="s">
        <v>284</v>
      </c>
      <c r="B285" s="328" t="s">
        <v>382</v>
      </c>
      <c r="C285" s="328" t="s">
        <v>383</v>
      </c>
      <c r="D285" s="3" t="str">
        <f>D$53</f>
        <v>Expenditures</v>
      </c>
      <c r="E285" s="3" t="str">
        <f t="shared" ref="E285:J285" si="76">E$53</f>
        <v>Overheads</v>
      </c>
      <c r="F285" s="3" t="str">
        <f t="shared" si="76"/>
        <v>CWIP Exp</v>
      </c>
      <c r="G285" s="3" t="str">
        <f>G53</f>
        <v>Plant Adds</v>
      </c>
      <c r="H285" s="3" t="str">
        <f t="shared" si="76"/>
        <v>CWIP Closed</v>
      </c>
      <c r="I285" s="3" t="str">
        <f t="shared" si="76"/>
        <v>Closed to PIS</v>
      </c>
      <c r="J285" s="3" t="str">
        <f t="shared" si="76"/>
        <v>Period CWIP</v>
      </c>
      <c r="K285" s="3" t="str">
        <f>K$53</f>
        <v>Incremental CWIP</v>
      </c>
    </row>
    <row r="286" spans="1:11" ht="13">
      <c r="A286" s="2">
        <f>A278+1</f>
        <v>211</v>
      </c>
      <c r="B286" s="329" t="s">
        <v>390</v>
      </c>
      <c r="C286" s="330"/>
      <c r="D286" s="239" t="s">
        <v>391</v>
      </c>
      <c r="E286" s="239" t="s">
        <v>391</v>
      </c>
      <c r="F286" s="239" t="s">
        <v>391</v>
      </c>
      <c r="G286" s="239" t="s">
        <v>391</v>
      </c>
      <c r="H286" s="239" t="s">
        <v>391</v>
      </c>
      <c r="I286" s="239" t="s">
        <v>391</v>
      </c>
      <c r="J286" s="6">
        <f>E45</f>
        <v>0</v>
      </c>
      <c r="K286" s="239" t="s">
        <v>391</v>
      </c>
    </row>
    <row r="287" spans="1:11" ht="13">
      <c r="A287" s="2">
        <f>A286+1</f>
        <v>212</v>
      </c>
      <c r="B287" s="329" t="s">
        <v>392</v>
      </c>
      <c r="C287" s="330"/>
      <c r="D287" s="59"/>
      <c r="E287" s="6">
        <f>D287*'16-PlantAdditions'!$E$103</f>
        <v>0</v>
      </c>
      <c r="F287" s="6">
        <f>E287+D287</f>
        <v>0</v>
      </c>
      <c r="G287" s="59"/>
      <c r="H287" s="59"/>
      <c r="I287" s="6">
        <f>(G287-H287)*'16-PlantAdditions'!$E$103</f>
        <v>0</v>
      </c>
      <c r="J287" s="6">
        <f>J286+F287-G287-I287</f>
        <v>0</v>
      </c>
      <c r="K287" s="6">
        <f>J287-$J$286</f>
        <v>0</v>
      </c>
    </row>
    <row r="288" spans="1:11" ht="13">
      <c r="A288" s="2">
        <f t="shared" ref="A288:A311" si="77">A287+1</f>
        <v>213</v>
      </c>
      <c r="B288" s="329" t="s">
        <v>393</v>
      </c>
      <c r="C288" s="330"/>
      <c r="D288" s="59"/>
      <c r="E288" s="6">
        <f>D288*'16-PlantAdditions'!$E$103</f>
        <v>0</v>
      </c>
      <c r="F288" s="6">
        <f t="shared" ref="F288:F307" si="78">E288+D288</f>
        <v>0</v>
      </c>
      <c r="G288" s="59"/>
      <c r="H288" s="59"/>
      <c r="I288" s="6">
        <f>(G288-H288)*'16-PlantAdditions'!$E$103</f>
        <v>0</v>
      </c>
      <c r="J288" s="6">
        <f t="shared" ref="J288:J307" si="79">J287+F288-G288-I288</f>
        <v>0</v>
      </c>
      <c r="K288" s="6">
        <f t="shared" ref="K288:K310" si="80">J288-$J$286</f>
        <v>0</v>
      </c>
    </row>
    <row r="289" spans="1:13" ht="13">
      <c r="A289" s="2">
        <f t="shared" si="77"/>
        <v>214</v>
      </c>
      <c r="B289" s="329" t="s">
        <v>394</v>
      </c>
      <c r="C289" s="330"/>
      <c r="D289" s="59"/>
      <c r="E289" s="6">
        <f>D289*'16-PlantAdditions'!$E$103</f>
        <v>0</v>
      </c>
      <c r="F289" s="6">
        <f t="shared" si="78"/>
        <v>0</v>
      </c>
      <c r="G289" s="59"/>
      <c r="H289" s="59"/>
      <c r="I289" s="6">
        <f>(G289-H289)*'16-PlantAdditions'!$E$103</f>
        <v>0</v>
      </c>
      <c r="J289" s="6">
        <f t="shared" si="79"/>
        <v>0</v>
      </c>
      <c r="K289" s="6">
        <f t="shared" si="80"/>
        <v>0</v>
      </c>
    </row>
    <row r="290" spans="1:13" ht="13">
      <c r="A290" s="2">
        <f t="shared" si="77"/>
        <v>215</v>
      </c>
      <c r="B290" s="329" t="s">
        <v>395</v>
      </c>
      <c r="C290" s="330"/>
      <c r="D290" s="59"/>
      <c r="E290" s="6">
        <f>D290*'16-PlantAdditions'!$E$103</f>
        <v>0</v>
      </c>
      <c r="F290" s="6">
        <f t="shared" si="78"/>
        <v>0</v>
      </c>
      <c r="G290" s="59"/>
      <c r="H290" s="59"/>
      <c r="I290" s="6">
        <f>(G290-H290)*'16-PlantAdditions'!$E$103</f>
        <v>0</v>
      </c>
      <c r="J290" s="6">
        <f t="shared" si="79"/>
        <v>0</v>
      </c>
      <c r="K290" s="6">
        <f t="shared" si="80"/>
        <v>0</v>
      </c>
    </row>
    <row r="291" spans="1:13" ht="13">
      <c r="A291" s="2">
        <f t="shared" si="77"/>
        <v>216</v>
      </c>
      <c r="B291" s="329" t="s">
        <v>396</v>
      </c>
      <c r="C291" s="330"/>
      <c r="D291" s="59"/>
      <c r="E291" s="6">
        <f>D291*'16-PlantAdditions'!$E$103</f>
        <v>0</v>
      </c>
      <c r="F291" s="6">
        <f t="shared" si="78"/>
        <v>0</v>
      </c>
      <c r="G291" s="59"/>
      <c r="H291" s="59"/>
      <c r="I291" s="6">
        <f>(G291-H291)*'16-PlantAdditions'!$E$103</f>
        <v>0</v>
      </c>
      <c r="J291" s="6">
        <f t="shared" si="79"/>
        <v>0</v>
      </c>
      <c r="K291" s="6">
        <f t="shared" si="80"/>
        <v>0</v>
      </c>
      <c r="L291" s="2"/>
      <c r="M291" s="2"/>
    </row>
    <row r="292" spans="1:13" ht="13">
      <c r="A292" s="2">
        <f t="shared" si="77"/>
        <v>217</v>
      </c>
      <c r="B292" s="329" t="s">
        <v>610</v>
      </c>
      <c r="C292" s="330"/>
      <c r="D292" s="59"/>
      <c r="E292" s="6">
        <f>D292*'16-PlantAdditions'!$E$103</f>
        <v>0</v>
      </c>
      <c r="F292" s="6">
        <f t="shared" si="78"/>
        <v>0</v>
      </c>
      <c r="G292" s="59"/>
      <c r="H292" s="59"/>
      <c r="I292" s="6">
        <f>(G292-H292)*'16-PlantAdditions'!$E$103</f>
        <v>0</v>
      </c>
      <c r="J292" s="6">
        <f t="shared" si="79"/>
        <v>0</v>
      </c>
      <c r="K292" s="6">
        <f t="shared" si="80"/>
        <v>0</v>
      </c>
      <c r="L292" s="3"/>
      <c r="M292" s="3"/>
    </row>
    <row r="293" spans="1:13" ht="13">
      <c r="A293" s="2">
        <f t="shared" si="77"/>
        <v>218</v>
      </c>
      <c r="B293" s="329" t="s">
        <v>398</v>
      </c>
      <c r="C293" s="330"/>
      <c r="D293" s="59"/>
      <c r="E293" s="6">
        <f>D293*'16-PlantAdditions'!$E$103</f>
        <v>0</v>
      </c>
      <c r="F293" s="6">
        <f t="shared" si="78"/>
        <v>0</v>
      </c>
      <c r="G293" s="59"/>
      <c r="H293" s="59"/>
      <c r="I293" s="6">
        <f>(G293-H293)*'16-PlantAdditions'!$E$103</f>
        <v>0</v>
      </c>
      <c r="J293" s="6">
        <f t="shared" si="79"/>
        <v>0</v>
      </c>
      <c r="K293" s="6">
        <f t="shared" si="80"/>
        <v>0</v>
      </c>
    </row>
    <row r="294" spans="1:13" ht="13">
      <c r="A294" s="2">
        <f t="shared" si="77"/>
        <v>219</v>
      </c>
      <c r="B294" s="329" t="s">
        <v>399</v>
      </c>
      <c r="C294" s="330"/>
      <c r="D294" s="59"/>
      <c r="E294" s="6">
        <f>D294*'16-PlantAdditions'!$E$103</f>
        <v>0</v>
      </c>
      <c r="F294" s="6">
        <f t="shared" si="78"/>
        <v>0</v>
      </c>
      <c r="G294" s="59"/>
      <c r="H294" s="59"/>
      <c r="I294" s="6">
        <f>(G294-H294)*'16-PlantAdditions'!$E$103</f>
        <v>0</v>
      </c>
      <c r="J294" s="6">
        <f t="shared" si="79"/>
        <v>0</v>
      </c>
      <c r="K294" s="6">
        <f t="shared" si="80"/>
        <v>0</v>
      </c>
    </row>
    <row r="295" spans="1:13" ht="13">
      <c r="A295" s="2">
        <f t="shared" si="77"/>
        <v>220</v>
      </c>
      <c r="B295" s="329" t="s">
        <v>400</v>
      </c>
      <c r="C295" s="330"/>
      <c r="D295" s="59"/>
      <c r="E295" s="6">
        <f>D295*'16-PlantAdditions'!$E$103</f>
        <v>0</v>
      </c>
      <c r="F295" s="6">
        <f t="shared" si="78"/>
        <v>0</v>
      </c>
      <c r="G295" s="59"/>
      <c r="H295" s="59"/>
      <c r="I295" s="6">
        <f>(G295-H295)*'16-PlantAdditions'!$E$103</f>
        <v>0</v>
      </c>
      <c r="J295" s="6">
        <f t="shared" si="79"/>
        <v>0</v>
      </c>
      <c r="K295" s="6">
        <f t="shared" si="80"/>
        <v>0</v>
      </c>
    </row>
    <row r="296" spans="1:13" ht="13">
      <c r="A296" s="2">
        <f t="shared" si="77"/>
        <v>221</v>
      </c>
      <c r="B296" s="329" t="s">
        <v>401</v>
      </c>
      <c r="C296" s="330"/>
      <c r="D296" s="59"/>
      <c r="E296" s="6">
        <f>D296*'16-PlantAdditions'!$E$103</f>
        <v>0</v>
      </c>
      <c r="F296" s="6">
        <f t="shared" si="78"/>
        <v>0</v>
      </c>
      <c r="G296" s="59"/>
      <c r="H296" s="59"/>
      <c r="I296" s="6">
        <f>(G296-H296)*'16-PlantAdditions'!$E$103</f>
        <v>0</v>
      </c>
      <c r="J296" s="6">
        <f t="shared" si="79"/>
        <v>0</v>
      </c>
      <c r="K296" s="6">
        <f t="shared" si="80"/>
        <v>0</v>
      </c>
    </row>
    <row r="297" spans="1:13" ht="13">
      <c r="A297" s="2">
        <f t="shared" si="77"/>
        <v>222</v>
      </c>
      <c r="B297" s="329" t="s">
        <v>402</v>
      </c>
      <c r="C297" s="330"/>
      <c r="D297" s="59"/>
      <c r="E297" s="6">
        <f>D297*'16-PlantAdditions'!$E$103</f>
        <v>0</v>
      </c>
      <c r="F297" s="6">
        <f t="shared" si="78"/>
        <v>0</v>
      </c>
      <c r="G297" s="59"/>
      <c r="H297" s="59"/>
      <c r="I297" s="6">
        <f>(G297-H297)*'16-PlantAdditions'!$E$103</f>
        <v>0</v>
      </c>
      <c r="J297" s="6">
        <f t="shared" si="79"/>
        <v>0</v>
      </c>
      <c r="K297" s="6">
        <f t="shared" si="80"/>
        <v>0</v>
      </c>
    </row>
    <row r="298" spans="1:13" ht="13">
      <c r="A298" s="2">
        <f t="shared" si="77"/>
        <v>223</v>
      </c>
      <c r="B298" s="329" t="s">
        <v>390</v>
      </c>
      <c r="C298" s="330"/>
      <c r="D298" s="59"/>
      <c r="E298" s="6">
        <f>D298*'16-PlantAdditions'!$E$103</f>
        <v>0</v>
      </c>
      <c r="F298" s="6">
        <f t="shared" si="78"/>
        <v>0</v>
      </c>
      <c r="G298" s="59"/>
      <c r="H298" s="59"/>
      <c r="I298" s="6">
        <f>(G298-H298)*'16-PlantAdditions'!$E$103</f>
        <v>0</v>
      </c>
      <c r="J298" s="6">
        <f t="shared" si="79"/>
        <v>0</v>
      </c>
      <c r="K298" s="6">
        <f t="shared" si="80"/>
        <v>0</v>
      </c>
    </row>
    <row r="299" spans="1:13" ht="13">
      <c r="A299" s="2">
        <f t="shared" si="77"/>
        <v>224</v>
      </c>
      <c r="B299" s="329" t="s">
        <v>392</v>
      </c>
      <c r="C299" s="330"/>
      <c r="D299" s="59"/>
      <c r="E299" s="6">
        <f>D299*'16-PlantAdditions'!$E$103</f>
        <v>0</v>
      </c>
      <c r="F299" s="6">
        <f t="shared" si="78"/>
        <v>0</v>
      </c>
      <c r="G299" s="59"/>
      <c r="H299" s="59"/>
      <c r="I299" s="6">
        <f>(G299-H299)*'16-PlantAdditions'!$E$103</f>
        <v>0</v>
      </c>
      <c r="J299" s="6">
        <f t="shared" si="79"/>
        <v>0</v>
      </c>
      <c r="K299" s="6">
        <f t="shared" si="80"/>
        <v>0</v>
      </c>
    </row>
    <row r="300" spans="1:13" ht="13">
      <c r="A300" s="2">
        <f t="shared" si="77"/>
        <v>225</v>
      </c>
      <c r="B300" s="329" t="s">
        <v>393</v>
      </c>
      <c r="C300" s="330"/>
      <c r="D300" s="59"/>
      <c r="E300" s="6">
        <f>D300*'16-PlantAdditions'!$E$103</f>
        <v>0</v>
      </c>
      <c r="F300" s="6">
        <f t="shared" si="78"/>
        <v>0</v>
      </c>
      <c r="G300" s="59"/>
      <c r="H300" s="59"/>
      <c r="I300" s="6">
        <f>(G300-H300)*'16-PlantAdditions'!$E$103</f>
        <v>0</v>
      </c>
      <c r="J300" s="6">
        <f t="shared" si="79"/>
        <v>0</v>
      </c>
      <c r="K300" s="6">
        <f t="shared" si="80"/>
        <v>0</v>
      </c>
    </row>
    <row r="301" spans="1:13" ht="13">
      <c r="A301" s="2">
        <f t="shared" si="77"/>
        <v>226</v>
      </c>
      <c r="B301" s="329" t="s">
        <v>394</v>
      </c>
      <c r="C301" s="330"/>
      <c r="D301" s="59"/>
      <c r="E301" s="6">
        <f>D301*'16-PlantAdditions'!$E$103</f>
        <v>0</v>
      </c>
      <c r="F301" s="6">
        <f t="shared" si="78"/>
        <v>0</v>
      </c>
      <c r="G301" s="59"/>
      <c r="H301" s="59"/>
      <c r="I301" s="6">
        <f>(G301-H301)*'16-PlantAdditions'!$E$103</f>
        <v>0</v>
      </c>
      <c r="J301" s="6">
        <f t="shared" si="79"/>
        <v>0</v>
      </c>
      <c r="K301" s="6">
        <f t="shared" si="80"/>
        <v>0</v>
      </c>
    </row>
    <row r="302" spans="1:13" ht="13">
      <c r="A302" s="2">
        <f t="shared" si="77"/>
        <v>227</v>
      </c>
      <c r="B302" s="329" t="s">
        <v>395</v>
      </c>
      <c r="C302" s="330"/>
      <c r="D302" s="59"/>
      <c r="E302" s="6">
        <f>D302*'16-PlantAdditions'!$E$103</f>
        <v>0</v>
      </c>
      <c r="F302" s="6">
        <f t="shared" si="78"/>
        <v>0</v>
      </c>
      <c r="G302" s="59"/>
      <c r="H302" s="59"/>
      <c r="I302" s="6">
        <f>(G302-H302)*'16-PlantAdditions'!$E$103</f>
        <v>0</v>
      </c>
      <c r="J302" s="6">
        <f t="shared" si="79"/>
        <v>0</v>
      </c>
      <c r="K302" s="6">
        <f t="shared" si="80"/>
        <v>0</v>
      </c>
    </row>
    <row r="303" spans="1:13" ht="13">
      <c r="A303" s="2">
        <f t="shared" si="77"/>
        <v>228</v>
      </c>
      <c r="B303" s="329" t="s">
        <v>396</v>
      </c>
      <c r="C303" s="330"/>
      <c r="D303" s="59"/>
      <c r="E303" s="6">
        <f>D303*'16-PlantAdditions'!$E$103</f>
        <v>0</v>
      </c>
      <c r="F303" s="6">
        <f t="shared" si="78"/>
        <v>0</v>
      </c>
      <c r="G303" s="59"/>
      <c r="H303" s="59"/>
      <c r="I303" s="6">
        <f>(G303-H303)*'16-PlantAdditions'!$E$103</f>
        <v>0</v>
      </c>
      <c r="J303" s="6">
        <f t="shared" si="79"/>
        <v>0</v>
      </c>
      <c r="K303" s="6">
        <f t="shared" si="80"/>
        <v>0</v>
      </c>
    </row>
    <row r="304" spans="1:13" ht="13">
      <c r="A304" s="2">
        <f t="shared" si="77"/>
        <v>229</v>
      </c>
      <c r="B304" s="329" t="s">
        <v>610</v>
      </c>
      <c r="C304" s="330"/>
      <c r="D304" s="59"/>
      <c r="E304" s="6">
        <f>D304*'16-PlantAdditions'!$E$103</f>
        <v>0</v>
      </c>
      <c r="F304" s="6">
        <f t="shared" si="78"/>
        <v>0</v>
      </c>
      <c r="G304" s="59"/>
      <c r="H304" s="59"/>
      <c r="I304" s="6">
        <f>(G304-H304)*'16-PlantAdditions'!$E$103</f>
        <v>0</v>
      </c>
      <c r="J304" s="6">
        <f t="shared" si="79"/>
        <v>0</v>
      </c>
      <c r="K304" s="6">
        <f t="shared" si="80"/>
        <v>0</v>
      </c>
    </row>
    <row r="305" spans="1:12" ht="13">
      <c r="A305" s="2">
        <f t="shared" si="77"/>
        <v>230</v>
      </c>
      <c r="B305" s="329" t="s">
        <v>398</v>
      </c>
      <c r="C305" s="330"/>
      <c r="D305" s="59"/>
      <c r="E305" s="6">
        <f>D305*'16-PlantAdditions'!$E$103</f>
        <v>0</v>
      </c>
      <c r="F305" s="6">
        <f t="shared" si="78"/>
        <v>0</v>
      </c>
      <c r="G305" s="59"/>
      <c r="H305" s="59"/>
      <c r="I305" s="6">
        <f>(G305-H305)*'16-PlantAdditions'!$E$103</f>
        <v>0</v>
      </c>
      <c r="J305" s="6">
        <f t="shared" si="79"/>
        <v>0</v>
      </c>
      <c r="K305" s="6">
        <f t="shared" si="80"/>
        <v>0</v>
      </c>
    </row>
    <row r="306" spans="1:12" ht="13">
      <c r="A306" s="2">
        <f t="shared" si="77"/>
        <v>231</v>
      </c>
      <c r="B306" s="329" t="s">
        <v>399</v>
      </c>
      <c r="C306" s="330"/>
      <c r="D306" s="59"/>
      <c r="E306" s="6">
        <f>D306*'16-PlantAdditions'!$E$103</f>
        <v>0</v>
      </c>
      <c r="F306" s="6">
        <f t="shared" si="78"/>
        <v>0</v>
      </c>
      <c r="G306" s="59"/>
      <c r="H306" s="59"/>
      <c r="I306" s="6">
        <f>(G306-H306)*'16-PlantAdditions'!$E$103</f>
        <v>0</v>
      </c>
      <c r="J306" s="6">
        <f t="shared" si="79"/>
        <v>0</v>
      </c>
      <c r="K306" s="6">
        <f t="shared" si="80"/>
        <v>0</v>
      </c>
    </row>
    <row r="307" spans="1:12" ht="13">
      <c r="A307" s="2">
        <f t="shared" si="77"/>
        <v>232</v>
      </c>
      <c r="B307" s="329" t="s">
        <v>400</v>
      </c>
      <c r="C307" s="330"/>
      <c r="D307" s="59"/>
      <c r="E307" s="6">
        <f>D307*'16-PlantAdditions'!$E$103</f>
        <v>0</v>
      </c>
      <c r="F307" s="6">
        <f t="shared" si="78"/>
        <v>0</v>
      </c>
      <c r="G307" s="59"/>
      <c r="H307" s="59"/>
      <c r="I307" s="6">
        <f>(G307-H307)*'16-PlantAdditions'!$E$103</f>
        <v>0</v>
      </c>
      <c r="J307" s="6">
        <f t="shared" si="79"/>
        <v>0</v>
      </c>
      <c r="K307" s="6">
        <f t="shared" si="80"/>
        <v>0</v>
      </c>
    </row>
    <row r="308" spans="1:12" ht="13">
      <c r="A308" s="2">
        <f t="shared" si="77"/>
        <v>233</v>
      </c>
      <c r="B308" s="329" t="s">
        <v>401</v>
      </c>
      <c r="C308" s="330"/>
      <c r="D308" s="59"/>
      <c r="E308" s="6">
        <f>D308*'16-PlantAdditions'!$E$103</f>
        <v>0</v>
      </c>
      <c r="F308" s="6">
        <f t="shared" ref="F308:F310" si="81">E308+D308</f>
        <v>0</v>
      </c>
      <c r="G308" s="59"/>
      <c r="H308" s="59"/>
      <c r="I308" s="6">
        <f>(G308-H308)*'16-PlantAdditions'!$E$103</f>
        <v>0</v>
      </c>
      <c r="J308" s="6">
        <f t="shared" ref="J308:J310" si="82">J307+F308-G308-I308</f>
        <v>0</v>
      </c>
      <c r="K308" s="6">
        <f t="shared" si="80"/>
        <v>0</v>
      </c>
    </row>
    <row r="309" spans="1:12" ht="13">
      <c r="A309" s="2">
        <f t="shared" si="77"/>
        <v>234</v>
      </c>
      <c r="B309" s="329" t="s">
        <v>402</v>
      </c>
      <c r="C309" s="330"/>
      <c r="D309" s="59"/>
      <c r="E309" s="6">
        <f>D309*'16-PlantAdditions'!$E$103</f>
        <v>0</v>
      </c>
      <c r="F309" s="6">
        <f t="shared" si="81"/>
        <v>0</v>
      </c>
      <c r="G309" s="59"/>
      <c r="H309" s="59"/>
      <c r="I309" s="6">
        <f>(G309-H309)*'16-PlantAdditions'!$E$103</f>
        <v>0</v>
      </c>
      <c r="J309" s="6">
        <f t="shared" si="82"/>
        <v>0</v>
      </c>
      <c r="K309" s="6">
        <f t="shared" si="80"/>
        <v>0</v>
      </c>
    </row>
    <row r="310" spans="1:12" ht="13">
      <c r="A310" s="2">
        <f t="shared" si="77"/>
        <v>235</v>
      </c>
      <c r="B310" s="329" t="s">
        <v>390</v>
      </c>
      <c r="C310" s="330"/>
      <c r="D310" s="59"/>
      <c r="E310" s="6">
        <f>D310*'16-PlantAdditions'!$E$103</f>
        <v>0</v>
      </c>
      <c r="F310" s="6">
        <f t="shared" si="81"/>
        <v>0</v>
      </c>
      <c r="G310" s="59"/>
      <c r="H310" s="59"/>
      <c r="I310" s="6">
        <f>(G310-H310)*'16-PlantAdditions'!$E$103</f>
        <v>0</v>
      </c>
      <c r="J310" s="6">
        <f t="shared" si="82"/>
        <v>0</v>
      </c>
      <c r="K310" s="53">
        <f t="shared" si="80"/>
        <v>0</v>
      </c>
    </row>
    <row r="311" spans="1:12" ht="13">
      <c r="A311" s="2">
        <f t="shared" si="77"/>
        <v>236</v>
      </c>
      <c r="C311" s="351" t="s">
        <v>1107</v>
      </c>
      <c r="K311" s="42">
        <f>AVERAGE(K298:K310)</f>
        <v>0</v>
      </c>
    </row>
    <row r="312" spans="1:12" ht="13">
      <c r="A312" s="2"/>
      <c r="C312" s="351"/>
      <c r="K312" s="42"/>
    </row>
    <row r="313" spans="1:12" ht="13">
      <c r="B313" s="34" t="s">
        <v>1128</v>
      </c>
      <c r="D313" s="1204" t="s">
        <v>1085</v>
      </c>
      <c r="E313" s="1204"/>
    </row>
    <row r="314" spans="1:12" ht="13">
      <c r="A314" s="3"/>
      <c r="B314" s="3"/>
      <c r="C314" s="3"/>
      <c r="D314" s="3" t="s">
        <v>347</v>
      </c>
      <c r="E314" s="3" t="s">
        <v>348</v>
      </c>
      <c r="F314" s="3" t="s">
        <v>349</v>
      </c>
      <c r="G314" s="3" t="s">
        <v>350</v>
      </c>
      <c r="H314" s="3" t="s">
        <v>351</v>
      </c>
      <c r="I314" s="3" t="s">
        <v>352</v>
      </c>
      <c r="J314" s="3" t="s">
        <v>353</v>
      </c>
      <c r="K314" s="3" t="s">
        <v>354</v>
      </c>
    </row>
    <row r="315" spans="1:12" ht="25.5">
      <c r="D315" s="48"/>
      <c r="E315" s="352" t="s">
        <v>1111</v>
      </c>
      <c r="F315" s="239" t="s">
        <v>1112</v>
      </c>
      <c r="G315" s="239"/>
      <c r="H315" s="48"/>
      <c r="I315" s="352" t="s">
        <v>1113</v>
      </c>
      <c r="J315" s="352" t="s">
        <v>1114</v>
      </c>
      <c r="K315" s="352" t="s">
        <v>1115</v>
      </c>
    </row>
    <row r="316" spans="1:12" ht="13">
      <c r="D316" s="48"/>
      <c r="E316" s="48"/>
      <c r="F316" s="48"/>
      <c r="G316" s="2" t="str">
        <f>G51</f>
        <v>Unloaded</v>
      </c>
      <c r="H316" s="48"/>
      <c r="I316" s="48"/>
    </row>
    <row r="317" spans="1:12" ht="13">
      <c r="A317" s="2"/>
      <c r="B317" s="2"/>
      <c r="C317" s="2"/>
      <c r="D317" s="2" t="str">
        <f>D$52</f>
        <v>Forecast</v>
      </c>
      <c r="E317" s="2" t="str">
        <f t="shared" ref="E317:J317" si="83">E$52</f>
        <v>Corporate</v>
      </c>
      <c r="F317" s="2" t="str">
        <f t="shared" si="83"/>
        <v xml:space="preserve">Total </v>
      </c>
      <c r="G317" s="2" t="str">
        <f>G52</f>
        <v>Total</v>
      </c>
      <c r="H317" s="2" t="str">
        <f t="shared" si="83"/>
        <v>Prior Period</v>
      </c>
      <c r="I317" s="2" t="str">
        <f t="shared" si="83"/>
        <v>Over Heads</v>
      </c>
      <c r="J317" s="2" t="str">
        <f t="shared" si="83"/>
        <v>Forecast</v>
      </c>
      <c r="K317" s="2" t="str">
        <f>K$52</f>
        <v>Forecast Period</v>
      </c>
    </row>
    <row r="318" spans="1:12" ht="13">
      <c r="A318" s="30" t="s">
        <v>284</v>
      </c>
      <c r="B318" s="328" t="s">
        <v>382</v>
      </c>
      <c r="C318" s="328" t="s">
        <v>383</v>
      </c>
      <c r="D318" s="3" t="str">
        <f>D$53</f>
        <v>Expenditures</v>
      </c>
      <c r="E318" s="3" t="str">
        <f t="shared" ref="E318:J318" si="84">E$53</f>
        <v>Overheads</v>
      </c>
      <c r="F318" s="3" t="str">
        <f t="shared" si="84"/>
        <v>CWIP Exp</v>
      </c>
      <c r="G318" s="3" t="str">
        <f>G53</f>
        <v>Plant Adds</v>
      </c>
      <c r="H318" s="3" t="str">
        <f t="shared" si="84"/>
        <v>CWIP Closed</v>
      </c>
      <c r="I318" s="3" t="str">
        <f t="shared" si="84"/>
        <v>Closed to PIS</v>
      </c>
      <c r="J318" s="3" t="str">
        <f t="shared" si="84"/>
        <v>Period CWIP</v>
      </c>
      <c r="K318" s="3" t="str">
        <f>K$53</f>
        <v>Incremental CWIP</v>
      </c>
    </row>
    <row r="319" spans="1:12" ht="13">
      <c r="A319" s="2">
        <f>A311+1</f>
        <v>237</v>
      </c>
      <c r="B319" s="329" t="s">
        <v>390</v>
      </c>
      <c r="C319" s="330"/>
      <c r="D319" s="239" t="s">
        <v>391</v>
      </c>
      <c r="E319" s="239" t="s">
        <v>391</v>
      </c>
      <c r="F319" s="239" t="s">
        <v>391</v>
      </c>
      <c r="G319" s="239" t="s">
        <v>391</v>
      </c>
      <c r="H319" s="239" t="s">
        <v>391</v>
      </c>
      <c r="I319" s="239" t="s">
        <v>391</v>
      </c>
      <c r="J319" s="6">
        <f>F45</f>
        <v>0</v>
      </c>
      <c r="K319" s="239" t="s">
        <v>391</v>
      </c>
    </row>
    <row r="320" spans="1:12" ht="13">
      <c r="A320" s="2">
        <f>A319+1</f>
        <v>238</v>
      </c>
      <c r="B320" s="329" t="s">
        <v>392</v>
      </c>
      <c r="C320" s="330"/>
      <c r="D320" s="59"/>
      <c r="E320" s="6">
        <f>D320*'16-PlantAdditions'!$E$103</f>
        <v>0</v>
      </c>
      <c r="F320" s="6">
        <f>E320+D320</f>
        <v>0</v>
      </c>
      <c r="G320" s="59"/>
      <c r="H320" s="59"/>
      <c r="I320" s="6">
        <f>(G320-H320)*'16-PlantAdditions'!$E$103</f>
        <v>0</v>
      </c>
      <c r="J320" s="6">
        <f>J319+F320-G320-I320</f>
        <v>0</v>
      </c>
      <c r="K320" s="6">
        <f>J320-$J$319</f>
        <v>0</v>
      </c>
      <c r="L320" s="2"/>
    </row>
    <row r="321" spans="1:12" ht="13">
      <c r="A321" s="2">
        <f t="shared" ref="A321:A344" si="85">A320+1</f>
        <v>239</v>
      </c>
      <c r="B321" s="329" t="s">
        <v>393</v>
      </c>
      <c r="C321" s="330"/>
      <c r="D321" s="59"/>
      <c r="E321" s="6">
        <f>D321*'16-PlantAdditions'!$E$103</f>
        <v>0</v>
      </c>
      <c r="F321" s="6">
        <f t="shared" ref="F321:F340" si="86">E321+D321</f>
        <v>0</v>
      </c>
      <c r="G321" s="59"/>
      <c r="H321" s="59"/>
      <c r="I321" s="6">
        <f>(G321-H321)*'16-PlantAdditions'!$E$103</f>
        <v>0</v>
      </c>
      <c r="J321" s="6">
        <f t="shared" ref="J321:J340" si="87">J320+F321-G321-I321</f>
        <v>0</v>
      </c>
      <c r="K321" s="6">
        <f t="shared" ref="K321:K343" si="88">J321-$J$319</f>
        <v>0</v>
      </c>
      <c r="L321" s="2"/>
    </row>
    <row r="322" spans="1:12" ht="13">
      <c r="A322" s="2">
        <f t="shared" si="85"/>
        <v>240</v>
      </c>
      <c r="B322" s="329" t="s">
        <v>394</v>
      </c>
      <c r="C322" s="330"/>
      <c r="D322" s="59"/>
      <c r="E322" s="6">
        <f>D322*'16-PlantAdditions'!$E$103</f>
        <v>0</v>
      </c>
      <c r="F322" s="6">
        <f t="shared" si="86"/>
        <v>0</v>
      </c>
      <c r="G322" s="59"/>
      <c r="H322" s="59"/>
      <c r="I322" s="6">
        <f>(G322-H322)*'16-PlantAdditions'!$E$103</f>
        <v>0</v>
      </c>
      <c r="J322" s="6">
        <f t="shared" si="87"/>
        <v>0</v>
      </c>
      <c r="K322" s="6">
        <f t="shared" si="88"/>
        <v>0</v>
      </c>
      <c r="L322" s="2"/>
    </row>
    <row r="323" spans="1:12" ht="13">
      <c r="A323" s="2">
        <f t="shared" si="85"/>
        <v>241</v>
      </c>
      <c r="B323" s="329" t="s">
        <v>395</v>
      </c>
      <c r="C323" s="330"/>
      <c r="D323" s="59"/>
      <c r="E323" s="6">
        <f>D323*'16-PlantAdditions'!$E$103</f>
        <v>0</v>
      </c>
      <c r="F323" s="6">
        <f t="shared" si="86"/>
        <v>0</v>
      </c>
      <c r="G323" s="59"/>
      <c r="H323" s="59"/>
      <c r="I323" s="6">
        <f>(G323-H323)*'16-PlantAdditions'!$E$103</f>
        <v>0</v>
      </c>
      <c r="J323" s="6">
        <f t="shared" si="87"/>
        <v>0</v>
      </c>
      <c r="K323" s="6">
        <f t="shared" si="88"/>
        <v>0</v>
      </c>
      <c r="L323" s="3"/>
    </row>
    <row r="324" spans="1:12" ht="13">
      <c r="A324" s="2">
        <f t="shared" si="85"/>
        <v>242</v>
      </c>
      <c r="B324" s="329" t="s">
        <v>396</v>
      </c>
      <c r="C324" s="330"/>
      <c r="D324" s="59"/>
      <c r="E324" s="6">
        <f>D324*'16-PlantAdditions'!$E$103</f>
        <v>0</v>
      </c>
      <c r="F324" s="6">
        <f t="shared" si="86"/>
        <v>0</v>
      </c>
      <c r="G324" s="59"/>
      <c r="H324" s="59"/>
      <c r="I324" s="6">
        <f>(G324-H324)*'16-PlantAdditions'!$E$103</f>
        <v>0</v>
      </c>
      <c r="J324" s="6">
        <f t="shared" si="87"/>
        <v>0</v>
      </c>
      <c r="K324" s="6">
        <f t="shared" si="88"/>
        <v>0</v>
      </c>
    </row>
    <row r="325" spans="1:12" ht="13">
      <c r="A325" s="2">
        <f t="shared" si="85"/>
        <v>243</v>
      </c>
      <c r="B325" s="329" t="s">
        <v>610</v>
      </c>
      <c r="C325" s="330"/>
      <c r="D325" s="59"/>
      <c r="E325" s="6">
        <f>D325*'16-PlantAdditions'!$E$103</f>
        <v>0</v>
      </c>
      <c r="F325" s="6">
        <f t="shared" si="86"/>
        <v>0</v>
      </c>
      <c r="G325" s="59"/>
      <c r="H325" s="59"/>
      <c r="I325" s="6">
        <f>(G325-H325)*'16-PlantAdditions'!$E$103</f>
        <v>0</v>
      </c>
      <c r="J325" s="6">
        <f t="shared" si="87"/>
        <v>0</v>
      </c>
      <c r="K325" s="6">
        <f t="shared" si="88"/>
        <v>0</v>
      </c>
    </row>
    <row r="326" spans="1:12" ht="13">
      <c r="A326" s="2">
        <f t="shared" si="85"/>
        <v>244</v>
      </c>
      <c r="B326" s="329" t="s">
        <v>398</v>
      </c>
      <c r="C326" s="330"/>
      <c r="D326" s="59"/>
      <c r="E326" s="6">
        <f>D326*'16-PlantAdditions'!$E$103</f>
        <v>0</v>
      </c>
      <c r="F326" s="6">
        <f t="shared" si="86"/>
        <v>0</v>
      </c>
      <c r="G326" s="59"/>
      <c r="H326" s="59"/>
      <c r="I326" s="6">
        <f>(G326-H326)*'16-PlantAdditions'!$E$103</f>
        <v>0</v>
      </c>
      <c r="J326" s="6">
        <f t="shared" si="87"/>
        <v>0</v>
      </c>
      <c r="K326" s="6">
        <f t="shared" si="88"/>
        <v>0</v>
      </c>
    </row>
    <row r="327" spans="1:12" ht="13">
      <c r="A327" s="2">
        <f t="shared" si="85"/>
        <v>245</v>
      </c>
      <c r="B327" s="329" t="s">
        <v>399</v>
      </c>
      <c r="C327" s="330"/>
      <c r="D327" s="59"/>
      <c r="E327" s="6">
        <f>D327*'16-PlantAdditions'!$E$103</f>
        <v>0</v>
      </c>
      <c r="F327" s="6">
        <f t="shared" si="86"/>
        <v>0</v>
      </c>
      <c r="G327" s="59"/>
      <c r="H327" s="59"/>
      <c r="I327" s="6">
        <f>(G327-H327)*'16-PlantAdditions'!$E$103</f>
        <v>0</v>
      </c>
      <c r="J327" s="6">
        <f t="shared" si="87"/>
        <v>0</v>
      </c>
      <c r="K327" s="6">
        <f t="shared" si="88"/>
        <v>0</v>
      </c>
    </row>
    <row r="328" spans="1:12" ht="13">
      <c r="A328" s="2">
        <f t="shared" si="85"/>
        <v>246</v>
      </c>
      <c r="B328" s="329" t="s">
        <v>400</v>
      </c>
      <c r="C328" s="330"/>
      <c r="D328" s="59"/>
      <c r="E328" s="6">
        <f>D328*'16-PlantAdditions'!$E$103</f>
        <v>0</v>
      </c>
      <c r="F328" s="6">
        <f t="shared" si="86"/>
        <v>0</v>
      </c>
      <c r="G328" s="59"/>
      <c r="H328" s="59"/>
      <c r="I328" s="6">
        <f>(G328-H328)*'16-PlantAdditions'!$E$103</f>
        <v>0</v>
      </c>
      <c r="J328" s="6">
        <f t="shared" si="87"/>
        <v>0</v>
      </c>
      <c r="K328" s="6">
        <f t="shared" si="88"/>
        <v>0</v>
      </c>
    </row>
    <row r="329" spans="1:12" ht="13">
      <c r="A329" s="2">
        <f t="shared" si="85"/>
        <v>247</v>
      </c>
      <c r="B329" s="329" t="s">
        <v>401</v>
      </c>
      <c r="C329" s="330"/>
      <c r="D329" s="59"/>
      <c r="E329" s="6">
        <f>D329*'16-PlantAdditions'!$E$103</f>
        <v>0</v>
      </c>
      <c r="F329" s="6">
        <f t="shared" si="86"/>
        <v>0</v>
      </c>
      <c r="G329" s="59"/>
      <c r="H329" s="59"/>
      <c r="I329" s="6">
        <f>(G329-H329)*'16-PlantAdditions'!$E$103</f>
        <v>0</v>
      </c>
      <c r="J329" s="6">
        <f t="shared" si="87"/>
        <v>0</v>
      </c>
      <c r="K329" s="6">
        <f t="shared" si="88"/>
        <v>0</v>
      </c>
    </row>
    <row r="330" spans="1:12" ht="13">
      <c r="A330" s="2">
        <f t="shared" si="85"/>
        <v>248</v>
      </c>
      <c r="B330" s="329" t="s">
        <v>402</v>
      </c>
      <c r="C330" s="330"/>
      <c r="D330" s="59"/>
      <c r="E330" s="6">
        <f>D330*'16-PlantAdditions'!$E$103</f>
        <v>0</v>
      </c>
      <c r="F330" s="6">
        <f t="shared" si="86"/>
        <v>0</v>
      </c>
      <c r="G330" s="59"/>
      <c r="H330" s="59"/>
      <c r="I330" s="6">
        <f>(G330-H330)*'16-PlantAdditions'!$E$103</f>
        <v>0</v>
      </c>
      <c r="J330" s="6">
        <f t="shared" si="87"/>
        <v>0</v>
      </c>
      <c r="K330" s="6">
        <f t="shared" si="88"/>
        <v>0</v>
      </c>
    </row>
    <row r="331" spans="1:12" ht="13">
      <c r="A331" s="2">
        <f t="shared" si="85"/>
        <v>249</v>
      </c>
      <c r="B331" s="329" t="s">
        <v>390</v>
      </c>
      <c r="C331" s="330"/>
      <c r="D331" s="59"/>
      <c r="E331" s="6">
        <f>D331*'16-PlantAdditions'!$E$103</f>
        <v>0</v>
      </c>
      <c r="F331" s="6">
        <f t="shared" si="86"/>
        <v>0</v>
      </c>
      <c r="G331" s="59"/>
      <c r="H331" s="59"/>
      <c r="I331" s="6">
        <f>(G331-H331)*'16-PlantAdditions'!$E$103</f>
        <v>0</v>
      </c>
      <c r="J331" s="6">
        <f t="shared" si="87"/>
        <v>0</v>
      </c>
      <c r="K331" s="6">
        <f t="shared" si="88"/>
        <v>0</v>
      </c>
    </row>
    <row r="332" spans="1:12" ht="13">
      <c r="A332" s="2">
        <f t="shared" si="85"/>
        <v>250</v>
      </c>
      <c r="B332" s="329" t="s">
        <v>392</v>
      </c>
      <c r="C332" s="330"/>
      <c r="D332" s="59"/>
      <c r="E332" s="6">
        <f>D332*'16-PlantAdditions'!$E$103</f>
        <v>0</v>
      </c>
      <c r="F332" s="6">
        <f t="shared" si="86"/>
        <v>0</v>
      </c>
      <c r="G332" s="59"/>
      <c r="H332" s="59"/>
      <c r="I332" s="6">
        <f>(G332-H332)*'16-PlantAdditions'!$E$103</f>
        <v>0</v>
      </c>
      <c r="J332" s="6">
        <f t="shared" si="87"/>
        <v>0</v>
      </c>
      <c r="K332" s="6">
        <f t="shared" si="88"/>
        <v>0</v>
      </c>
    </row>
    <row r="333" spans="1:12" ht="13">
      <c r="A333" s="2">
        <f t="shared" si="85"/>
        <v>251</v>
      </c>
      <c r="B333" s="329" t="s">
        <v>393</v>
      </c>
      <c r="C333" s="330"/>
      <c r="D333" s="59"/>
      <c r="E333" s="6">
        <f>D333*'16-PlantAdditions'!$E$103</f>
        <v>0</v>
      </c>
      <c r="F333" s="6">
        <f t="shared" si="86"/>
        <v>0</v>
      </c>
      <c r="G333" s="59"/>
      <c r="H333" s="59"/>
      <c r="I333" s="6">
        <f>(G333-H333)*'16-PlantAdditions'!$E$103</f>
        <v>0</v>
      </c>
      <c r="J333" s="6">
        <f t="shared" si="87"/>
        <v>0</v>
      </c>
      <c r="K333" s="6">
        <f t="shared" si="88"/>
        <v>0</v>
      </c>
    </row>
    <row r="334" spans="1:12" ht="13">
      <c r="A334" s="2">
        <f t="shared" si="85"/>
        <v>252</v>
      </c>
      <c r="B334" s="329" t="s">
        <v>394</v>
      </c>
      <c r="C334" s="330"/>
      <c r="D334" s="59"/>
      <c r="E334" s="6">
        <f>D334*'16-PlantAdditions'!$E$103</f>
        <v>0</v>
      </c>
      <c r="F334" s="6">
        <f t="shared" si="86"/>
        <v>0</v>
      </c>
      <c r="G334" s="59"/>
      <c r="H334" s="59"/>
      <c r="I334" s="6">
        <f>(G334-H334)*'16-PlantAdditions'!$E$103</f>
        <v>0</v>
      </c>
      <c r="J334" s="6">
        <f>J333+F334-G334-I334</f>
        <v>0</v>
      </c>
      <c r="K334" s="6">
        <f t="shared" si="88"/>
        <v>0</v>
      </c>
    </row>
    <row r="335" spans="1:12" ht="13">
      <c r="A335" s="2">
        <f t="shared" si="85"/>
        <v>253</v>
      </c>
      <c r="B335" s="329" t="s">
        <v>395</v>
      </c>
      <c r="C335" s="330"/>
      <c r="D335" s="59"/>
      <c r="E335" s="6">
        <f>D335*'16-PlantAdditions'!$E$103</f>
        <v>0</v>
      </c>
      <c r="F335" s="6">
        <f t="shared" si="86"/>
        <v>0</v>
      </c>
      <c r="G335" s="59"/>
      <c r="H335" s="59"/>
      <c r="I335" s="6">
        <f>(G335-H335)*'16-PlantAdditions'!$E$103</f>
        <v>0</v>
      </c>
      <c r="J335" s="6">
        <f t="shared" si="87"/>
        <v>0</v>
      </c>
      <c r="K335" s="6">
        <f t="shared" si="88"/>
        <v>0</v>
      </c>
    </row>
    <row r="336" spans="1:12" ht="13">
      <c r="A336" s="2">
        <f t="shared" si="85"/>
        <v>254</v>
      </c>
      <c r="B336" s="329" t="s">
        <v>396</v>
      </c>
      <c r="C336" s="330"/>
      <c r="D336" s="59"/>
      <c r="E336" s="6">
        <f>D336*'16-PlantAdditions'!$E$103</f>
        <v>0</v>
      </c>
      <c r="F336" s="6">
        <f t="shared" si="86"/>
        <v>0</v>
      </c>
      <c r="G336" s="59"/>
      <c r="H336" s="59"/>
      <c r="I336" s="6">
        <f>(G336-H336)*'16-PlantAdditions'!$E$103</f>
        <v>0</v>
      </c>
      <c r="J336" s="6">
        <f t="shared" si="87"/>
        <v>0</v>
      </c>
      <c r="K336" s="6">
        <f t="shared" si="88"/>
        <v>0</v>
      </c>
    </row>
    <row r="337" spans="1:11" ht="13">
      <c r="A337" s="2">
        <f t="shared" si="85"/>
        <v>255</v>
      </c>
      <c r="B337" s="329" t="s">
        <v>610</v>
      </c>
      <c r="C337" s="330"/>
      <c r="D337" s="59"/>
      <c r="E337" s="6">
        <f>D337*'16-PlantAdditions'!$E$103</f>
        <v>0</v>
      </c>
      <c r="F337" s="6">
        <f t="shared" si="86"/>
        <v>0</v>
      </c>
      <c r="G337" s="59"/>
      <c r="H337" s="59"/>
      <c r="I337" s="6">
        <f>(G337-H337)*'16-PlantAdditions'!$E$103</f>
        <v>0</v>
      </c>
      <c r="J337" s="6">
        <f t="shared" si="87"/>
        <v>0</v>
      </c>
      <c r="K337" s="6">
        <f t="shared" si="88"/>
        <v>0</v>
      </c>
    </row>
    <row r="338" spans="1:11" ht="13">
      <c r="A338" s="2">
        <f t="shared" si="85"/>
        <v>256</v>
      </c>
      <c r="B338" s="329" t="s">
        <v>398</v>
      </c>
      <c r="C338" s="330"/>
      <c r="D338" s="59"/>
      <c r="E338" s="6">
        <f>D338*'16-PlantAdditions'!$E$103</f>
        <v>0</v>
      </c>
      <c r="F338" s="6">
        <f t="shared" si="86"/>
        <v>0</v>
      </c>
      <c r="G338" s="59"/>
      <c r="H338" s="59"/>
      <c r="I338" s="6">
        <f>(G338-H338)*'16-PlantAdditions'!$E$103</f>
        <v>0</v>
      </c>
      <c r="J338" s="6">
        <f t="shared" si="87"/>
        <v>0</v>
      </c>
      <c r="K338" s="6">
        <f t="shared" si="88"/>
        <v>0</v>
      </c>
    </row>
    <row r="339" spans="1:11" ht="13">
      <c r="A339" s="2">
        <f t="shared" si="85"/>
        <v>257</v>
      </c>
      <c r="B339" s="329" t="s">
        <v>399</v>
      </c>
      <c r="C339" s="330"/>
      <c r="D339" s="59"/>
      <c r="E339" s="6">
        <f>D339*'16-PlantAdditions'!$E$103</f>
        <v>0</v>
      </c>
      <c r="F339" s="6">
        <f t="shared" si="86"/>
        <v>0</v>
      </c>
      <c r="G339" s="59"/>
      <c r="H339" s="59"/>
      <c r="I339" s="6">
        <f>(G339-H339)*'16-PlantAdditions'!$E$103</f>
        <v>0</v>
      </c>
      <c r="J339" s="6">
        <f t="shared" si="87"/>
        <v>0</v>
      </c>
      <c r="K339" s="6">
        <f t="shared" si="88"/>
        <v>0</v>
      </c>
    </row>
    <row r="340" spans="1:11" ht="13">
      <c r="A340" s="2">
        <f t="shared" si="85"/>
        <v>258</v>
      </c>
      <c r="B340" s="329" t="s">
        <v>400</v>
      </c>
      <c r="C340" s="330"/>
      <c r="D340" s="59"/>
      <c r="E340" s="6">
        <f>D340*'16-PlantAdditions'!$E$103</f>
        <v>0</v>
      </c>
      <c r="F340" s="6">
        <f t="shared" si="86"/>
        <v>0</v>
      </c>
      <c r="G340" s="59"/>
      <c r="H340" s="59"/>
      <c r="I340" s="6">
        <f>(G340-H340)*'16-PlantAdditions'!$E$103</f>
        <v>0</v>
      </c>
      <c r="J340" s="6">
        <f t="shared" si="87"/>
        <v>0</v>
      </c>
      <c r="K340" s="6">
        <f t="shared" si="88"/>
        <v>0</v>
      </c>
    </row>
    <row r="341" spans="1:11" ht="13">
      <c r="A341" s="2">
        <f t="shared" si="85"/>
        <v>259</v>
      </c>
      <c r="B341" s="329" t="s">
        <v>401</v>
      </c>
      <c r="C341" s="330"/>
      <c r="D341" s="59"/>
      <c r="E341" s="6">
        <f>D341*'16-PlantAdditions'!$E$103</f>
        <v>0</v>
      </c>
      <c r="F341" s="6">
        <f t="shared" ref="F341:F343" si="89">E341+D341</f>
        <v>0</v>
      </c>
      <c r="G341" s="59"/>
      <c r="H341" s="59"/>
      <c r="I341" s="6">
        <f>(G341-H341)*'16-PlantAdditions'!$E$103</f>
        <v>0</v>
      </c>
      <c r="J341" s="6">
        <f t="shared" ref="J341:J343" si="90">J340+F341-G341-I341</f>
        <v>0</v>
      </c>
      <c r="K341" s="6">
        <f t="shared" si="88"/>
        <v>0</v>
      </c>
    </row>
    <row r="342" spans="1:11" ht="13">
      <c r="A342" s="2">
        <f t="shared" si="85"/>
        <v>260</v>
      </c>
      <c r="B342" s="329" t="s">
        <v>402</v>
      </c>
      <c r="C342" s="330"/>
      <c r="D342" s="59"/>
      <c r="E342" s="6">
        <f>D342*'16-PlantAdditions'!$E$103</f>
        <v>0</v>
      </c>
      <c r="F342" s="6">
        <f t="shared" si="89"/>
        <v>0</v>
      </c>
      <c r="G342" s="59"/>
      <c r="H342" s="59"/>
      <c r="I342" s="6">
        <f>(G342-H342)*'16-PlantAdditions'!$E$103</f>
        <v>0</v>
      </c>
      <c r="J342" s="6">
        <f t="shared" si="90"/>
        <v>0</v>
      </c>
      <c r="K342" s="6">
        <f t="shared" si="88"/>
        <v>0</v>
      </c>
    </row>
    <row r="343" spans="1:11" ht="13">
      <c r="A343" s="2">
        <f t="shared" si="85"/>
        <v>261</v>
      </c>
      <c r="B343" s="329" t="s">
        <v>390</v>
      </c>
      <c r="C343" s="330"/>
      <c r="D343" s="59"/>
      <c r="E343" s="6">
        <f>D343*'16-PlantAdditions'!$E$103</f>
        <v>0</v>
      </c>
      <c r="F343" s="6">
        <f t="shared" si="89"/>
        <v>0</v>
      </c>
      <c r="G343" s="59"/>
      <c r="H343" s="59"/>
      <c r="I343" s="6">
        <f>(G343-H343)*'16-PlantAdditions'!$E$103</f>
        <v>0</v>
      </c>
      <c r="J343" s="6">
        <f t="shared" si="90"/>
        <v>0</v>
      </c>
      <c r="K343" s="53">
        <f t="shared" si="88"/>
        <v>0</v>
      </c>
    </row>
    <row r="344" spans="1:11" ht="13">
      <c r="A344" s="2">
        <f t="shared" si="85"/>
        <v>262</v>
      </c>
      <c r="C344" s="351" t="s">
        <v>1107</v>
      </c>
      <c r="K344" s="42">
        <f>AVERAGE(K331:K343)</f>
        <v>0</v>
      </c>
    </row>
    <row r="345" spans="1:11" ht="13">
      <c r="A345" s="2"/>
      <c r="C345" s="351"/>
      <c r="K345" s="42"/>
    </row>
    <row r="346" spans="1:11" ht="13">
      <c r="B346" s="34" t="s">
        <v>1129</v>
      </c>
      <c r="D346" s="1204" t="s">
        <v>1086</v>
      </c>
      <c r="E346" s="1204"/>
    </row>
    <row r="347" spans="1:11" ht="13">
      <c r="B347" s="34"/>
      <c r="D347" s="3" t="s">
        <v>347</v>
      </c>
      <c r="E347" s="3" t="s">
        <v>348</v>
      </c>
      <c r="F347" s="3" t="s">
        <v>349</v>
      </c>
      <c r="G347" s="3" t="s">
        <v>350</v>
      </c>
      <c r="H347" s="3" t="s">
        <v>351</v>
      </c>
      <c r="I347" s="3" t="s">
        <v>352</v>
      </c>
      <c r="J347" s="3" t="s">
        <v>353</v>
      </c>
      <c r="K347" s="3" t="s">
        <v>354</v>
      </c>
    </row>
    <row r="348" spans="1:11" ht="25.5">
      <c r="B348" s="34"/>
      <c r="D348" s="48"/>
      <c r="E348" s="352" t="s">
        <v>1111</v>
      </c>
      <c r="F348" s="239" t="s">
        <v>1112</v>
      </c>
      <c r="G348" s="239"/>
      <c r="H348" s="48"/>
      <c r="I348" s="352" t="s">
        <v>1113</v>
      </c>
      <c r="J348" s="352" t="s">
        <v>1114</v>
      </c>
      <c r="K348" s="352" t="s">
        <v>1115</v>
      </c>
    </row>
    <row r="349" spans="1:11" ht="13">
      <c r="D349" s="48"/>
      <c r="E349" s="48"/>
      <c r="F349" s="48"/>
      <c r="G349" s="2" t="str">
        <f>G51</f>
        <v>Unloaded</v>
      </c>
      <c r="H349" s="48"/>
      <c r="I349" s="48"/>
    </row>
    <row r="350" spans="1:11" ht="13">
      <c r="A350" s="2"/>
      <c r="B350" s="2"/>
      <c r="C350" s="2"/>
      <c r="D350" s="2" t="str">
        <f>D$52</f>
        <v>Forecast</v>
      </c>
      <c r="E350" s="2" t="str">
        <f t="shared" ref="E350:J350" si="91">E$52</f>
        <v>Corporate</v>
      </c>
      <c r="F350" s="2" t="str">
        <f t="shared" si="91"/>
        <v xml:space="preserve">Total </v>
      </c>
      <c r="G350" s="2" t="str">
        <f>G52</f>
        <v>Total</v>
      </c>
      <c r="H350" s="2" t="str">
        <f t="shared" si="91"/>
        <v>Prior Period</v>
      </c>
      <c r="I350" s="2" t="str">
        <f t="shared" si="91"/>
        <v>Over Heads</v>
      </c>
      <c r="J350" s="2" t="str">
        <f t="shared" si="91"/>
        <v>Forecast</v>
      </c>
      <c r="K350" s="2" t="str">
        <f>K$52</f>
        <v>Forecast Period</v>
      </c>
    </row>
    <row r="351" spans="1:11" ht="13">
      <c r="A351" s="30" t="s">
        <v>284</v>
      </c>
      <c r="B351" s="328" t="s">
        <v>382</v>
      </c>
      <c r="C351" s="328" t="s">
        <v>383</v>
      </c>
      <c r="D351" s="3" t="str">
        <f>D$53</f>
        <v>Expenditures</v>
      </c>
      <c r="E351" s="3" t="str">
        <f t="shared" ref="E351:J351" si="92">E$53</f>
        <v>Overheads</v>
      </c>
      <c r="F351" s="3" t="str">
        <f t="shared" si="92"/>
        <v>CWIP Exp</v>
      </c>
      <c r="G351" s="3" t="str">
        <f>G53</f>
        <v>Plant Adds</v>
      </c>
      <c r="H351" s="3" t="str">
        <f t="shared" si="92"/>
        <v>CWIP Closed</v>
      </c>
      <c r="I351" s="3" t="str">
        <f t="shared" si="92"/>
        <v>Closed to PIS</v>
      </c>
      <c r="J351" s="3" t="str">
        <f t="shared" si="92"/>
        <v>Period CWIP</v>
      </c>
      <c r="K351" s="3" t="str">
        <f>K$53</f>
        <v>Incremental CWIP</v>
      </c>
    </row>
    <row r="352" spans="1:11" ht="13">
      <c r="A352" s="2">
        <f>A344+1</f>
        <v>263</v>
      </c>
      <c r="B352" s="329" t="s">
        <v>390</v>
      </c>
      <c r="C352" s="330"/>
      <c r="D352" s="239" t="s">
        <v>391</v>
      </c>
      <c r="E352" s="239" t="s">
        <v>391</v>
      </c>
      <c r="F352" s="239" t="s">
        <v>391</v>
      </c>
      <c r="G352" s="239" t="s">
        <v>391</v>
      </c>
      <c r="H352" s="239" t="s">
        <v>391</v>
      </c>
      <c r="I352" s="239" t="s">
        <v>391</v>
      </c>
      <c r="J352" s="6">
        <f>G45</f>
        <v>0</v>
      </c>
      <c r="K352" s="239" t="s">
        <v>391</v>
      </c>
    </row>
    <row r="353" spans="1:11" ht="13">
      <c r="A353" s="2">
        <f>A352+1</f>
        <v>264</v>
      </c>
      <c r="B353" s="329" t="s">
        <v>392</v>
      </c>
      <c r="C353" s="330"/>
      <c r="D353" s="59"/>
      <c r="E353" s="6">
        <f>D353*'16-PlantAdditions'!$E$103</f>
        <v>0</v>
      </c>
      <c r="F353" s="6">
        <f>E353+D353</f>
        <v>0</v>
      </c>
      <c r="G353" s="59"/>
      <c r="H353" s="59"/>
      <c r="I353" s="6">
        <f>(G353-H353)*'16-PlantAdditions'!$E$103</f>
        <v>0</v>
      </c>
      <c r="J353" s="6">
        <f>J352+F353-G353-I353</f>
        <v>0</v>
      </c>
      <c r="K353" s="6">
        <f>J353-$J$352</f>
        <v>0</v>
      </c>
    </row>
    <row r="354" spans="1:11" ht="13">
      <c r="A354" s="2">
        <f t="shared" ref="A354:A377" si="93">A353+1</f>
        <v>265</v>
      </c>
      <c r="B354" s="329" t="s">
        <v>393</v>
      </c>
      <c r="C354" s="330"/>
      <c r="D354" s="59"/>
      <c r="E354" s="6">
        <f>D354*'16-PlantAdditions'!$E$103</f>
        <v>0</v>
      </c>
      <c r="F354" s="6">
        <f t="shared" ref="F354:F373" si="94">E354+D354</f>
        <v>0</v>
      </c>
      <c r="G354" s="59"/>
      <c r="H354" s="59"/>
      <c r="I354" s="6">
        <f>(G354-H354)*'16-PlantAdditions'!$E$103</f>
        <v>0</v>
      </c>
      <c r="J354" s="6">
        <f t="shared" ref="J354:J373" si="95">J353+F354-G354-I354</f>
        <v>0</v>
      </c>
      <c r="K354" s="6">
        <f t="shared" ref="K354:K376" si="96">J354-$J$352</f>
        <v>0</v>
      </c>
    </row>
    <row r="355" spans="1:11" ht="13">
      <c r="A355" s="2">
        <f t="shared" si="93"/>
        <v>266</v>
      </c>
      <c r="B355" s="329" t="s">
        <v>394</v>
      </c>
      <c r="C355" s="330"/>
      <c r="D355" s="59"/>
      <c r="E355" s="6">
        <f>D355*'16-PlantAdditions'!$E$103</f>
        <v>0</v>
      </c>
      <c r="F355" s="6">
        <f t="shared" si="94"/>
        <v>0</v>
      </c>
      <c r="G355" s="59"/>
      <c r="H355" s="59"/>
      <c r="I355" s="6">
        <f>(G355-H355)*'16-PlantAdditions'!$E$103</f>
        <v>0</v>
      </c>
      <c r="J355" s="6">
        <f t="shared" si="95"/>
        <v>0</v>
      </c>
      <c r="K355" s="6">
        <f t="shared" si="96"/>
        <v>0</v>
      </c>
    </row>
    <row r="356" spans="1:11" ht="13">
      <c r="A356" s="2">
        <f t="shared" si="93"/>
        <v>267</v>
      </c>
      <c r="B356" s="329" t="s">
        <v>395</v>
      </c>
      <c r="C356" s="330"/>
      <c r="D356" s="59"/>
      <c r="E356" s="6">
        <f>D356*'16-PlantAdditions'!$E$103</f>
        <v>0</v>
      </c>
      <c r="F356" s="6">
        <f t="shared" si="94"/>
        <v>0</v>
      </c>
      <c r="G356" s="59"/>
      <c r="H356" s="59"/>
      <c r="I356" s="6">
        <f>(G356-H356)*'16-PlantAdditions'!$E$103</f>
        <v>0</v>
      </c>
      <c r="J356" s="6">
        <f t="shared" si="95"/>
        <v>0</v>
      </c>
      <c r="K356" s="6">
        <f t="shared" si="96"/>
        <v>0</v>
      </c>
    </row>
    <row r="357" spans="1:11" ht="13">
      <c r="A357" s="2">
        <f t="shared" si="93"/>
        <v>268</v>
      </c>
      <c r="B357" s="329" t="s">
        <v>396</v>
      </c>
      <c r="C357" s="330"/>
      <c r="D357" s="59"/>
      <c r="E357" s="6">
        <f>D357*'16-PlantAdditions'!$E$103</f>
        <v>0</v>
      </c>
      <c r="F357" s="6">
        <f t="shared" si="94"/>
        <v>0</v>
      </c>
      <c r="G357" s="59"/>
      <c r="H357" s="59"/>
      <c r="I357" s="6">
        <f>(G357-H357)*'16-PlantAdditions'!$E$103</f>
        <v>0</v>
      </c>
      <c r="J357" s="6">
        <f t="shared" si="95"/>
        <v>0</v>
      </c>
      <c r="K357" s="6">
        <f t="shared" si="96"/>
        <v>0</v>
      </c>
    </row>
    <row r="358" spans="1:11" ht="13">
      <c r="A358" s="2">
        <f t="shared" si="93"/>
        <v>269</v>
      </c>
      <c r="B358" s="329" t="s">
        <v>610</v>
      </c>
      <c r="C358" s="330"/>
      <c r="D358" s="59"/>
      <c r="E358" s="6">
        <f>D358*'16-PlantAdditions'!$E$103</f>
        <v>0</v>
      </c>
      <c r="F358" s="6">
        <f t="shared" si="94"/>
        <v>0</v>
      </c>
      <c r="G358" s="59"/>
      <c r="H358" s="59"/>
      <c r="I358" s="6">
        <f>(G358-H358)*'16-PlantAdditions'!$E$103</f>
        <v>0</v>
      </c>
      <c r="J358" s="6">
        <f t="shared" si="95"/>
        <v>0</v>
      </c>
      <c r="K358" s="6">
        <f t="shared" si="96"/>
        <v>0</v>
      </c>
    </row>
    <row r="359" spans="1:11" ht="13">
      <c r="A359" s="2">
        <f t="shared" si="93"/>
        <v>270</v>
      </c>
      <c r="B359" s="329" t="s">
        <v>398</v>
      </c>
      <c r="C359" s="330"/>
      <c r="D359" s="59"/>
      <c r="E359" s="6">
        <f>D359*'16-PlantAdditions'!$E$103</f>
        <v>0</v>
      </c>
      <c r="F359" s="6">
        <f t="shared" si="94"/>
        <v>0</v>
      </c>
      <c r="G359" s="59"/>
      <c r="H359" s="59"/>
      <c r="I359" s="6">
        <f>(G359-H359)*'16-PlantAdditions'!$E$103</f>
        <v>0</v>
      </c>
      <c r="J359" s="6">
        <f t="shared" si="95"/>
        <v>0</v>
      </c>
      <c r="K359" s="6">
        <f t="shared" si="96"/>
        <v>0</v>
      </c>
    </row>
    <row r="360" spans="1:11" ht="13">
      <c r="A360" s="2">
        <f t="shared" si="93"/>
        <v>271</v>
      </c>
      <c r="B360" s="329" t="s">
        <v>399</v>
      </c>
      <c r="C360" s="330"/>
      <c r="D360" s="59"/>
      <c r="E360" s="6">
        <f>D360*'16-PlantAdditions'!$E$103</f>
        <v>0</v>
      </c>
      <c r="F360" s="6">
        <f t="shared" si="94"/>
        <v>0</v>
      </c>
      <c r="G360" s="59"/>
      <c r="H360" s="59"/>
      <c r="I360" s="6">
        <f>(G360-H360)*'16-PlantAdditions'!$E$103</f>
        <v>0</v>
      </c>
      <c r="J360" s="6">
        <f t="shared" si="95"/>
        <v>0</v>
      </c>
      <c r="K360" s="6">
        <f t="shared" si="96"/>
        <v>0</v>
      </c>
    </row>
    <row r="361" spans="1:11" ht="13">
      <c r="A361" s="2">
        <f t="shared" si="93"/>
        <v>272</v>
      </c>
      <c r="B361" s="329" t="s">
        <v>400</v>
      </c>
      <c r="C361" s="330"/>
      <c r="D361" s="59"/>
      <c r="E361" s="6">
        <f>D361*'16-PlantAdditions'!$E$103</f>
        <v>0</v>
      </c>
      <c r="F361" s="6">
        <f t="shared" si="94"/>
        <v>0</v>
      </c>
      <c r="G361" s="59"/>
      <c r="H361" s="59"/>
      <c r="I361" s="6">
        <f>(G361-H361)*'16-PlantAdditions'!$E$103</f>
        <v>0</v>
      </c>
      <c r="J361" s="6">
        <f t="shared" si="95"/>
        <v>0</v>
      </c>
      <c r="K361" s="6">
        <f t="shared" si="96"/>
        <v>0</v>
      </c>
    </row>
    <row r="362" spans="1:11" ht="13">
      <c r="A362" s="2">
        <f t="shared" si="93"/>
        <v>273</v>
      </c>
      <c r="B362" s="329" t="s">
        <v>401</v>
      </c>
      <c r="C362" s="330"/>
      <c r="D362" s="59"/>
      <c r="E362" s="6">
        <f>D362*'16-PlantAdditions'!$E$103</f>
        <v>0</v>
      </c>
      <c r="F362" s="6">
        <f t="shared" si="94"/>
        <v>0</v>
      </c>
      <c r="G362" s="59"/>
      <c r="H362" s="59"/>
      <c r="I362" s="6">
        <f>(G362-H362)*'16-PlantAdditions'!$E$103</f>
        <v>0</v>
      </c>
      <c r="J362" s="6">
        <f t="shared" si="95"/>
        <v>0</v>
      </c>
      <c r="K362" s="6">
        <f t="shared" si="96"/>
        <v>0</v>
      </c>
    </row>
    <row r="363" spans="1:11" ht="13">
      <c r="A363" s="2">
        <f t="shared" si="93"/>
        <v>274</v>
      </c>
      <c r="B363" s="329" t="s">
        <v>402</v>
      </c>
      <c r="C363" s="330"/>
      <c r="D363" s="59"/>
      <c r="E363" s="6">
        <f>D363*'16-PlantAdditions'!$E$103</f>
        <v>0</v>
      </c>
      <c r="F363" s="6">
        <f t="shared" si="94"/>
        <v>0</v>
      </c>
      <c r="G363" s="59"/>
      <c r="H363" s="59"/>
      <c r="I363" s="6">
        <f>(G363-H363)*'16-PlantAdditions'!$E$103</f>
        <v>0</v>
      </c>
      <c r="J363" s="6">
        <f t="shared" si="95"/>
        <v>0</v>
      </c>
      <c r="K363" s="6">
        <f t="shared" si="96"/>
        <v>0</v>
      </c>
    </row>
    <row r="364" spans="1:11" ht="13">
      <c r="A364" s="2">
        <f t="shared" si="93"/>
        <v>275</v>
      </c>
      <c r="B364" s="329" t="s">
        <v>390</v>
      </c>
      <c r="C364" s="330"/>
      <c r="D364" s="59"/>
      <c r="E364" s="6">
        <f>D364*'16-PlantAdditions'!$E$103</f>
        <v>0</v>
      </c>
      <c r="F364" s="6">
        <f t="shared" si="94"/>
        <v>0</v>
      </c>
      <c r="G364" s="59"/>
      <c r="H364" s="59"/>
      <c r="I364" s="6">
        <f>(G364-H364)*'16-PlantAdditions'!$E$103</f>
        <v>0</v>
      </c>
      <c r="J364" s="6">
        <f t="shared" si="95"/>
        <v>0</v>
      </c>
      <c r="K364" s="6">
        <f t="shared" si="96"/>
        <v>0</v>
      </c>
    </row>
    <row r="365" spans="1:11" ht="13">
      <c r="A365" s="2">
        <f t="shared" si="93"/>
        <v>276</v>
      </c>
      <c r="B365" s="329" t="s">
        <v>392</v>
      </c>
      <c r="C365" s="330"/>
      <c r="D365" s="59"/>
      <c r="E365" s="6">
        <f>D365*'16-PlantAdditions'!$E$103</f>
        <v>0</v>
      </c>
      <c r="F365" s="6">
        <f t="shared" si="94"/>
        <v>0</v>
      </c>
      <c r="G365" s="59"/>
      <c r="H365" s="59"/>
      <c r="I365" s="6">
        <f>(G365-H365)*'16-PlantAdditions'!$E$103</f>
        <v>0</v>
      </c>
      <c r="J365" s="6">
        <f t="shared" si="95"/>
        <v>0</v>
      </c>
      <c r="K365" s="6">
        <f t="shared" si="96"/>
        <v>0</v>
      </c>
    </row>
    <row r="366" spans="1:11" ht="13">
      <c r="A366" s="2">
        <f t="shared" si="93"/>
        <v>277</v>
      </c>
      <c r="B366" s="329" t="s">
        <v>393</v>
      </c>
      <c r="C366" s="330"/>
      <c r="D366" s="59"/>
      <c r="E366" s="6">
        <f>D366*'16-PlantAdditions'!$E$103</f>
        <v>0</v>
      </c>
      <c r="F366" s="6">
        <f t="shared" si="94"/>
        <v>0</v>
      </c>
      <c r="G366" s="59"/>
      <c r="H366" s="59"/>
      <c r="I366" s="6">
        <f>(G366-H366)*'16-PlantAdditions'!$E$103</f>
        <v>0</v>
      </c>
      <c r="J366" s="6">
        <f t="shared" si="95"/>
        <v>0</v>
      </c>
      <c r="K366" s="6">
        <f t="shared" si="96"/>
        <v>0</v>
      </c>
    </row>
    <row r="367" spans="1:11" ht="13">
      <c r="A367" s="2">
        <f t="shared" si="93"/>
        <v>278</v>
      </c>
      <c r="B367" s="329" t="s">
        <v>394</v>
      </c>
      <c r="C367" s="330"/>
      <c r="D367" s="59"/>
      <c r="E367" s="6">
        <f>D367*'16-PlantAdditions'!$E$103</f>
        <v>0</v>
      </c>
      <c r="F367" s="6">
        <f t="shared" si="94"/>
        <v>0</v>
      </c>
      <c r="G367" s="59"/>
      <c r="H367" s="59"/>
      <c r="I367" s="6">
        <f>(G367-H367)*'16-PlantAdditions'!$E$103</f>
        <v>0</v>
      </c>
      <c r="J367" s="6">
        <f t="shared" si="95"/>
        <v>0</v>
      </c>
      <c r="K367" s="6">
        <f t="shared" si="96"/>
        <v>0</v>
      </c>
    </row>
    <row r="368" spans="1:11" ht="13">
      <c r="A368" s="2">
        <f t="shared" si="93"/>
        <v>279</v>
      </c>
      <c r="B368" s="329" t="s">
        <v>395</v>
      </c>
      <c r="C368" s="330"/>
      <c r="D368" s="59"/>
      <c r="E368" s="6">
        <f>D368*'16-PlantAdditions'!$E$103</f>
        <v>0</v>
      </c>
      <c r="F368" s="6">
        <f t="shared" si="94"/>
        <v>0</v>
      </c>
      <c r="G368" s="59"/>
      <c r="H368" s="59"/>
      <c r="I368" s="6">
        <f>(G368-H368)*'16-PlantAdditions'!$E$103</f>
        <v>0</v>
      </c>
      <c r="J368" s="6">
        <f t="shared" si="95"/>
        <v>0</v>
      </c>
      <c r="K368" s="6">
        <f t="shared" si="96"/>
        <v>0</v>
      </c>
    </row>
    <row r="369" spans="1:11" ht="13">
      <c r="A369" s="2">
        <f t="shared" si="93"/>
        <v>280</v>
      </c>
      <c r="B369" s="329" t="s">
        <v>396</v>
      </c>
      <c r="C369" s="330"/>
      <c r="D369" s="59"/>
      <c r="E369" s="6">
        <f>D369*'16-PlantAdditions'!$E$103</f>
        <v>0</v>
      </c>
      <c r="F369" s="6">
        <f t="shared" si="94"/>
        <v>0</v>
      </c>
      <c r="G369" s="59"/>
      <c r="H369" s="59"/>
      <c r="I369" s="6">
        <f>(G369-H369)*'16-PlantAdditions'!$E$103</f>
        <v>0</v>
      </c>
      <c r="J369" s="6">
        <f t="shared" si="95"/>
        <v>0</v>
      </c>
      <c r="K369" s="6">
        <f t="shared" si="96"/>
        <v>0</v>
      </c>
    </row>
    <row r="370" spans="1:11" ht="13">
      <c r="A370" s="2">
        <f t="shared" si="93"/>
        <v>281</v>
      </c>
      <c r="B370" s="329" t="s">
        <v>610</v>
      </c>
      <c r="C370" s="330"/>
      <c r="D370" s="59"/>
      <c r="E370" s="6">
        <f>D370*'16-PlantAdditions'!$E$103</f>
        <v>0</v>
      </c>
      <c r="F370" s="6">
        <f t="shared" si="94"/>
        <v>0</v>
      </c>
      <c r="G370" s="59"/>
      <c r="H370" s="59"/>
      <c r="I370" s="6">
        <f>(G370-H370)*'16-PlantAdditions'!$E$103</f>
        <v>0</v>
      </c>
      <c r="J370" s="6">
        <f t="shared" si="95"/>
        <v>0</v>
      </c>
      <c r="K370" s="6">
        <f t="shared" si="96"/>
        <v>0</v>
      </c>
    </row>
    <row r="371" spans="1:11" ht="13">
      <c r="A371" s="2">
        <f t="shared" si="93"/>
        <v>282</v>
      </c>
      <c r="B371" s="329" t="s">
        <v>398</v>
      </c>
      <c r="C371" s="330"/>
      <c r="D371" s="59"/>
      <c r="E371" s="6">
        <f>D371*'16-PlantAdditions'!$E$103</f>
        <v>0</v>
      </c>
      <c r="F371" s="6">
        <f t="shared" si="94"/>
        <v>0</v>
      </c>
      <c r="G371" s="59"/>
      <c r="H371" s="59"/>
      <c r="I371" s="6">
        <f>(G371-H371)*'16-PlantAdditions'!$E$103</f>
        <v>0</v>
      </c>
      <c r="J371" s="6">
        <f t="shared" si="95"/>
        <v>0</v>
      </c>
      <c r="K371" s="6">
        <f t="shared" si="96"/>
        <v>0</v>
      </c>
    </row>
    <row r="372" spans="1:11" ht="13">
      <c r="A372" s="2">
        <f t="shared" si="93"/>
        <v>283</v>
      </c>
      <c r="B372" s="329" t="s">
        <v>399</v>
      </c>
      <c r="C372" s="330"/>
      <c r="D372" s="59"/>
      <c r="E372" s="6">
        <f>D372*'16-PlantAdditions'!$E$103</f>
        <v>0</v>
      </c>
      <c r="F372" s="6">
        <f t="shared" si="94"/>
        <v>0</v>
      </c>
      <c r="G372" s="59"/>
      <c r="H372" s="59"/>
      <c r="I372" s="6">
        <f>(G372-H372)*'16-PlantAdditions'!$E$103</f>
        <v>0</v>
      </c>
      <c r="J372" s="6">
        <f t="shared" si="95"/>
        <v>0</v>
      </c>
      <c r="K372" s="6">
        <f t="shared" si="96"/>
        <v>0</v>
      </c>
    </row>
    <row r="373" spans="1:11" ht="13">
      <c r="A373" s="2">
        <f t="shared" si="93"/>
        <v>284</v>
      </c>
      <c r="B373" s="329" t="s">
        <v>400</v>
      </c>
      <c r="C373" s="330"/>
      <c r="D373" s="59"/>
      <c r="E373" s="6">
        <f>D373*'16-PlantAdditions'!$E$103</f>
        <v>0</v>
      </c>
      <c r="F373" s="6">
        <f t="shared" si="94"/>
        <v>0</v>
      </c>
      <c r="G373" s="59"/>
      <c r="H373" s="59"/>
      <c r="I373" s="6">
        <f>(G373-H373)*'16-PlantAdditions'!$E$103</f>
        <v>0</v>
      </c>
      <c r="J373" s="6">
        <f t="shared" si="95"/>
        <v>0</v>
      </c>
      <c r="K373" s="6">
        <f t="shared" si="96"/>
        <v>0</v>
      </c>
    </row>
    <row r="374" spans="1:11" ht="13">
      <c r="A374" s="2">
        <f t="shared" si="93"/>
        <v>285</v>
      </c>
      <c r="B374" s="329" t="s">
        <v>401</v>
      </c>
      <c r="C374" s="330"/>
      <c r="D374" s="59"/>
      <c r="E374" s="6">
        <f>D374*'16-PlantAdditions'!$E$103</f>
        <v>0</v>
      </c>
      <c r="F374" s="6">
        <f t="shared" ref="F374:F376" si="97">E374+D374</f>
        <v>0</v>
      </c>
      <c r="G374" s="59"/>
      <c r="H374" s="59"/>
      <c r="I374" s="6">
        <f>(G374-H374)*'16-PlantAdditions'!$E$103</f>
        <v>0</v>
      </c>
      <c r="J374" s="6">
        <f t="shared" ref="J374:J376" si="98">J373+F374-G374-I374</f>
        <v>0</v>
      </c>
      <c r="K374" s="6">
        <f t="shared" si="96"/>
        <v>0</v>
      </c>
    </row>
    <row r="375" spans="1:11" ht="13">
      <c r="A375" s="2">
        <f t="shared" si="93"/>
        <v>286</v>
      </c>
      <c r="B375" s="329" t="s">
        <v>402</v>
      </c>
      <c r="C375" s="330"/>
      <c r="D375" s="59"/>
      <c r="E375" s="6">
        <f>D375*'16-PlantAdditions'!$E$103</f>
        <v>0</v>
      </c>
      <c r="F375" s="6">
        <f t="shared" si="97"/>
        <v>0</v>
      </c>
      <c r="G375" s="59"/>
      <c r="H375" s="59"/>
      <c r="I375" s="6">
        <f>(G375-H375)*'16-PlantAdditions'!$E$103</f>
        <v>0</v>
      </c>
      <c r="J375" s="6">
        <f t="shared" si="98"/>
        <v>0</v>
      </c>
      <c r="K375" s="6">
        <f t="shared" si="96"/>
        <v>0</v>
      </c>
    </row>
    <row r="376" spans="1:11" ht="13">
      <c r="A376" s="2">
        <f t="shared" si="93"/>
        <v>287</v>
      </c>
      <c r="B376" s="329" t="s">
        <v>390</v>
      </c>
      <c r="C376" s="330"/>
      <c r="D376" s="59"/>
      <c r="E376" s="6">
        <f>D376*'16-PlantAdditions'!$E$103</f>
        <v>0</v>
      </c>
      <c r="F376" s="6">
        <f t="shared" si="97"/>
        <v>0</v>
      </c>
      <c r="G376" s="59"/>
      <c r="H376" s="59"/>
      <c r="I376" s="6">
        <f>(G376-H376)*'16-PlantAdditions'!$E$103</f>
        <v>0</v>
      </c>
      <c r="J376" s="6">
        <f t="shared" si="98"/>
        <v>0</v>
      </c>
      <c r="K376" s="53">
        <f t="shared" si="96"/>
        <v>0</v>
      </c>
    </row>
    <row r="377" spans="1:11" ht="13">
      <c r="A377" s="2">
        <f t="shared" si="93"/>
        <v>288</v>
      </c>
      <c r="C377" s="351" t="s">
        <v>1107</v>
      </c>
      <c r="K377" s="42">
        <f>AVERAGE(K364:K376)</f>
        <v>0</v>
      </c>
    </row>
    <row r="378" spans="1:11" ht="13">
      <c r="A378" s="2"/>
      <c r="C378" s="351"/>
      <c r="K378" s="42"/>
    </row>
    <row r="379" spans="1:11" ht="13">
      <c r="B379" s="34" t="s">
        <v>1130</v>
      </c>
      <c r="D379" s="1204" t="s">
        <v>1131</v>
      </c>
      <c r="E379" s="1204"/>
      <c r="F379" s="1205"/>
      <c r="G379" s="1205"/>
    </row>
    <row r="380" spans="1:11" ht="13">
      <c r="A380" s="3"/>
      <c r="B380" s="3"/>
      <c r="C380" s="3"/>
      <c r="D380" s="3" t="s">
        <v>347</v>
      </c>
      <c r="E380" s="3" t="s">
        <v>348</v>
      </c>
      <c r="F380" s="3" t="s">
        <v>349</v>
      </c>
      <c r="G380" s="3" t="s">
        <v>350</v>
      </c>
      <c r="H380" s="3" t="s">
        <v>351</v>
      </c>
      <c r="I380" s="3" t="s">
        <v>352</v>
      </c>
      <c r="J380" s="3" t="s">
        <v>353</v>
      </c>
      <c r="K380" s="3" t="s">
        <v>354</v>
      </c>
    </row>
    <row r="381" spans="1:11" ht="25.5">
      <c r="D381" s="48"/>
      <c r="E381" s="352" t="s">
        <v>1111</v>
      </c>
      <c r="F381" s="239" t="s">
        <v>1112</v>
      </c>
      <c r="G381" s="239"/>
      <c r="H381" s="48"/>
      <c r="I381" s="352" t="s">
        <v>1113</v>
      </c>
      <c r="J381" s="352" t="s">
        <v>1114</v>
      </c>
      <c r="K381" s="352" t="s">
        <v>1115</v>
      </c>
    </row>
    <row r="382" spans="1:11" ht="13">
      <c r="D382" s="48"/>
      <c r="E382" s="352"/>
      <c r="F382" s="239"/>
      <c r="G382" s="4" t="str">
        <f>G51</f>
        <v>Unloaded</v>
      </c>
      <c r="H382" s="48"/>
      <c r="I382" s="352"/>
      <c r="J382" s="352"/>
      <c r="K382" s="352"/>
    </row>
    <row r="383" spans="1:11" ht="13">
      <c r="A383" s="2"/>
      <c r="B383" s="2"/>
      <c r="C383" s="2"/>
      <c r="D383" s="2" t="str">
        <f>D$52</f>
        <v>Forecast</v>
      </c>
      <c r="E383" s="2" t="str">
        <f t="shared" ref="E383:J383" si="99">E$52</f>
        <v>Corporate</v>
      </c>
      <c r="F383" s="2" t="str">
        <f t="shared" si="99"/>
        <v xml:space="preserve">Total </v>
      </c>
      <c r="G383" s="4" t="str">
        <f>G52</f>
        <v>Total</v>
      </c>
      <c r="H383" s="2" t="str">
        <f t="shared" si="99"/>
        <v>Prior Period</v>
      </c>
      <c r="I383" s="2" t="str">
        <f t="shared" si="99"/>
        <v>Over Heads</v>
      </c>
      <c r="J383" s="2" t="str">
        <f t="shared" si="99"/>
        <v>Forecast</v>
      </c>
      <c r="K383" s="2" t="str">
        <f>K$52</f>
        <v>Forecast Period</v>
      </c>
    </row>
    <row r="384" spans="1:11" ht="13">
      <c r="A384" s="30" t="s">
        <v>284</v>
      </c>
      <c r="B384" s="328" t="s">
        <v>382</v>
      </c>
      <c r="C384" s="328" t="s">
        <v>383</v>
      </c>
      <c r="D384" s="3" t="str">
        <f>D$53</f>
        <v>Expenditures</v>
      </c>
      <c r="E384" s="3" t="str">
        <f t="shared" ref="E384:J384" si="100">E$53</f>
        <v>Overheads</v>
      </c>
      <c r="F384" s="3" t="str">
        <f t="shared" si="100"/>
        <v>CWIP Exp</v>
      </c>
      <c r="G384" s="48" t="str">
        <f>G53</f>
        <v>Plant Adds</v>
      </c>
      <c r="H384" s="3" t="str">
        <f t="shared" si="100"/>
        <v>CWIP Closed</v>
      </c>
      <c r="I384" s="3" t="str">
        <f t="shared" si="100"/>
        <v>Closed to PIS</v>
      </c>
      <c r="J384" s="3" t="str">
        <f t="shared" si="100"/>
        <v>Period CWIP</v>
      </c>
      <c r="K384" s="3" t="str">
        <f>K$53</f>
        <v>Incremental CWIP</v>
      </c>
    </row>
    <row r="385" spans="1:11" ht="13">
      <c r="A385" s="2">
        <f>A377+1</f>
        <v>289</v>
      </c>
      <c r="B385" s="329" t="s">
        <v>390</v>
      </c>
      <c r="C385" s="330"/>
      <c r="D385" s="239" t="s">
        <v>391</v>
      </c>
      <c r="E385" s="239" t="s">
        <v>391</v>
      </c>
      <c r="F385" s="239" t="s">
        <v>391</v>
      </c>
      <c r="G385" s="239" t="s">
        <v>391</v>
      </c>
      <c r="H385" s="239" t="s">
        <v>391</v>
      </c>
      <c r="I385" s="239" t="s">
        <v>391</v>
      </c>
      <c r="J385" s="6">
        <f>H45</f>
        <v>0</v>
      </c>
      <c r="K385" s="239" t="s">
        <v>391</v>
      </c>
    </row>
    <row r="386" spans="1:11" ht="13">
      <c r="A386" s="2">
        <f>A385+1</f>
        <v>290</v>
      </c>
      <c r="B386" s="329" t="s">
        <v>392</v>
      </c>
      <c r="C386" s="330"/>
      <c r="D386" s="59"/>
      <c r="E386" s="6">
        <f>D386*'16-PlantAdditions'!$E$103</f>
        <v>0</v>
      </c>
      <c r="F386" s="6">
        <f>E386+D386</f>
        <v>0</v>
      </c>
      <c r="G386" s="59"/>
      <c r="H386" s="59"/>
      <c r="I386" s="6">
        <f>(G386-H386)*'16-PlantAdditions'!$E$103</f>
        <v>0</v>
      </c>
      <c r="J386" s="6">
        <f>J385+F386-G386-I386</f>
        <v>0</v>
      </c>
      <c r="K386" s="6">
        <f>J386-$J$385</f>
        <v>0</v>
      </c>
    </row>
    <row r="387" spans="1:11" ht="13">
      <c r="A387" s="2">
        <f t="shared" ref="A387:A410" si="101">A386+1</f>
        <v>291</v>
      </c>
      <c r="B387" s="329" t="s">
        <v>393</v>
      </c>
      <c r="C387" s="330"/>
      <c r="D387" s="59"/>
      <c r="E387" s="6">
        <f>D387*'16-PlantAdditions'!$E$103</f>
        <v>0</v>
      </c>
      <c r="F387" s="6">
        <f>E387+D387</f>
        <v>0</v>
      </c>
      <c r="G387" s="59"/>
      <c r="H387" s="59"/>
      <c r="I387" s="6">
        <f>(G387-H387)*'16-PlantAdditions'!$E$103</f>
        <v>0</v>
      </c>
      <c r="J387" s="6">
        <f>J386+F387-G387-I387</f>
        <v>0</v>
      </c>
      <c r="K387" s="6">
        <f t="shared" ref="K387:K409" si="102">J387-$J$385</f>
        <v>0</v>
      </c>
    </row>
    <row r="388" spans="1:11" ht="13">
      <c r="A388" s="2">
        <f t="shared" si="101"/>
        <v>292</v>
      </c>
      <c r="B388" s="329" t="s">
        <v>394</v>
      </c>
      <c r="C388" s="330"/>
      <c r="D388" s="59"/>
      <c r="E388" s="6">
        <f>D388*'16-PlantAdditions'!$E$103</f>
        <v>0</v>
      </c>
      <c r="F388" s="6">
        <f t="shared" ref="F388:F406" si="103">E388+D388</f>
        <v>0</v>
      </c>
      <c r="G388" s="59"/>
      <c r="H388" s="59"/>
      <c r="I388" s="6">
        <f>(G388-H388)*'16-PlantAdditions'!$E$103</f>
        <v>0</v>
      </c>
      <c r="J388" s="6">
        <f t="shared" ref="J388:J406" si="104">J387+F388-G388-I388</f>
        <v>0</v>
      </c>
      <c r="K388" s="6">
        <f t="shared" si="102"/>
        <v>0</v>
      </c>
    </row>
    <row r="389" spans="1:11" ht="13">
      <c r="A389" s="2">
        <f t="shared" si="101"/>
        <v>293</v>
      </c>
      <c r="B389" s="329" t="s">
        <v>395</v>
      </c>
      <c r="C389" s="330"/>
      <c r="D389" s="59"/>
      <c r="E389" s="6">
        <f>D389*'16-PlantAdditions'!$E$103</f>
        <v>0</v>
      </c>
      <c r="F389" s="6">
        <f t="shared" si="103"/>
        <v>0</v>
      </c>
      <c r="G389" s="59"/>
      <c r="H389" s="59"/>
      <c r="I389" s="6">
        <f>(G389-H389)*'16-PlantAdditions'!$E$103</f>
        <v>0</v>
      </c>
      <c r="J389" s="6">
        <f t="shared" si="104"/>
        <v>0</v>
      </c>
      <c r="K389" s="6">
        <f t="shared" si="102"/>
        <v>0</v>
      </c>
    </row>
    <row r="390" spans="1:11" ht="13">
      <c r="A390" s="2">
        <f t="shared" si="101"/>
        <v>294</v>
      </c>
      <c r="B390" s="329" t="s">
        <v>396</v>
      </c>
      <c r="C390" s="330"/>
      <c r="D390" s="59"/>
      <c r="E390" s="6">
        <f>D390*'16-PlantAdditions'!$E$103</f>
        <v>0</v>
      </c>
      <c r="F390" s="6">
        <f t="shared" si="103"/>
        <v>0</v>
      </c>
      <c r="G390" s="59"/>
      <c r="H390" s="59"/>
      <c r="I390" s="6">
        <f>(G390-H390)*'16-PlantAdditions'!$E$103</f>
        <v>0</v>
      </c>
      <c r="J390" s="6">
        <f t="shared" si="104"/>
        <v>0</v>
      </c>
      <c r="K390" s="6">
        <f t="shared" si="102"/>
        <v>0</v>
      </c>
    </row>
    <row r="391" spans="1:11" ht="13">
      <c r="A391" s="2">
        <f t="shared" si="101"/>
        <v>295</v>
      </c>
      <c r="B391" s="329" t="s">
        <v>610</v>
      </c>
      <c r="C391" s="330"/>
      <c r="D391" s="59"/>
      <c r="E391" s="6">
        <f>D391*'16-PlantAdditions'!$E$103</f>
        <v>0</v>
      </c>
      <c r="F391" s="6">
        <f t="shared" si="103"/>
        <v>0</v>
      </c>
      <c r="G391" s="59"/>
      <c r="H391" s="59"/>
      <c r="I391" s="6">
        <f>(G391-H391)*'16-PlantAdditions'!$E$103</f>
        <v>0</v>
      </c>
      <c r="J391" s="6">
        <f t="shared" si="104"/>
        <v>0</v>
      </c>
      <c r="K391" s="6">
        <f t="shared" si="102"/>
        <v>0</v>
      </c>
    </row>
    <row r="392" spans="1:11" ht="13">
      <c r="A392" s="2">
        <f t="shared" si="101"/>
        <v>296</v>
      </c>
      <c r="B392" s="329" t="s">
        <v>398</v>
      </c>
      <c r="C392" s="330"/>
      <c r="D392" s="59"/>
      <c r="E392" s="6">
        <f>D392*'16-PlantAdditions'!$E$103</f>
        <v>0</v>
      </c>
      <c r="F392" s="6">
        <f t="shared" si="103"/>
        <v>0</v>
      </c>
      <c r="G392" s="59"/>
      <c r="H392" s="59"/>
      <c r="I392" s="6">
        <f>(G392-H392)*'16-PlantAdditions'!$E$103</f>
        <v>0</v>
      </c>
      <c r="J392" s="6">
        <f t="shared" si="104"/>
        <v>0</v>
      </c>
      <c r="K392" s="6">
        <f t="shared" si="102"/>
        <v>0</v>
      </c>
    </row>
    <row r="393" spans="1:11" ht="13">
      <c r="A393" s="2">
        <f t="shared" si="101"/>
        <v>297</v>
      </c>
      <c r="B393" s="329" t="s">
        <v>399</v>
      </c>
      <c r="C393" s="330"/>
      <c r="D393" s="59"/>
      <c r="E393" s="6">
        <f>D393*'16-PlantAdditions'!$E$103</f>
        <v>0</v>
      </c>
      <c r="F393" s="6">
        <f t="shared" si="103"/>
        <v>0</v>
      </c>
      <c r="G393" s="59"/>
      <c r="H393" s="59"/>
      <c r="I393" s="6">
        <f>(G393-H393)*'16-PlantAdditions'!$E$103</f>
        <v>0</v>
      </c>
      <c r="J393" s="6">
        <f t="shared" si="104"/>
        <v>0</v>
      </c>
      <c r="K393" s="6">
        <f t="shared" si="102"/>
        <v>0</v>
      </c>
    </row>
    <row r="394" spans="1:11" ht="13">
      <c r="A394" s="2">
        <f t="shared" si="101"/>
        <v>298</v>
      </c>
      <c r="B394" s="329" t="s">
        <v>400</v>
      </c>
      <c r="C394" s="330"/>
      <c r="D394" s="59"/>
      <c r="E394" s="6">
        <f>D394*'16-PlantAdditions'!$E$103</f>
        <v>0</v>
      </c>
      <c r="F394" s="6">
        <f t="shared" si="103"/>
        <v>0</v>
      </c>
      <c r="G394" s="59"/>
      <c r="H394" s="59"/>
      <c r="I394" s="6">
        <f>(G394-H394)*'16-PlantAdditions'!$E$103</f>
        <v>0</v>
      </c>
      <c r="J394" s="6">
        <f t="shared" si="104"/>
        <v>0</v>
      </c>
      <c r="K394" s="6">
        <f t="shared" si="102"/>
        <v>0</v>
      </c>
    </row>
    <row r="395" spans="1:11" ht="13">
      <c r="A395" s="2">
        <f t="shared" si="101"/>
        <v>299</v>
      </c>
      <c r="B395" s="329" t="s">
        <v>401</v>
      </c>
      <c r="C395" s="330"/>
      <c r="D395" s="59"/>
      <c r="E395" s="6">
        <f>D395*'16-PlantAdditions'!$E$103</f>
        <v>0</v>
      </c>
      <c r="F395" s="6">
        <f t="shared" si="103"/>
        <v>0</v>
      </c>
      <c r="G395" s="59"/>
      <c r="H395" s="59"/>
      <c r="I395" s="6">
        <f>(G395-H395)*'16-PlantAdditions'!$E$103</f>
        <v>0</v>
      </c>
      <c r="J395" s="6">
        <f t="shared" si="104"/>
        <v>0</v>
      </c>
      <c r="K395" s="6">
        <f t="shared" si="102"/>
        <v>0</v>
      </c>
    </row>
    <row r="396" spans="1:11" ht="13">
      <c r="A396" s="2">
        <f t="shared" si="101"/>
        <v>300</v>
      </c>
      <c r="B396" s="329" t="s">
        <v>402</v>
      </c>
      <c r="C396" s="330"/>
      <c r="D396" s="59"/>
      <c r="E396" s="6">
        <f>D396*'16-PlantAdditions'!$E$103</f>
        <v>0</v>
      </c>
      <c r="F396" s="6">
        <f t="shared" si="103"/>
        <v>0</v>
      </c>
      <c r="G396" s="59"/>
      <c r="H396" s="59"/>
      <c r="I396" s="6">
        <f>(G396-H396)*'16-PlantAdditions'!$E$103</f>
        <v>0</v>
      </c>
      <c r="J396" s="6">
        <f t="shared" si="104"/>
        <v>0</v>
      </c>
      <c r="K396" s="6">
        <f t="shared" si="102"/>
        <v>0</v>
      </c>
    </row>
    <row r="397" spans="1:11" ht="13">
      <c r="A397" s="2">
        <f t="shared" si="101"/>
        <v>301</v>
      </c>
      <c r="B397" s="329" t="s">
        <v>390</v>
      </c>
      <c r="C397" s="330"/>
      <c r="D397" s="59"/>
      <c r="E397" s="6">
        <f>D397*'16-PlantAdditions'!$E$103</f>
        <v>0</v>
      </c>
      <c r="F397" s="6">
        <f t="shared" si="103"/>
        <v>0</v>
      </c>
      <c r="G397" s="59"/>
      <c r="H397" s="59"/>
      <c r="I397" s="6">
        <f>(G397-H397)*'16-PlantAdditions'!$E$103</f>
        <v>0</v>
      </c>
      <c r="J397" s="6">
        <f t="shared" si="104"/>
        <v>0</v>
      </c>
      <c r="K397" s="6">
        <f t="shared" si="102"/>
        <v>0</v>
      </c>
    </row>
    <row r="398" spans="1:11" ht="13">
      <c r="A398" s="2">
        <f t="shared" si="101"/>
        <v>302</v>
      </c>
      <c r="B398" s="329" t="s">
        <v>392</v>
      </c>
      <c r="C398" s="330"/>
      <c r="D398" s="59"/>
      <c r="E398" s="6">
        <f>D398*'16-PlantAdditions'!$E$103</f>
        <v>0</v>
      </c>
      <c r="F398" s="6">
        <f t="shared" si="103"/>
        <v>0</v>
      </c>
      <c r="G398" s="59"/>
      <c r="H398" s="59"/>
      <c r="I398" s="6">
        <f>(G398-H398)*'16-PlantAdditions'!$E$103</f>
        <v>0</v>
      </c>
      <c r="J398" s="6">
        <f t="shared" si="104"/>
        <v>0</v>
      </c>
      <c r="K398" s="6">
        <f t="shared" si="102"/>
        <v>0</v>
      </c>
    </row>
    <row r="399" spans="1:11" ht="13">
      <c r="A399" s="2">
        <f t="shared" si="101"/>
        <v>303</v>
      </c>
      <c r="B399" s="329" t="s">
        <v>393</v>
      </c>
      <c r="C399" s="330"/>
      <c r="D399" s="59"/>
      <c r="E399" s="6">
        <f>D399*'16-PlantAdditions'!$E$103</f>
        <v>0</v>
      </c>
      <c r="F399" s="6">
        <f t="shared" si="103"/>
        <v>0</v>
      </c>
      <c r="G399" s="59"/>
      <c r="H399" s="59"/>
      <c r="I399" s="6">
        <f>(G399-H399)*'16-PlantAdditions'!$E$103</f>
        <v>0</v>
      </c>
      <c r="J399" s="6">
        <f t="shared" si="104"/>
        <v>0</v>
      </c>
      <c r="K399" s="6">
        <f t="shared" si="102"/>
        <v>0</v>
      </c>
    </row>
    <row r="400" spans="1:11" ht="13">
      <c r="A400" s="2">
        <f t="shared" si="101"/>
        <v>304</v>
      </c>
      <c r="B400" s="329" t="s">
        <v>394</v>
      </c>
      <c r="C400" s="330"/>
      <c r="D400" s="59"/>
      <c r="E400" s="6">
        <f>D400*'16-PlantAdditions'!$E$103</f>
        <v>0</v>
      </c>
      <c r="F400" s="6">
        <f t="shared" si="103"/>
        <v>0</v>
      </c>
      <c r="G400" s="59"/>
      <c r="H400" s="59"/>
      <c r="I400" s="6">
        <f>(G400-H400)*'16-PlantAdditions'!$E$103</f>
        <v>0</v>
      </c>
      <c r="J400" s="6">
        <f t="shared" si="104"/>
        <v>0</v>
      </c>
      <c r="K400" s="6">
        <f t="shared" si="102"/>
        <v>0</v>
      </c>
    </row>
    <row r="401" spans="1:11" ht="13">
      <c r="A401" s="2">
        <f t="shared" si="101"/>
        <v>305</v>
      </c>
      <c r="B401" s="329" t="s">
        <v>395</v>
      </c>
      <c r="C401" s="330"/>
      <c r="D401" s="59"/>
      <c r="E401" s="6">
        <f>D401*'16-PlantAdditions'!$E$103</f>
        <v>0</v>
      </c>
      <c r="F401" s="6">
        <f t="shared" si="103"/>
        <v>0</v>
      </c>
      <c r="G401" s="59"/>
      <c r="H401" s="59"/>
      <c r="I401" s="6">
        <f>(G401-H401)*'16-PlantAdditions'!$E$103</f>
        <v>0</v>
      </c>
      <c r="J401" s="6">
        <f t="shared" si="104"/>
        <v>0</v>
      </c>
      <c r="K401" s="6">
        <f t="shared" si="102"/>
        <v>0</v>
      </c>
    </row>
    <row r="402" spans="1:11" ht="13">
      <c r="A402" s="2">
        <f t="shared" si="101"/>
        <v>306</v>
      </c>
      <c r="B402" s="329" t="s">
        <v>396</v>
      </c>
      <c r="C402" s="330"/>
      <c r="D402" s="59"/>
      <c r="E402" s="6">
        <f>D402*'16-PlantAdditions'!$E$103</f>
        <v>0</v>
      </c>
      <c r="F402" s="6">
        <f t="shared" si="103"/>
        <v>0</v>
      </c>
      <c r="G402" s="59"/>
      <c r="H402" s="59"/>
      <c r="I402" s="6">
        <f>(G402-H402)*'16-PlantAdditions'!$E$103</f>
        <v>0</v>
      </c>
      <c r="J402" s="6">
        <f t="shared" si="104"/>
        <v>0</v>
      </c>
      <c r="K402" s="6">
        <f t="shared" si="102"/>
        <v>0</v>
      </c>
    </row>
    <row r="403" spans="1:11" ht="13">
      <c r="A403" s="2">
        <f t="shared" si="101"/>
        <v>307</v>
      </c>
      <c r="B403" s="329" t="s">
        <v>610</v>
      </c>
      <c r="C403" s="330"/>
      <c r="D403" s="59"/>
      <c r="E403" s="6">
        <f>D403*'16-PlantAdditions'!$E$103</f>
        <v>0</v>
      </c>
      <c r="F403" s="6">
        <f t="shared" si="103"/>
        <v>0</v>
      </c>
      <c r="G403" s="59"/>
      <c r="H403" s="59"/>
      <c r="I403" s="6">
        <f>(G403-H403)*'16-PlantAdditions'!$E$103</f>
        <v>0</v>
      </c>
      <c r="J403" s="6">
        <f t="shared" si="104"/>
        <v>0</v>
      </c>
      <c r="K403" s="6">
        <f t="shared" si="102"/>
        <v>0</v>
      </c>
    </row>
    <row r="404" spans="1:11" ht="13">
      <c r="A404" s="2">
        <f t="shared" si="101"/>
        <v>308</v>
      </c>
      <c r="B404" s="329" t="s">
        <v>398</v>
      </c>
      <c r="C404" s="330"/>
      <c r="D404" s="59"/>
      <c r="E404" s="6">
        <f>D404*'16-PlantAdditions'!$E$103</f>
        <v>0</v>
      </c>
      <c r="F404" s="6">
        <f t="shared" si="103"/>
        <v>0</v>
      </c>
      <c r="G404" s="59"/>
      <c r="H404" s="59"/>
      <c r="I404" s="6">
        <f>(G404-H404)*'16-PlantAdditions'!$E$103</f>
        <v>0</v>
      </c>
      <c r="J404" s="6">
        <f t="shared" si="104"/>
        <v>0</v>
      </c>
      <c r="K404" s="6">
        <f t="shared" si="102"/>
        <v>0</v>
      </c>
    </row>
    <row r="405" spans="1:11" ht="13">
      <c r="A405" s="2">
        <f t="shared" si="101"/>
        <v>309</v>
      </c>
      <c r="B405" s="329" t="s">
        <v>399</v>
      </c>
      <c r="C405" s="330"/>
      <c r="D405" s="59"/>
      <c r="E405" s="6">
        <f>D405*'16-PlantAdditions'!$E$103</f>
        <v>0</v>
      </c>
      <c r="F405" s="6">
        <f t="shared" si="103"/>
        <v>0</v>
      </c>
      <c r="G405" s="59"/>
      <c r="H405" s="59"/>
      <c r="I405" s="6">
        <f>(G405-H405)*'16-PlantAdditions'!$E$103</f>
        <v>0</v>
      </c>
      <c r="J405" s="6">
        <f t="shared" si="104"/>
        <v>0</v>
      </c>
      <c r="K405" s="6">
        <f t="shared" si="102"/>
        <v>0</v>
      </c>
    </row>
    <row r="406" spans="1:11" ht="13">
      <c r="A406" s="2">
        <f t="shared" si="101"/>
        <v>310</v>
      </c>
      <c r="B406" s="329" t="s">
        <v>400</v>
      </c>
      <c r="C406" s="330"/>
      <c r="D406" s="59"/>
      <c r="E406" s="6">
        <f>D406*'16-PlantAdditions'!$E$103</f>
        <v>0</v>
      </c>
      <c r="F406" s="6">
        <f t="shared" si="103"/>
        <v>0</v>
      </c>
      <c r="G406" s="59"/>
      <c r="H406" s="59"/>
      <c r="I406" s="6">
        <f>(G406-H406)*'16-PlantAdditions'!$E$103</f>
        <v>0</v>
      </c>
      <c r="J406" s="6">
        <f t="shared" si="104"/>
        <v>0</v>
      </c>
      <c r="K406" s="6">
        <f t="shared" si="102"/>
        <v>0</v>
      </c>
    </row>
    <row r="407" spans="1:11" ht="13">
      <c r="A407" s="2">
        <f t="shared" si="101"/>
        <v>311</v>
      </c>
      <c r="B407" s="329" t="s">
        <v>401</v>
      </c>
      <c r="C407" s="330"/>
      <c r="D407" s="59"/>
      <c r="E407" s="6">
        <f>D407*'16-PlantAdditions'!$E$103</f>
        <v>0</v>
      </c>
      <c r="F407" s="6">
        <f t="shared" ref="F407:F409" si="105">E407+D407</f>
        <v>0</v>
      </c>
      <c r="G407" s="59"/>
      <c r="H407" s="59"/>
      <c r="I407" s="6">
        <f>(G407-H407)*'16-PlantAdditions'!$E$103</f>
        <v>0</v>
      </c>
      <c r="J407" s="6">
        <f t="shared" ref="J407:J408" si="106">J406+F407-G407-I407</f>
        <v>0</v>
      </c>
      <c r="K407" s="6">
        <f t="shared" si="102"/>
        <v>0</v>
      </c>
    </row>
    <row r="408" spans="1:11" ht="13">
      <c r="A408" s="2">
        <f t="shared" si="101"/>
        <v>312</v>
      </c>
      <c r="B408" s="329" t="s">
        <v>402</v>
      </c>
      <c r="C408" s="330"/>
      <c r="D408" s="59"/>
      <c r="E408" s="6">
        <f>D408*'16-PlantAdditions'!$E$103</f>
        <v>0</v>
      </c>
      <c r="F408" s="6">
        <f t="shared" si="105"/>
        <v>0</v>
      </c>
      <c r="G408" s="59"/>
      <c r="H408" s="59"/>
      <c r="I408" s="6">
        <f>(G408-H408)*'16-PlantAdditions'!$E$103</f>
        <v>0</v>
      </c>
      <c r="J408" s="6">
        <f t="shared" si="106"/>
        <v>0</v>
      </c>
      <c r="K408" s="6">
        <f t="shared" si="102"/>
        <v>0</v>
      </c>
    </row>
    <row r="409" spans="1:11" ht="13">
      <c r="A409" s="2">
        <f t="shared" si="101"/>
        <v>313</v>
      </c>
      <c r="B409" s="329" t="s">
        <v>390</v>
      </c>
      <c r="C409" s="330"/>
      <c r="D409" s="59"/>
      <c r="E409" s="6">
        <f>D409*'16-PlantAdditions'!$E$103</f>
        <v>0</v>
      </c>
      <c r="F409" s="6">
        <f t="shared" si="105"/>
        <v>0</v>
      </c>
      <c r="G409" s="59"/>
      <c r="H409" s="59"/>
      <c r="I409" s="6">
        <f>(G409-H409)*'16-PlantAdditions'!$E$103</f>
        <v>0</v>
      </c>
      <c r="J409" s="6">
        <f>J408+F409-G409-I409</f>
        <v>0</v>
      </c>
      <c r="K409" s="53">
        <f t="shared" si="102"/>
        <v>0</v>
      </c>
    </row>
    <row r="410" spans="1:11" ht="13">
      <c r="A410" s="2">
        <f t="shared" si="101"/>
        <v>314</v>
      </c>
      <c r="C410" s="351" t="s">
        <v>1107</v>
      </c>
      <c r="H410" s="239"/>
      <c r="I410" s="239"/>
      <c r="K410" s="42">
        <f>AVERAGE(K397:K409)</f>
        <v>0</v>
      </c>
    </row>
    <row r="411" spans="1:11" ht="13">
      <c r="A411" s="2"/>
      <c r="C411" s="351"/>
      <c r="H411" s="239"/>
      <c r="I411" s="239"/>
      <c r="K411" s="42"/>
    </row>
    <row r="412" spans="1:11" ht="13">
      <c r="B412" s="34" t="s">
        <v>1132</v>
      </c>
      <c r="D412" s="1204" t="s">
        <v>1088</v>
      </c>
      <c r="E412" s="1204"/>
    </row>
    <row r="413" spans="1:11" ht="13">
      <c r="A413" s="3"/>
      <c r="B413" s="3"/>
      <c r="C413" s="3"/>
      <c r="D413" s="3" t="s">
        <v>347</v>
      </c>
      <c r="E413" s="3" t="s">
        <v>348</v>
      </c>
      <c r="F413" s="3" t="s">
        <v>349</v>
      </c>
      <c r="G413" s="3" t="s">
        <v>350</v>
      </c>
      <c r="H413" s="3" t="s">
        <v>351</v>
      </c>
      <c r="I413" s="3" t="s">
        <v>352</v>
      </c>
      <c r="J413" s="3" t="s">
        <v>353</v>
      </c>
      <c r="K413" s="3" t="s">
        <v>354</v>
      </c>
    </row>
    <row r="414" spans="1:11" ht="25.5">
      <c r="D414" s="48"/>
      <c r="E414" s="352" t="s">
        <v>1111</v>
      </c>
      <c r="F414" s="239" t="s">
        <v>1112</v>
      </c>
      <c r="G414" s="239"/>
      <c r="H414" s="48"/>
      <c r="I414" s="352" t="s">
        <v>1113</v>
      </c>
      <c r="J414" s="352" t="s">
        <v>1114</v>
      </c>
      <c r="K414" s="352" t="s">
        <v>1115</v>
      </c>
    </row>
    <row r="415" spans="1:11" ht="13">
      <c r="D415" s="48"/>
      <c r="E415" s="352"/>
      <c r="F415" s="239"/>
      <c r="G415" s="4" t="str">
        <f>G85</f>
        <v>Unloaded</v>
      </c>
      <c r="H415" s="48"/>
      <c r="I415" s="352"/>
      <c r="J415" s="352"/>
      <c r="K415" s="352"/>
    </row>
    <row r="416" spans="1:11" ht="13">
      <c r="A416" s="2"/>
      <c r="B416" s="2"/>
      <c r="C416" s="2"/>
      <c r="D416" s="2" t="str">
        <f>D$52</f>
        <v>Forecast</v>
      </c>
      <c r="E416" s="2" t="str">
        <f t="shared" ref="E416:J416" si="107">E$52</f>
        <v>Corporate</v>
      </c>
      <c r="F416" s="2" t="str">
        <f t="shared" si="107"/>
        <v xml:space="preserve">Total </v>
      </c>
      <c r="G416" s="4" t="str">
        <f>G86</f>
        <v>Total</v>
      </c>
      <c r="H416" s="2" t="str">
        <f t="shared" si="107"/>
        <v>Prior Period</v>
      </c>
      <c r="I416" s="2" t="str">
        <f t="shared" si="107"/>
        <v>Over Heads</v>
      </c>
      <c r="J416" s="2" t="str">
        <f t="shared" si="107"/>
        <v>Forecast</v>
      </c>
      <c r="K416" s="2" t="str">
        <f>K$52</f>
        <v>Forecast Period</v>
      </c>
    </row>
    <row r="417" spans="1:11" ht="13">
      <c r="A417" s="30" t="s">
        <v>284</v>
      </c>
      <c r="B417" s="328" t="s">
        <v>382</v>
      </c>
      <c r="C417" s="328" t="s">
        <v>383</v>
      </c>
      <c r="D417" s="3" t="str">
        <f>D$53</f>
        <v>Expenditures</v>
      </c>
      <c r="E417" s="3" t="str">
        <f t="shared" ref="E417:J417" si="108">E$53</f>
        <v>Overheads</v>
      </c>
      <c r="F417" s="3" t="str">
        <f t="shared" si="108"/>
        <v>CWIP Exp</v>
      </c>
      <c r="G417" s="48" t="str">
        <f>G87</f>
        <v>Plant Adds</v>
      </c>
      <c r="H417" s="3" t="str">
        <f t="shared" si="108"/>
        <v>CWIP Closed</v>
      </c>
      <c r="I417" s="3" t="str">
        <f t="shared" si="108"/>
        <v>Closed to PIS</v>
      </c>
      <c r="J417" s="3" t="str">
        <f t="shared" si="108"/>
        <v>Period CWIP</v>
      </c>
      <c r="K417" s="3" t="str">
        <f>K$53</f>
        <v>Incremental CWIP</v>
      </c>
    </row>
    <row r="418" spans="1:11" ht="13">
      <c r="A418" s="2">
        <f>A410+1</f>
        <v>315</v>
      </c>
      <c r="B418" s="329" t="s">
        <v>390</v>
      </c>
      <c r="C418" s="330"/>
      <c r="D418" s="239" t="s">
        <v>391</v>
      </c>
      <c r="E418" s="239" t="s">
        <v>391</v>
      </c>
      <c r="F418" s="239" t="s">
        <v>391</v>
      </c>
      <c r="G418" s="239" t="s">
        <v>391</v>
      </c>
      <c r="H418" s="239" t="s">
        <v>391</v>
      </c>
      <c r="I418" s="239" t="s">
        <v>391</v>
      </c>
      <c r="J418" s="6">
        <f>I45</f>
        <v>0</v>
      </c>
      <c r="K418" s="239" t="s">
        <v>391</v>
      </c>
    </row>
    <row r="419" spans="1:11" ht="13">
      <c r="A419" s="2">
        <f>A418+1</f>
        <v>316</v>
      </c>
      <c r="B419" s="329" t="s">
        <v>392</v>
      </c>
      <c r="C419" s="330"/>
      <c r="D419" s="59"/>
      <c r="E419" s="6">
        <f>D419*'16-PlantAdditions'!$E$103</f>
        <v>0</v>
      </c>
      <c r="F419" s="6">
        <f>E419+D419</f>
        <v>0</v>
      </c>
      <c r="G419" s="59"/>
      <c r="H419" s="59"/>
      <c r="I419" s="6">
        <f>(G419-H419)*'16-PlantAdditions'!$E$103</f>
        <v>0</v>
      </c>
      <c r="J419" s="6">
        <f t="shared" ref="J419:J442" si="109">J418+F419-G419-I419</f>
        <v>0</v>
      </c>
      <c r="K419" s="6">
        <f>J419-$J$418</f>
        <v>0</v>
      </c>
    </row>
    <row r="420" spans="1:11" ht="13">
      <c r="A420" s="2">
        <f t="shared" ref="A420:A443" si="110">A419+1</f>
        <v>317</v>
      </c>
      <c r="B420" s="329" t="s">
        <v>393</v>
      </c>
      <c r="C420" s="330"/>
      <c r="D420" s="59"/>
      <c r="E420" s="6">
        <f>D420*'16-PlantAdditions'!$E$103</f>
        <v>0</v>
      </c>
      <c r="F420" s="6">
        <f t="shared" ref="F420:F442" si="111">E420+D420</f>
        <v>0</v>
      </c>
      <c r="G420" s="59"/>
      <c r="H420" s="59"/>
      <c r="I420" s="6">
        <f>(G420-H420)*'16-PlantAdditions'!$E$103</f>
        <v>0</v>
      </c>
      <c r="J420" s="6">
        <f t="shared" si="109"/>
        <v>0</v>
      </c>
      <c r="K420" s="6">
        <f t="shared" ref="K420:K442" si="112">J420-$J$418</f>
        <v>0</v>
      </c>
    </row>
    <row r="421" spans="1:11" ht="13">
      <c r="A421" s="2">
        <f t="shared" si="110"/>
        <v>318</v>
      </c>
      <c r="B421" s="329" t="s">
        <v>394</v>
      </c>
      <c r="C421" s="330"/>
      <c r="D421" s="59"/>
      <c r="E421" s="6">
        <f>D421*'16-PlantAdditions'!$E$103</f>
        <v>0</v>
      </c>
      <c r="F421" s="6">
        <f t="shared" si="111"/>
        <v>0</v>
      </c>
      <c r="G421" s="59"/>
      <c r="H421" s="59"/>
      <c r="I421" s="6">
        <f>(G421-H421)*'16-PlantAdditions'!$E$103</f>
        <v>0</v>
      </c>
      <c r="J421" s="6">
        <f t="shared" si="109"/>
        <v>0</v>
      </c>
      <c r="K421" s="6">
        <f t="shared" si="112"/>
        <v>0</v>
      </c>
    </row>
    <row r="422" spans="1:11" ht="13">
      <c r="A422" s="2">
        <f t="shared" si="110"/>
        <v>319</v>
      </c>
      <c r="B422" s="329" t="s">
        <v>395</v>
      </c>
      <c r="C422" s="330"/>
      <c r="D422" s="59"/>
      <c r="E422" s="6">
        <f>D422*'16-PlantAdditions'!$E$103</f>
        <v>0</v>
      </c>
      <c r="F422" s="6">
        <f t="shared" si="111"/>
        <v>0</v>
      </c>
      <c r="G422" s="59"/>
      <c r="H422" s="59"/>
      <c r="I422" s="6">
        <f>(G422-H422)*'16-PlantAdditions'!$E$103</f>
        <v>0</v>
      </c>
      <c r="J422" s="6">
        <f t="shared" si="109"/>
        <v>0</v>
      </c>
      <c r="K422" s="6">
        <f t="shared" si="112"/>
        <v>0</v>
      </c>
    </row>
    <row r="423" spans="1:11" ht="13">
      <c r="A423" s="2">
        <f t="shared" si="110"/>
        <v>320</v>
      </c>
      <c r="B423" s="329" t="s">
        <v>396</v>
      </c>
      <c r="C423" s="330"/>
      <c r="D423" s="59"/>
      <c r="E423" s="6">
        <f>D423*'16-PlantAdditions'!$E$103</f>
        <v>0</v>
      </c>
      <c r="F423" s="6">
        <f t="shared" si="111"/>
        <v>0</v>
      </c>
      <c r="G423" s="59"/>
      <c r="H423" s="59"/>
      <c r="I423" s="6">
        <f>(G423-H423)*'16-PlantAdditions'!$E$103</f>
        <v>0</v>
      </c>
      <c r="J423" s="6">
        <f t="shared" si="109"/>
        <v>0</v>
      </c>
      <c r="K423" s="6">
        <f t="shared" si="112"/>
        <v>0</v>
      </c>
    </row>
    <row r="424" spans="1:11" ht="13">
      <c r="A424" s="2">
        <f t="shared" si="110"/>
        <v>321</v>
      </c>
      <c r="B424" s="329" t="s">
        <v>610</v>
      </c>
      <c r="C424" s="330"/>
      <c r="D424" s="59"/>
      <c r="E424" s="6">
        <f>D424*'16-PlantAdditions'!$E$103</f>
        <v>0</v>
      </c>
      <c r="F424" s="6">
        <f t="shared" si="111"/>
        <v>0</v>
      </c>
      <c r="G424" s="59"/>
      <c r="H424" s="59"/>
      <c r="I424" s="6">
        <f>(G424-H424)*'16-PlantAdditions'!$E$103</f>
        <v>0</v>
      </c>
      <c r="J424" s="6">
        <f t="shared" si="109"/>
        <v>0</v>
      </c>
      <c r="K424" s="6">
        <f t="shared" si="112"/>
        <v>0</v>
      </c>
    </row>
    <row r="425" spans="1:11" ht="13">
      <c r="A425" s="2">
        <f t="shared" si="110"/>
        <v>322</v>
      </c>
      <c r="B425" s="329" t="s">
        <v>398</v>
      </c>
      <c r="C425" s="330"/>
      <c r="D425" s="59"/>
      <c r="E425" s="6">
        <f>D425*'16-PlantAdditions'!$E$103</f>
        <v>0</v>
      </c>
      <c r="F425" s="6">
        <f t="shared" si="111"/>
        <v>0</v>
      </c>
      <c r="G425" s="59"/>
      <c r="H425" s="59"/>
      <c r="I425" s="6">
        <f>(G425-H425)*'16-PlantAdditions'!$E$103</f>
        <v>0</v>
      </c>
      <c r="J425" s="6">
        <f t="shared" si="109"/>
        <v>0</v>
      </c>
      <c r="K425" s="6">
        <f t="shared" si="112"/>
        <v>0</v>
      </c>
    </row>
    <row r="426" spans="1:11" ht="13">
      <c r="A426" s="2">
        <f t="shared" si="110"/>
        <v>323</v>
      </c>
      <c r="B426" s="329" t="s">
        <v>399</v>
      </c>
      <c r="C426" s="330"/>
      <c r="D426" s="59"/>
      <c r="E426" s="6">
        <f>D426*'16-PlantAdditions'!$E$103</f>
        <v>0</v>
      </c>
      <c r="F426" s="6">
        <f t="shared" si="111"/>
        <v>0</v>
      </c>
      <c r="G426" s="59"/>
      <c r="H426" s="59"/>
      <c r="I426" s="6">
        <f>(G426-H426)*'16-PlantAdditions'!$E$103</f>
        <v>0</v>
      </c>
      <c r="J426" s="6">
        <f t="shared" si="109"/>
        <v>0</v>
      </c>
      <c r="K426" s="6">
        <f t="shared" si="112"/>
        <v>0</v>
      </c>
    </row>
    <row r="427" spans="1:11" ht="13">
      <c r="A427" s="2">
        <f t="shared" si="110"/>
        <v>324</v>
      </c>
      <c r="B427" s="329" t="s">
        <v>400</v>
      </c>
      <c r="C427" s="330"/>
      <c r="D427" s="59"/>
      <c r="E427" s="6">
        <f>D427*'16-PlantAdditions'!$E$103</f>
        <v>0</v>
      </c>
      <c r="F427" s="6">
        <f t="shared" si="111"/>
        <v>0</v>
      </c>
      <c r="G427" s="59"/>
      <c r="H427" s="59"/>
      <c r="I427" s="6">
        <f>(G427-H427)*'16-PlantAdditions'!$E$103</f>
        <v>0</v>
      </c>
      <c r="J427" s="6">
        <f t="shared" si="109"/>
        <v>0</v>
      </c>
      <c r="K427" s="6">
        <f t="shared" si="112"/>
        <v>0</v>
      </c>
    </row>
    <row r="428" spans="1:11" ht="13">
      <c r="A428" s="2">
        <f t="shared" si="110"/>
        <v>325</v>
      </c>
      <c r="B428" s="329" t="s">
        <v>401</v>
      </c>
      <c r="C428" s="330"/>
      <c r="D428" s="59"/>
      <c r="E428" s="6">
        <f>D428*'16-PlantAdditions'!$E$103</f>
        <v>0</v>
      </c>
      <c r="F428" s="6">
        <f t="shared" si="111"/>
        <v>0</v>
      </c>
      <c r="G428" s="59"/>
      <c r="H428" s="59"/>
      <c r="I428" s="6">
        <f>(G428-H428)*'16-PlantAdditions'!$E$103</f>
        <v>0</v>
      </c>
      <c r="J428" s="6">
        <f t="shared" si="109"/>
        <v>0</v>
      </c>
      <c r="K428" s="6">
        <f t="shared" si="112"/>
        <v>0</v>
      </c>
    </row>
    <row r="429" spans="1:11" ht="13">
      <c r="A429" s="2">
        <f t="shared" si="110"/>
        <v>326</v>
      </c>
      <c r="B429" s="329" t="s">
        <v>402</v>
      </c>
      <c r="C429" s="330"/>
      <c r="D429" s="59"/>
      <c r="E429" s="6">
        <f>D429*'16-PlantAdditions'!$E$103</f>
        <v>0</v>
      </c>
      <c r="F429" s="6">
        <f t="shared" si="111"/>
        <v>0</v>
      </c>
      <c r="G429" s="59"/>
      <c r="H429" s="59"/>
      <c r="I429" s="6">
        <f>(G429-H429)*'16-PlantAdditions'!$E$103</f>
        <v>0</v>
      </c>
      <c r="J429" s="6">
        <f t="shared" si="109"/>
        <v>0</v>
      </c>
      <c r="K429" s="6">
        <f t="shared" si="112"/>
        <v>0</v>
      </c>
    </row>
    <row r="430" spans="1:11" ht="13">
      <c r="A430" s="2">
        <f t="shared" si="110"/>
        <v>327</v>
      </c>
      <c r="B430" s="329" t="s">
        <v>390</v>
      </c>
      <c r="C430" s="330"/>
      <c r="D430" s="59"/>
      <c r="E430" s="6">
        <f>D430*'16-PlantAdditions'!$E$103</f>
        <v>0</v>
      </c>
      <c r="F430" s="6">
        <f t="shared" si="111"/>
        <v>0</v>
      </c>
      <c r="G430" s="59"/>
      <c r="H430" s="59"/>
      <c r="I430" s="6">
        <f>(G430-H430)*'16-PlantAdditions'!$E$103</f>
        <v>0</v>
      </c>
      <c r="J430" s="6">
        <f t="shared" si="109"/>
        <v>0</v>
      </c>
      <c r="K430" s="6">
        <f t="shared" si="112"/>
        <v>0</v>
      </c>
    </row>
    <row r="431" spans="1:11" ht="13">
      <c r="A431" s="2">
        <f t="shared" si="110"/>
        <v>328</v>
      </c>
      <c r="B431" s="329" t="s">
        <v>392</v>
      </c>
      <c r="C431" s="330"/>
      <c r="D431" s="59"/>
      <c r="E431" s="6">
        <f>D431*'16-PlantAdditions'!$E$103</f>
        <v>0</v>
      </c>
      <c r="F431" s="6">
        <f t="shared" si="111"/>
        <v>0</v>
      </c>
      <c r="G431" s="59"/>
      <c r="H431" s="59"/>
      <c r="I431" s="6">
        <f>(G431-H431)*'16-PlantAdditions'!$E$103</f>
        <v>0</v>
      </c>
      <c r="J431" s="6">
        <f t="shared" si="109"/>
        <v>0</v>
      </c>
      <c r="K431" s="6">
        <f t="shared" si="112"/>
        <v>0</v>
      </c>
    </row>
    <row r="432" spans="1:11" ht="13">
      <c r="A432" s="2">
        <f t="shared" si="110"/>
        <v>329</v>
      </c>
      <c r="B432" s="329" t="s">
        <v>393</v>
      </c>
      <c r="C432" s="330"/>
      <c r="D432" s="59"/>
      <c r="E432" s="6">
        <f>D432*'16-PlantAdditions'!$E$103</f>
        <v>0</v>
      </c>
      <c r="F432" s="6">
        <f t="shared" si="111"/>
        <v>0</v>
      </c>
      <c r="G432" s="59"/>
      <c r="H432" s="59"/>
      <c r="I432" s="6">
        <f>(G432-H432)*'16-PlantAdditions'!$E$103</f>
        <v>0</v>
      </c>
      <c r="J432" s="6">
        <f t="shared" si="109"/>
        <v>0</v>
      </c>
      <c r="K432" s="6">
        <f t="shared" si="112"/>
        <v>0</v>
      </c>
    </row>
    <row r="433" spans="1:11" ht="13">
      <c r="A433" s="2">
        <f t="shared" si="110"/>
        <v>330</v>
      </c>
      <c r="B433" s="329" t="s">
        <v>394</v>
      </c>
      <c r="C433" s="330"/>
      <c r="D433" s="59"/>
      <c r="E433" s="6">
        <f>D433*'16-PlantAdditions'!$E$103</f>
        <v>0</v>
      </c>
      <c r="F433" s="6">
        <f t="shared" si="111"/>
        <v>0</v>
      </c>
      <c r="G433" s="59"/>
      <c r="H433" s="59"/>
      <c r="I433" s="6">
        <f>(G433-H433)*'16-PlantAdditions'!$E$103</f>
        <v>0</v>
      </c>
      <c r="J433" s="6">
        <f t="shared" si="109"/>
        <v>0</v>
      </c>
      <c r="K433" s="6">
        <f t="shared" si="112"/>
        <v>0</v>
      </c>
    </row>
    <row r="434" spans="1:11" ht="13">
      <c r="A434" s="2">
        <f t="shared" si="110"/>
        <v>331</v>
      </c>
      <c r="B434" s="329" t="s">
        <v>395</v>
      </c>
      <c r="C434" s="330"/>
      <c r="D434" s="59"/>
      <c r="E434" s="6">
        <f>D434*'16-PlantAdditions'!$E$103</f>
        <v>0</v>
      </c>
      <c r="F434" s="6">
        <f t="shared" si="111"/>
        <v>0</v>
      </c>
      <c r="G434" s="59"/>
      <c r="H434" s="59"/>
      <c r="I434" s="6">
        <f>(G434-H434)*'16-PlantAdditions'!$E$103</f>
        <v>0</v>
      </c>
      <c r="J434" s="6">
        <f t="shared" si="109"/>
        <v>0</v>
      </c>
      <c r="K434" s="6">
        <f t="shared" si="112"/>
        <v>0</v>
      </c>
    </row>
    <row r="435" spans="1:11" ht="13">
      <c r="A435" s="2">
        <f t="shared" si="110"/>
        <v>332</v>
      </c>
      <c r="B435" s="329" t="s">
        <v>396</v>
      </c>
      <c r="C435" s="330"/>
      <c r="D435" s="59"/>
      <c r="E435" s="6">
        <f>D435*'16-PlantAdditions'!$E$103</f>
        <v>0</v>
      </c>
      <c r="F435" s="6">
        <f t="shared" si="111"/>
        <v>0</v>
      </c>
      <c r="G435" s="59"/>
      <c r="H435" s="59"/>
      <c r="I435" s="6">
        <f>(G435-H435)*'16-PlantAdditions'!$E$103</f>
        <v>0</v>
      </c>
      <c r="J435" s="6">
        <f t="shared" si="109"/>
        <v>0</v>
      </c>
      <c r="K435" s="6">
        <f t="shared" si="112"/>
        <v>0</v>
      </c>
    </row>
    <row r="436" spans="1:11" ht="13">
      <c r="A436" s="2">
        <f t="shared" si="110"/>
        <v>333</v>
      </c>
      <c r="B436" s="329" t="s">
        <v>610</v>
      </c>
      <c r="C436" s="330"/>
      <c r="D436" s="59"/>
      <c r="E436" s="6">
        <f>D436*'16-PlantAdditions'!$E$103</f>
        <v>0</v>
      </c>
      <c r="F436" s="6">
        <f t="shared" si="111"/>
        <v>0</v>
      </c>
      <c r="G436" s="59"/>
      <c r="H436" s="59"/>
      <c r="I436" s="6">
        <f>(G436-H436)*'16-PlantAdditions'!$E$103</f>
        <v>0</v>
      </c>
      <c r="J436" s="6">
        <f t="shared" si="109"/>
        <v>0</v>
      </c>
      <c r="K436" s="6">
        <f t="shared" si="112"/>
        <v>0</v>
      </c>
    </row>
    <row r="437" spans="1:11" ht="13">
      <c r="A437" s="2">
        <f t="shared" si="110"/>
        <v>334</v>
      </c>
      <c r="B437" s="329" t="s">
        <v>398</v>
      </c>
      <c r="C437" s="330"/>
      <c r="D437" s="59"/>
      <c r="E437" s="6">
        <f>D437*'16-PlantAdditions'!$E$103</f>
        <v>0</v>
      </c>
      <c r="F437" s="6">
        <f t="shared" si="111"/>
        <v>0</v>
      </c>
      <c r="G437" s="59"/>
      <c r="H437" s="59"/>
      <c r="I437" s="6">
        <f>(G437-H437)*'16-PlantAdditions'!$E$103</f>
        <v>0</v>
      </c>
      <c r="J437" s="6">
        <f t="shared" si="109"/>
        <v>0</v>
      </c>
      <c r="K437" s="6">
        <f t="shared" si="112"/>
        <v>0</v>
      </c>
    </row>
    <row r="438" spans="1:11" ht="13">
      <c r="A438" s="2">
        <f t="shared" si="110"/>
        <v>335</v>
      </c>
      <c r="B438" s="329" t="s">
        <v>399</v>
      </c>
      <c r="C438" s="330"/>
      <c r="D438" s="59"/>
      <c r="E438" s="6">
        <f>D438*'16-PlantAdditions'!$E$103</f>
        <v>0</v>
      </c>
      <c r="F438" s="6">
        <f t="shared" si="111"/>
        <v>0</v>
      </c>
      <c r="G438" s="59"/>
      <c r="H438" s="59"/>
      <c r="I438" s="6">
        <f>(G438-H438)*'16-PlantAdditions'!$E$103</f>
        <v>0</v>
      </c>
      <c r="J438" s="6">
        <f t="shared" si="109"/>
        <v>0</v>
      </c>
      <c r="K438" s="6">
        <f t="shared" si="112"/>
        <v>0</v>
      </c>
    </row>
    <row r="439" spans="1:11" ht="13">
      <c r="A439" s="2">
        <f t="shared" si="110"/>
        <v>336</v>
      </c>
      <c r="B439" s="329" t="s">
        <v>400</v>
      </c>
      <c r="C439" s="330"/>
      <c r="D439" s="59"/>
      <c r="E439" s="6">
        <f>D439*'16-PlantAdditions'!$E$103</f>
        <v>0</v>
      </c>
      <c r="F439" s="6">
        <f t="shared" si="111"/>
        <v>0</v>
      </c>
      <c r="G439" s="59"/>
      <c r="H439" s="59"/>
      <c r="I439" s="6">
        <f>(G439-H439)*'16-PlantAdditions'!$E$103</f>
        <v>0</v>
      </c>
      <c r="J439" s="6">
        <f t="shared" si="109"/>
        <v>0</v>
      </c>
      <c r="K439" s="6">
        <f t="shared" si="112"/>
        <v>0</v>
      </c>
    </row>
    <row r="440" spans="1:11" ht="13">
      <c r="A440" s="2">
        <f t="shared" si="110"/>
        <v>337</v>
      </c>
      <c r="B440" s="329" t="s">
        <v>401</v>
      </c>
      <c r="C440" s="330"/>
      <c r="D440" s="59"/>
      <c r="E440" s="6">
        <f>D440*'16-PlantAdditions'!$E$103</f>
        <v>0</v>
      </c>
      <c r="F440" s="6">
        <f t="shared" si="111"/>
        <v>0</v>
      </c>
      <c r="G440" s="59"/>
      <c r="H440" s="59"/>
      <c r="I440" s="6">
        <f>(G440-H440)*'16-PlantAdditions'!$E$103</f>
        <v>0</v>
      </c>
      <c r="J440" s="6">
        <f t="shared" si="109"/>
        <v>0</v>
      </c>
      <c r="K440" s="6">
        <f t="shared" si="112"/>
        <v>0</v>
      </c>
    </row>
    <row r="441" spans="1:11" ht="13">
      <c r="A441" s="2">
        <f t="shared" si="110"/>
        <v>338</v>
      </c>
      <c r="B441" s="329" t="s">
        <v>402</v>
      </c>
      <c r="C441" s="330"/>
      <c r="D441" s="59"/>
      <c r="E441" s="6">
        <f>D441*'16-PlantAdditions'!$E$103</f>
        <v>0</v>
      </c>
      <c r="F441" s="6">
        <f t="shared" si="111"/>
        <v>0</v>
      </c>
      <c r="G441" s="59"/>
      <c r="H441" s="59"/>
      <c r="I441" s="6">
        <f>(G441-H441)*'16-PlantAdditions'!$E$103</f>
        <v>0</v>
      </c>
      <c r="J441" s="6">
        <f t="shared" si="109"/>
        <v>0</v>
      </c>
      <c r="K441" s="6">
        <f t="shared" si="112"/>
        <v>0</v>
      </c>
    </row>
    <row r="442" spans="1:11" ht="13">
      <c r="A442" s="2">
        <f t="shared" si="110"/>
        <v>339</v>
      </c>
      <c r="B442" s="329" t="s">
        <v>390</v>
      </c>
      <c r="C442" s="330"/>
      <c r="D442" s="59"/>
      <c r="E442" s="6">
        <f>D442*'16-PlantAdditions'!$E$103</f>
        <v>0</v>
      </c>
      <c r="F442" s="6">
        <f t="shared" si="111"/>
        <v>0</v>
      </c>
      <c r="G442" s="59"/>
      <c r="H442" s="59"/>
      <c r="I442" s="6">
        <f>(G442-H442)*'16-PlantAdditions'!$E$103</f>
        <v>0</v>
      </c>
      <c r="J442" s="6">
        <f t="shared" si="109"/>
        <v>0</v>
      </c>
      <c r="K442" s="53">
        <f t="shared" si="112"/>
        <v>0</v>
      </c>
    </row>
    <row r="443" spans="1:11" ht="13">
      <c r="A443" s="2">
        <f t="shared" si="110"/>
        <v>340</v>
      </c>
      <c r="C443" s="351" t="s">
        <v>1107</v>
      </c>
      <c r="H443" s="239"/>
      <c r="I443" s="239"/>
      <c r="K443" s="42">
        <f>AVERAGE(K430:K442)</f>
        <v>0</v>
      </c>
    </row>
    <row r="445" spans="1:11" ht="13">
      <c r="B445" s="34" t="s">
        <v>1133</v>
      </c>
      <c r="D445" s="1204" t="s">
        <v>1089</v>
      </c>
      <c r="E445" s="1204"/>
    </row>
    <row r="446" spans="1:11" ht="13">
      <c r="A446" s="3"/>
      <c r="B446" s="3"/>
      <c r="C446" s="3"/>
      <c r="D446" s="3" t="s">
        <v>347</v>
      </c>
      <c r="E446" s="3" t="s">
        <v>348</v>
      </c>
      <c r="F446" s="3" t="s">
        <v>349</v>
      </c>
      <c r="G446" s="3" t="s">
        <v>350</v>
      </c>
      <c r="H446" s="3" t="s">
        <v>351</v>
      </c>
      <c r="I446" s="3" t="s">
        <v>352</v>
      </c>
      <c r="J446" s="3" t="s">
        <v>353</v>
      </c>
      <c r="K446" s="3" t="s">
        <v>354</v>
      </c>
    </row>
    <row r="447" spans="1:11" ht="25.5">
      <c r="D447" s="48"/>
      <c r="E447" s="352" t="s">
        <v>1111</v>
      </c>
      <c r="F447" s="239" t="s">
        <v>1112</v>
      </c>
      <c r="G447" s="239"/>
      <c r="H447" s="48"/>
      <c r="I447" s="352" t="s">
        <v>1113</v>
      </c>
      <c r="J447" s="352" t="s">
        <v>1114</v>
      </c>
      <c r="K447" s="352" t="s">
        <v>1115</v>
      </c>
    </row>
    <row r="448" spans="1:11" ht="13">
      <c r="D448" s="48"/>
      <c r="E448" s="352"/>
      <c r="F448" s="239"/>
      <c r="G448" s="4" t="str">
        <f>G118</f>
        <v>Unloaded</v>
      </c>
      <c r="H448" s="48"/>
      <c r="I448" s="352"/>
      <c r="J448" s="352"/>
      <c r="K448" s="352"/>
    </row>
    <row r="449" spans="1:11" ht="13">
      <c r="A449" s="2"/>
      <c r="B449" s="2"/>
      <c r="C449" s="2"/>
      <c r="D449" s="2" t="str">
        <f>D$52</f>
        <v>Forecast</v>
      </c>
      <c r="E449" s="2" t="str">
        <f t="shared" ref="E449:J449" si="113">E$52</f>
        <v>Corporate</v>
      </c>
      <c r="F449" s="2" t="str">
        <f t="shared" si="113"/>
        <v xml:space="preserve">Total </v>
      </c>
      <c r="G449" s="4" t="str">
        <f>G119</f>
        <v>Total</v>
      </c>
      <c r="H449" s="2" t="str">
        <f t="shared" si="113"/>
        <v>Prior Period</v>
      </c>
      <c r="I449" s="2" t="str">
        <f t="shared" si="113"/>
        <v>Over Heads</v>
      </c>
      <c r="J449" s="2" t="str">
        <f t="shared" si="113"/>
        <v>Forecast</v>
      </c>
      <c r="K449" s="2" t="str">
        <f>K$52</f>
        <v>Forecast Period</v>
      </c>
    </row>
    <row r="450" spans="1:11" ht="13">
      <c r="A450" s="30" t="s">
        <v>284</v>
      </c>
      <c r="B450" s="328" t="s">
        <v>382</v>
      </c>
      <c r="C450" s="328" t="s">
        <v>383</v>
      </c>
      <c r="D450" s="3" t="str">
        <f>D$53</f>
        <v>Expenditures</v>
      </c>
      <c r="E450" s="3" t="str">
        <f t="shared" ref="E450:J450" si="114">E$53</f>
        <v>Overheads</v>
      </c>
      <c r="F450" s="3" t="str">
        <f t="shared" si="114"/>
        <v>CWIP Exp</v>
      </c>
      <c r="G450" s="48" t="str">
        <f>G120</f>
        <v>Plant Adds</v>
      </c>
      <c r="H450" s="3" t="str">
        <f t="shared" si="114"/>
        <v>CWIP Closed</v>
      </c>
      <c r="I450" s="3" t="str">
        <f t="shared" si="114"/>
        <v>Closed to PIS</v>
      </c>
      <c r="J450" s="3" t="str">
        <f t="shared" si="114"/>
        <v>Period CWIP</v>
      </c>
      <c r="K450" s="3" t="str">
        <f>K$53</f>
        <v>Incremental CWIP</v>
      </c>
    </row>
    <row r="451" spans="1:11" ht="13">
      <c r="A451" s="2">
        <f>A443+1</f>
        <v>341</v>
      </c>
      <c r="B451" s="329" t="s">
        <v>390</v>
      </c>
      <c r="C451" s="330"/>
      <c r="D451" s="239" t="s">
        <v>391</v>
      </c>
      <c r="E451" s="239" t="s">
        <v>391</v>
      </c>
      <c r="F451" s="239" t="s">
        <v>391</v>
      </c>
      <c r="G451" s="239" t="s">
        <v>391</v>
      </c>
      <c r="H451" s="239" t="s">
        <v>391</v>
      </c>
      <c r="I451" s="239" t="s">
        <v>391</v>
      </c>
      <c r="J451" s="6">
        <v>0</v>
      </c>
      <c r="K451" s="239" t="s">
        <v>391</v>
      </c>
    </row>
    <row r="452" spans="1:11" ht="13">
      <c r="A452" s="2">
        <f>A451+1</f>
        <v>342</v>
      </c>
      <c r="B452" s="329" t="s">
        <v>392</v>
      </c>
      <c r="C452" s="330"/>
      <c r="D452" s="59"/>
      <c r="E452" s="6">
        <f>D452*'16-PlantAdditions'!$E$103</f>
        <v>0</v>
      </c>
      <c r="F452" s="6">
        <f>E452+D452</f>
        <v>0</v>
      </c>
      <c r="G452" s="59"/>
      <c r="H452" s="59"/>
      <c r="I452" s="6">
        <f>(G452-H452)*'16-PlantAdditions'!$E$103</f>
        <v>0</v>
      </c>
      <c r="J452" s="6">
        <f>J451+F452-G452-I452</f>
        <v>0</v>
      </c>
      <c r="K452" s="6">
        <f>J452-$J$451</f>
        <v>0</v>
      </c>
    </row>
    <row r="453" spans="1:11" ht="13">
      <c r="A453" s="2">
        <f t="shared" ref="A453:A476" si="115">A452+1</f>
        <v>343</v>
      </c>
      <c r="B453" s="329" t="s">
        <v>393</v>
      </c>
      <c r="C453" s="330"/>
      <c r="D453" s="59"/>
      <c r="E453" s="6">
        <f>D453*'16-PlantAdditions'!$E$103</f>
        <v>0</v>
      </c>
      <c r="F453" s="6">
        <f t="shared" ref="F453:F475" si="116">E453+D453</f>
        <v>0</v>
      </c>
      <c r="G453" s="59"/>
      <c r="H453" s="59"/>
      <c r="I453" s="6">
        <f>(G453-H453)*'16-PlantAdditions'!$E$103</f>
        <v>0</v>
      </c>
      <c r="J453" s="6">
        <f t="shared" ref="J453:J475" si="117">J452+F453-G453-I453</f>
        <v>0</v>
      </c>
      <c r="K453" s="6">
        <f t="shared" ref="K453:K475" si="118">J453-$J$451</f>
        <v>0</v>
      </c>
    </row>
    <row r="454" spans="1:11" ht="13">
      <c r="A454" s="2">
        <f t="shared" si="115"/>
        <v>344</v>
      </c>
      <c r="B454" s="329" t="s">
        <v>394</v>
      </c>
      <c r="C454" s="330"/>
      <c r="D454" s="59"/>
      <c r="E454" s="6">
        <f>D454*'16-PlantAdditions'!$E$103</f>
        <v>0</v>
      </c>
      <c r="F454" s="6">
        <f t="shared" si="116"/>
        <v>0</v>
      </c>
      <c r="G454" s="59"/>
      <c r="H454" s="59"/>
      <c r="I454" s="6">
        <f>(G454-H454)*'16-PlantAdditions'!$E$103</f>
        <v>0</v>
      </c>
      <c r="J454" s="6">
        <f t="shared" si="117"/>
        <v>0</v>
      </c>
      <c r="K454" s="6">
        <f t="shared" si="118"/>
        <v>0</v>
      </c>
    </row>
    <row r="455" spans="1:11" ht="13">
      <c r="A455" s="2">
        <f t="shared" si="115"/>
        <v>345</v>
      </c>
      <c r="B455" s="329" t="s">
        <v>395</v>
      </c>
      <c r="C455" s="330"/>
      <c r="D455" s="59"/>
      <c r="E455" s="6">
        <f>D455*'16-PlantAdditions'!$E$103</f>
        <v>0</v>
      </c>
      <c r="F455" s="6">
        <f t="shared" si="116"/>
        <v>0</v>
      </c>
      <c r="G455" s="59"/>
      <c r="H455" s="59"/>
      <c r="I455" s="6">
        <f>(G455-H455)*'16-PlantAdditions'!$E$103</f>
        <v>0</v>
      </c>
      <c r="J455" s="6">
        <f t="shared" si="117"/>
        <v>0</v>
      </c>
      <c r="K455" s="6">
        <f t="shared" si="118"/>
        <v>0</v>
      </c>
    </row>
    <row r="456" spans="1:11" ht="13">
      <c r="A456" s="2">
        <f t="shared" si="115"/>
        <v>346</v>
      </c>
      <c r="B456" s="329" t="s">
        <v>396</v>
      </c>
      <c r="C456" s="330"/>
      <c r="D456" s="59"/>
      <c r="E456" s="6">
        <f>D456*'16-PlantAdditions'!$E$103</f>
        <v>0</v>
      </c>
      <c r="F456" s="6">
        <f t="shared" si="116"/>
        <v>0</v>
      </c>
      <c r="G456" s="59"/>
      <c r="H456" s="59"/>
      <c r="I456" s="6">
        <f>(G456-H456)*'16-PlantAdditions'!$E$103</f>
        <v>0</v>
      </c>
      <c r="J456" s="6">
        <f t="shared" si="117"/>
        <v>0</v>
      </c>
      <c r="K456" s="6">
        <f t="shared" si="118"/>
        <v>0</v>
      </c>
    </row>
    <row r="457" spans="1:11" ht="13">
      <c r="A457" s="2">
        <f t="shared" si="115"/>
        <v>347</v>
      </c>
      <c r="B457" s="329" t="s">
        <v>610</v>
      </c>
      <c r="C457" s="330"/>
      <c r="D457" s="59"/>
      <c r="E457" s="6">
        <f>D457*'16-PlantAdditions'!$E$103</f>
        <v>0</v>
      </c>
      <c r="F457" s="6">
        <f t="shared" si="116"/>
        <v>0</v>
      </c>
      <c r="G457" s="59"/>
      <c r="H457" s="59"/>
      <c r="I457" s="6">
        <f>(G457-H457)*'16-PlantAdditions'!$E$103</f>
        <v>0</v>
      </c>
      <c r="J457" s="6">
        <f t="shared" si="117"/>
        <v>0</v>
      </c>
      <c r="K457" s="6">
        <f t="shared" si="118"/>
        <v>0</v>
      </c>
    </row>
    <row r="458" spans="1:11" ht="13">
      <c r="A458" s="2">
        <f t="shared" si="115"/>
        <v>348</v>
      </c>
      <c r="B458" s="329" t="s">
        <v>398</v>
      </c>
      <c r="C458" s="330"/>
      <c r="D458" s="59"/>
      <c r="E458" s="6">
        <f>D458*'16-PlantAdditions'!$E$103</f>
        <v>0</v>
      </c>
      <c r="F458" s="6">
        <f t="shared" si="116"/>
        <v>0</v>
      </c>
      <c r="G458" s="59"/>
      <c r="H458" s="59"/>
      <c r="I458" s="6">
        <f>(G458-H458)*'16-PlantAdditions'!$E$103</f>
        <v>0</v>
      </c>
      <c r="J458" s="6">
        <f t="shared" si="117"/>
        <v>0</v>
      </c>
      <c r="K458" s="6">
        <f t="shared" si="118"/>
        <v>0</v>
      </c>
    </row>
    <row r="459" spans="1:11" ht="13">
      <c r="A459" s="2">
        <f t="shared" si="115"/>
        <v>349</v>
      </c>
      <c r="B459" s="329" t="s">
        <v>399</v>
      </c>
      <c r="C459" s="330"/>
      <c r="D459" s="59"/>
      <c r="E459" s="6">
        <f>D459*'16-PlantAdditions'!$E$103</f>
        <v>0</v>
      </c>
      <c r="F459" s="6">
        <f t="shared" si="116"/>
        <v>0</v>
      </c>
      <c r="G459" s="59"/>
      <c r="H459" s="59"/>
      <c r="I459" s="6">
        <f>(G459-H459)*'16-PlantAdditions'!$E$103</f>
        <v>0</v>
      </c>
      <c r="J459" s="6">
        <f t="shared" si="117"/>
        <v>0</v>
      </c>
      <c r="K459" s="6">
        <f t="shared" si="118"/>
        <v>0</v>
      </c>
    </row>
    <row r="460" spans="1:11" ht="13">
      <c r="A460" s="2">
        <f t="shared" si="115"/>
        <v>350</v>
      </c>
      <c r="B460" s="329" t="s">
        <v>400</v>
      </c>
      <c r="C460" s="330"/>
      <c r="D460" s="59"/>
      <c r="E460" s="6">
        <f>D460*'16-PlantAdditions'!$E$103</f>
        <v>0</v>
      </c>
      <c r="F460" s="6">
        <f t="shared" si="116"/>
        <v>0</v>
      </c>
      <c r="G460" s="59"/>
      <c r="H460" s="59"/>
      <c r="I460" s="6">
        <f>(G460-H460)*'16-PlantAdditions'!$E$103</f>
        <v>0</v>
      </c>
      <c r="J460" s="6">
        <f t="shared" si="117"/>
        <v>0</v>
      </c>
      <c r="K460" s="6">
        <f t="shared" si="118"/>
        <v>0</v>
      </c>
    </row>
    <row r="461" spans="1:11" ht="13">
      <c r="A461" s="2">
        <f t="shared" si="115"/>
        <v>351</v>
      </c>
      <c r="B461" s="329" t="s">
        <v>401</v>
      </c>
      <c r="C461" s="330"/>
      <c r="D461" s="59"/>
      <c r="E461" s="6">
        <f>D461*'16-PlantAdditions'!$E$103</f>
        <v>0</v>
      </c>
      <c r="F461" s="6">
        <f t="shared" si="116"/>
        <v>0</v>
      </c>
      <c r="G461" s="59"/>
      <c r="H461" s="59"/>
      <c r="I461" s="6">
        <f>(G461-H461)*'16-PlantAdditions'!$E$103</f>
        <v>0</v>
      </c>
      <c r="J461" s="6">
        <f t="shared" si="117"/>
        <v>0</v>
      </c>
      <c r="K461" s="6">
        <f t="shared" si="118"/>
        <v>0</v>
      </c>
    </row>
    <row r="462" spans="1:11" ht="13">
      <c r="A462" s="2">
        <f t="shared" si="115"/>
        <v>352</v>
      </c>
      <c r="B462" s="329" t="s">
        <v>402</v>
      </c>
      <c r="C462" s="330"/>
      <c r="D462" s="59"/>
      <c r="E462" s="6">
        <f>D462*'16-PlantAdditions'!$E$103</f>
        <v>0</v>
      </c>
      <c r="F462" s="6">
        <f t="shared" si="116"/>
        <v>0</v>
      </c>
      <c r="G462" s="59"/>
      <c r="H462" s="59"/>
      <c r="I462" s="6">
        <f>(G462-H462)*'16-PlantAdditions'!$E$103</f>
        <v>0</v>
      </c>
      <c r="J462" s="6">
        <f t="shared" si="117"/>
        <v>0</v>
      </c>
      <c r="K462" s="6">
        <f t="shared" si="118"/>
        <v>0</v>
      </c>
    </row>
    <row r="463" spans="1:11" ht="13">
      <c r="A463" s="2">
        <f t="shared" si="115"/>
        <v>353</v>
      </c>
      <c r="B463" s="329" t="s">
        <v>390</v>
      </c>
      <c r="C463" s="330"/>
      <c r="D463" s="59"/>
      <c r="E463" s="6">
        <f>D463*'16-PlantAdditions'!$E$103</f>
        <v>0</v>
      </c>
      <c r="F463" s="6">
        <f t="shared" si="116"/>
        <v>0</v>
      </c>
      <c r="G463" s="59"/>
      <c r="H463" s="59"/>
      <c r="I463" s="6">
        <f>(G463-H463)*'16-PlantAdditions'!$E$103</f>
        <v>0</v>
      </c>
      <c r="J463" s="6">
        <f t="shared" si="117"/>
        <v>0</v>
      </c>
      <c r="K463" s="6">
        <f t="shared" si="118"/>
        <v>0</v>
      </c>
    </row>
    <row r="464" spans="1:11" ht="13">
      <c r="A464" s="2">
        <f t="shared" si="115"/>
        <v>354</v>
      </c>
      <c r="B464" s="329" t="s">
        <v>392</v>
      </c>
      <c r="C464" s="330"/>
      <c r="D464" s="59"/>
      <c r="E464" s="6">
        <f>D464*'16-PlantAdditions'!$E$103</f>
        <v>0</v>
      </c>
      <c r="F464" s="6">
        <f t="shared" si="116"/>
        <v>0</v>
      </c>
      <c r="G464" s="59"/>
      <c r="H464" s="59"/>
      <c r="I464" s="6">
        <f>(G464-H464)*'16-PlantAdditions'!$E$103</f>
        <v>0</v>
      </c>
      <c r="J464" s="6">
        <f t="shared" si="117"/>
        <v>0</v>
      </c>
      <c r="K464" s="6">
        <f t="shared" si="118"/>
        <v>0</v>
      </c>
    </row>
    <row r="465" spans="1:12" ht="13">
      <c r="A465" s="2">
        <f t="shared" si="115"/>
        <v>355</v>
      </c>
      <c r="B465" s="329" t="s">
        <v>393</v>
      </c>
      <c r="C465" s="330"/>
      <c r="D465" s="59"/>
      <c r="E465" s="6">
        <f>D465*'16-PlantAdditions'!$E$103</f>
        <v>0</v>
      </c>
      <c r="F465" s="6">
        <f t="shared" si="116"/>
        <v>0</v>
      </c>
      <c r="G465" s="59"/>
      <c r="H465" s="59"/>
      <c r="I465" s="6">
        <f>(G465-H465)*'16-PlantAdditions'!$E$103</f>
        <v>0</v>
      </c>
      <c r="J465" s="6">
        <f t="shared" si="117"/>
        <v>0</v>
      </c>
      <c r="K465" s="6">
        <f t="shared" si="118"/>
        <v>0</v>
      </c>
    </row>
    <row r="466" spans="1:12" ht="13">
      <c r="A466" s="2">
        <f t="shared" si="115"/>
        <v>356</v>
      </c>
      <c r="B466" s="329" t="s">
        <v>394</v>
      </c>
      <c r="C466" s="330"/>
      <c r="D466" s="59"/>
      <c r="E466" s="6">
        <f>D466*'16-PlantAdditions'!$E$103</f>
        <v>0</v>
      </c>
      <c r="F466" s="6">
        <f t="shared" si="116"/>
        <v>0</v>
      </c>
      <c r="G466" s="59"/>
      <c r="H466" s="59"/>
      <c r="I466" s="6">
        <f>(G466-H466)*'16-PlantAdditions'!$E$103</f>
        <v>0</v>
      </c>
      <c r="J466" s="6">
        <f t="shared" si="117"/>
        <v>0</v>
      </c>
      <c r="K466" s="6">
        <f t="shared" si="118"/>
        <v>0</v>
      </c>
    </row>
    <row r="467" spans="1:12" ht="13">
      <c r="A467" s="2">
        <f t="shared" si="115"/>
        <v>357</v>
      </c>
      <c r="B467" s="329" t="s">
        <v>395</v>
      </c>
      <c r="C467" s="330"/>
      <c r="D467" s="59"/>
      <c r="E467" s="6">
        <f>D467*'16-PlantAdditions'!$E$103</f>
        <v>0</v>
      </c>
      <c r="F467" s="6">
        <f t="shared" si="116"/>
        <v>0</v>
      </c>
      <c r="G467" s="59"/>
      <c r="H467" s="59"/>
      <c r="I467" s="6">
        <f>(G467-H467)*'16-PlantAdditions'!$E$103</f>
        <v>0</v>
      </c>
      <c r="J467" s="6">
        <f t="shared" si="117"/>
        <v>0</v>
      </c>
      <c r="K467" s="6">
        <f t="shared" si="118"/>
        <v>0</v>
      </c>
    </row>
    <row r="468" spans="1:12" ht="13">
      <c r="A468" s="2">
        <f t="shared" si="115"/>
        <v>358</v>
      </c>
      <c r="B468" s="329" t="s">
        <v>396</v>
      </c>
      <c r="C468" s="330"/>
      <c r="D468" s="59"/>
      <c r="E468" s="6">
        <f>D468*'16-PlantAdditions'!$E$103</f>
        <v>0</v>
      </c>
      <c r="F468" s="6">
        <f t="shared" si="116"/>
        <v>0</v>
      </c>
      <c r="G468" s="59"/>
      <c r="H468" s="59"/>
      <c r="I468" s="6">
        <f>(G468-H468)*'16-PlantAdditions'!$E$103</f>
        <v>0</v>
      </c>
      <c r="J468" s="6">
        <f t="shared" si="117"/>
        <v>0</v>
      </c>
      <c r="K468" s="6">
        <f t="shared" si="118"/>
        <v>0</v>
      </c>
    </row>
    <row r="469" spans="1:12" ht="13">
      <c r="A469" s="2">
        <f t="shared" si="115"/>
        <v>359</v>
      </c>
      <c r="B469" s="329" t="s">
        <v>610</v>
      </c>
      <c r="C469" s="330"/>
      <c r="D469" s="59"/>
      <c r="E469" s="6">
        <f>D469*'16-PlantAdditions'!$E$103</f>
        <v>0</v>
      </c>
      <c r="F469" s="6">
        <f t="shared" si="116"/>
        <v>0</v>
      </c>
      <c r="G469" s="59"/>
      <c r="H469" s="59"/>
      <c r="I469" s="6">
        <f>(G469-H469)*'16-PlantAdditions'!$E$103</f>
        <v>0</v>
      </c>
      <c r="J469" s="6">
        <f t="shared" si="117"/>
        <v>0</v>
      </c>
      <c r="K469" s="6">
        <f t="shared" si="118"/>
        <v>0</v>
      </c>
    </row>
    <row r="470" spans="1:12" ht="13">
      <c r="A470" s="2">
        <f t="shared" si="115"/>
        <v>360</v>
      </c>
      <c r="B470" s="329" t="s">
        <v>398</v>
      </c>
      <c r="C470" s="330"/>
      <c r="D470" s="59"/>
      <c r="E470" s="6">
        <f>D470*'16-PlantAdditions'!$E$103</f>
        <v>0</v>
      </c>
      <c r="F470" s="6">
        <f t="shared" si="116"/>
        <v>0</v>
      </c>
      <c r="G470" s="59"/>
      <c r="H470" s="59"/>
      <c r="I470" s="6">
        <f>(G470-H470)*'16-PlantAdditions'!$E$103</f>
        <v>0</v>
      </c>
      <c r="J470" s="6">
        <f t="shared" si="117"/>
        <v>0</v>
      </c>
      <c r="K470" s="6">
        <f t="shared" si="118"/>
        <v>0</v>
      </c>
    </row>
    <row r="471" spans="1:12" ht="13">
      <c r="A471" s="2">
        <f t="shared" si="115"/>
        <v>361</v>
      </c>
      <c r="B471" s="329" t="s">
        <v>399</v>
      </c>
      <c r="C471" s="330"/>
      <c r="D471" s="59"/>
      <c r="E471" s="6">
        <f>D471*'16-PlantAdditions'!$E$103</f>
        <v>0</v>
      </c>
      <c r="F471" s="6">
        <f t="shared" si="116"/>
        <v>0</v>
      </c>
      <c r="G471" s="59"/>
      <c r="H471" s="59"/>
      <c r="I471" s="6">
        <f>(G471-H471)*'16-PlantAdditions'!$E$103</f>
        <v>0</v>
      </c>
      <c r="J471" s="6">
        <f t="shared" si="117"/>
        <v>0</v>
      </c>
      <c r="K471" s="6">
        <f t="shared" si="118"/>
        <v>0</v>
      </c>
    </row>
    <row r="472" spans="1:12" ht="13">
      <c r="A472" s="2">
        <f t="shared" si="115"/>
        <v>362</v>
      </c>
      <c r="B472" s="329" t="s">
        <v>400</v>
      </c>
      <c r="C472" s="330"/>
      <c r="D472" s="59"/>
      <c r="E472" s="6">
        <f>D472*'16-PlantAdditions'!$E$103</f>
        <v>0</v>
      </c>
      <c r="F472" s="6">
        <f t="shared" si="116"/>
        <v>0</v>
      </c>
      <c r="G472" s="59"/>
      <c r="H472" s="59"/>
      <c r="I472" s="6">
        <f>(G472-H472)*'16-PlantAdditions'!$E$103</f>
        <v>0</v>
      </c>
      <c r="J472" s="6">
        <f t="shared" si="117"/>
        <v>0</v>
      </c>
      <c r="K472" s="6">
        <f t="shared" si="118"/>
        <v>0</v>
      </c>
    </row>
    <row r="473" spans="1:12" ht="13">
      <c r="A473" s="2">
        <f t="shared" si="115"/>
        <v>363</v>
      </c>
      <c r="B473" s="329" t="s">
        <v>401</v>
      </c>
      <c r="C473" s="330"/>
      <c r="D473" s="59"/>
      <c r="E473" s="6">
        <f>D473*'16-PlantAdditions'!$E$103</f>
        <v>0</v>
      </c>
      <c r="F473" s="6">
        <f t="shared" si="116"/>
        <v>0</v>
      </c>
      <c r="G473" s="59"/>
      <c r="H473" s="59"/>
      <c r="I473" s="6">
        <f>(G473-H473)*'16-PlantAdditions'!$E$103</f>
        <v>0</v>
      </c>
      <c r="J473" s="6">
        <f t="shared" si="117"/>
        <v>0</v>
      </c>
      <c r="K473" s="6">
        <f t="shared" si="118"/>
        <v>0</v>
      </c>
    </row>
    <row r="474" spans="1:12" ht="13">
      <c r="A474" s="2">
        <f t="shared" si="115"/>
        <v>364</v>
      </c>
      <c r="B474" s="329" t="s">
        <v>402</v>
      </c>
      <c r="C474" s="330"/>
      <c r="D474" s="59"/>
      <c r="E474" s="6">
        <f>D474*'16-PlantAdditions'!$E$103</f>
        <v>0</v>
      </c>
      <c r="F474" s="6">
        <f t="shared" si="116"/>
        <v>0</v>
      </c>
      <c r="G474" s="59"/>
      <c r="H474" s="59"/>
      <c r="I474" s="6">
        <f>(G474-H474)*'16-PlantAdditions'!$E$103</f>
        <v>0</v>
      </c>
      <c r="J474" s="6">
        <f t="shared" si="117"/>
        <v>0</v>
      </c>
      <c r="K474" s="6">
        <f t="shared" si="118"/>
        <v>0</v>
      </c>
    </row>
    <row r="475" spans="1:12" ht="13">
      <c r="A475" s="2">
        <f t="shared" si="115"/>
        <v>365</v>
      </c>
      <c r="B475" s="329" t="s">
        <v>390</v>
      </c>
      <c r="C475" s="330"/>
      <c r="D475" s="59"/>
      <c r="E475" s="6">
        <f>D475*'16-PlantAdditions'!$E$103</f>
        <v>0</v>
      </c>
      <c r="F475" s="6">
        <f t="shared" si="116"/>
        <v>0</v>
      </c>
      <c r="G475" s="59"/>
      <c r="H475" s="59"/>
      <c r="I475" s="6">
        <f>(G475-H475)*'16-PlantAdditions'!$E$103</f>
        <v>0</v>
      </c>
      <c r="J475" s="6">
        <f t="shared" si="117"/>
        <v>0</v>
      </c>
      <c r="K475" s="53">
        <f t="shared" si="118"/>
        <v>0</v>
      </c>
    </row>
    <row r="476" spans="1:12" ht="13">
      <c r="A476" s="2">
        <f t="shared" si="115"/>
        <v>366</v>
      </c>
      <c r="C476" s="351" t="s">
        <v>1107</v>
      </c>
      <c r="H476" s="239"/>
      <c r="I476" s="239"/>
      <c r="K476" s="42">
        <f>AVERAGE(K463:K475)</f>
        <v>0</v>
      </c>
    </row>
    <row r="477" spans="1:12" ht="13">
      <c r="A477" s="2"/>
      <c r="C477" s="351"/>
      <c r="H477" s="239"/>
      <c r="I477" s="239"/>
      <c r="K477" s="42"/>
    </row>
    <row r="478" spans="1:12" ht="13">
      <c r="A478" s="233"/>
      <c r="B478" s="34" t="s">
        <v>1134</v>
      </c>
      <c r="C478" s="233"/>
      <c r="D478" s="1204" t="s">
        <v>1135</v>
      </c>
      <c r="E478" s="1204"/>
      <c r="F478" s="233"/>
      <c r="G478" s="233"/>
      <c r="H478" s="233"/>
      <c r="I478" s="233"/>
      <c r="J478" s="233"/>
      <c r="K478" s="233"/>
      <c r="L478" s="233"/>
    </row>
    <row r="479" spans="1:12" ht="13">
      <c r="A479" s="3"/>
      <c r="B479" s="3"/>
      <c r="C479" s="3"/>
      <c r="D479" s="3" t="s">
        <v>347</v>
      </c>
      <c r="E479" s="3" t="s">
        <v>348</v>
      </c>
      <c r="F479" s="3" t="s">
        <v>349</v>
      </c>
      <c r="G479" s="3" t="s">
        <v>350</v>
      </c>
      <c r="H479" s="3" t="s">
        <v>351</v>
      </c>
      <c r="I479" s="3" t="s">
        <v>352</v>
      </c>
      <c r="J479" s="3" t="s">
        <v>353</v>
      </c>
      <c r="K479" s="3" t="s">
        <v>354</v>
      </c>
      <c r="L479" s="233"/>
    </row>
    <row r="480" spans="1:12" ht="25.5">
      <c r="A480" s="233"/>
      <c r="B480" s="233"/>
      <c r="C480" s="233"/>
      <c r="D480" s="48"/>
      <c r="E480" s="352" t="s">
        <v>1111</v>
      </c>
      <c r="F480" s="239" t="s">
        <v>1112</v>
      </c>
      <c r="G480" s="239"/>
      <c r="H480" s="48"/>
      <c r="I480" s="352" t="s">
        <v>1113</v>
      </c>
      <c r="J480" s="352" t="s">
        <v>1114</v>
      </c>
      <c r="K480" s="352" t="s">
        <v>1115</v>
      </c>
      <c r="L480" s="233"/>
    </row>
    <row r="481" spans="1:12" ht="13">
      <c r="A481" s="233"/>
      <c r="B481" s="233"/>
      <c r="C481" s="233"/>
      <c r="D481" s="48"/>
      <c r="E481" s="352"/>
      <c r="F481" s="239"/>
      <c r="G481" s="4">
        <f>G150</f>
        <v>0</v>
      </c>
      <c r="H481" s="48"/>
      <c r="I481" s="352"/>
      <c r="J481" s="352"/>
      <c r="K481" s="352"/>
      <c r="L481" s="233"/>
    </row>
    <row r="482" spans="1:12" ht="13">
      <c r="A482" s="2"/>
      <c r="B482" s="2"/>
      <c r="C482" s="2"/>
      <c r="D482" s="2" t="str">
        <f>D$52</f>
        <v>Forecast</v>
      </c>
      <c r="E482" s="2" t="str">
        <f t="shared" ref="E482:J482" si="119">E$52</f>
        <v>Corporate</v>
      </c>
      <c r="F482" s="2" t="str">
        <f t="shared" si="119"/>
        <v xml:space="preserve">Total </v>
      </c>
      <c r="G482" s="4" t="str">
        <f>G151</f>
        <v>Unloaded</v>
      </c>
      <c r="H482" s="2" t="str">
        <f t="shared" si="119"/>
        <v>Prior Period</v>
      </c>
      <c r="I482" s="2" t="str">
        <f t="shared" si="119"/>
        <v>Over Heads</v>
      </c>
      <c r="J482" s="2" t="str">
        <f t="shared" si="119"/>
        <v>Forecast</v>
      </c>
      <c r="K482" s="2" t="str">
        <f>K$52</f>
        <v>Forecast Period</v>
      </c>
      <c r="L482" s="233"/>
    </row>
    <row r="483" spans="1:12" ht="13">
      <c r="A483" s="30" t="s">
        <v>284</v>
      </c>
      <c r="B483" s="328" t="s">
        <v>382</v>
      </c>
      <c r="C483" s="328" t="s">
        <v>383</v>
      </c>
      <c r="D483" s="3" t="str">
        <f>D$53</f>
        <v>Expenditures</v>
      </c>
      <c r="E483" s="3" t="str">
        <f t="shared" ref="E483:J483" si="120">E$53</f>
        <v>Overheads</v>
      </c>
      <c r="F483" s="3" t="str">
        <f t="shared" si="120"/>
        <v>CWIP Exp</v>
      </c>
      <c r="G483" s="48" t="str">
        <f>G152</f>
        <v>Total</v>
      </c>
      <c r="H483" s="3" t="str">
        <f t="shared" si="120"/>
        <v>CWIP Closed</v>
      </c>
      <c r="I483" s="3" t="str">
        <f t="shared" si="120"/>
        <v>Closed to PIS</v>
      </c>
      <c r="J483" s="3" t="str">
        <f t="shared" si="120"/>
        <v>Period CWIP</v>
      </c>
      <c r="K483" s="3" t="str">
        <f>K$53</f>
        <v>Incremental CWIP</v>
      </c>
      <c r="L483" s="233"/>
    </row>
    <row r="484" spans="1:12" ht="13">
      <c r="A484" s="2">
        <f>A476+1</f>
        <v>367</v>
      </c>
      <c r="B484" s="329" t="s">
        <v>390</v>
      </c>
      <c r="C484" s="330"/>
      <c r="D484" s="239" t="s">
        <v>391</v>
      </c>
      <c r="E484" s="239" t="s">
        <v>391</v>
      </c>
      <c r="F484" s="239" t="s">
        <v>391</v>
      </c>
      <c r="G484" s="239" t="s">
        <v>391</v>
      </c>
      <c r="H484" s="239" t="s">
        <v>391</v>
      </c>
      <c r="I484" s="239" t="s">
        <v>391</v>
      </c>
      <c r="J484" s="235">
        <v>0</v>
      </c>
      <c r="K484" s="239" t="s">
        <v>391</v>
      </c>
      <c r="L484" s="233"/>
    </row>
    <row r="485" spans="1:12" ht="13">
      <c r="A485" s="2">
        <f>A484+1</f>
        <v>368</v>
      </c>
      <c r="B485" s="329" t="s">
        <v>392</v>
      </c>
      <c r="C485" s="330"/>
      <c r="D485" s="253"/>
      <c r="E485" s="235">
        <f>D485*'16-PlantAdditions'!$E$103</f>
        <v>0</v>
      </c>
      <c r="F485" s="235">
        <f>E485+D485</f>
        <v>0</v>
      </c>
      <c r="G485" s="253"/>
      <c r="H485" s="253"/>
      <c r="I485" s="235">
        <f>(G485-H485)*'16-PlantAdditions'!$E$103</f>
        <v>0</v>
      </c>
      <c r="J485" s="235">
        <f>J484+F485-G485-I485</f>
        <v>0</v>
      </c>
      <c r="K485" s="235">
        <f>J485-$J$451</f>
        <v>0</v>
      </c>
      <c r="L485" s="233"/>
    </row>
    <row r="486" spans="1:12" ht="13">
      <c r="A486" s="2">
        <f t="shared" ref="A486:A509" si="121">A485+1</f>
        <v>369</v>
      </c>
      <c r="B486" s="329" t="s">
        <v>393</v>
      </c>
      <c r="C486" s="330"/>
      <c r="D486" s="253"/>
      <c r="E486" s="235">
        <f>D486*'16-PlantAdditions'!$E$103</f>
        <v>0</v>
      </c>
      <c r="F486" s="235">
        <f t="shared" ref="F486:F508" si="122">E486+D486</f>
        <v>0</v>
      </c>
      <c r="G486" s="253"/>
      <c r="H486" s="253"/>
      <c r="I486" s="235">
        <f>(G486-H486)*'16-PlantAdditions'!$E$103</f>
        <v>0</v>
      </c>
      <c r="J486" s="235">
        <f t="shared" ref="J486:J508" si="123">J485+F486-G486-I486</f>
        <v>0</v>
      </c>
      <c r="K486" s="235">
        <f t="shared" ref="K486:K508" si="124">J486-$J$451</f>
        <v>0</v>
      </c>
      <c r="L486" s="233"/>
    </row>
    <row r="487" spans="1:12" ht="13">
      <c r="A487" s="2">
        <f t="shared" si="121"/>
        <v>370</v>
      </c>
      <c r="B487" s="329" t="s">
        <v>394</v>
      </c>
      <c r="C487" s="330"/>
      <c r="D487" s="253"/>
      <c r="E487" s="235">
        <f>D487*'16-PlantAdditions'!$E$103</f>
        <v>0</v>
      </c>
      <c r="F487" s="235">
        <f t="shared" si="122"/>
        <v>0</v>
      </c>
      <c r="G487" s="253"/>
      <c r="H487" s="253"/>
      <c r="I487" s="235">
        <f>(G487-H487)*'16-PlantAdditions'!$E$103</f>
        <v>0</v>
      </c>
      <c r="J487" s="235">
        <f t="shared" si="123"/>
        <v>0</v>
      </c>
      <c r="K487" s="235">
        <f t="shared" si="124"/>
        <v>0</v>
      </c>
      <c r="L487" s="233"/>
    </row>
    <row r="488" spans="1:12" ht="13">
      <c r="A488" s="2">
        <f t="shared" si="121"/>
        <v>371</v>
      </c>
      <c r="B488" s="329" t="s">
        <v>395</v>
      </c>
      <c r="C488" s="330"/>
      <c r="D488" s="253"/>
      <c r="E488" s="235">
        <f>D488*'16-PlantAdditions'!$E$103</f>
        <v>0</v>
      </c>
      <c r="F488" s="235">
        <f t="shared" si="122"/>
        <v>0</v>
      </c>
      <c r="G488" s="253"/>
      <c r="H488" s="253"/>
      <c r="I488" s="235">
        <f>(G488-H488)*'16-PlantAdditions'!$E$103</f>
        <v>0</v>
      </c>
      <c r="J488" s="235">
        <f t="shared" si="123"/>
        <v>0</v>
      </c>
      <c r="K488" s="235">
        <f t="shared" si="124"/>
        <v>0</v>
      </c>
      <c r="L488" s="233"/>
    </row>
    <row r="489" spans="1:12" ht="13">
      <c r="A489" s="2">
        <f t="shared" si="121"/>
        <v>372</v>
      </c>
      <c r="B489" s="329" t="s">
        <v>396</v>
      </c>
      <c r="C489" s="330"/>
      <c r="D489" s="253"/>
      <c r="E489" s="235">
        <f>D489*'16-PlantAdditions'!$E$103</f>
        <v>0</v>
      </c>
      <c r="F489" s="235">
        <f t="shared" si="122"/>
        <v>0</v>
      </c>
      <c r="G489" s="253"/>
      <c r="H489" s="253"/>
      <c r="I489" s="235">
        <f>(G489-H489)*'16-PlantAdditions'!$E$103</f>
        <v>0</v>
      </c>
      <c r="J489" s="235">
        <f t="shared" si="123"/>
        <v>0</v>
      </c>
      <c r="K489" s="235">
        <f t="shared" si="124"/>
        <v>0</v>
      </c>
      <c r="L489" s="233"/>
    </row>
    <row r="490" spans="1:12" ht="13">
      <c r="A490" s="2">
        <f t="shared" si="121"/>
        <v>373</v>
      </c>
      <c r="B490" s="329" t="s">
        <v>610</v>
      </c>
      <c r="C490" s="330"/>
      <c r="D490" s="253"/>
      <c r="E490" s="235">
        <f>D490*'16-PlantAdditions'!$E$103</f>
        <v>0</v>
      </c>
      <c r="F490" s="235">
        <f t="shared" si="122"/>
        <v>0</v>
      </c>
      <c r="G490" s="253"/>
      <c r="H490" s="253"/>
      <c r="I490" s="235">
        <f>(G490-H490)*'16-PlantAdditions'!$E$103</f>
        <v>0</v>
      </c>
      <c r="J490" s="235">
        <f t="shared" si="123"/>
        <v>0</v>
      </c>
      <c r="K490" s="235">
        <f t="shared" si="124"/>
        <v>0</v>
      </c>
      <c r="L490" s="233"/>
    </row>
    <row r="491" spans="1:12" ht="13">
      <c r="A491" s="2">
        <f t="shared" si="121"/>
        <v>374</v>
      </c>
      <c r="B491" s="329" t="s">
        <v>398</v>
      </c>
      <c r="C491" s="330"/>
      <c r="D491" s="253"/>
      <c r="E491" s="235">
        <f>D491*'16-PlantAdditions'!$E$103</f>
        <v>0</v>
      </c>
      <c r="F491" s="235">
        <f t="shared" si="122"/>
        <v>0</v>
      </c>
      <c r="G491" s="253"/>
      <c r="H491" s="253"/>
      <c r="I491" s="235">
        <f>(G491-H491)*'16-PlantAdditions'!$E$103</f>
        <v>0</v>
      </c>
      <c r="J491" s="235">
        <f t="shared" si="123"/>
        <v>0</v>
      </c>
      <c r="K491" s="235">
        <f t="shared" si="124"/>
        <v>0</v>
      </c>
      <c r="L491" s="233"/>
    </row>
    <row r="492" spans="1:12" ht="13">
      <c r="A492" s="2">
        <f t="shared" si="121"/>
        <v>375</v>
      </c>
      <c r="B492" s="329" t="s">
        <v>399</v>
      </c>
      <c r="C492" s="330"/>
      <c r="D492" s="253"/>
      <c r="E492" s="235">
        <f>D492*'16-PlantAdditions'!$E$103</f>
        <v>0</v>
      </c>
      <c r="F492" s="235">
        <f t="shared" si="122"/>
        <v>0</v>
      </c>
      <c r="G492" s="253"/>
      <c r="H492" s="253"/>
      <c r="I492" s="235">
        <f>(G492-H492)*'16-PlantAdditions'!$E$103</f>
        <v>0</v>
      </c>
      <c r="J492" s="235">
        <f t="shared" si="123"/>
        <v>0</v>
      </c>
      <c r="K492" s="235">
        <f t="shared" si="124"/>
        <v>0</v>
      </c>
      <c r="L492" s="233"/>
    </row>
    <row r="493" spans="1:12" ht="13">
      <c r="A493" s="2">
        <f t="shared" si="121"/>
        <v>376</v>
      </c>
      <c r="B493" s="329" t="s">
        <v>400</v>
      </c>
      <c r="C493" s="330"/>
      <c r="D493" s="253"/>
      <c r="E493" s="235">
        <f>D493*'16-PlantAdditions'!$E$103</f>
        <v>0</v>
      </c>
      <c r="F493" s="235">
        <f t="shared" si="122"/>
        <v>0</v>
      </c>
      <c r="G493" s="253"/>
      <c r="H493" s="253"/>
      <c r="I493" s="235">
        <f>(G493-H493)*'16-PlantAdditions'!$E$103</f>
        <v>0</v>
      </c>
      <c r="J493" s="235">
        <f t="shared" si="123"/>
        <v>0</v>
      </c>
      <c r="K493" s="235">
        <f t="shared" si="124"/>
        <v>0</v>
      </c>
      <c r="L493" s="233"/>
    </row>
    <row r="494" spans="1:12" ht="13">
      <c r="A494" s="2">
        <f t="shared" si="121"/>
        <v>377</v>
      </c>
      <c r="B494" s="329" t="s">
        <v>401</v>
      </c>
      <c r="C494" s="330"/>
      <c r="D494" s="253"/>
      <c r="E494" s="235">
        <f>D494*'16-PlantAdditions'!$E$103</f>
        <v>0</v>
      </c>
      <c r="F494" s="235">
        <f t="shared" si="122"/>
        <v>0</v>
      </c>
      <c r="G494" s="253"/>
      <c r="H494" s="253"/>
      <c r="I494" s="235">
        <f>(G494-H494)*'16-PlantAdditions'!$E$103</f>
        <v>0</v>
      </c>
      <c r="J494" s="235">
        <f t="shared" si="123"/>
        <v>0</v>
      </c>
      <c r="K494" s="235">
        <f t="shared" si="124"/>
        <v>0</v>
      </c>
      <c r="L494" s="233"/>
    </row>
    <row r="495" spans="1:12" ht="13">
      <c r="A495" s="2">
        <f t="shared" si="121"/>
        <v>378</v>
      </c>
      <c r="B495" s="329" t="s">
        <v>402</v>
      </c>
      <c r="C495" s="330"/>
      <c r="D495" s="253"/>
      <c r="E495" s="235">
        <f>D495*'16-PlantAdditions'!$E$103</f>
        <v>0</v>
      </c>
      <c r="F495" s="235">
        <f t="shared" si="122"/>
        <v>0</v>
      </c>
      <c r="G495" s="253"/>
      <c r="H495" s="253"/>
      <c r="I495" s="235">
        <f>(G495-H495)*'16-PlantAdditions'!$E$103</f>
        <v>0</v>
      </c>
      <c r="J495" s="235">
        <f t="shared" si="123"/>
        <v>0</v>
      </c>
      <c r="K495" s="235">
        <f t="shared" si="124"/>
        <v>0</v>
      </c>
      <c r="L495" s="233"/>
    </row>
    <row r="496" spans="1:12" ht="13">
      <c r="A496" s="2">
        <f t="shared" si="121"/>
        <v>379</v>
      </c>
      <c r="B496" s="329" t="s">
        <v>390</v>
      </c>
      <c r="C496" s="330"/>
      <c r="D496" s="253"/>
      <c r="E496" s="235">
        <f>D496*'16-PlantAdditions'!$E$103</f>
        <v>0</v>
      </c>
      <c r="F496" s="235">
        <f t="shared" si="122"/>
        <v>0</v>
      </c>
      <c r="G496" s="253"/>
      <c r="H496" s="253"/>
      <c r="I496" s="235">
        <f>(G496-H496)*'16-PlantAdditions'!$E$103</f>
        <v>0</v>
      </c>
      <c r="J496" s="235">
        <f t="shared" si="123"/>
        <v>0</v>
      </c>
      <c r="K496" s="235">
        <f t="shared" si="124"/>
        <v>0</v>
      </c>
      <c r="L496" s="233"/>
    </row>
    <row r="497" spans="1:12" ht="13">
      <c r="A497" s="2">
        <f t="shared" si="121"/>
        <v>380</v>
      </c>
      <c r="B497" s="329" t="s">
        <v>392</v>
      </c>
      <c r="C497" s="330"/>
      <c r="D497" s="253"/>
      <c r="E497" s="235">
        <f>D497*'16-PlantAdditions'!$E$103</f>
        <v>0</v>
      </c>
      <c r="F497" s="235">
        <f t="shared" si="122"/>
        <v>0</v>
      </c>
      <c r="G497" s="253"/>
      <c r="H497" s="253"/>
      <c r="I497" s="235">
        <f>(G497-H497)*'16-PlantAdditions'!$E$103</f>
        <v>0</v>
      </c>
      <c r="J497" s="235">
        <f t="shared" si="123"/>
        <v>0</v>
      </c>
      <c r="K497" s="235">
        <f t="shared" si="124"/>
        <v>0</v>
      </c>
      <c r="L497" s="233"/>
    </row>
    <row r="498" spans="1:12" ht="13">
      <c r="A498" s="2">
        <f t="shared" si="121"/>
        <v>381</v>
      </c>
      <c r="B498" s="329" t="s">
        <v>393</v>
      </c>
      <c r="C498" s="330"/>
      <c r="D498" s="253"/>
      <c r="E498" s="235">
        <f>D498*'16-PlantAdditions'!$E$103</f>
        <v>0</v>
      </c>
      <c r="F498" s="235">
        <f t="shared" si="122"/>
        <v>0</v>
      </c>
      <c r="G498" s="253"/>
      <c r="H498" s="253"/>
      <c r="I498" s="235">
        <f>(G498-H498)*'16-PlantAdditions'!$E$103</f>
        <v>0</v>
      </c>
      <c r="J498" s="235">
        <f t="shared" si="123"/>
        <v>0</v>
      </c>
      <c r="K498" s="235">
        <f t="shared" si="124"/>
        <v>0</v>
      </c>
      <c r="L498" s="233"/>
    </row>
    <row r="499" spans="1:12" ht="13">
      <c r="A499" s="2">
        <f t="shared" si="121"/>
        <v>382</v>
      </c>
      <c r="B499" s="329" t="s">
        <v>394</v>
      </c>
      <c r="C499" s="330"/>
      <c r="D499" s="253"/>
      <c r="E499" s="235">
        <f>D499*'16-PlantAdditions'!$E$103</f>
        <v>0</v>
      </c>
      <c r="F499" s="235">
        <f t="shared" si="122"/>
        <v>0</v>
      </c>
      <c r="G499" s="253"/>
      <c r="H499" s="253"/>
      <c r="I499" s="235">
        <f>(G499-H499)*'16-PlantAdditions'!$E$103</f>
        <v>0</v>
      </c>
      <c r="J499" s="235">
        <f t="shared" si="123"/>
        <v>0</v>
      </c>
      <c r="K499" s="235">
        <f t="shared" si="124"/>
        <v>0</v>
      </c>
      <c r="L499" s="233"/>
    </row>
    <row r="500" spans="1:12" ht="13">
      <c r="A500" s="2">
        <f t="shared" si="121"/>
        <v>383</v>
      </c>
      <c r="B500" s="329" t="s">
        <v>395</v>
      </c>
      <c r="C500" s="330"/>
      <c r="D500" s="253"/>
      <c r="E500" s="235">
        <f>D500*'16-PlantAdditions'!$E$103</f>
        <v>0</v>
      </c>
      <c r="F500" s="235">
        <f t="shared" si="122"/>
        <v>0</v>
      </c>
      <c r="G500" s="253"/>
      <c r="H500" s="253"/>
      <c r="I500" s="235">
        <f>(G500-H500)*'16-PlantAdditions'!$E$103</f>
        <v>0</v>
      </c>
      <c r="J500" s="235">
        <f t="shared" si="123"/>
        <v>0</v>
      </c>
      <c r="K500" s="235">
        <f t="shared" si="124"/>
        <v>0</v>
      </c>
      <c r="L500" s="233"/>
    </row>
    <row r="501" spans="1:12" ht="13">
      <c r="A501" s="2">
        <f t="shared" si="121"/>
        <v>384</v>
      </c>
      <c r="B501" s="329" t="s">
        <v>396</v>
      </c>
      <c r="C501" s="330"/>
      <c r="D501" s="253"/>
      <c r="E501" s="235">
        <f>D501*'16-PlantAdditions'!$E$103</f>
        <v>0</v>
      </c>
      <c r="F501" s="235">
        <f t="shared" si="122"/>
        <v>0</v>
      </c>
      <c r="G501" s="253"/>
      <c r="H501" s="253"/>
      <c r="I501" s="235">
        <f>(G501-H501)*'16-PlantAdditions'!$E$103</f>
        <v>0</v>
      </c>
      <c r="J501" s="235">
        <f t="shared" si="123"/>
        <v>0</v>
      </c>
      <c r="K501" s="235">
        <f t="shared" si="124"/>
        <v>0</v>
      </c>
      <c r="L501" s="233"/>
    </row>
    <row r="502" spans="1:12" ht="13">
      <c r="A502" s="2">
        <f t="shared" si="121"/>
        <v>385</v>
      </c>
      <c r="B502" s="329" t="s">
        <v>610</v>
      </c>
      <c r="C502" s="330"/>
      <c r="D502" s="253"/>
      <c r="E502" s="235">
        <f>D502*'16-PlantAdditions'!$E$103</f>
        <v>0</v>
      </c>
      <c r="F502" s="235">
        <f t="shared" si="122"/>
        <v>0</v>
      </c>
      <c r="G502" s="253"/>
      <c r="H502" s="253"/>
      <c r="I502" s="235">
        <f>(G502-H502)*'16-PlantAdditions'!$E$103</f>
        <v>0</v>
      </c>
      <c r="J502" s="235">
        <f t="shared" si="123"/>
        <v>0</v>
      </c>
      <c r="K502" s="235">
        <f t="shared" si="124"/>
        <v>0</v>
      </c>
      <c r="L502" s="233"/>
    </row>
    <row r="503" spans="1:12" ht="13">
      <c r="A503" s="2">
        <f t="shared" si="121"/>
        <v>386</v>
      </c>
      <c r="B503" s="329" t="s">
        <v>398</v>
      </c>
      <c r="C503" s="330"/>
      <c r="D503" s="253"/>
      <c r="E503" s="235">
        <f>D503*'16-PlantAdditions'!$E$103</f>
        <v>0</v>
      </c>
      <c r="F503" s="235">
        <f t="shared" si="122"/>
        <v>0</v>
      </c>
      <c r="G503" s="253"/>
      <c r="H503" s="253"/>
      <c r="I503" s="235">
        <f>(G503-H503)*'16-PlantAdditions'!$E$103</f>
        <v>0</v>
      </c>
      <c r="J503" s="235">
        <f t="shared" si="123"/>
        <v>0</v>
      </c>
      <c r="K503" s="235">
        <f t="shared" si="124"/>
        <v>0</v>
      </c>
      <c r="L503" s="233"/>
    </row>
    <row r="504" spans="1:12" ht="13">
      <c r="A504" s="2">
        <f t="shared" si="121"/>
        <v>387</v>
      </c>
      <c r="B504" s="329" t="s">
        <v>399</v>
      </c>
      <c r="C504" s="330"/>
      <c r="D504" s="253"/>
      <c r="E504" s="235">
        <f>D504*'16-PlantAdditions'!$E$103</f>
        <v>0</v>
      </c>
      <c r="F504" s="235">
        <f t="shared" si="122"/>
        <v>0</v>
      </c>
      <c r="G504" s="253"/>
      <c r="H504" s="253"/>
      <c r="I504" s="235">
        <f>(G504-H504)*'16-PlantAdditions'!$E$103</f>
        <v>0</v>
      </c>
      <c r="J504" s="235">
        <f t="shared" si="123"/>
        <v>0</v>
      </c>
      <c r="K504" s="235">
        <f t="shared" si="124"/>
        <v>0</v>
      </c>
      <c r="L504" s="233"/>
    </row>
    <row r="505" spans="1:12" ht="13">
      <c r="A505" s="2">
        <f t="shared" si="121"/>
        <v>388</v>
      </c>
      <c r="B505" s="329" t="s">
        <v>400</v>
      </c>
      <c r="C505" s="330"/>
      <c r="D505" s="253"/>
      <c r="E505" s="235">
        <f>D505*'16-PlantAdditions'!$E$103</f>
        <v>0</v>
      </c>
      <c r="F505" s="235">
        <f t="shared" si="122"/>
        <v>0</v>
      </c>
      <c r="G505" s="253"/>
      <c r="H505" s="253"/>
      <c r="I505" s="235">
        <f>(G505-H505)*'16-PlantAdditions'!$E$103</f>
        <v>0</v>
      </c>
      <c r="J505" s="235">
        <f t="shared" si="123"/>
        <v>0</v>
      </c>
      <c r="K505" s="235">
        <f t="shared" si="124"/>
        <v>0</v>
      </c>
      <c r="L505" s="233"/>
    </row>
    <row r="506" spans="1:12" ht="13">
      <c r="A506" s="2">
        <f t="shared" si="121"/>
        <v>389</v>
      </c>
      <c r="B506" s="329" t="s">
        <v>401</v>
      </c>
      <c r="C506" s="330"/>
      <c r="D506" s="253"/>
      <c r="E506" s="235">
        <f>D506*'16-PlantAdditions'!$E$103</f>
        <v>0</v>
      </c>
      <c r="F506" s="235">
        <f t="shared" si="122"/>
        <v>0</v>
      </c>
      <c r="G506" s="253"/>
      <c r="H506" s="253"/>
      <c r="I506" s="235">
        <f>(G506-H506)*'16-PlantAdditions'!$E$103</f>
        <v>0</v>
      </c>
      <c r="J506" s="235">
        <f t="shared" si="123"/>
        <v>0</v>
      </c>
      <c r="K506" s="235">
        <f t="shared" si="124"/>
        <v>0</v>
      </c>
      <c r="L506" s="233"/>
    </row>
    <row r="507" spans="1:12" ht="13">
      <c r="A507" s="2">
        <f t="shared" si="121"/>
        <v>390</v>
      </c>
      <c r="B507" s="329" t="s">
        <v>402</v>
      </c>
      <c r="C507" s="330"/>
      <c r="D507" s="253"/>
      <c r="E507" s="235">
        <f>D507*'16-PlantAdditions'!$E$103</f>
        <v>0</v>
      </c>
      <c r="F507" s="235">
        <f t="shared" si="122"/>
        <v>0</v>
      </c>
      <c r="G507" s="253"/>
      <c r="H507" s="253"/>
      <c r="I507" s="235">
        <f>(G507-H507)*'16-PlantAdditions'!$E$103</f>
        <v>0</v>
      </c>
      <c r="J507" s="235">
        <f t="shared" si="123"/>
        <v>0</v>
      </c>
      <c r="K507" s="235">
        <f t="shared" si="124"/>
        <v>0</v>
      </c>
      <c r="L507" s="233"/>
    </row>
    <row r="508" spans="1:12" ht="13">
      <c r="A508" s="2">
        <f t="shared" si="121"/>
        <v>391</v>
      </c>
      <c r="B508" s="329" t="s">
        <v>390</v>
      </c>
      <c r="C508" s="330"/>
      <c r="D508" s="253"/>
      <c r="E508" s="235">
        <f>D508*'16-PlantAdditions'!$E$103</f>
        <v>0</v>
      </c>
      <c r="F508" s="235">
        <f t="shared" si="122"/>
        <v>0</v>
      </c>
      <c r="G508" s="253"/>
      <c r="H508" s="253"/>
      <c r="I508" s="235">
        <f>(G508-H508)*'16-PlantAdditions'!$E$103</f>
        <v>0</v>
      </c>
      <c r="J508" s="235">
        <f t="shared" si="123"/>
        <v>0</v>
      </c>
      <c r="K508" s="53">
        <f t="shared" si="124"/>
        <v>0</v>
      </c>
      <c r="L508" s="233"/>
    </row>
    <row r="509" spans="1:12" ht="13">
      <c r="A509" s="2">
        <f t="shared" si="121"/>
        <v>392</v>
      </c>
      <c r="B509" s="233"/>
      <c r="C509" s="351" t="s">
        <v>1107</v>
      </c>
      <c r="D509" s="233"/>
      <c r="E509" s="233"/>
      <c r="F509" s="233"/>
      <c r="G509" s="233"/>
      <c r="H509" s="239"/>
      <c r="I509" s="239"/>
      <c r="J509" s="233"/>
      <c r="K509" s="42">
        <f>AVERAGE(K496:K508)</f>
        <v>0</v>
      </c>
      <c r="L509" s="233"/>
    </row>
    <row r="510" spans="1:12" ht="13">
      <c r="A510" s="608"/>
      <c r="B510" s="590"/>
      <c r="C510" s="1070"/>
      <c r="H510" s="239"/>
      <c r="I510" s="239"/>
      <c r="K510" s="42"/>
    </row>
    <row r="511" spans="1:12" ht="13">
      <c r="B511" s="1083" t="s">
        <v>1136</v>
      </c>
      <c r="C511" s="233"/>
      <c r="D511" s="1082" t="s">
        <v>1137</v>
      </c>
      <c r="E511" s="240"/>
      <c r="F511" s="240"/>
      <c r="G511" s="240"/>
      <c r="H511" s="233"/>
    </row>
    <row r="512" spans="1:12" ht="13">
      <c r="A512" s="3"/>
      <c r="B512" s="3"/>
      <c r="C512" s="3"/>
      <c r="D512" s="3" t="s">
        <v>347</v>
      </c>
      <c r="E512" s="3" t="s">
        <v>348</v>
      </c>
      <c r="F512" s="3" t="s">
        <v>349</v>
      </c>
      <c r="G512" s="3" t="s">
        <v>350</v>
      </c>
      <c r="H512" s="3" t="s">
        <v>351</v>
      </c>
      <c r="I512" s="3" t="s">
        <v>352</v>
      </c>
      <c r="J512" s="3" t="s">
        <v>353</v>
      </c>
      <c r="K512" s="3" t="s">
        <v>354</v>
      </c>
      <c r="L512" s="233"/>
    </row>
    <row r="513" spans="1:12" ht="25.5">
      <c r="A513" s="233"/>
      <c r="B513" s="233"/>
      <c r="C513" s="233"/>
      <c r="D513" s="48"/>
      <c r="E513" s="352" t="s">
        <v>1111</v>
      </c>
      <c r="F513" s="239" t="s">
        <v>1112</v>
      </c>
      <c r="G513" s="239"/>
      <c r="H513" s="48"/>
      <c r="I513" s="352" t="s">
        <v>1113</v>
      </c>
      <c r="J513" s="352" t="s">
        <v>1114</v>
      </c>
      <c r="K513" s="352" t="s">
        <v>1115</v>
      </c>
      <c r="L513" s="233"/>
    </row>
    <row r="514" spans="1:12" ht="13">
      <c r="A514" s="233"/>
      <c r="B514" s="233"/>
      <c r="C514" s="233"/>
      <c r="D514" s="48"/>
      <c r="E514" s="352"/>
      <c r="F514" s="239"/>
      <c r="G514" s="4" t="str">
        <f>G182</f>
        <v>Col 4</v>
      </c>
      <c r="H514" s="48"/>
      <c r="I514" s="352"/>
      <c r="J514" s="352"/>
      <c r="K514" s="352"/>
      <c r="L514" s="233"/>
    </row>
    <row r="515" spans="1:12" ht="13">
      <c r="A515" s="2"/>
      <c r="B515" s="2"/>
      <c r="C515" s="2"/>
      <c r="D515" s="2" t="str">
        <f>D$52</f>
        <v>Forecast</v>
      </c>
      <c r="E515" s="2" t="str">
        <f t="shared" ref="E515:J515" si="125">E$52</f>
        <v>Corporate</v>
      </c>
      <c r="F515" s="2" t="str">
        <f t="shared" si="125"/>
        <v xml:space="preserve">Total </v>
      </c>
      <c r="G515" s="4">
        <f>G183</f>
        <v>0</v>
      </c>
      <c r="H515" s="2" t="str">
        <f t="shared" si="125"/>
        <v>Prior Period</v>
      </c>
      <c r="I515" s="2" t="str">
        <f t="shared" si="125"/>
        <v>Over Heads</v>
      </c>
      <c r="J515" s="2" t="str">
        <f t="shared" si="125"/>
        <v>Forecast</v>
      </c>
      <c r="K515" s="2" t="str">
        <f>K$52</f>
        <v>Forecast Period</v>
      </c>
      <c r="L515" s="233"/>
    </row>
    <row r="516" spans="1:12" ht="13">
      <c r="A516" s="30" t="s">
        <v>284</v>
      </c>
      <c r="B516" s="328" t="s">
        <v>382</v>
      </c>
      <c r="C516" s="328" t="s">
        <v>383</v>
      </c>
      <c r="D516" s="3" t="str">
        <f>D$53</f>
        <v>Expenditures</v>
      </c>
      <c r="E516" s="3" t="str">
        <f t="shared" ref="E516:J516" si="126">E$53</f>
        <v>Overheads</v>
      </c>
      <c r="F516" s="3" t="str">
        <f t="shared" si="126"/>
        <v>CWIP Exp</v>
      </c>
      <c r="G516" s="48" t="str">
        <f>G184</f>
        <v>Unloaded</v>
      </c>
      <c r="H516" s="3" t="str">
        <f t="shared" si="126"/>
        <v>CWIP Closed</v>
      </c>
      <c r="I516" s="3" t="str">
        <f t="shared" si="126"/>
        <v>Closed to PIS</v>
      </c>
      <c r="J516" s="3" t="str">
        <f t="shared" si="126"/>
        <v>Period CWIP</v>
      </c>
      <c r="K516" s="3" t="str">
        <f>K$53</f>
        <v>Incremental CWIP</v>
      </c>
      <c r="L516" s="233"/>
    </row>
    <row r="517" spans="1:12" ht="13">
      <c r="A517" s="2">
        <f>A509+1</f>
        <v>393</v>
      </c>
      <c r="B517" s="329" t="s">
        <v>390</v>
      </c>
      <c r="C517" s="330"/>
      <c r="D517" s="239" t="s">
        <v>391</v>
      </c>
      <c r="E517" s="239" t="s">
        <v>391</v>
      </c>
      <c r="F517" s="239" t="s">
        <v>391</v>
      </c>
      <c r="G517" s="239" t="s">
        <v>391</v>
      </c>
      <c r="H517" s="239" t="s">
        <v>391</v>
      </c>
      <c r="I517" s="239" t="s">
        <v>391</v>
      </c>
      <c r="J517" s="235">
        <v>0</v>
      </c>
      <c r="K517" s="239" t="s">
        <v>391</v>
      </c>
      <c r="L517" s="233"/>
    </row>
    <row r="518" spans="1:12" ht="13">
      <c r="A518" s="2">
        <f>A517+1</f>
        <v>394</v>
      </c>
      <c r="B518" s="329" t="s">
        <v>392</v>
      </c>
      <c r="C518" s="330"/>
      <c r="D518" s="253"/>
      <c r="E518" s="235">
        <f>D518*'16-PlantAdditions'!$E$103</f>
        <v>0</v>
      </c>
      <c r="F518" s="235">
        <f>E518+D518</f>
        <v>0</v>
      </c>
      <c r="G518" s="253"/>
      <c r="H518" s="253"/>
      <c r="I518" s="235">
        <f>(G518-H518)*'16-PlantAdditions'!$E$103</f>
        <v>0</v>
      </c>
      <c r="J518" s="235">
        <f>J517+F518-G518-I518</f>
        <v>0</v>
      </c>
      <c r="K518" s="235">
        <f>J518-$J$451</f>
        <v>0</v>
      </c>
      <c r="L518" s="233"/>
    </row>
    <row r="519" spans="1:12" ht="13">
      <c r="A519" s="2">
        <f t="shared" ref="A519:A542" si="127">A518+1</f>
        <v>395</v>
      </c>
      <c r="B519" s="329" t="s">
        <v>393</v>
      </c>
      <c r="C519" s="330"/>
      <c r="D519" s="253"/>
      <c r="E519" s="235">
        <f>D519*'16-PlantAdditions'!$E$103</f>
        <v>0</v>
      </c>
      <c r="F519" s="235">
        <f t="shared" ref="F519:F541" si="128">E519+D519</f>
        <v>0</v>
      </c>
      <c r="G519" s="253"/>
      <c r="H519" s="253"/>
      <c r="I519" s="235">
        <f>(G519-H519)*'16-PlantAdditions'!$E$103</f>
        <v>0</v>
      </c>
      <c r="J519" s="235">
        <f t="shared" ref="J519:J541" si="129">J518+F519-G519-I519</f>
        <v>0</v>
      </c>
      <c r="K519" s="235">
        <f t="shared" ref="K519:K541" si="130">J519-$J$451</f>
        <v>0</v>
      </c>
      <c r="L519" s="233"/>
    </row>
    <row r="520" spans="1:12" ht="13">
      <c r="A520" s="2">
        <f t="shared" si="127"/>
        <v>396</v>
      </c>
      <c r="B520" s="329" t="s">
        <v>394</v>
      </c>
      <c r="C520" s="330"/>
      <c r="D520" s="253"/>
      <c r="E520" s="235">
        <f>D520*'16-PlantAdditions'!$E$103</f>
        <v>0</v>
      </c>
      <c r="F520" s="235">
        <f t="shared" si="128"/>
        <v>0</v>
      </c>
      <c r="G520" s="253"/>
      <c r="H520" s="253"/>
      <c r="I520" s="235">
        <f>(G520-H520)*'16-PlantAdditions'!$E$103</f>
        <v>0</v>
      </c>
      <c r="J520" s="235">
        <f t="shared" si="129"/>
        <v>0</v>
      </c>
      <c r="K520" s="235">
        <f t="shared" si="130"/>
        <v>0</v>
      </c>
      <c r="L520" s="233"/>
    </row>
    <row r="521" spans="1:12" ht="13">
      <c r="A521" s="2">
        <f t="shared" si="127"/>
        <v>397</v>
      </c>
      <c r="B521" s="329" t="s">
        <v>395</v>
      </c>
      <c r="C521" s="330"/>
      <c r="D521" s="253"/>
      <c r="E521" s="235">
        <f>D521*'16-PlantAdditions'!$E$103</f>
        <v>0</v>
      </c>
      <c r="F521" s="235">
        <f t="shared" si="128"/>
        <v>0</v>
      </c>
      <c r="G521" s="253"/>
      <c r="H521" s="253"/>
      <c r="I521" s="235">
        <f>(G521-H521)*'16-PlantAdditions'!$E$103</f>
        <v>0</v>
      </c>
      <c r="J521" s="235">
        <f t="shared" si="129"/>
        <v>0</v>
      </c>
      <c r="K521" s="235">
        <f t="shared" si="130"/>
        <v>0</v>
      </c>
      <c r="L521" s="233"/>
    </row>
    <row r="522" spans="1:12" ht="13">
      <c r="A522" s="2">
        <f t="shared" si="127"/>
        <v>398</v>
      </c>
      <c r="B522" s="329" t="s">
        <v>396</v>
      </c>
      <c r="C522" s="330"/>
      <c r="D522" s="253"/>
      <c r="E522" s="235">
        <f>D522*'16-PlantAdditions'!$E$103</f>
        <v>0</v>
      </c>
      <c r="F522" s="235">
        <f t="shared" si="128"/>
        <v>0</v>
      </c>
      <c r="G522" s="253"/>
      <c r="H522" s="253"/>
      <c r="I522" s="235">
        <f>(G522-H522)*'16-PlantAdditions'!$E$103</f>
        <v>0</v>
      </c>
      <c r="J522" s="235">
        <f t="shared" si="129"/>
        <v>0</v>
      </c>
      <c r="K522" s="235">
        <f t="shared" si="130"/>
        <v>0</v>
      </c>
      <c r="L522" s="233"/>
    </row>
    <row r="523" spans="1:12" ht="13">
      <c r="A523" s="2">
        <f t="shared" si="127"/>
        <v>399</v>
      </c>
      <c r="B523" s="329" t="s">
        <v>610</v>
      </c>
      <c r="C523" s="330"/>
      <c r="D523" s="253"/>
      <c r="E523" s="235">
        <f>D523*'16-PlantAdditions'!$E$103</f>
        <v>0</v>
      </c>
      <c r="F523" s="235">
        <f t="shared" si="128"/>
        <v>0</v>
      </c>
      <c r="G523" s="253"/>
      <c r="H523" s="253"/>
      <c r="I523" s="235">
        <f>(G523-H523)*'16-PlantAdditions'!$E$103</f>
        <v>0</v>
      </c>
      <c r="J523" s="235">
        <f t="shared" si="129"/>
        <v>0</v>
      </c>
      <c r="K523" s="235">
        <f t="shared" si="130"/>
        <v>0</v>
      </c>
      <c r="L523" s="233"/>
    </row>
    <row r="524" spans="1:12" ht="13">
      <c r="A524" s="2">
        <f t="shared" si="127"/>
        <v>400</v>
      </c>
      <c r="B524" s="329" t="s">
        <v>398</v>
      </c>
      <c r="C524" s="330"/>
      <c r="D524" s="253"/>
      <c r="E524" s="235">
        <f>D524*'16-PlantAdditions'!$E$103</f>
        <v>0</v>
      </c>
      <c r="F524" s="235">
        <f t="shared" si="128"/>
        <v>0</v>
      </c>
      <c r="G524" s="253"/>
      <c r="H524" s="253"/>
      <c r="I524" s="235">
        <f>(G524-H524)*'16-PlantAdditions'!$E$103</f>
        <v>0</v>
      </c>
      <c r="J524" s="235">
        <f t="shared" si="129"/>
        <v>0</v>
      </c>
      <c r="K524" s="235">
        <f t="shared" si="130"/>
        <v>0</v>
      </c>
      <c r="L524" s="233"/>
    </row>
    <row r="525" spans="1:12" ht="13">
      <c r="A525" s="2">
        <f t="shared" si="127"/>
        <v>401</v>
      </c>
      <c r="B525" s="329" t="s">
        <v>399</v>
      </c>
      <c r="C525" s="330"/>
      <c r="D525" s="253"/>
      <c r="E525" s="235">
        <f>D525*'16-PlantAdditions'!$E$103</f>
        <v>0</v>
      </c>
      <c r="F525" s="235">
        <f t="shared" si="128"/>
        <v>0</v>
      </c>
      <c r="G525" s="253"/>
      <c r="H525" s="253"/>
      <c r="I525" s="235">
        <f>(G525-H525)*'16-PlantAdditions'!$E$103</f>
        <v>0</v>
      </c>
      <c r="J525" s="235">
        <f t="shared" si="129"/>
        <v>0</v>
      </c>
      <c r="K525" s="235">
        <f t="shared" si="130"/>
        <v>0</v>
      </c>
      <c r="L525" s="233"/>
    </row>
    <row r="526" spans="1:12" ht="13">
      <c r="A526" s="2">
        <f t="shared" si="127"/>
        <v>402</v>
      </c>
      <c r="B526" s="329" t="s">
        <v>400</v>
      </c>
      <c r="C526" s="330"/>
      <c r="D526" s="253"/>
      <c r="E526" s="235">
        <f>D526*'16-PlantAdditions'!$E$103</f>
        <v>0</v>
      </c>
      <c r="F526" s="235">
        <f t="shared" si="128"/>
        <v>0</v>
      </c>
      <c r="G526" s="253"/>
      <c r="H526" s="253"/>
      <c r="I526" s="235">
        <f>(G526-H526)*'16-PlantAdditions'!$E$103</f>
        <v>0</v>
      </c>
      <c r="J526" s="235">
        <f t="shared" si="129"/>
        <v>0</v>
      </c>
      <c r="K526" s="235">
        <f t="shared" si="130"/>
        <v>0</v>
      </c>
      <c r="L526" s="233"/>
    </row>
    <row r="527" spans="1:12" ht="13">
      <c r="A527" s="2">
        <f t="shared" si="127"/>
        <v>403</v>
      </c>
      <c r="B527" s="329" t="s">
        <v>401</v>
      </c>
      <c r="C527" s="330"/>
      <c r="D527" s="253"/>
      <c r="E527" s="235">
        <f>D527*'16-PlantAdditions'!$E$103</f>
        <v>0</v>
      </c>
      <c r="F527" s="235">
        <f t="shared" si="128"/>
        <v>0</v>
      </c>
      <c r="G527" s="253"/>
      <c r="H527" s="253"/>
      <c r="I527" s="235">
        <f>(G527-H527)*'16-PlantAdditions'!$E$103</f>
        <v>0</v>
      </c>
      <c r="J527" s="235">
        <f t="shared" si="129"/>
        <v>0</v>
      </c>
      <c r="K527" s="235">
        <f t="shared" si="130"/>
        <v>0</v>
      </c>
      <c r="L527" s="233"/>
    </row>
    <row r="528" spans="1:12" ht="13">
      <c r="A528" s="2">
        <f t="shared" si="127"/>
        <v>404</v>
      </c>
      <c r="B528" s="329" t="s">
        <v>402</v>
      </c>
      <c r="C528" s="330"/>
      <c r="D528" s="253"/>
      <c r="E528" s="235">
        <f>D528*'16-PlantAdditions'!$E$103</f>
        <v>0</v>
      </c>
      <c r="F528" s="235">
        <f t="shared" si="128"/>
        <v>0</v>
      </c>
      <c r="G528" s="253"/>
      <c r="H528" s="253"/>
      <c r="I528" s="235">
        <f>(G528-H528)*'16-PlantAdditions'!$E$103</f>
        <v>0</v>
      </c>
      <c r="J528" s="235">
        <f t="shared" si="129"/>
        <v>0</v>
      </c>
      <c r="K528" s="235">
        <f t="shared" si="130"/>
        <v>0</v>
      </c>
      <c r="L528" s="233"/>
    </row>
    <row r="529" spans="1:12" ht="13">
      <c r="A529" s="2">
        <f t="shared" si="127"/>
        <v>405</v>
      </c>
      <c r="B529" s="329" t="s">
        <v>390</v>
      </c>
      <c r="C529" s="330"/>
      <c r="D529" s="253"/>
      <c r="E529" s="235">
        <f>D529*'16-PlantAdditions'!$E$103</f>
        <v>0</v>
      </c>
      <c r="F529" s="235">
        <f t="shared" si="128"/>
        <v>0</v>
      </c>
      <c r="G529" s="253"/>
      <c r="H529" s="253"/>
      <c r="I529" s="235">
        <f>(G529-H529)*'16-PlantAdditions'!$E$103</f>
        <v>0</v>
      </c>
      <c r="J529" s="235">
        <f t="shared" si="129"/>
        <v>0</v>
      </c>
      <c r="K529" s="235">
        <f t="shared" si="130"/>
        <v>0</v>
      </c>
      <c r="L529" s="233"/>
    </row>
    <row r="530" spans="1:12" ht="13">
      <c r="A530" s="2">
        <f t="shared" si="127"/>
        <v>406</v>
      </c>
      <c r="B530" s="329" t="s">
        <v>392</v>
      </c>
      <c r="C530" s="330"/>
      <c r="D530" s="253"/>
      <c r="E530" s="235">
        <f>D530*'16-PlantAdditions'!$E$103</f>
        <v>0</v>
      </c>
      <c r="F530" s="235">
        <f t="shared" si="128"/>
        <v>0</v>
      </c>
      <c r="G530" s="253"/>
      <c r="H530" s="253"/>
      <c r="I530" s="235">
        <f>(G530-H530)*'16-PlantAdditions'!$E$103</f>
        <v>0</v>
      </c>
      <c r="J530" s="235">
        <f t="shared" si="129"/>
        <v>0</v>
      </c>
      <c r="K530" s="235">
        <f t="shared" si="130"/>
        <v>0</v>
      </c>
      <c r="L530" s="233"/>
    </row>
    <row r="531" spans="1:12" ht="13">
      <c r="A531" s="2">
        <f t="shared" si="127"/>
        <v>407</v>
      </c>
      <c r="B531" s="329" t="s">
        <v>393</v>
      </c>
      <c r="C531" s="330"/>
      <c r="D531" s="253"/>
      <c r="E531" s="235">
        <f>D531*'16-PlantAdditions'!$E$103</f>
        <v>0</v>
      </c>
      <c r="F531" s="235">
        <f t="shared" si="128"/>
        <v>0</v>
      </c>
      <c r="G531" s="253"/>
      <c r="H531" s="253"/>
      <c r="I531" s="235">
        <f>(G531-H531)*'16-PlantAdditions'!$E$103</f>
        <v>0</v>
      </c>
      <c r="J531" s="235">
        <f t="shared" si="129"/>
        <v>0</v>
      </c>
      <c r="K531" s="235">
        <f t="shared" si="130"/>
        <v>0</v>
      </c>
      <c r="L531" s="233"/>
    </row>
    <row r="532" spans="1:12" ht="13">
      <c r="A532" s="2">
        <f t="shared" si="127"/>
        <v>408</v>
      </c>
      <c r="B532" s="329" t="s">
        <v>394</v>
      </c>
      <c r="C532" s="330"/>
      <c r="D532" s="253"/>
      <c r="E532" s="235">
        <f>D532*'16-PlantAdditions'!$E$103</f>
        <v>0</v>
      </c>
      <c r="F532" s="235">
        <f t="shared" si="128"/>
        <v>0</v>
      </c>
      <c r="G532" s="253"/>
      <c r="H532" s="253"/>
      <c r="I532" s="235">
        <f>(G532-H532)*'16-PlantAdditions'!$E$103</f>
        <v>0</v>
      </c>
      <c r="J532" s="235">
        <f t="shared" si="129"/>
        <v>0</v>
      </c>
      <c r="K532" s="235">
        <f t="shared" si="130"/>
        <v>0</v>
      </c>
      <c r="L532" s="233"/>
    </row>
    <row r="533" spans="1:12" ht="13">
      <c r="A533" s="2">
        <f t="shared" si="127"/>
        <v>409</v>
      </c>
      <c r="B533" s="329" t="s">
        <v>395</v>
      </c>
      <c r="C533" s="330"/>
      <c r="D533" s="253"/>
      <c r="E533" s="235">
        <f>D533*'16-PlantAdditions'!$E$103</f>
        <v>0</v>
      </c>
      <c r="F533" s="235">
        <f t="shared" si="128"/>
        <v>0</v>
      </c>
      <c r="G533" s="253"/>
      <c r="H533" s="253"/>
      <c r="I533" s="235">
        <f>(G533-H533)*'16-PlantAdditions'!$E$103</f>
        <v>0</v>
      </c>
      <c r="J533" s="235">
        <f t="shared" si="129"/>
        <v>0</v>
      </c>
      <c r="K533" s="235">
        <f t="shared" si="130"/>
        <v>0</v>
      </c>
      <c r="L533" s="233"/>
    </row>
    <row r="534" spans="1:12" ht="13">
      <c r="A534" s="2">
        <f t="shared" si="127"/>
        <v>410</v>
      </c>
      <c r="B534" s="329" t="s">
        <v>396</v>
      </c>
      <c r="C534" s="330"/>
      <c r="D534" s="253"/>
      <c r="E534" s="235">
        <f>D534*'16-PlantAdditions'!$E$103</f>
        <v>0</v>
      </c>
      <c r="F534" s="235">
        <f t="shared" si="128"/>
        <v>0</v>
      </c>
      <c r="G534" s="253"/>
      <c r="H534" s="253"/>
      <c r="I534" s="235">
        <f>(G534-H534)*'16-PlantAdditions'!$E$103</f>
        <v>0</v>
      </c>
      <c r="J534" s="235">
        <f t="shared" si="129"/>
        <v>0</v>
      </c>
      <c r="K534" s="235">
        <f t="shared" si="130"/>
        <v>0</v>
      </c>
      <c r="L534" s="233"/>
    </row>
    <row r="535" spans="1:12" ht="13">
      <c r="A535" s="2">
        <f t="shared" si="127"/>
        <v>411</v>
      </c>
      <c r="B535" s="329" t="s">
        <v>610</v>
      </c>
      <c r="C535" s="330"/>
      <c r="D535" s="253"/>
      <c r="E535" s="235">
        <f>D535*'16-PlantAdditions'!$E$103</f>
        <v>0</v>
      </c>
      <c r="F535" s="235">
        <f t="shared" si="128"/>
        <v>0</v>
      </c>
      <c r="G535" s="253"/>
      <c r="H535" s="253"/>
      <c r="I535" s="235">
        <f>(G535-H535)*'16-PlantAdditions'!$E$103</f>
        <v>0</v>
      </c>
      <c r="J535" s="235">
        <f t="shared" si="129"/>
        <v>0</v>
      </c>
      <c r="K535" s="235">
        <f t="shared" si="130"/>
        <v>0</v>
      </c>
      <c r="L535" s="233"/>
    </row>
    <row r="536" spans="1:12" ht="13">
      <c r="A536" s="2">
        <f t="shared" si="127"/>
        <v>412</v>
      </c>
      <c r="B536" s="329" t="s">
        <v>398</v>
      </c>
      <c r="C536" s="330"/>
      <c r="D536" s="253"/>
      <c r="E536" s="235">
        <f>D536*'16-PlantAdditions'!$E$103</f>
        <v>0</v>
      </c>
      <c r="F536" s="235">
        <f t="shared" si="128"/>
        <v>0</v>
      </c>
      <c r="G536" s="253"/>
      <c r="H536" s="253"/>
      <c r="I536" s="235">
        <f>(G536-H536)*'16-PlantAdditions'!$E$103</f>
        <v>0</v>
      </c>
      <c r="J536" s="235">
        <f t="shared" si="129"/>
        <v>0</v>
      </c>
      <c r="K536" s="235">
        <f t="shared" si="130"/>
        <v>0</v>
      </c>
      <c r="L536" s="233"/>
    </row>
    <row r="537" spans="1:12" ht="13">
      <c r="A537" s="2">
        <f t="shared" si="127"/>
        <v>413</v>
      </c>
      <c r="B537" s="329" t="s">
        <v>399</v>
      </c>
      <c r="C537" s="330"/>
      <c r="D537" s="253"/>
      <c r="E537" s="235">
        <f>D537*'16-PlantAdditions'!$E$103</f>
        <v>0</v>
      </c>
      <c r="F537" s="235">
        <f t="shared" si="128"/>
        <v>0</v>
      </c>
      <c r="G537" s="253"/>
      <c r="H537" s="253"/>
      <c r="I537" s="235">
        <f>(G537-H537)*'16-PlantAdditions'!$E$103</f>
        <v>0</v>
      </c>
      <c r="J537" s="235">
        <f t="shared" si="129"/>
        <v>0</v>
      </c>
      <c r="K537" s="235">
        <f t="shared" si="130"/>
        <v>0</v>
      </c>
      <c r="L537" s="233"/>
    </row>
    <row r="538" spans="1:12" ht="13">
      <c r="A538" s="2">
        <f t="shared" si="127"/>
        <v>414</v>
      </c>
      <c r="B538" s="329" t="s">
        <v>400</v>
      </c>
      <c r="C538" s="330"/>
      <c r="D538" s="253"/>
      <c r="E538" s="235">
        <f>D538*'16-PlantAdditions'!$E$103</f>
        <v>0</v>
      </c>
      <c r="F538" s="235">
        <f t="shared" si="128"/>
        <v>0</v>
      </c>
      <c r="G538" s="253"/>
      <c r="H538" s="253"/>
      <c r="I538" s="235">
        <f>(G538-H538)*'16-PlantAdditions'!$E$103</f>
        <v>0</v>
      </c>
      <c r="J538" s="235">
        <f t="shared" si="129"/>
        <v>0</v>
      </c>
      <c r="K538" s="235">
        <f t="shared" si="130"/>
        <v>0</v>
      </c>
      <c r="L538" s="233"/>
    </row>
    <row r="539" spans="1:12" ht="13">
      <c r="A539" s="2">
        <f t="shared" si="127"/>
        <v>415</v>
      </c>
      <c r="B539" s="329" t="s">
        <v>401</v>
      </c>
      <c r="C539" s="330"/>
      <c r="D539" s="253"/>
      <c r="E539" s="235">
        <f>D539*'16-PlantAdditions'!$E$103</f>
        <v>0</v>
      </c>
      <c r="F539" s="235">
        <f t="shared" si="128"/>
        <v>0</v>
      </c>
      <c r="G539" s="253"/>
      <c r="H539" s="253"/>
      <c r="I539" s="235">
        <f>(G539-H539)*'16-PlantAdditions'!$E$103</f>
        <v>0</v>
      </c>
      <c r="J539" s="235">
        <f t="shared" si="129"/>
        <v>0</v>
      </c>
      <c r="K539" s="235">
        <f t="shared" si="130"/>
        <v>0</v>
      </c>
      <c r="L539" s="233"/>
    </row>
    <row r="540" spans="1:12" ht="13">
      <c r="A540" s="2">
        <f t="shared" si="127"/>
        <v>416</v>
      </c>
      <c r="B540" s="329" t="s">
        <v>402</v>
      </c>
      <c r="C540" s="330"/>
      <c r="D540" s="253"/>
      <c r="E540" s="235">
        <f>D540*'16-PlantAdditions'!$E$103</f>
        <v>0</v>
      </c>
      <c r="F540" s="235">
        <f t="shared" si="128"/>
        <v>0</v>
      </c>
      <c r="G540" s="253"/>
      <c r="H540" s="253"/>
      <c r="I540" s="235">
        <f>(G540-H540)*'16-PlantAdditions'!$E$103</f>
        <v>0</v>
      </c>
      <c r="J540" s="235">
        <f t="shared" si="129"/>
        <v>0</v>
      </c>
      <c r="K540" s="235">
        <f t="shared" si="130"/>
        <v>0</v>
      </c>
      <c r="L540" s="233"/>
    </row>
    <row r="541" spans="1:12" ht="13">
      <c r="A541" s="2">
        <f t="shared" si="127"/>
        <v>417</v>
      </c>
      <c r="B541" s="329" t="s">
        <v>390</v>
      </c>
      <c r="C541" s="330"/>
      <c r="D541" s="253"/>
      <c r="E541" s="235">
        <f>D541*'16-PlantAdditions'!$E$103</f>
        <v>0</v>
      </c>
      <c r="F541" s="235">
        <f t="shared" si="128"/>
        <v>0</v>
      </c>
      <c r="G541" s="253"/>
      <c r="H541" s="253"/>
      <c r="I541" s="235">
        <f>(G541-H541)*'16-PlantAdditions'!$E$103</f>
        <v>0</v>
      </c>
      <c r="J541" s="235">
        <f t="shared" si="129"/>
        <v>0</v>
      </c>
      <c r="K541" s="53">
        <f t="shared" si="130"/>
        <v>0</v>
      </c>
      <c r="L541" s="233"/>
    </row>
    <row r="542" spans="1:12" ht="13">
      <c r="A542" s="2">
        <f t="shared" si="127"/>
        <v>418</v>
      </c>
      <c r="B542" s="233"/>
      <c r="C542" s="351" t="s">
        <v>1107</v>
      </c>
      <c r="D542" s="233"/>
      <c r="E542" s="233"/>
      <c r="F542" s="233"/>
      <c r="G542" s="233"/>
      <c r="H542" s="239"/>
      <c r="I542" s="239"/>
      <c r="J542" s="233"/>
      <c r="K542" s="42">
        <f>AVERAGE(K529:K541)</f>
        <v>0</v>
      </c>
      <c r="L542" s="233"/>
    </row>
    <row r="543" spans="1:12" ht="13">
      <c r="A543" s="608"/>
      <c r="B543" s="590"/>
      <c r="C543" s="1070"/>
      <c r="H543" s="239"/>
      <c r="I543" s="239"/>
      <c r="K543" s="42"/>
    </row>
    <row r="544" spans="1:12" ht="13">
      <c r="B544" s="334" t="s">
        <v>233</v>
      </c>
    </row>
    <row r="545" spans="2:11">
      <c r="B545" s="329" t="s">
        <v>1138</v>
      </c>
    </row>
    <row r="546" spans="2:11">
      <c r="B546" s="329" t="s">
        <v>1139</v>
      </c>
      <c r="C546" s="233"/>
      <c r="D546" s="233"/>
      <c r="E546" s="233"/>
      <c r="F546" s="233"/>
      <c r="G546" s="233"/>
      <c r="H546" s="233"/>
      <c r="I546" s="233"/>
      <c r="J546" s="233"/>
    </row>
    <row r="548" spans="2:11" ht="13">
      <c r="B548" s="1" t="s">
        <v>444</v>
      </c>
    </row>
    <row r="549" spans="2:11">
      <c r="B549" s="233" t="s">
        <v>1140</v>
      </c>
    </row>
    <row r="550" spans="2:11">
      <c r="B550" s="233" t="s">
        <v>1141</v>
      </c>
      <c r="C550" s="233"/>
      <c r="D550" s="233"/>
      <c r="E550" s="233"/>
      <c r="F550" s="233"/>
      <c r="G550" s="233"/>
      <c r="H550" s="233"/>
      <c r="I550" s="233"/>
      <c r="J550" s="233"/>
      <c r="K550" s="233"/>
    </row>
    <row r="551" spans="2:11">
      <c r="B551" s="233" t="s">
        <v>1142</v>
      </c>
    </row>
  </sheetData>
  <mergeCells count="14">
    <mergeCell ref="D247:E247"/>
    <mergeCell ref="D379:E379"/>
    <mergeCell ref="D82:E82"/>
    <mergeCell ref="D115:E115"/>
    <mergeCell ref="D148:E148"/>
    <mergeCell ref="D181:E181"/>
    <mergeCell ref="D214:E214"/>
    <mergeCell ref="D478:E478"/>
    <mergeCell ref="D412:E412"/>
    <mergeCell ref="F379:G379"/>
    <mergeCell ref="D280:E280"/>
    <mergeCell ref="D313:E313"/>
    <mergeCell ref="D346:E346"/>
    <mergeCell ref="D445:E445"/>
  </mergeCells>
  <pageMargins left="0.7" right="0.7" top="0.75" bottom="0.75" header="0.3" footer="0.3"/>
  <pageSetup scale="50" fitToHeight="0" orientation="landscape" cellComments="asDisplayed" r:id="rId1"/>
  <headerFooter>
    <oddHeader xml:space="preserve">&amp;CSchedule 10
CWIP
</oddHeader>
    <oddFooter>&amp;R&amp;A</oddFooter>
  </headerFooter>
  <rowBreaks count="8" manualBreakCount="8">
    <brk id="47" max="16383" man="1"/>
    <brk id="113" max="11" man="1"/>
    <brk id="179" max="11" man="1"/>
    <brk id="245" max="11" man="1"/>
    <brk id="311" max="11" man="1"/>
    <brk id="377" max="11" man="1"/>
    <brk id="444" max="11" man="1"/>
    <brk id="510"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62"/>
  <sheetViews>
    <sheetView zoomScaleNormal="100" workbookViewId="0">
      <selection activeCell="L41" sqref="L41"/>
    </sheetView>
  </sheetViews>
  <sheetFormatPr defaultRowHeight="12.5"/>
  <cols>
    <col min="1" max="1" width="5" customWidth="1"/>
    <col min="2" max="2" width="22.54296875" customWidth="1"/>
    <col min="3" max="3" width="9.90625" customWidth="1"/>
    <col min="4" max="5" width="25.54296875" customWidth="1"/>
    <col min="6" max="6" width="22.54296875" customWidth="1"/>
  </cols>
  <sheetData>
    <row r="1" spans="1:6" ht="13">
      <c r="A1" s="9" t="s">
        <v>1143</v>
      </c>
      <c r="B1" s="63"/>
      <c r="C1" s="10"/>
      <c r="D1" s="10"/>
      <c r="E1" s="10"/>
      <c r="F1" s="10"/>
    </row>
    <row r="2" spans="1:6" ht="13">
      <c r="A2" s="64"/>
      <c r="C2" s="65"/>
      <c r="D2" s="65"/>
      <c r="F2" s="27" t="s">
        <v>652</v>
      </c>
    </row>
    <row r="3" spans="1:6" ht="13">
      <c r="A3" s="64"/>
      <c r="B3" s="233" t="s">
        <v>1144</v>
      </c>
      <c r="C3" s="65"/>
      <c r="D3" s="65"/>
      <c r="E3" s="65"/>
    </row>
    <row r="4" spans="1:6" ht="13">
      <c r="A4" s="64"/>
      <c r="B4" s="233" t="s">
        <v>1145</v>
      </c>
      <c r="C4" s="65"/>
      <c r="D4" s="65"/>
      <c r="E4" s="65"/>
    </row>
    <row r="5" spans="1:6" ht="13">
      <c r="A5" s="64"/>
      <c r="B5" s="233" t="s">
        <v>1146</v>
      </c>
      <c r="C5" s="65"/>
      <c r="D5" s="65"/>
      <c r="E5" s="65"/>
    </row>
    <row r="6" spans="1:6" ht="13">
      <c r="A6" s="64"/>
    </row>
    <row r="7" spans="1:6" ht="13">
      <c r="A7" s="30" t="s">
        <v>284</v>
      </c>
      <c r="C7" s="65"/>
      <c r="D7" s="3" t="s">
        <v>1147</v>
      </c>
      <c r="E7" s="3" t="s">
        <v>1148</v>
      </c>
      <c r="F7" s="3" t="s">
        <v>686</v>
      </c>
    </row>
    <row r="8" spans="1:6" ht="13">
      <c r="A8" s="2">
        <v>1</v>
      </c>
      <c r="B8" s="233" t="s">
        <v>1149</v>
      </c>
      <c r="D8" s="5"/>
      <c r="E8" s="5"/>
      <c r="F8" s="232" t="s">
        <v>1150</v>
      </c>
    </row>
    <row r="9" spans="1:6" ht="13">
      <c r="A9" s="2"/>
      <c r="B9" s="233"/>
      <c r="E9" s="233"/>
    </row>
    <row r="10" spans="1:6" ht="13">
      <c r="A10" s="2"/>
      <c r="B10" s="233" t="s">
        <v>1151</v>
      </c>
      <c r="E10" s="233"/>
    </row>
    <row r="11" spans="1:6" ht="13">
      <c r="A11" s="2"/>
      <c r="B11" s="233"/>
      <c r="E11" s="233"/>
    </row>
    <row r="12" spans="1:6" ht="13">
      <c r="A12" s="2"/>
      <c r="B12" s="48" t="s">
        <v>347</v>
      </c>
      <c r="C12" s="48" t="s">
        <v>348</v>
      </c>
      <c r="D12" s="48" t="s">
        <v>349</v>
      </c>
      <c r="E12" s="48" t="s">
        <v>350</v>
      </c>
      <c r="F12" s="48" t="s">
        <v>351</v>
      </c>
    </row>
    <row r="13" spans="1:6" ht="13">
      <c r="A13" s="2"/>
      <c r="B13" s="233"/>
      <c r="C13" s="2" t="s">
        <v>1152</v>
      </c>
      <c r="E13" s="233"/>
    </row>
    <row r="14" spans="1:6" ht="13">
      <c r="A14" s="2"/>
      <c r="B14" s="30" t="s">
        <v>890</v>
      </c>
      <c r="C14" s="3" t="s">
        <v>1153</v>
      </c>
      <c r="D14" s="3" t="s">
        <v>1147</v>
      </c>
      <c r="E14" s="3" t="s">
        <v>1148</v>
      </c>
      <c r="F14" s="3" t="s">
        <v>686</v>
      </c>
    </row>
    <row r="15" spans="1:6" ht="13">
      <c r="A15" s="2" t="s">
        <v>565</v>
      </c>
      <c r="B15" s="240"/>
      <c r="C15" s="54"/>
      <c r="D15" s="5"/>
      <c r="E15" s="59"/>
      <c r="F15" s="54"/>
    </row>
    <row r="16" spans="1:6" ht="13">
      <c r="A16" s="2" t="s">
        <v>1154</v>
      </c>
      <c r="B16" s="240"/>
      <c r="C16" s="54"/>
      <c r="D16" s="5"/>
      <c r="E16" s="5"/>
      <c r="F16" s="54"/>
    </row>
    <row r="17" spans="1:6" ht="13">
      <c r="A17" s="2" t="s">
        <v>1155</v>
      </c>
      <c r="B17" s="240"/>
      <c r="C17" s="54"/>
      <c r="D17" s="5"/>
      <c r="E17" s="5"/>
      <c r="F17" s="54"/>
    </row>
    <row r="18" spans="1:6" ht="13">
      <c r="A18" s="2" t="s">
        <v>1156</v>
      </c>
      <c r="B18" s="240"/>
      <c r="C18" s="54"/>
      <c r="D18" s="5"/>
      <c r="E18" s="5"/>
      <c r="F18" s="54"/>
    </row>
    <row r="19" spans="1:6" ht="13">
      <c r="A19" s="2" t="s">
        <v>1157</v>
      </c>
      <c r="B19" s="240"/>
      <c r="C19" s="54"/>
      <c r="D19" s="5"/>
      <c r="E19" s="5"/>
      <c r="F19" s="54"/>
    </row>
    <row r="20" spans="1:6" ht="13">
      <c r="A20" s="2" t="s">
        <v>1158</v>
      </c>
      <c r="B20" s="240"/>
      <c r="C20" s="54"/>
      <c r="D20" s="5"/>
      <c r="E20" s="5"/>
      <c r="F20" s="54"/>
    </row>
    <row r="21" spans="1:6" ht="13">
      <c r="A21" s="2" t="s">
        <v>1159</v>
      </c>
      <c r="B21" s="240"/>
      <c r="C21" s="54"/>
      <c r="D21" s="5"/>
      <c r="E21" s="5"/>
      <c r="F21" s="54"/>
    </row>
    <row r="22" spans="1:6" ht="13">
      <c r="A22" s="2" t="s">
        <v>1160</v>
      </c>
      <c r="B22" s="240"/>
      <c r="C22" s="54"/>
      <c r="D22" s="5"/>
      <c r="E22" s="5"/>
      <c r="F22" s="54"/>
    </row>
    <row r="23" spans="1:6" ht="13">
      <c r="A23" s="2"/>
      <c r="B23" s="201" t="s">
        <v>641</v>
      </c>
      <c r="C23" s="54"/>
      <c r="D23" s="879"/>
      <c r="E23" s="879"/>
      <c r="F23" s="54"/>
    </row>
    <row r="24" spans="1:6" ht="13">
      <c r="A24" s="2">
        <v>3</v>
      </c>
      <c r="C24" s="233" t="s">
        <v>420</v>
      </c>
      <c r="D24" s="6">
        <f>SUM(D15:D22)</f>
        <v>0</v>
      </c>
      <c r="E24" s="6">
        <f>SUM(E15:E22)</f>
        <v>0</v>
      </c>
      <c r="F24" s="232" t="s">
        <v>1161</v>
      </c>
    </row>
    <row r="25" spans="1:6">
      <c r="C25" s="233"/>
    </row>
    <row r="26" spans="1:6" ht="13">
      <c r="C26" s="233"/>
      <c r="D26" s="3" t="s">
        <v>1147</v>
      </c>
      <c r="E26" s="3" t="s">
        <v>1148</v>
      </c>
      <c r="F26" s="3" t="s">
        <v>686</v>
      </c>
    </row>
    <row r="27" spans="1:6" ht="13">
      <c r="A27" s="2">
        <v>4</v>
      </c>
      <c r="B27" s="233" t="s">
        <v>1162</v>
      </c>
      <c r="C27" s="233"/>
      <c r="D27" s="5"/>
      <c r="E27" s="5"/>
      <c r="F27" s="232" t="s">
        <v>1163</v>
      </c>
    </row>
    <row r="28" spans="1:6" ht="13">
      <c r="A28" s="4" t="s">
        <v>1164</v>
      </c>
      <c r="B28" s="233"/>
      <c r="C28" s="233"/>
      <c r="D28" s="233"/>
      <c r="E28" s="231" t="s">
        <v>1165</v>
      </c>
      <c r="F28" s="264"/>
    </row>
    <row r="29" spans="1:6" ht="13">
      <c r="A29" s="2">
        <v>5</v>
      </c>
      <c r="B29" s="233" t="s">
        <v>1166</v>
      </c>
      <c r="D29" s="867" t="e">
        <f>'27-Allocators'!G15</f>
        <v>#DIV/0!</v>
      </c>
      <c r="E29" s="867" t="e">
        <f>'27-Allocators'!G15</f>
        <v>#DIV/0!</v>
      </c>
      <c r="F29" s="232" t="str">
        <f>"27-Allocators, L "&amp;'27-Allocators'!A15&amp;""</f>
        <v>27-Allocators, L 9</v>
      </c>
    </row>
    <row r="30" spans="1:6" ht="13">
      <c r="A30" s="2">
        <v>6</v>
      </c>
      <c r="B30" s="233" t="s">
        <v>1167</v>
      </c>
      <c r="C30" s="233"/>
      <c r="D30" s="6" t="e">
        <f>D27*D29</f>
        <v>#DIV/0!</v>
      </c>
      <c r="E30" s="6" t="e">
        <f>E27*E29</f>
        <v>#DIV/0!</v>
      </c>
      <c r="F30" s="232" t="str">
        <f>"L "&amp;A27&amp;" * L "&amp;A29&amp;""</f>
        <v>L 4 * L 5</v>
      </c>
    </row>
    <row r="31" spans="1:6">
      <c r="C31" s="233"/>
    </row>
    <row r="32" spans="1:6">
      <c r="B32" s="233" t="s">
        <v>1168</v>
      </c>
    </row>
    <row r="33" spans="1:6">
      <c r="C33" s="22"/>
      <c r="D33" s="880"/>
      <c r="E33" s="23"/>
    </row>
    <row r="34" spans="1:6" ht="13">
      <c r="D34" s="3" t="s">
        <v>1147</v>
      </c>
      <c r="E34" s="3" t="s">
        <v>1148</v>
      </c>
      <c r="F34" s="3" t="s">
        <v>686</v>
      </c>
    </row>
    <row r="35" spans="1:6" ht="13">
      <c r="A35" s="2">
        <v>7</v>
      </c>
      <c r="C35" s="233"/>
      <c r="D35" s="5"/>
      <c r="E35" s="5"/>
      <c r="F35" s="232" t="s">
        <v>147</v>
      </c>
    </row>
    <row r="38" spans="1:6" ht="13">
      <c r="B38" s="233" t="s">
        <v>1169</v>
      </c>
      <c r="D38" s="3" t="s">
        <v>1147</v>
      </c>
      <c r="E38" s="3" t="s">
        <v>1148</v>
      </c>
      <c r="F38" s="3" t="s">
        <v>686</v>
      </c>
    </row>
    <row r="39" spans="1:6" ht="13">
      <c r="A39" s="2">
        <v>8</v>
      </c>
      <c r="D39" s="235" t="e">
        <f>D24+D30</f>
        <v>#DIV/0!</v>
      </c>
      <c r="E39" s="235" t="e">
        <f>E24+E30</f>
        <v>#DIV/0!</v>
      </c>
      <c r="F39" s="232" t="str">
        <f>"L "&amp;A24&amp;" + L "&amp;A30&amp;""</f>
        <v>L 3 + L 6</v>
      </c>
    </row>
    <row r="40" spans="1:6" ht="13">
      <c r="A40" s="2"/>
      <c r="D40" s="235"/>
      <c r="E40" s="235"/>
      <c r="F40" s="232"/>
    </row>
    <row r="41" spans="1:6">
      <c r="B41" t="s">
        <v>1170</v>
      </c>
    </row>
    <row r="42" spans="1:6" ht="13">
      <c r="A42" s="2">
        <v>9</v>
      </c>
      <c r="B42" s="233" t="s">
        <v>1169</v>
      </c>
      <c r="D42" s="235" t="e">
        <f>(D39+E39)/2</f>
        <v>#DIV/0!</v>
      </c>
      <c r="E42" s="235"/>
      <c r="F42" s="232" t="str">
        <f>"Sum of Line "&amp;A39&amp;" / 2"</f>
        <v>Sum of Line 8 / 2</v>
      </c>
    </row>
    <row r="43" spans="1:6">
      <c r="B43" s="233"/>
    </row>
    <row r="44" spans="1:6" ht="13">
      <c r="B44" s="1" t="s">
        <v>1171</v>
      </c>
      <c r="C44" s="233"/>
    </row>
    <row r="45" spans="1:6">
      <c r="C45" s="233"/>
    </row>
    <row r="46" spans="1:6" ht="13">
      <c r="A46" s="2"/>
      <c r="F46" s="3" t="s">
        <v>686</v>
      </c>
    </row>
    <row r="47" spans="1:6" ht="13">
      <c r="A47" s="2">
        <v>10</v>
      </c>
      <c r="B47" s="233" t="s">
        <v>1172</v>
      </c>
      <c r="E47" s="528"/>
      <c r="F47" s="232" t="s">
        <v>969</v>
      </c>
    </row>
    <row r="50" spans="2:2" ht="13">
      <c r="B50" s="1" t="s">
        <v>444</v>
      </c>
    </row>
    <row r="51" spans="2:2">
      <c r="B51" s="233" t="s">
        <v>1173</v>
      </c>
    </row>
    <row r="52" spans="2:2">
      <c r="B52" s="233" t="s">
        <v>1174</v>
      </c>
    </row>
    <row r="53" spans="2:2">
      <c r="B53" s="233" t="s">
        <v>1175</v>
      </c>
    </row>
    <row r="54" spans="2:2">
      <c r="B54" s="233" t="s">
        <v>1176</v>
      </c>
    </row>
    <row r="55" spans="2:2">
      <c r="B55" s="233" t="str">
        <f>"2) For any Electric Plant Held for Future Use classified as General note amount on Line "&amp;A27&amp;"."</f>
        <v>2) For any Electric Plant Held for Future Use classified as General note amount on Line 4.</v>
      </c>
    </row>
    <row r="56" spans="2:2">
      <c r="B56" s="233" t="s">
        <v>1177</v>
      </c>
    </row>
    <row r="57" spans="2:2">
      <c r="B57" s="233" t="s">
        <v>1178</v>
      </c>
    </row>
    <row r="58" spans="2:2">
      <c r="B58" s="233" t="s">
        <v>1179</v>
      </c>
    </row>
    <row r="59" spans="2:2">
      <c r="B59" s="233" t="s">
        <v>1180</v>
      </c>
    </row>
    <row r="60" spans="2:2">
      <c r="B60" s="233"/>
    </row>
    <row r="61" spans="2:2" ht="13">
      <c r="B61" s="1" t="s">
        <v>233</v>
      </c>
    </row>
    <row r="62" spans="2:2">
      <c r="B62" s="233" t="s">
        <v>1181</v>
      </c>
    </row>
  </sheetData>
  <pageMargins left="0.7" right="0.7" top="0.75" bottom="0.75" header="0.3" footer="0.3"/>
  <pageSetup scale="80" orientation="portrait" cellComments="asDisplayed" r:id="rId1"/>
  <headerFooter>
    <oddHeader xml:space="preserve">&amp;CSchedule 11
Plant Held for Future Use
</oddHeader>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6"/>
  <sheetViews>
    <sheetView zoomScaleNormal="100" workbookViewId="0">
      <selection activeCell="L41" sqref="L41"/>
    </sheetView>
  </sheetViews>
  <sheetFormatPr defaultRowHeight="12.5"/>
  <cols>
    <col min="1" max="1" width="4.54296875" customWidth="1"/>
    <col min="2" max="2" width="5.54296875" customWidth="1"/>
    <col min="3" max="10" width="12.54296875" customWidth="1"/>
    <col min="12" max="12" width="9.453125"/>
  </cols>
  <sheetData>
    <row r="1" spans="1:10" ht="13">
      <c r="A1" s="1" t="s">
        <v>1182</v>
      </c>
    </row>
    <row r="2" spans="1:10">
      <c r="I2" s="264" t="s">
        <v>1183</v>
      </c>
      <c r="J2" s="264"/>
    </row>
    <row r="3" spans="1:10">
      <c r="B3" t="s">
        <v>1184</v>
      </c>
    </row>
    <row r="5" spans="1:10">
      <c r="B5" t="s">
        <v>1185</v>
      </c>
    </row>
    <row r="6" spans="1:10">
      <c r="B6" t="s">
        <v>1186</v>
      </c>
    </row>
    <row r="7" spans="1:10">
      <c r="F7" s="28" t="s">
        <v>1187</v>
      </c>
      <c r="H7" s="28" t="s">
        <v>1188</v>
      </c>
    </row>
    <row r="8" spans="1:10">
      <c r="B8" t="s">
        <v>1189</v>
      </c>
      <c r="F8" s="240"/>
      <c r="G8" s="54"/>
      <c r="H8" s="240"/>
      <c r="I8" s="54"/>
      <c r="J8" s="54"/>
    </row>
    <row r="9" spans="1:10">
      <c r="F9" s="240"/>
      <c r="G9" s="54"/>
      <c r="H9" s="54"/>
      <c r="I9" s="54"/>
      <c r="J9" s="54"/>
    </row>
    <row r="10" spans="1:10">
      <c r="F10" s="31" t="s">
        <v>641</v>
      </c>
      <c r="H10" s="31" t="s">
        <v>641</v>
      </c>
    </row>
    <row r="12" spans="1:10">
      <c r="B12" s="233" t="s">
        <v>1190</v>
      </c>
    </row>
    <row r="13" spans="1:10">
      <c r="B13" s="233"/>
    </row>
    <row r="14" spans="1:10">
      <c r="B14" s="233" t="s">
        <v>1191</v>
      </c>
    </row>
    <row r="15" spans="1:10">
      <c r="B15" s="233" t="s">
        <v>1192</v>
      </c>
    </row>
    <row r="16" spans="1:10" ht="13">
      <c r="B16" s="233"/>
      <c r="G16" s="2" t="s">
        <v>1193</v>
      </c>
    </row>
    <row r="17" spans="1:10" ht="13">
      <c r="A17" s="30" t="s">
        <v>284</v>
      </c>
      <c r="G17" s="3" t="s">
        <v>933</v>
      </c>
      <c r="I17" s="30" t="s">
        <v>418</v>
      </c>
    </row>
    <row r="18" spans="1:10" ht="13">
      <c r="A18" s="2">
        <v>1</v>
      </c>
      <c r="F18" s="25" t="s">
        <v>1194</v>
      </c>
      <c r="G18" s="6">
        <f>SUM(IF(B31='1-BaseTRR'!$K$4,E31+I31,0),IF(B32='1-BaseTRR'!$K$4,E32+I32,0),IF(B33='1-BaseTRR'!$K$4,E33+I33,0),IF(B34='1-BaseTRR'!$K$4,E34+I34,0),IF(B35='1-BaseTRR'!$K$4,E35+I35,0),IF(B36='1-BaseTRR'!$K$4,E36+I36,0),IF(B37='1-BaseTRR'!$K$4,E37+I37,0),IF(B38='1-BaseTRR'!$K$4,E38+I38,0),IF(B39='1-BaseTRR'!$K$4,E39+I39,0),IF(B40='1-BaseTRR'!$K$4,E40+I40,0),IF(B41='1-BaseTRR'!$K$4,E41+I41,0))</f>
        <v>0</v>
      </c>
      <c r="I18" s="233" t="s">
        <v>1195</v>
      </c>
    </row>
    <row r="19" spans="1:10" ht="13">
      <c r="A19" s="2">
        <v>2</v>
      </c>
      <c r="F19" s="231" t="s">
        <v>1196</v>
      </c>
      <c r="G19" s="6">
        <f>SUM(IF(B31='1-BaseTRR'!$K$4-1,C31+G31,0),IF(B32='1-BaseTRR'!$K$4-1,C32+G32,0),IF(B33='1-BaseTRR'!$K$4-1,C33+G33,0),IF(B34='1-BaseTRR'!$K$4-1,C34+G34,0),IF(B35='1-BaseTRR'!$K$4-1,C35+G35,0),IF(B36='1-BaseTRR'!$K$4-1,C36+G36,0),IF(B37='1-BaseTRR'!$K$4-1,C37+G37,0),IF(B38='1-BaseTRR'!$K$4-1,C38+G38,0),IF(B39='1-BaseTRR'!$K$4-1,C39+G39,0),IF(B40='1-BaseTRR'!$K$4-1,C40+G40,0),IF(B41='1-BaseTRR'!$K$4-1,C41+G41,0))</f>
        <v>0</v>
      </c>
      <c r="I19" s="233" t="s">
        <v>1195</v>
      </c>
    </row>
    <row r="20" spans="1:10" ht="13">
      <c r="A20" s="2">
        <v>3</v>
      </c>
      <c r="F20" s="25" t="s">
        <v>1197</v>
      </c>
      <c r="G20" s="6">
        <f>SUM(IF(B31='1-BaseTRR'!$K$4,C31+G31,0),IF(B32='1-BaseTRR'!$K$4,C32+G32,0),IF(B33='1-BaseTRR'!$K$4,C33+G33,0),IF(B34='1-BaseTRR'!$K$4,C34+G34,0),IF(B35='1-BaseTRR'!$K$4,C35+G35,0),IF(B36='1-BaseTRR'!$K$4,C36+G36,0),IF(B37='1-BaseTRR'!$K$4,C37+G37,0),IF(B38='1-BaseTRR'!$K$4,C38+G38,0),IF(B39='1-BaseTRR'!$K$4,C39+G39,0),IF(B40='1-BaseTRR'!$K$4,C40+G40,0),IF(B41='1-BaseTRR'!$K$4,C41+G41,0))</f>
        <v>0</v>
      </c>
      <c r="I20" s="233" t="s">
        <v>1195</v>
      </c>
    </row>
    <row r="21" spans="1:10" ht="13">
      <c r="A21" s="2">
        <v>4</v>
      </c>
      <c r="F21" s="25" t="s">
        <v>1198</v>
      </c>
      <c r="G21" s="6">
        <f>(G19+G20)/2</f>
        <v>0</v>
      </c>
      <c r="I21" s="233" t="str">
        <f>"Average of Lines "&amp;A19&amp;" and "&amp;A20&amp;"."</f>
        <v>Average of Lines 2 and 3.</v>
      </c>
    </row>
    <row r="22" spans="1:10" ht="13">
      <c r="A22" s="2">
        <v>5</v>
      </c>
      <c r="E22" s="233"/>
      <c r="F22" s="231" t="s">
        <v>1199</v>
      </c>
      <c r="G22" s="6">
        <f>SUM(IF(B31='1-BaseTRR'!$K$4-1,D31+H31,0),IF(B32='1-BaseTRR'!$K$4-1,D32+H32,0),IF(B33='1-BaseTRR'!$K$4-1,D33+H33,0),IF(B34='1-BaseTRR'!$K$4-1,D34+H34,0),IF(B35='1-BaseTRR'!$K$4-1,D35+H35,0),IF(B36='1-BaseTRR'!$K$4-1,D36+H36,0),IF(B37='1-BaseTRR'!$K$4-1,D37+H37,0),IF(B38='1-BaseTRR'!$K$4-1,D38+H38,0),IF(B39='1-BaseTRR'!$K$4-1,D39+H39,0),IF(B40='1-BaseTRR'!$K$4-1,D40+H40,0),IF(B41='1-BaseTRR'!$K$4-1,D41+H41,0))</f>
        <v>0</v>
      </c>
      <c r="H22" s="233"/>
      <c r="I22" s="233" t="s">
        <v>1195</v>
      </c>
      <c r="J22" s="233"/>
    </row>
    <row r="23" spans="1:10">
      <c r="I23" s="233"/>
    </row>
    <row r="25" spans="1:10" ht="13">
      <c r="A25" s="2">
        <v>6</v>
      </c>
      <c r="C25" s="1" t="s">
        <v>1200</v>
      </c>
      <c r="D25" s="240" t="s">
        <v>1201</v>
      </c>
      <c r="G25" s="85" t="s">
        <v>1202</v>
      </c>
      <c r="H25" s="240" t="s">
        <v>1201</v>
      </c>
      <c r="I25" s="85"/>
      <c r="J25" s="233"/>
    </row>
    <row r="26" spans="1:10" ht="13">
      <c r="A26" s="2"/>
      <c r="C26" s="1"/>
      <c r="D26" s="233"/>
      <c r="G26" s="85"/>
      <c r="H26" s="233"/>
      <c r="I26" s="85"/>
      <c r="J26" s="233"/>
    </row>
    <row r="27" spans="1:10" ht="13">
      <c r="D27" s="2" t="s">
        <v>1203</v>
      </c>
      <c r="E27" s="2" t="s">
        <v>1204</v>
      </c>
      <c r="H27" s="2" t="s">
        <v>1203</v>
      </c>
      <c r="I27" s="2" t="s">
        <v>1204</v>
      </c>
      <c r="J27" s="2"/>
    </row>
    <row r="28" spans="1:10" ht="13">
      <c r="C28" s="2" t="s">
        <v>1205</v>
      </c>
      <c r="D28" s="2" t="s">
        <v>1204</v>
      </c>
      <c r="E28" s="2" t="s">
        <v>694</v>
      </c>
      <c r="G28" s="2" t="s">
        <v>1205</v>
      </c>
      <c r="H28" s="2" t="s">
        <v>1204</v>
      </c>
      <c r="I28" s="2" t="s">
        <v>694</v>
      </c>
      <c r="J28" s="2"/>
    </row>
    <row r="29" spans="1:10" ht="13">
      <c r="C29" s="2" t="s">
        <v>1204</v>
      </c>
      <c r="D29" s="2" t="s">
        <v>694</v>
      </c>
      <c r="E29" s="2" t="s">
        <v>1206</v>
      </c>
      <c r="G29" s="2" t="s">
        <v>1204</v>
      </c>
      <c r="H29" s="2" t="s">
        <v>694</v>
      </c>
      <c r="I29" s="2" t="s">
        <v>1206</v>
      </c>
      <c r="J29" s="2"/>
    </row>
    <row r="30" spans="1:10" ht="13">
      <c r="A30" s="2"/>
      <c r="B30" s="3" t="s">
        <v>383</v>
      </c>
      <c r="C30" s="3" t="s">
        <v>694</v>
      </c>
      <c r="D30" s="3" t="s">
        <v>1207</v>
      </c>
      <c r="E30" s="3" t="s">
        <v>1208</v>
      </c>
      <c r="G30" s="3" t="s">
        <v>694</v>
      </c>
      <c r="H30" s="3" t="s">
        <v>1207</v>
      </c>
      <c r="I30" s="3" t="s">
        <v>1208</v>
      </c>
      <c r="J30" s="3"/>
    </row>
    <row r="31" spans="1:10" ht="13">
      <c r="A31" s="2">
        <v>7</v>
      </c>
      <c r="B31">
        <v>2015</v>
      </c>
      <c r="C31" s="555"/>
      <c r="D31" s="555"/>
      <c r="E31" s="555"/>
      <c r="G31" s="54"/>
      <c r="H31" s="54"/>
      <c r="I31" s="54"/>
    </row>
    <row r="32" spans="1:10" ht="13">
      <c r="A32" s="2">
        <v>8</v>
      </c>
      <c r="B32">
        <v>2016</v>
      </c>
      <c r="C32" s="555"/>
      <c r="D32" s="555"/>
      <c r="E32" s="555"/>
      <c r="G32" s="54"/>
      <c r="H32" s="54"/>
      <c r="I32" s="54"/>
    </row>
    <row r="33" spans="1:9" ht="13">
      <c r="A33" s="2">
        <v>9</v>
      </c>
      <c r="B33">
        <v>2017</v>
      </c>
      <c r="C33" s="54"/>
      <c r="D33" s="54"/>
      <c r="E33" s="54"/>
      <c r="G33" s="54"/>
      <c r="H33" s="54"/>
      <c r="I33" s="54"/>
    </row>
    <row r="34" spans="1:9" ht="13">
      <c r="A34" s="2">
        <v>10</v>
      </c>
      <c r="B34">
        <v>2018</v>
      </c>
      <c r="C34" s="54"/>
      <c r="D34" s="54"/>
      <c r="E34" s="54"/>
      <c r="G34" s="54"/>
      <c r="H34" s="54"/>
      <c r="I34" s="54"/>
    </row>
    <row r="35" spans="1:9" ht="13">
      <c r="A35" s="2">
        <v>11</v>
      </c>
      <c r="B35">
        <v>2019</v>
      </c>
      <c r="C35" s="54"/>
      <c r="D35" s="54"/>
      <c r="E35" s="54"/>
      <c r="G35" s="54"/>
      <c r="H35" s="54"/>
      <c r="I35" s="54"/>
    </row>
    <row r="36" spans="1:9" ht="13">
      <c r="A36" s="2">
        <v>12</v>
      </c>
      <c r="B36">
        <v>2020</v>
      </c>
      <c r="C36" s="54"/>
      <c r="D36" s="54"/>
      <c r="E36" s="54"/>
      <c r="G36" s="54"/>
      <c r="H36" s="54"/>
      <c r="I36" s="54"/>
    </row>
    <row r="37" spans="1:9" ht="13">
      <c r="A37" s="2">
        <v>13</v>
      </c>
      <c r="B37">
        <v>2021</v>
      </c>
      <c r="C37" s="54"/>
      <c r="D37" s="54"/>
      <c r="E37" s="54"/>
      <c r="G37" s="54"/>
      <c r="H37" s="54"/>
      <c r="I37" s="54"/>
    </row>
    <row r="38" spans="1:9" ht="13">
      <c r="A38" s="2">
        <v>14</v>
      </c>
      <c r="B38">
        <v>2022</v>
      </c>
      <c r="C38" s="54"/>
      <c r="D38" s="54"/>
      <c r="E38" s="54"/>
      <c r="G38" s="54"/>
      <c r="H38" s="54"/>
      <c r="I38" s="54"/>
    </row>
    <row r="39" spans="1:9" ht="13">
      <c r="A39" s="2">
        <v>15</v>
      </c>
      <c r="B39">
        <v>2023</v>
      </c>
      <c r="C39" s="54"/>
      <c r="D39" s="54"/>
      <c r="E39" s="54"/>
      <c r="G39" s="54"/>
      <c r="H39" s="54"/>
      <c r="I39" s="54"/>
    </row>
    <row r="40" spans="1:9" ht="13">
      <c r="A40" s="2">
        <v>16</v>
      </c>
      <c r="B40">
        <v>2024</v>
      </c>
      <c r="C40" s="54"/>
      <c r="D40" s="54"/>
      <c r="E40" s="54"/>
      <c r="G40" s="54"/>
      <c r="H40" s="54"/>
      <c r="I40" s="54"/>
    </row>
    <row r="41" spans="1:9" ht="13">
      <c r="A41" s="2">
        <v>17</v>
      </c>
      <c r="B41">
        <v>2025</v>
      </c>
      <c r="C41" s="54"/>
      <c r="D41" s="54"/>
      <c r="E41" s="54"/>
      <c r="G41" s="54"/>
      <c r="H41" s="54"/>
      <c r="I41" s="54"/>
    </row>
    <row r="42" spans="1:9" ht="13">
      <c r="A42" s="2">
        <v>18</v>
      </c>
      <c r="B42" s="287" t="s">
        <v>641</v>
      </c>
    </row>
    <row r="43" spans="1:9" ht="13">
      <c r="A43" s="2"/>
      <c r="B43" s="287"/>
    </row>
    <row r="44" spans="1:9" ht="13">
      <c r="A44" s="2"/>
      <c r="B44" s="1" t="s">
        <v>233</v>
      </c>
    </row>
    <row r="45" spans="1:9" ht="13">
      <c r="A45" s="2"/>
      <c r="B45" s="233" t="s">
        <v>1209</v>
      </c>
    </row>
    <row r="46" spans="1:9" ht="13">
      <c r="A46" s="2"/>
    </row>
    <row r="47" spans="1:9" ht="13">
      <c r="A47" s="2"/>
      <c r="B47" s="1" t="s">
        <v>444</v>
      </c>
    </row>
    <row r="48" spans="1:9" ht="13">
      <c r="A48" s="2"/>
      <c r="B48" s="233" t="s">
        <v>1210</v>
      </c>
    </row>
    <row r="49" spans="1:2" ht="13">
      <c r="A49" s="2"/>
      <c r="B49" s="232" t="s">
        <v>1211</v>
      </c>
    </row>
    <row r="50" spans="1:2" ht="13">
      <c r="A50" s="2"/>
      <c r="B50" s="232" t="s">
        <v>1212</v>
      </c>
    </row>
    <row r="51" spans="1:2" ht="13">
      <c r="A51" s="2"/>
      <c r="B51" s="232" t="s">
        <v>1213</v>
      </c>
    </row>
    <row r="52" spans="1:2" ht="13">
      <c r="A52" s="2"/>
      <c r="B52" s="232" t="s">
        <v>1214</v>
      </c>
    </row>
    <row r="53" spans="1:2">
      <c r="B53" s="232" t="s">
        <v>1215</v>
      </c>
    </row>
    <row r="54" spans="1:2">
      <c r="B54" s="279" t="s">
        <v>1216</v>
      </c>
    </row>
    <row r="55" spans="1:2">
      <c r="B55" s="233" t="s">
        <v>1217</v>
      </c>
    </row>
    <row r="56" spans="1:2">
      <c r="B56" s="233" t="s">
        <v>1218</v>
      </c>
    </row>
  </sheetData>
  <pageMargins left="0.7" right="0.7" top="0.75" bottom="0.75" header="0.3" footer="0.3"/>
  <pageSetup scale="80" orientation="portrait" cellComments="asDisplayed" r:id="rId1"/>
  <headerFooter>
    <oddHeader xml:space="preserve">&amp;CSchedule 12
Abandoned Plant
</oddHeader>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3"/>
  <sheetViews>
    <sheetView zoomScaleNormal="100" workbookViewId="0">
      <selection activeCell="L41" sqref="L41"/>
    </sheetView>
  </sheetViews>
  <sheetFormatPr defaultRowHeight="12.5"/>
  <cols>
    <col min="1" max="1" width="4.54296875" customWidth="1"/>
    <col min="2" max="2" width="3.54296875" customWidth="1"/>
    <col min="3" max="3" width="14.54296875" customWidth="1"/>
    <col min="4" max="4" width="8.54296875" customWidth="1"/>
    <col min="5" max="5" width="15.453125" customWidth="1"/>
    <col min="6" max="6" width="24.54296875" customWidth="1"/>
    <col min="7" max="7" width="35.54296875" customWidth="1"/>
    <col min="11" max="11" width="11.453125" bestFit="1" customWidth="1"/>
  </cols>
  <sheetData>
    <row r="1" spans="1:7" ht="13">
      <c r="A1" s="1" t="s">
        <v>1219</v>
      </c>
    </row>
    <row r="2" spans="1:7">
      <c r="C2" s="233"/>
      <c r="F2" s="27" t="s">
        <v>652</v>
      </c>
      <c r="G2" s="664"/>
    </row>
    <row r="3" spans="1:7" ht="13">
      <c r="B3" s="1" t="s">
        <v>1220</v>
      </c>
      <c r="F3" s="39" t="s">
        <v>200</v>
      </c>
      <c r="G3" s="240" t="s">
        <v>1221</v>
      </c>
    </row>
    <row r="4" spans="1:7">
      <c r="C4" s="233" t="s">
        <v>1222</v>
      </c>
      <c r="E4" s="13"/>
      <c r="F4" s="881"/>
      <c r="G4" s="20"/>
    </row>
    <row r="5" spans="1:7">
      <c r="C5" s="233" t="s">
        <v>1223</v>
      </c>
      <c r="E5" s="13"/>
      <c r="F5" s="881"/>
      <c r="G5" s="20"/>
    </row>
    <row r="6" spans="1:7" ht="13">
      <c r="E6" s="13"/>
      <c r="F6" s="43"/>
      <c r="G6" s="20"/>
    </row>
    <row r="7" spans="1:7" ht="13">
      <c r="C7" s="14"/>
      <c r="D7" s="13"/>
      <c r="E7" s="19" t="s">
        <v>693</v>
      </c>
      <c r="F7" s="19" t="s">
        <v>1224</v>
      </c>
      <c r="G7" s="19"/>
    </row>
    <row r="8" spans="1:7" ht="13">
      <c r="A8" s="32" t="s">
        <v>102</v>
      </c>
      <c r="C8" s="18" t="s">
        <v>382</v>
      </c>
      <c r="D8" s="18" t="s">
        <v>383</v>
      </c>
      <c r="E8" s="18" t="s">
        <v>686</v>
      </c>
      <c r="F8" s="18" t="s">
        <v>1225</v>
      </c>
      <c r="G8" s="18" t="s">
        <v>103</v>
      </c>
    </row>
    <row r="9" spans="1:7" ht="13">
      <c r="A9" s="2">
        <v>1</v>
      </c>
      <c r="C9" s="13" t="s">
        <v>390</v>
      </c>
      <c r="D9" s="82"/>
      <c r="E9" s="21" t="s">
        <v>1226</v>
      </c>
      <c r="F9" s="802"/>
      <c r="G9" s="21" t="s">
        <v>1227</v>
      </c>
    </row>
    <row r="10" spans="1:7" ht="13">
      <c r="A10" s="2">
        <f>A9+1</f>
        <v>2</v>
      </c>
      <c r="C10" s="241" t="s">
        <v>392</v>
      </c>
      <c r="D10" s="82"/>
      <c r="E10" s="255" t="s">
        <v>969</v>
      </c>
      <c r="F10" s="802"/>
      <c r="G10" s="21"/>
    </row>
    <row r="11" spans="1:7" ht="13">
      <c r="A11" s="2">
        <f t="shared" ref="A11:A21" si="0">A10+1</f>
        <v>3</v>
      </c>
      <c r="C11" s="241" t="s">
        <v>393</v>
      </c>
      <c r="D11" s="82"/>
      <c r="E11" s="255" t="s">
        <v>969</v>
      </c>
      <c r="F11" s="802"/>
      <c r="G11" s="21"/>
    </row>
    <row r="12" spans="1:7" ht="13">
      <c r="A12" s="2">
        <f t="shared" si="0"/>
        <v>4</v>
      </c>
      <c r="C12" s="241" t="s">
        <v>394</v>
      </c>
      <c r="D12" s="82"/>
      <c r="E12" s="255" t="s">
        <v>969</v>
      </c>
      <c r="F12" s="802"/>
      <c r="G12" s="21"/>
    </row>
    <row r="13" spans="1:7" ht="13">
      <c r="A13" s="2">
        <f t="shared" si="0"/>
        <v>5</v>
      </c>
      <c r="C13" s="241" t="s">
        <v>395</v>
      </c>
      <c r="D13" s="82"/>
      <c r="E13" s="255" t="s">
        <v>969</v>
      </c>
      <c r="F13" s="802"/>
      <c r="G13" s="21"/>
    </row>
    <row r="14" spans="1:7" ht="13">
      <c r="A14" s="2">
        <f t="shared" si="0"/>
        <v>6</v>
      </c>
      <c r="C14" s="241" t="s">
        <v>396</v>
      </c>
      <c r="D14" s="82"/>
      <c r="E14" s="255" t="s">
        <v>969</v>
      </c>
      <c r="F14" s="802"/>
      <c r="G14" s="21"/>
    </row>
    <row r="15" spans="1:7" ht="13">
      <c r="A15" s="2">
        <f t="shared" si="0"/>
        <v>7</v>
      </c>
      <c r="C15" s="241" t="s">
        <v>610</v>
      </c>
      <c r="D15" s="82"/>
      <c r="E15" s="255" t="s">
        <v>969</v>
      </c>
      <c r="F15" s="802"/>
      <c r="G15" s="21"/>
    </row>
    <row r="16" spans="1:7" ht="13">
      <c r="A16" s="2">
        <f t="shared" si="0"/>
        <v>8</v>
      </c>
      <c r="C16" s="241" t="s">
        <v>398</v>
      </c>
      <c r="D16" s="82"/>
      <c r="E16" s="255" t="s">
        <v>969</v>
      </c>
      <c r="F16" s="802"/>
      <c r="G16" s="21"/>
    </row>
    <row r="17" spans="1:7" ht="13">
      <c r="A17" s="2">
        <f t="shared" si="0"/>
        <v>9</v>
      </c>
      <c r="C17" s="241" t="s">
        <v>399</v>
      </c>
      <c r="D17" s="82"/>
      <c r="E17" s="255" t="s">
        <v>969</v>
      </c>
      <c r="F17" s="802"/>
      <c r="G17" s="21"/>
    </row>
    <row r="18" spans="1:7" ht="13">
      <c r="A18" s="2">
        <f t="shared" si="0"/>
        <v>10</v>
      </c>
      <c r="C18" s="241" t="s">
        <v>400</v>
      </c>
      <c r="D18" s="82"/>
      <c r="E18" s="255" t="s">
        <v>969</v>
      </c>
      <c r="F18" s="802"/>
      <c r="G18" s="21"/>
    </row>
    <row r="19" spans="1:7" ht="13">
      <c r="A19" s="2">
        <f t="shared" si="0"/>
        <v>11</v>
      </c>
      <c r="C19" s="241" t="s">
        <v>401</v>
      </c>
      <c r="D19" s="82"/>
      <c r="E19" s="255" t="s">
        <v>969</v>
      </c>
      <c r="F19" s="802"/>
      <c r="G19" s="21"/>
    </row>
    <row r="20" spans="1:7" ht="13">
      <c r="A20" s="2">
        <f t="shared" si="0"/>
        <v>12</v>
      </c>
      <c r="C20" s="241" t="s">
        <v>402</v>
      </c>
      <c r="D20" s="82"/>
      <c r="E20" s="255" t="s">
        <v>969</v>
      </c>
      <c r="F20" s="253"/>
      <c r="G20" s="21"/>
    </row>
    <row r="21" spans="1:7" ht="13">
      <c r="A21" s="2">
        <f t="shared" si="0"/>
        <v>13</v>
      </c>
      <c r="C21" s="14" t="s">
        <v>390</v>
      </c>
      <c r="D21" s="82"/>
      <c r="E21" s="21" t="s">
        <v>1228</v>
      </c>
      <c r="F21" s="802"/>
      <c r="G21" s="12" t="s">
        <v>822</v>
      </c>
    </row>
    <row r="22" spans="1:7" ht="13">
      <c r="C22" s="15"/>
      <c r="D22" s="15"/>
      <c r="E22" s="13"/>
      <c r="G22" s="21"/>
    </row>
    <row r="23" spans="1:7" ht="13">
      <c r="A23" s="2">
        <f>A21+1</f>
        <v>14</v>
      </c>
      <c r="C23" s="15"/>
      <c r="D23" s="15"/>
      <c r="E23" s="254" t="s">
        <v>1229</v>
      </c>
      <c r="F23" s="880">
        <f>SUM(F9:F21)/13</f>
        <v>0</v>
      </c>
      <c r="G23" s="12" t="str">
        <f>"(Sum Line "&amp;A9&amp;" to Line "&amp;A21&amp;") / 13"</f>
        <v>(Sum Line 1 to Line 13) / 13</v>
      </c>
    </row>
    <row r="24" spans="1:7" ht="13">
      <c r="A24" s="2">
        <f>A23+1</f>
        <v>15</v>
      </c>
      <c r="C24" s="15"/>
      <c r="D24" s="15"/>
      <c r="E24" s="22" t="s">
        <v>1230</v>
      </c>
      <c r="F24" s="24" t="e">
        <f>'27-Allocators'!G15</f>
        <v>#DIV/0!</v>
      </c>
      <c r="G24" s="12" t="str">
        <f>"27-Allocators, Line "&amp;'27-Allocators'!A15&amp;""</f>
        <v>27-Allocators, Line 9</v>
      </c>
    </row>
    <row r="25" spans="1:7" ht="13">
      <c r="D25" s="15"/>
      <c r="E25" s="22"/>
      <c r="F25" s="880"/>
      <c r="G25" s="12"/>
    </row>
    <row r="26" spans="1:7" ht="13">
      <c r="A26" s="2">
        <f>A24+1</f>
        <v>16</v>
      </c>
      <c r="C26" s="15" t="s">
        <v>112</v>
      </c>
      <c r="D26" s="15"/>
      <c r="E26" s="231" t="s">
        <v>688</v>
      </c>
      <c r="F26" s="880" t="e">
        <f>F21*F24</f>
        <v>#DIV/0!</v>
      </c>
      <c r="G26" s="232" t="str">
        <f>"Line "&amp;A21&amp;" * Line "&amp;A24&amp;""</f>
        <v>Line 13 * Line 15</v>
      </c>
    </row>
    <row r="27" spans="1:7" ht="13">
      <c r="A27" s="2">
        <f>A26+1</f>
        <v>17</v>
      </c>
      <c r="C27" s="15"/>
      <c r="D27" s="15"/>
      <c r="E27" s="254" t="s">
        <v>1231</v>
      </c>
      <c r="F27" s="880" t="e">
        <f>F23*F24</f>
        <v>#DIV/0!</v>
      </c>
      <c r="G27" s="232" t="str">
        <f>"Line "&amp;A23&amp;" * Line "&amp;A24&amp;""</f>
        <v>Line 14 * Line 15</v>
      </c>
    </row>
    <row r="29" spans="1:7" ht="13">
      <c r="B29" s="1" t="s">
        <v>1232</v>
      </c>
    </row>
    <row r="30" spans="1:7">
      <c r="C30" t="s">
        <v>1233</v>
      </c>
      <c r="E30" s="13"/>
      <c r="F30" s="881"/>
      <c r="G30" s="20"/>
    </row>
    <row r="31" spans="1:7">
      <c r="C31" t="s">
        <v>1234</v>
      </c>
      <c r="E31" s="13"/>
      <c r="F31" s="881"/>
      <c r="G31" s="20"/>
    </row>
    <row r="32" spans="1:7" ht="13">
      <c r="C32" s="14"/>
      <c r="D32" s="13"/>
      <c r="E32" s="19" t="s">
        <v>693</v>
      </c>
      <c r="F32" s="43" t="s">
        <v>1235</v>
      </c>
      <c r="G32" s="19"/>
    </row>
    <row r="33" spans="1:11" ht="13">
      <c r="C33" s="18" t="s">
        <v>382</v>
      </c>
      <c r="D33" s="18" t="s">
        <v>383</v>
      </c>
      <c r="E33" s="18" t="s">
        <v>686</v>
      </c>
      <c r="F33" s="18" t="s">
        <v>696</v>
      </c>
      <c r="G33" s="18" t="s">
        <v>103</v>
      </c>
    </row>
    <row r="34" spans="1:11" ht="13">
      <c r="A34" s="2">
        <f>A27+1</f>
        <v>18</v>
      </c>
      <c r="C34" s="13" t="s">
        <v>390</v>
      </c>
      <c r="D34" s="330"/>
      <c r="E34" s="556" t="s">
        <v>1236</v>
      </c>
      <c r="F34" s="6">
        <f>F63</f>
        <v>0</v>
      </c>
      <c r="G34" s="556" t="s">
        <v>1237</v>
      </c>
    </row>
    <row r="35" spans="1:11" ht="13">
      <c r="A35" s="2">
        <f>A34+1</f>
        <v>19</v>
      </c>
      <c r="C35" s="241" t="s">
        <v>392</v>
      </c>
      <c r="D35" s="330"/>
      <c r="E35" s="255" t="s">
        <v>969</v>
      </c>
      <c r="F35" s="59"/>
      <c r="G35" s="556"/>
      <c r="J35" s="6"/>
      <c r="K35" s="6"/>
    </row>
    <row r="36" spans="1:11" ht="13">
      <c r="A36" s="2">
        <f t="shared" ref="A36:A46" si="1">A35+1</f>
        <v>20</v>
      </c>
      <c r="C36" s="241" t="s">
        <v>393</v>
      </c>
      <c r="D36" s="330"/>
      <c r="E36" s="255" t="s">
        <v>969</v>
      </c>
      <c r="F36" s="59"/>
      <c r="G36" s="556"/>
      <c r="J36" s="6"/>
      <c r="K36" s="6"/>
    </row>
    <row r="37" spans="1:11" ht="13">
      <c r="A37" s="2">
        <f t="shared" si="1"/>
        <v>21</v>
      </c>
      <c r="C37" s="241" t="s">
        <v>394</v>
      </c>
      <c r="D37" s="330"/>
      <c r="E37" s="255" t="s">
        <v>969</v>
      </c>
      <c r="F37" s="59"/>
      <c r="G37" s="556"/>
      <c r="J37" s="6"/>
      <c r="K37" s="6"/>
    </row>
    <row r="38" spans="1:11" ht="13">
      <c r="A38" s="2">
        <f t="shared" si="1"/>
        <v>22</v>
      </c>
      <c r="C38" s="241" t="s">
        <v>395</v>
      </c>
      <c r="D38" s="330"/>
      <c r="E38" s="255" t="s">
        <v>969</v>
      </c>
      <c r="F38" s="59"/>
      <c r="G38" s="556"/>
      <c r="J38" s="6"/>
      <c r="K38" s="6"/>
    </row>
    <row r="39" spans="1:11" ht="13">
      <c r="A39" s="2">
        <f t="shared" si="1"/>
        <v>23</v>
      </c>
      <c r="C39" s="241" t="s">
        <v>396</v>
      </c>
      <c r="D39" s="330"/>
      <c r="E39" s="255" t="s">
        <v>969</v>
      </c>
      <c r="F39" s="59"/>
      <c r="G39" s="556"/>
      <c r="J39" s="6"/>
      <c r="K39" s="6"/>
    </row>
    <row r="40" spans="1:11" ht="13">
      <c r="A40" s="2">
        <f t="shared" si="1"/>
        <v>24</v>
      </c>
      <c r="C40" s="241" t="s">
        <v>610</v>
      </c>
      <c r="D40" s="330"/>
      <c r="E40" s="255" t="s">
        <v>969</v>
      </c>
      <c r="F40" s="59"/>
      <c r="G40" s="556"/>
      <c r="J40" s="6"/>
      <c r="K40" s="6"/>
    </row>
    <row r="41" spans="1:11" ht="13">
      <c r="A41" s="2">
        <f t="shared" si="1"/>
        <v>25</v>
      </c>
      <c r="C41" s="241" t="s">
        <v>398</v>
      </c>
      <c r="D41" s="330"/>
      <c r="E41" s="255" t="s">
        <v>969</v>
      </c>
      <c r="F41" s="59"/>
      <c r="G41" s="556"/>
      <c r="J41" s="6"/>
      <c r="K41" s="6"/>
    </row>
    <row r="42" spans="1:11" ht="13">
      <c r="A42" s="2">
        <f t="shared" si="1"/>
        <v>26</v>
      </c>
      <c r="C42" s="241" t="s">
        <v>399</v>
      </c>
      <c r="D42" s="330"/>
      <c r="E42" s="255" t="s">
        <v>969</v>
      </c>
      <c r="F42" s="59"/>
      <c r="G42" s="556"/>
      <c r="J42" s="6"/>
      <c r="K42" s="6"/>
    </row>
    <row r="43" spans="1:11" ht="13">
      <c r="A43" s="2">
        <f t="shared" si="1"/>
        <v>27</v>
      </c>
      <c r="C43" s="241" t="s">
        <v>400</v>
      </c>
      <c r="D43" s="330"/>
      <c r="E43" s="255" t="s">
        <v>969</v>
      </c>
      <c r="F43" s="59"/>
      <c r="G43" s="556"/>
      <c r="J43" s="6"/>
      <c r="K43" s="6"/>
    </row>
    <row r="44" spans="1:11" ht="13">
      <c r="A44" s="2">
        <f t="shared" si="1"/>
        <v>28</v>
      </c>
      <c r="C44" s="241" t="s">
        <v>401</v>
      </c>
      <c r="D44" s="330"/>
      <c r="E44" s="255" t="s">
        <v>969</v>
      </c>
      <c r="F44" s="59"/>
      <c r="G44" s="556"/>
      <c r="J44" s="6"/>
      <c r="K44" s="6"/>
    </row>
    <row r="45" spans="1:11" ht="13">
      <c r="A45" s="2">
        <f t="shared" si="1"/>
        <v>29</v>
      </c>
      <c r="C45" s="241" t="s">
        <v>402</v>
      </c>
      <c r="D45" s="330"/>
      <c r="E45" s="255" t="s">
        <v>969</v>
      </c>
      <c r="F45" s="116"/>
      <c r="G45" s="556"/>
      <c r="J45" s="6"/>
      <c r="K45" s="6"/>
    </row>
    <row r="46" spans="1:11" ht="13">
      <c r="A46" s="2">
        <f t="shared" si="1"/>
        <v>30</v>
      </c>
      <c r="C46" s="14" t="s">
        <v>390</v>
      </c>
      <c r="D46" s="330"/>
      <c r="E46" s="556" t="s">
        <v>1238</v>
      </c>
      <c r="F46" s="6">
        <f>F69</f>
        <v>0</v>
      </c>
      <c r="G46" s="556" t="s">
        <v>1239</v>
      </c>
    </row>
    <row r="47" spans="1:11">
      <c r="C47" s="14"/>
      <c r="D47" s="17"/>
      <c r="E47" s="16"/>
      <c r="F47" s="880"/>
      <c r="G47" s="12"/>
    </row>
    <row r="48" spans="1:11" ht="13">
      <c r="C48" s="334" t="s">
        <v>1240</v>
      </c>
      <c r="D48" s="334"/>
      <c r="E48" s="303"/>
      <c r="G48" s="21"/>
    </row>
    <row r="49" spans="1:8" ht="13">
      <c r="A49" s="2">
        <f>A46+1</f>
        <v>31</v>
      </c>
      <c r="C49" s="15"/>
      <c r="D49" s="15"/>
      <c r="E49" s="354" t="s">
        <v>1231</v>
      </c>
      <c r="F49" s="880">
        <f>SUM(F34:F46)/13</f>
        <v>0</v>
      </c>
      <c r="G49" s="12" t="str">
        <f>"(Sum Line "&amp;A34&amp;" to Line "&amp;A46&amp;") / 13"</f>
        <v>(Sum Line 18 to Line 30) / 13</v>
      </c>
    </row>
    <row r="50" spans="1:8" ht="13">
      <c r="A50" s="2">
        <f>A49+1</f>
        <v>32</v>
      </c>
      <c r="C50" s="15"/>
      <c r="D50" s="15"/>
      <c r="E50" s="254" t="s">
        <v>1230</v>
      </c>
      <c r="F50" s="24" t="e">
        <f>'27-Allocators'!G15</f>
        <v>#DIV/0!</v>
      </c>
      <c r="G50" s="12" t="str">
        <f>"27-Allocators, Line "&amp;'27-Allocators'!A15&amp;""</f>
        <v>27-Allocators, Line 9</v>
      </c>
    </row>
    <row r="51" spans="1:8" ht="13">
      <c r="A51" s="2">
        <f>A50+1</f>
        <v>33</v>
      </c>
      <c r="C51" s="15"/>
      <c r="D51" s="15"/>
      <c r="E51" s="22" t="s">
        <v>1241</v>
      </c>
      <c r="F51" s="880" t="e">
        <f>F49*F50</f>
        <v>#DIV/0!</v>
      </c>
      <c r="G51" s="232" t="str">
        <f>"Line "&amp;A49&amp;" * Line "&amp;A50&amp;""</f>
        <v>Line 31 * Line 32</v>
      </c>
    </row>
    <row r="52" spans="1:8" ht="13">
      <c r="C52" s="15" t="s">
        <v>1242</v>
      </c>
      <c r="D52" s="15"/>
      <c r="E52" s="13"/>
      <c r="G52" s="23"/>
    </row>
    <row r="53" spans="1:8" ht="13">
      <c r="A53" s="2">
        <f>A51+1</f>
        <v>34</v>
      </c>
      <c r="C53" s="15"/>
      <c r="D53" s="15"/>
      <c r="E53" s="22" t="s">
        <v>688</v>
      </c>
      <c r="F53" s="880">
        <f>F46</f>
        <v>0</v>
      </c>
      <c r="G53" s="23" t="str">
        <f>"Line "&amp;A46&amp;""</f>
        <v>Line 30</v>
      </c>
    </row>
    <row r="54" spans="1:8" ht="13">
      <c r="A54" s="2">
        <f>A53+1</f>
        <v>35</v>
      </c>
      <c r="C54" s="15"/>
      <c r="D54" s="15"/>
      <c r="E54" s="22" t="s">
        <v>1230</v>
      </c>
      <c r="F54" s="24" t="e">
        <f>'27-Allocators'!G15</f>
        <v>#DIV/0!</v>
      </c>
      <c r="G54" s="12" t="str">
        <f>"27-Allocators, Line "&amp;'27-Allocators'!A15&amp;""</f>
        <v>27-Allocators, Line 9</v>
      </c>
    </row>
    <row r="55" spans="1:8" ht="13">
      <c r="A55" s="2">
        <f>A54+1</f>
        <v>36</v>
      </c>
      <c r="C55" s="15"/>
      <c r="D55" s="15"/>
      <c r="E55" s="22" t="s">
        <v>1241</v>
      </c>
      <c r="F55" s="880" t="e">
        <f>F53*F54</f>
        <v>#DIV/0!</v>
      </c>
      <c r="G55" s="232" t="str">
        <f>"Line "&amp;A53&amp;" * Line "&amp;A54&amp;""</f>
        <v>Line 34 * Line 35</v>
      </c>
    </row>
    <row r="56" spans="1:8" ht="13">
      <c r="B56" s="30" t="s">
        <v>233</v>
      </c>
      <c r="C56" s="233"/>
      <c r="D56" s="233"/>
      <c r="E56" s="233"/>
      <c r="F56" s="233"/>
      <c r="G56" s="233"/>
    </row>
    <row r="57" spans="1:8">
      <c r="B57" s="233" t="s">
        <v>1243</v>
      </c>
      <c r="C57" s="233" t="str">
        <f>"Remove any amounts related to years prior to 2012 on "&amp;B62&amp;" and "&amp;B68&amp;" below."</f>
        <v>Remove any amounts related to years prior to 2012 on b and e below.</v>
      </c>
      <c r="D57" s="233"/>
      <c r="E57" s="233"/>
      <c r="F57" s="233"/>
      <c r="G57" s="233"/>
    </row>
    <row r="58" spans="1:8" ht="13">
      <c r="A58" s="2"/>
      <c r="B58" s="233"/>
      <c r="C58" s="233"/>
      <c r="D58" s="233"/>
      <c r="E58" s="231"/>
      <c r="F58" s="235"/>
      <c r="G58" s="232"/>
      <c r="H58" s="1"/>
    </row>
    <row r="59" spans="1:8" ht="13">
      <c r="A59" s="2"/>
      <c r="B59" s="233"/>
      <c r="C59" s="233" t="s">
        <v>1244</v>
      </c>
      <c r="D59" s="233"/>
      <c r="E59" s="231"/>
      <c r="F59" s="557" t="s">
        <v>113</v>
      </c>
      <c r="G59" s="232"/>
    </row>
    <row r="60" spans="1:8" ht="13">
      <c r="A60" s="2"/>
      <c r="B60" s="233"/>
      <c r="C60" s="233"/>
      <c r="D60" s="233"/>
      <c r="E60" s="231"/>
      <c r="F60" s="328" t="s">
        <v>696</v>
      </c>
      <c r="G60" s="194" t="s">
        <v>686</v>
      </c>
    </row>
    <row r="61" spans="1:8" ht="13">
      <c r="A61" s="2"/>
      <c r="B61" s="2" t="s">
        <v>529</v>
      </c>
      <c r="C61" s="303"/>
      <c r="D61" s="233"/>
      <c r="E61" s="231" t="s">
        <v>1245</v>
      </c>
      <c r="F61" s="561"/>
      <c r="G61" s="556" t="s">
        <v>1246</v>
      </c>
    </row>
    <row r="62" spans="1:8" ht="13">
      <c r="A62" s="2"/>
      <c r="B62" s="2" t="s">
        <v>532</v>
      </c>
      <c r="C62" s="233"/>
      <c r="D62" s="233"/>
      <c r="E62" s="231" t="s">
        <v>1247</v>
      </c>
      <c r="F62" s="61"/>
      <c r="G62" s="232" t="s">
        <v>147</v>
      </c>
    </row>
    <row r="63" spans="1:8" ht="13">
      <c r="A63" s="2"/>
      <c r="B63" s="2" t="s">
        <v>535</v>
      </c>
      <c r="C63" s="233"/>
      <c r="D63" s="233"/>
      <c r="E63" s="231" t="s">
        <v>1248</v>
      </c>
      <c r="F63" s="235">
        <f>F61-F62</f>
        <v>0</v>
      </c>
      <c r="G63" s="232" t="str">
        <f>""&amp;B61&amp;" - "&amp;B62&amp;""</f>
        <v>a - b</v>
      </c>
    </row>
    <row r="64" spans="1:8" ht="13">
      <c r="A64" s="2"/>
      <c r="B64" s="233"/>
      <c r="C64" s="233"/>
      <c r="D64" s="233"/>
      <c r="E64" s="233"/>
      <c r="F64" s="233"/>
      <c r="G64" s="233"/>
    </row>
    <row r="65" spans="1:7" ht="13">
      <c r="A65" s="2"/>
      <c r="B65" s="233"/>
      <c r="C65" s="233" t="s">
        <v>1249</v>
      </c>
      <c r="D65" s="233"/>
      <c r="E65" s="231"/>
      <c r="F65" s="557" t="s">
        <v>113</v>
      </c>
      <c r="G65" s="232"/>
    </row>
    <row r="66" spans="1:7" ht="13">
      <c r="A66" s="2"/>
      <c r="B66" s="233"/>
      <c r="C66" s="233"/>
      <c r="D66" s="233"/>
      <c r="E66" s="231"/>
      <c r="F66" s="328" t="s">
        <v>696</v>
      </c>
      <c r="G66" s="194" t="s">
        <v>686</v>
      </c>
    </row>
    <row r="67" spans="1:7" ht="13">
      <c r="A67" s="2"/>
      <c r="B67" s="2" t="s">
        <v>537</v>
      </c>
      <c r="C67" s="303"/>
      <c r="D67" s="233"/>
      <c r="E67" s="231" t="s">
        <v>1245</v>
      </c>
      <c r="F67" s="561"/>
      <c r="G67" s="556" t="s">
        <v>1250</v>
      </c>
    </row>
    <row r="68" spans="1:7" ht="13">
      <c r="A68" s="2"/>
      <c r="B68" s="2" t="s">
        <v>541</v>
      </c>
      <c r="C68" s="233"/>
      <c r="D68" s="233"/>
      <c r="E68" s="231" t="s">
        <v>1247</v>
      </c>
      <c r="F68" s="61"/>
      <c r="G68" s="232" t="s">
        <v>147</v>
      </c>
    </row>
    <row r="69" spans="1:7" ht="13">
      <c r="A69" s="2"/>
      <c r="B69" s="2" t="s">
        <v>543</v>
      </c>
      <c r="C69" s="233"/>
      <c r="D69" s="233"/>
      <c r="E69" s="231" t="s">
        <v>1251</v>
      </c>
      <c r="F69" s="235">
        <f>F67-F68</f>
        <v>0</v>
      </c>
      <c r="G69" s="232" t="str">
        <f>""&amp;B67&amp;" - "&amp;B68&amp;""</f>
        <v>d - e</v>
      </c>
    </row>
    <row r="73" spans="1:7">
      <c r="F73" s="285"/>
    </row>
  </sheetData>
  <phoneticPr fontId="24" type="noConversion"/>
  <pageMargins left="0.75" right="0.75" top="1" bottom="1" header="0.5" footer="0.5"/>
  <pageSetup scale="72" orientation="portrait" cellComments="asDisplayed" r:id="rId1"/>
  <headerFooter alignWithMargins="0">
    <oddHeader xml:space="preserve">&amp;CSchedule 13
Working Capital
</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zoomScaleNormal="100" workbookViewId="0">
      <selection activeCell="L41" sqref="L41"/>
    </sheetView>
  </sheetViews>
  <sheetFormatPr defaultRowHeight="12.5"/>
  <cols>
    <col min="1" max="1" width="2.54296875" customWidth="1"/>
    <col min="2" max="2" width="20" customWidth="1"/>
    <col min="3" max="3" width="10.54296875" customWidth="1"/>
    <col min="4" max="4" width="66.54296875" customWidth="1"/>
  </cols>
  <sheetData>
    <row r="1" spans="1:4" ht="13">
      <c r="A1" s="1" t="s">
        <v>2</v>
      </c>
      <c r="C1" s="1"/>
    </row>
    <row r="3" spans="1:4" ht="13">
      <c r="B3" s="3" t="s">
        <v>3</v>
      </c>
      <c r="C3" s="3" t="s">
        <v>4</v>
      </c>
      <c r="D3" s="194" t="s">
        <v>5</v>
      </c>
    </row>
    <row r="4" spans="1:4">
      <c r="B4" s="187" t="s">
        <v>6</v>
      </c>
      <c r="C4" s="37"/>
      <c r="D4" s="233" t="s">
        <v>7</v>
      </c>
    </row>
    <row r="5" spans="1:4">
      <c r="B5" s="187" t="s">
        <v>8</v>
      </c>
      <c r="C5" s="37">
        <v>1</v>
      </c>
      <c r="D5" s="233" t="s">
        <v>9</v>
      </c>
    </row>
    <row r="6" spans="1:4">
      <c r="B6" s="187" t="s">
        <v>10</v>
      </c>
      <c r="C6" s="37">
        <v>2</v>
      </c>
      <c r="D6" s="233" t="s">
        <v>11</v>
      </c>
    </row>
    <row r="7" spans="1:4">
      <c r="B7" s="187" t="s">
        <v>12</v>
      </c>
      <c r="C7" s="37">
        <v>3</v>
      </c>
      <c r="D7" s="233" t="s">
        <v>13</v>
      </c>
    </row>
    <row r="8" spans="1:4">
      <c r="B8" s="187" t="s">
        <v>14</v>
      </c>
      <c r="C8" s="37">
        <v>4</v>
      </c>
      <c r="D8" s="233" t="s">
        <v>15</v>
      </c>
    </row>
    <row r="9" spans="1:4">
      <c r="B9" s="187" t="s">
        <v>16</v>
      </c>
      <c r="C9" s="37">
        <v>5</v>
      </c>
      <c r="D9" s="233" t="s">
        <v>17</v>
      </c>
    </row>
    <row r="10" spans="1:4">
      <c r="B10" s="187" t="s">
        <v>18</v>
      </c>
      <c r="C10" s="37">
        <v>6</v>
      </c>
      <c r="D10" s="233" t="s">
        <v>19</v>
      </c>
    </row>
    <row r="11" spans="1:4">
      <c r="B11" s="187" t="s">
        <v>20</v>
      </c>
      <c r="C11" s="37">
        <v>7</v>
      </c>
      <c r="D11" s="233" t="s">
        <v>21</v>
      </c>
    </row>
    <row r="12" spans="1:4">
      <c r="B12" s="187" t="s">
        <v>22</v>
      </c>
      <c r="C12" s="37">
        <v>8</v>
      </c>
      <c r="D12" s="233" t="s">
        <v>23</v>
      </c>
    </row>
    <row r="13" spans="1:4">
      <c r="B13" s="187" t="s">
        <v>24</v>
      </c>
      <c r="C13" s="37">
        <v>9</v>
      </c>
      <c r="D13" s="233" t="s">
        <v>25</v>
      </c>
    </row>
    <row r="14" spans="1:4">
      <c r="B14" s="187" t="s">
        <v>26</v>
      </c>
      <c r="C14" s="37">
        <v>10</v>
      </c>
      <c r="D14" s="233" t="s">
        <v>27</v>
      </c>
    </row>
    <row r="15" spans="1:4">
      <c r="B15" s="187" t="s">
        <v>28</v>
      </c>
      <c r="C15" s="37">
        <v>11</v>
      </c>
      <c r="D15" s="233" t="s">
        <v>29</v>
      </c>
    </row>
    <row r="16" spans="1:4">
      <c r="B16" s="187" t="s">
        <v>30</v>
      </c>
      <c r="C16" s="37">
        <v>12</v>
      </c>
      <c r="D16" s="233" t="s">
        <v>31</v>
      </c>
    </row>
    <row r="17" spans="2:4">
      <c r="B17" s="187" t="s">
        <v>32</v>
      </c>
      <c r="C17" s="37">
        <v>13</v>
      </c>
      <c r="D17" s="233" t="s">
        <v>33</v>
      </c>
    </row>
    <row r="18" spans="2:4">
      <c r="B18" s="187" t="s">
        <v>34</v>
      </c>
      <c r="C18" s="37">
        <v>14</v>
      </c>
      <c r="D18" s="233" t="s">
        <v>35</v>
      </c>
    </row>
    <row r="19" spans="2:4">
      <c r="B19" s="187" t="s">
        <v>36</v>
      </c>
      <c r="C19" s="37">
        <v>15</v>
      </c>
      <c r="D19" s="233" t="s">
        <v>37</v>
      </c>
    </row>
    <row r="20" spans="2:4">
      <c r="B20" s="187" t="s">
        <v>38</v>
      </c>
      <c r="C20" s="37">
        <v>16</v>
      </c>
      <c r="D20" s="233" t="s">
        <v>39</v>
      </c>
    </row>
    <row r="21" spans="2:4">
      <c r="B21" s="187" t="s">
        <v>40</v>
      </c>
      <c r="C21" s="37">
        <v>17</v>
      </c>
      <c r="D21" s="233" t="s">
        <v>41</v>
      </c>
    </row>
    <row r="22" spans="2:4">
      <c r="B22" s="187" t="s">
        <v>42</v>
      </c>
      <c r="C22" s="37">
        <v>18</v>
      </c>
      <c r="D22" s="233" t="s">
        <v>43</v>
      </c>
    </row>
    <row r="23" spans="2:4">
      <c r="B23" s="187" t="s">
        <v>44</v>
      </c>
      <c r="C23" s="37">
        <v>19</v>
      </c>
      <c r="D23" s="233" t="s">
        <v>45</v>
      </c>
    </row>
    <row r="24" spans="2:4">
      <c r="B24" s="187" t="s">
        <v>46</v>
      </c>
      <c r="C24" s="37">
        <v>20</v>
      </c>
      <c r="D24" s="233" t="s">
        <v>47</v>
      </c>
    </row>
    <row r="25" spans="2:4">
      <c r="B25" s="187" t="s">
        <v>48</v>
      </c>
      <c r="C25" s="37">
        <v>21</v>
      </c>
      <c r="D25" s="233" t="s">
        <v>49</v>
      </c>
    </row>
    <row r="26" spans="2:4">
      <c r="B26" s="187" t="s">
        <v>50</v>
      </c>
      <c r="C26" s="37">
        <v>22</v>
      </c>
      <c r="D26" s="233" t="s">
        <v>51</v>
      </c>
    </row>
    <row r="27" spans="2:4">
      <c r="B27" s="187" t="s">
        <v>52</v>
      </c>
      <c r="C27" s="37">
        <v>23</v>
      </c>
      <c r="D27" s="233" t="s">
        <v>53</v>
      </c>
    </row>
    <row r="28" spans="2:4" ht="12.75" customHeight="1">
      <c r="B28" s="187" t="s">
        <v>54</v>
      </c>
      <c r="C28" s="37">
        <v>24</v>
      </c>
      <c r="D28" s="233" t="s">
        <v>55</v>
      </c>
    </row>
    <row r="29" spans="2:4">
      <c r="B29" s="187" t="s">
        <v>56</v>
      </c>
      <c r="C29" s="37">
        <v>25</v>
      </c>
      <c r="D29" s="233" t="s">
        <v>57</v>
      </c>
    </row>
    <row r="30" spans="2:4">
      <c r="B30" s="187" t="s">
        <v>58</v>
      </c>
      <c r="C30" s="37">
        <v>26</v>
      </c>
      <c r="D30" s="233" t="s">
        <v>59</v>
      </c>
    </row>
    <row r="31" spans="2:4">
      <c r="B31" s="187" t="s">
        <v>60</v>
      </c>
      <c r="C31" s="37">
        <v>27</v>
      </c>
      <c r="D31" s="233" t="s">
        <v>61</v>
      </c>
    </row>
    <row r="32" spans="2:4">
      <c r="B32" s="187" t="s">
        <v>62</v>
      </c>
      <c r="C32" s="37">
        <v>28</v>
      </c>
      <c r="D32" s="233" t="s">
        <v>63</v>
      </c>
    </row>
    <row r="33" spans="2:4">
      <c r="B33" s="187" t="s">
        <v>64</v>
      </c>
      <c r="C33" s="37">
        <v>29</v>
      </c>
      <c r="D33" s="233" t="s">
        <v>65</v>
      </c>
    </row>
    <row r="34" spans="2:4">
      <c r="B34" s="187" t="s">
        <v>66</v>
      </c>
      <c r="C34" s="37">
        <v>30</v>
      </c>
      <c r="D34" s="233" t="s">
        <v>67</v>
      </c>
    </row>
    <row r="35" spans="2:4">
      <c r="B35" s="187" t="s">
        <v>68</v>
      </c>
      <c r="C35" s="37">
        <v>31</v>
      </c>
      <c r="D35" s="233" t="s">
        <v>69</v>
      </c>
    </row>
    <row r="36" spans="2:4">
      <c r="B36" s="187" t="s">
        <v>70</v>
      </c>
      <c r="C36" s="37">
        <v>32</v>
      </c>
      <c r="D36" s="233" t="s">
        <v>71</v>
      </c>
    </row>
    <row r="37" spans="2:4">
      <c r="B37" s="187" t="s">
        <v>72</v>
      </c>
      <c r="C37" s="37">
        <v>33</v>
      </c>
      <c r="D37" s="233" t="s">
        <v>73</v>
      </c>
    </row>
    <row r="38" spans="2:4">
      <c r="B38" s="187" t="s">
        <v>74</v>
      </c>
      <c r="C38" s="37">
        <v>34</v>
      </c>
      <c r="D38" s="233" t="s">
        <v>75</v>
      </c>
    </row>
    <row r="39" spans="2:4">
      <c r="B39" s="187" t="s">
        <v>76</v>
      </c>
      <c r="C39" s="234">
        <v>35</v>
      </c>
      <c r="D39" s="233" t="s">
        <v>77</v>
      </c>
    </row>
    <row r="40" spans="2:4">
      <c r="B40" s="233"/>
    </row>
    <row r="41" spans="2:4">
      <c r="B41" s="233"/>
    </row>
    <row r="42" spans="2:4">
      <c r="B42" s="233"/>
    </row>
  </sheetData>
  <hyperlinks>
    <hyperlink ref="B9" location="'5-ROR-1'!A1" display="ROR" xr:uid="{00000000-0004-0000-0100-000000000000}"/>
    <hyperlink ref="B4" location="Overview!A1" display="Overview" xr:uid="{00000000-0004-0000-0100-000001000000}"/>
    <hyperlink ref="B5" location="'1-BaseTRR'!A1" display="BaseTRR" xr:uid="{00000000-0004-0000-0100-000002000000}"/>
    <hyperlink ref="B21" location="'17-Depreciation'!A1" display="Depreciation" xr:uid="{00000000-0004-0000-0100-000003000000}"/>
    <hyperlink ref="B22" location="'18-DepRates'!A1" display="DepRates" xr:uid="{00000000-0004-0000-0100-000004000000}"/>
    <hyperlink ref="B10" location="'6-PlantInService'!A1" display="PlantInService" xr:uid="{00000000-0004-0000-0100-000005000000}"/>
    <hyperlink ref="B11" location="'7-PlantStudy'!A1" display="PlantStudy" xr:uid="{00000000-0004-0000-0100-000006000000}"/>
    <hyperlink ref="B15" location="'11-PHFU'!A1" display="PHFU" xr:uid="{00000000-0004-0000-0100-000007000000}"/>
    <hyperlink ref="B16" location="'12-AbandonedPlant'!A1" display="AbandonedPlant" xr:uid="{00000000-0004-0000-0100-000008000000}"/>
    <hyperlink ref="B18" location="'14-IncentivePlant'!A1" display="IncentivePlant" xr:uid="{00000000-0004-0000-0100-000009000000}"/>
    <hyperlink ref="B19" location="'15-IncentiveAdder'!A1" display="IncentiveAdder" xr:uid="{00000000-0004-0000-0100-00000A000000}"/>
    <hyperlink ref="B20" location="'16-PlantAdditions'!A1" display="PlantAdditions" xr:uid="{00000000-0004-0000-0100-00000B000000}"/>
    <hyperlink ref="B14" location="'10-CWIP'!A1" display="CWIP" xr:uid="{00000000-0004-0000-0100-00000C000000}"/>
    <hyperlink ref="B6" location="'2-IFPTRR'!A1" display="IFPTRR" xr:uid="{00000000-0004-0000-0100-00000D000000}"/>
    <hyperlink ref="B8" location="'4-TUTRR'!A1" display="TUTRR" xr:uid="{00000000-0004-0000-0100-00000E000000}"/>
    <hyperlink ref="B7" location="'3-TrueUpAdjust'!A1" display="TrueUpAdjust" xr:uid="{00000000-0004-0000-0100-00000F000000}"/>
    <hyperlink ref="B17" location="'13-WorkCap'!A1" display="WorkCap" xr:uid="{00000000-0004-0000-0100-000010000000}"/>
    <hyperlink ref="B12" location="'8-AccDep'!A1" display="AccDep" xr:uid="{00000000-0004-0000-0100-000011000000}"/>
    <hyperlink ref="B23" location="'19-OandM'!A1" display="OandM" xr:uid="{00000000-0004-0000-0100-000012000000}"/>
    <hyperlink ref="B24" location="'20-AandG'!A1" display="AandG" xr:uid="{00000000-0004-0000-0100-000013000000}"/>
    <hyperlink ref="B13" location="'9-ADIT-1'!A1" display="ADIT" xr:uid="{00000000-0004-0000-0100-000014000000}"/>
    <hyperlink ref="B25" location="'21-RevenueCredits'!A1" display="RevenueCredits" xr:uid="{00000000-0004-0000-0100-000015000000}"/>
    <hyperlink ref="B26" location="'22-NUCs'!A1" display="NUCs" xr:uid="{00000000-0004-0000-0100-000016000000}"/>
    <hyperlink ref="B27" location="'23-RegAssets'!A1" display="RegAssets" xr:uid="{00000000-0004-0000-0100-000017000000}"/>
    <hyperlink ref="B29" location="'25-WholesaleDifference'!A1" display="WholesaleDifference" xr:uid="{00000000-0004-0000-0100-000018000000}"/>
    <hyperlink ref="B30" location="'26-TaxRates'!A1" display="TaxRates" xr:uid="{00000000-0004-0000-0100-000019000000}"/>
    <hyperlink ref="B31" location="'27-Allocators'!A1" display="Allocators" xr:uid="{00000000-0004-0000-0100-00001A000000}"/>
    <hyperlink ref="B32" location="'28-FFU'!A1" display="FFU" xr:uid="{00000000-0004-0000-0100-00001B000000}"/>
    <hyperlink ref="B33" location="'29-WholesaleTRRs'!A1" display="WholesaleTRRs" xr:uid="{00000000-0004-0000-0100-00001C000000}"/>
    <hyperlink ref="B34" location="'30-WholesaleRates'!A1" display="Wholesale Rates" xr:uid="{00000000-0004-0000-0100-00001D000000}"/>
    <hyperlink ref="B35" location="'31-HVLV'!A1" display="HVLV" xr:uid="{00000000-0004-0000-0100-00001E000000}"/>
    <hyperlink ref="B36" location="'32-GrossLoad'!A1" display="GrossLoad" xr:uid="{00000000-0004-0000-0100-00001F000000}"/>
    <hyperlink ref="B37" location="'33-RetailRates'!A1" display="RetailRates" xr:uid="{00000000-0004-0000-0100-000020000000}"/>
    <hyperlink ref="B28" location="'24-CWIPTRR'!A1" display="CWIPTRR" xr:uid="{00000000-0004-0000-0100-000021000000}"/>
    <hyperlink ref="B38" location="'34-UnfundedReserves'!A1" display="Unfunded Reserves" xr:uid="{00000000-0004-0000-0100-000022000000}"/>
    <hyperlink ref="B39" location="'35-Other Formula Revenue'!A1" display="OtherFormulaRevenue" xr:uid="{6CB9F45F-834A-415C-AC55-B7CC8A4D9570}"/>
  </hyperlinks>
  <pageMargins left="0.7" right="0.7" top="0.75" bottom="0.75" header="0.3" footer="0.3"/>
  <pageSetup scale="90" orientation="portrait" cellComments="asDisplayed" r:id="rId1"/>
  <headerFooter>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92"/>
  <sheetViews>
    <sheetView zoomScaleNormal="100" workbookViewId="0">
      <selection activeCell="L41" sqref="L41"/>
    </sheetView>
  </sheetViews>
  <sheetFormatPr defaultRowHeight="12.5"/>
  <cols>
    <col min="1" max="1" width="4.54296875" customWidth="1"/>
    <col min="2" max="2" width="3.54296875" customWidth="1"/>
    <col min="3" max="3" width="16.54296875" customWidth="1"/>
    <col min="4" max="4" width="9.54296875" customWidth="1"/>
    <col min="5" max="8" width="15.54296875" customWidth="1"/>
    <col min="9" max="11" width="14.54296875" customWidth="1"/>
  </cols>
  <sheetData>
    <row r="1" spans="1:10" ht="13">
      <c r="A1" s="1" t="s">
        <v>1252</v>
      </c>
    </row>
    <row r="2" spans="1:10" ht="13">
      <c r="A2" s="1" t="s">
        <v>1253</v>
      </c>
      <c r="E2" s="39" t="s">
        <v>200</v>
      </c>
      <c r="F2" s="240" t="s">
        <v>1254</v>
      </c>
      <c r="G2" s="54"/>
    </row>
    <row r="3" spans="1:10" ht="13">
      <c r="B3" s="1"/>
      <c r="H3" s="240" t="s">
        <v>1183</v>
      </c>
      <c r="I3" s="54"/>
      <c r="J3" s="35"/>
    </row>
    <row r="4" spans="1:10" ht="13">
      <c r="B4" s="1" t="s">
        <v>1255</v>
      </c>
      <c r="H4" s="615"/>
    </row>
    <row r="5" spans="1:10" ht="13">
      <c r="B5" s="34" t="s">
        <v>1256</v>
      </c>
    </row>
    <row r="6" spans="1:10" ht="13">
      <c r="B6" s="34" t="s">
        <v>1257</v>
      </c>
    </row>
    <row r="7" spans="1:10" ht="13">
      <c r="B7" s="58" t="s">
        <v>1258</v>
      </c>
    </row>
    <row r="8" spans="1:10" ht="13">
      <c r="B8" s="58" t="s">
        <v>1259</v>
      </c>
    </row>
    <row r="9" spans="1:10" ht="13">
      <c r="B9" s="58" t="s">
        <v>1260</v>
      </c>
      <c r="D9" s="1"/>
      <c r="E9" s="1"/>
    </row>
    <row r="10" spans="1:10" ht="13">
      <c r="B10" s="34"/>
    </row>
    <row r="11" spans="1:10" ht="13">
      <c r="B11" s="34"/>
      <c r="C11" s="233" t="s">
        <v>1261</v>
      </c>
    </row>
    <row r="12" spans="1:10" ht="13">
      <c r="B12" s="34"/>
      <c r="C12" s="232" t="s">
        <v>1262</v>
      </c>
    </row>
    <row r="13" spans="1:10" ht="13">
      <c r="B13" s="34"/>
      <c r="C13" s="232" t="s">
        <v>1263</v>
      </c>
    </row>
    <row r="14" spans="1:10" ht="13">
      <c r="B14" s="34"/>
      <c r="C14" s="232" t="s">
        <v>1264</v>
      </c>
    </row>
    <row r="15" spans="1:10" ht="13">
      <c r="B15" s="34"/>
      <c r="C15" s="247" t="s">
        <v>1265</v>
      </c>
    </row>
    <row r="16" spans="1:10" ht="13">
      <c r="B16" s="34"/>
      <c r="C16" s="232" t="s">
        <v>1266</v>
      </c>
    </row>
    <row r="17" spans="1:10" ht="13">
      <c r="B17" s="34"/>
      <c r="C17" s="232" t="s">
        <v>1267</v>
      </c>
    </row>
    <row r="18" spans="1:10" ht="13">
      <c r="B18" s="34"/>
      <c r="C18" s="232"/>
    </row>
    <row r="19" spans="1:10" ht="13">
      <c r="C19" s="1" t="s">
        <v>1268</v>
      </c>
    </row>
    <row r="20" spans="1:10" ht="13">
      <c r="C20" s="1"/>
      <c r="E20" s="3" t="s">
        <v>347</v>
      </c>
      <c r="F20" s="3" t="s">
        <v>348</v>
      </c>
      <c r="G20" s="3" t="s">
        <v>349</v>
      </c>
    </row>
    <row r="21" spans="1:10" ht="13">
      <c r="B21" s="1"/>
      <c r="F21" s="2" t="s">
        <v>933</v>
      </c>
      <c r="G21" s="2" t="s">
        <v>1098</v>
      </c>
    </row>
    <row r="22" spans="1:10" ht="13">
      <c r="B22" s="1"/>
      <c r="E22" s="2" t="s">
        <v>933</v>
      </c>
      <c r="F22" s="4" t="s">
        <v>1269</v>
      </c>
      <c r="G22" s="2" t="s">
        <v>1270</v>
      </c>
    </row>
    <row r="23" spans="1:10" ht="13">
      <c r="B23" s="1"/>
      <c r="C23" s="233"/>
      <c r="E23" s="2" t="s">
        <v>1271</v>
      </c>
      <c r="F23" s="2" t="s">
        <v>875</v>
      </c>
      <c r="G23" s="2" t="s">
        <v>26</v>
      </c>
    </row>
    <row r="24" spans="1:10" ht="13">
      <c r="B24" s="1"/>
      <c r="C24" s="2" t="s">
        <v>1272</v>
      </c>
      <c r="E24" s="2" t="s">
        <v>123</v>
      </c>
      <c r="F24" s="2" t="s">
        <v>123</v>
      </c>
      <c r="G24" s="4" t="s">
        <v>483</v>
      </c>
    </row>
    <row r="25" spans="1:10" ht="13">
      <c r="A25" s="30" t="s">
        <v>284</v>
      </c>
      <c r="B25" s="1"/>
      <c r="C25" s="3" t="s">
        <v>1187</v>
      </c>
      <c r="E25" s="3" t="s">
        <v>81</v>
      </c>
      <c r="F25" s="3" t="s">
        <v>81</v>
      </c>
      <c r="G25" s="3" t="s">
        <v>81</v>
      </c>
      <c r="H25" s="3" t="s">
        <v>233</v>
      </c>
      <c r="I25" s="276"/>
      <c r="J25" s="276"/>
    </row>
    <row r="26" spans="1:10" ht="13">
      <c r="A26" s="2">
        <v>1</v>
      </c>
      <c r="B26" s="1"/>
      <c r="C26" s="233" t="s">
        <v>1273</v>
      </c>
      <c r="E26" s="6">
        <f>'10-CWIP'!E25</f>
        <v>0</v>
      </c>
      <c r="F26" s="6">
        <f>'10-CWIP'!E26</f>
        <v>0</v>
      </c>
      <c r="G26" s="6">
        <f>'10-CWIP'!K113</f>
        <v>0</v>
      </c>
      <c r="H26" s="232" t="str">
        <f>"10-CWIP Lines "&amp;'10-CWIP'!A25&amp;", "&amp;'10-CWIP'!A26&amp;", and "&amp;'10-CWIP'!A113&amp;""</f>
        <v>10-CWIP Lines 13, 14, and 80</v>
      </c>
    </row>
    <row r="27" spans="1:10" ht="13">
      <c r="A27" s="2">
        <f t="shared" ref="A27:A40" si="0">A26+1</f>
        <v>2</v>
      </c>
      <c r="B27" s="1"/>
      <c r="C27" s="233" t="s">
        <v>1274</v>
      </c>
      <c r="E27" s="6">
        <f>'10-CWIP'!F25</f>
        <v>0</v>
      </c>
      <c r="F27" s="6">
        <f>'10-CWIP'!F26</f>
        <v>0</v>
      </c>
      <c r="G27" s="6">
        <f>'10-CWIP'!K146</f>
        <v>0</v>
      </c>
      <c r="H27" s="232" t="str">
        <f>"10-CWIP Lines "&amp;'10-CWIP'!A25&amp;", "&amp;'10-CWIP'!A26&amp;", and "&amp;'10-CWIP'!A146&amp;""</f>
        <v>10-CWIP Lines 13, 14, and 106</v>
      </c>
    </row>
    <row r="28" spans="1:10" ht="13">
      <c r="A28" s="2">
        <f t="shared" si="0"/>
        <v>3</v>
      </c>
      <c r="B28" s="1"/>
      <c r="C28" s="233" t="s">
        <v>1275</v>
      </c>
      <c r="E28" s="6">
        <f>'10-CWIP'!G25</f>
        <v>0</v>
      </c>
      <c r="F28" s="6">
        <f>'10-CWIP'!G26</f>
        <v>0</v>
      </c>
      <c r="G28" s="6">
        <f>'10-CWIP'!K179</f>
        <v>0</v>
      </c>
      <c r="H28" s="232" t="str">
        <f>"10-CWIP Lines "&amp;'10-CWIP'!A25&amp;", "&amp;'10-CWIP'!A26&amp;", and "&amp;'10-CWIP'!A179&amp;""</f>
        <v>10-CWIP Lines 13, 14, and 132</v>
      </c>
    </row>
    <row r="29" spans="1:10" ht="13">
      <c r="A29" s="2">
        <f t="shared" si="0"/>
        <v>4</v>
      </c>
      <c r="B29" s="1"/>
      <c r="C29" s="233" t="s">
        <v>1276</v>
      </c>
      <c r="E29" s="6">
        <f>'10-CWIP'!H25</f>
        <v>0</v>
      </c>
      <c r="F29" s="6">
        <f>'10-CWIP'!H26</f>
        <v>0</v>
      </c>
      <c r="G29" s="6">
        <f>'10-CWIP'!K212</f>
        <v>0</v>
      </c>
      <c r="H29" s="232" t="str">
        <f>"10-CWIP Lines "&amp;'10-CWIP'!A25&amp;", "&amp;'10-CWIP'!A26&amp;", and "&amp;'10-CWIP'!A212&amp;""</f>
        <v>10-CWIP Lines 13, 14, and 158</v>
      </c>
    </row>
    <row r="30" spans="1:10" ht="13">
      <c r="A30" s="2">
        <f t="shared" si="0"/>
        <v>5</v>
      </c>
      <c r="B30" s="1"/>
      <c r="C30" s="233" t="s">
        <v>1277</v>
      </c>
      <c r="E30" s="6">
        <f>'10-CWIP'!I25</f>
        <v>0</v>
      </c>
      <c r="F30" s="6">
        <f>'10-CWIP'!I26</f>
        <v>0</v>
      </c>
      <c r="G30" s="6">
        <f>'10-CWIP'!K245</f>
        <v>0</v>
      </c>
      <c r="H30" s="232" t="str">
        <f>"10-CWIP Lines "&amp;'10-CWIP'!A25&amp;", "&amp;'10-CWIP'!A26&amp;", and "&amp;'10-CWIP'!A245&amp;""</f>
        <v>10-CWIP Lines 13, 14, and 184</v>
      </c>
    </row>
    <row r="31" spans="1:10" ht="13">
      <c r="A31" s="2">
        <f t="shared" si="0"/>
        <v>6</v>
      </c>
      <c r="B31" s="1"/>
      <c r="C31" s="233" t="s">
        <v>1278</v>
      </c>
      <c r="E31" s="6">
        <f>'10-CWIP'!D45</f>
        <v>0</v>
      </c>
      <c r="F31" s="6">
        <f>'10-CWIP'!D46</f>
        <v>0</v>
      </c>
      <c r="G31" s="6">
        <f>'10-CWIP'!K278</f>
        <v>0</v>
      </c>
      <c r="H31" s="232" t="str">
        <f>"10-CWIP Lines "&amp;'10-CWIP'!A45&amp;", "&amp;'10-CWIP'!A46&amp;", and "&amp;'10-CWIP'!A278&amp;""</f>
        <v>10-CWIP Lines 27, 28, and 210</v>
      </c>
    </row>
    <row r="32" spans="1:10" ht="13">
      <c r="A32" s="2">
        <f t="shared" si="0"/>
        <v>7</v>
      </c>
      <c r="B32" s="1"/>
      <c r="C32" s="233" t="s">
        <v>1279</v>
      </c>
      <c r="E32" s="6">
        <f>'10-CWIP'!E45</f>
        <v>0</v>
      </c>
      <c r="F32" s="6">
        <f>'10-CWIP'!E46</f>
        <v>0</v>
      </c>
      <c r="G32" s="6">
        <f>'10-CWIP'!K311</f>
        <v>0</v>
      </c>
      <c r="H32" s="232" t="str">
        <f>"10-CWIP Lines "&amp;'10-CWIP'!A45&amp;", "&amp;'10-CWIP'!A46&amp;", and "&amp;'10-CWIP'!A311&amp;""</f>
        <v>10-CWIP Lines 27, 28, and 236</v>
      </c>
    </row>
    <row r="33" spans="1:9" ht="13">
      <c r="A33" s="2">
        <f t="shared" si="0"/>
        <v>8</v>
      </c>
      <c r="B33" s="1"/>
      <c r="C33" s="233" t="s">
        <v>1280</v>
      </c>
      <c r="E33" s="6">
        <f>'10-CWIP'!F45</f>
        <v>0</v>
      </c>
      <c r="F33" s="6">
        <f>'10-CWIP'!F46</f>
        <v>0</v>
      </c>
      <c r="G33" s="6">
        <f>'10-CWIP'!K344</f>
        <v>0</v>
      </c>
      <c r="H33" s="232" t="str">
        <f>"10-CWIP Lines "&amp;'10-CWIP'!A45&amp;", "&amp;'10-CWIP'!A46&amp;", and "&amp;'10-CWIP'!A344&amp;""</f>
        <v>10-CWIP Lines 27, 28, and 262</v>
      </c>
    </row>
    <row r="34" spans="1:9" ht="13">
      <c r="A34" s="2">
        <f t="shared" si="0"/>
        <v>9</v>
      </c>
      <c r="B34" s="1"/>
      <c r="C34" s="233" t="s">
        <v>1281</v>
      </c>
      <c r="E34" s="6">
        <f>'10-CWIP'!G45</f>
        <v>0</v>
      </c>
      <c r="F34" s="6">
        <f>'10-CWIP'!G46</f>
        <v>0</v>
      </c>
      <c r="G34" s="6">
        <f>'10-CWIP'!K377</f>
        <v>0</v>
      </c>
      <c r="H34" s="232" t="str">
        <f>"10-CWIP Lines "&amp;'10-CWIP'!A45&amp;", "&amp;'10-CWIP'!A46&amp;", and "&amp;'10-CWIP'!A377&amp;""</f>
        <v>10-CWIP Lines 27, 28, and 288</v>
      </c>
    </row>
    <row r="35" spans="1:9" ht="13">
      <c r="A35" s="2">
        <f t="shared" si="0"/>
        <v>10</v>
      </c>
      <c r="B35" s="1"/>
      <c r="C35" s="233" t="s">
        <v>1282</v>
      </c>
      <c r="E35" s="6">
        <f>'10-CWIP'!H45</f>
        <v>0</v>
      </c>
      <c r="F35" s="6">
        <f>'10-CWIP'!H46</f>
        <v>0</v>
      </c>
      <c r="G35" s="6">
        <f>'10-CWIP'!K410</f>
        <v>0</v>
      </c>
      <c r="H35" s="232" t="str">
        <f>"10-CWIP Lines "&amp;'10-CWIP'!A45&amp;", "&amp;'10-CWIP'!A46&amp;", and "&amp;'10-CWIP'!A410&amp;""</f>
        <v>10-CWIP Lines 27, 28, and 314</v>
      </c>
    </row>
    <row r="36" spans="1:9" ht="13">
      <c r="A36" s="2">
        <f t="shared" si="0"/>
        <v>11</v>
      </c>
      <c r="B36" s="1"/>
      <c r="C36" s="233" t="s">
        <v>1283</v>
      </c>
      <c r="E36" s="6">
        <f>'10-CWIP'!I45</f>
        <v>0</v>
      </c>
      <c r="F36" s="6">
        <f>'10-CWIP'!I46</f>
        <v>0</v>
      </c>
      <c r="G36" s="6">
        <f>'10-CWIP'!K443</f>
        <v>0</v>
      </c>
      <c r="H36" s="232" t="str">
        <f>"10-CWIP Lines "&amp;'10-CWIP'!A45&amp;", "&amp;'10-CWIP'!A46&amp;", and "&amp;'10-CWIP'!A443&amp;""</f>
        <v>10-CWIP Lines 27, 28, and 340</v>
      </c>
    </row>
    <row r="37" spans="1:9" ht="13">
      <c r="A37" s="2">
        <f t="shared" si="0"/>
        <v>12</v>
      </c>
      <c r="B37" s="1"/>
      <c r="C37" s="573" t="s">
        <v>1284</v>
      </c>
      <c r="D37" s="233"/>
      <c r="E37" s="235">
        <f>'10-CWIP'!J45</f>
        <v>0</v>
      </c>
      <c r="F37" s="6">
        <f>'10-CWIP'!J46</f>
        <v>0</v>
      </c>
      <c r="G37" s="6">
        <f>'10-CWIP'!K476</f>
        <v>0</v>
      </c>
      <c r="H37" s="232" t="str">
        <f>"10-CWIP Lines "&amp;'10-CWIP'!A45&amp;", "&amp;'10-CWIP'!A46&amp;", and "&amp;'10-CWIP'!A476&amp;""</f>
        <v>10-CWIP Lines 27, 28, and 366</v>
      </c>
      <c r="I37" s="233"/>
    </row>
    <row r="38" spans="1:9" ht="13">
      <c r="A38" s="2">
        <f t="shared" si="0"/>
        <v>13</v>
      </c>
      <c r="B38" s="1"/>
      <c r="C38" s="573" t="s">
        <v>1285</v>
      </c>
      <c r="D38" s="233"/>
      <c r="E38" s="235">
        <f>'10-CWIP'!K45</f>
        <v>0</v>
      </c>
      <c r="F38" s="235">
        <f>'10-CWIP'!K46</f>
        <v>0</v>
      </c>
      <c r="G38" s="6">
        <f>'10-CWIP'!K509</f>
        <v>0</v>
      </c>
      <c r="H38" s="232" t="str">
        <f>"10-CWIP Lines "&amp;'10-CWIP'!A45&amp;", "&amp;'10-CWIP'!A46&amp;", and "&amp;'10-CWIP'!A509&amp;""</f>
        <v>10-CWIP Lines 27, 28, and 392</v>
      </c>
      <c r="I38" s="233"/>
    </row>
    <row r="39" spans="1:9" ht="13">
      <c r="A39" s="2">
        <f t="shared" si="0"/>
        <v>14</v>
      </c>
      <c r="B39" s="1"/>
      <c r="C39" s="1084" t="s">
        <v>1286</v>
      </c>
      <c r="D39" s="240"/>
      <c r="E39" s="36">
        <f>'10-CWIP'!L45</f>
        <v>0</v>
      </c>
      <c r="F39" s="36">
        <f>'10-CWIP'!L46</f>
        <v>0</v>
      </c>
      <c r="G39" s="793">
        <f>'10-CWIP'!K542</f>
        <v>0</v>
      </c>
      <c r="H39" s="232" t="str">
        <f>"10-CWIP Lines "&amp;'10-CWIP'!A45&amp;", "&amp;'10-CWIP'!A46&amp;", and "&amp;'10-CWIP'!A542&amp;""</f>
        <v>10-CWIP Lines 27, 28, and 418</v>
      </c>
      <c r="I39" s="233"/>
    </row>
    <row r="40" spans="1:9" ht="13">
      <c r="A40" s="2">
        <f t="shared" si="0"/>
        <v>15</v>
      </c>
      <c r="B40" s="1"/>
      <c r="D40" s="25" t="s">
        <v>442</v>
      </c>
      <c r="E40" s="6">
        <f>SUM(E26:E39)</f>
        <v>0</v>
      </c>
      <c r="F40" s="6">
        <f>SUM(F26:F39)</f>
        <v>0</v>
      </c>
      <c r="G40" s="6">
        <f>SUM(G26:G39)</f>
        <v>0</v>
      </c>
      <c r="H40" s="31"/>
    </row>
    <row r="41" spans="1:9" ht="13">
      <c r="B41" s="1"/>
    </row>
    <row r="42" spans="1:9" ht="13">
      <c r="B42" s="1"/>
      <c r="C42" s="1" t="s">
        <v>1287</v>
      </c>
    </row>
    <row r="43" spans="1:9" ht="13">
      <c r="B43" s="1"/>
      <c r="C43" s="1"/>
    </row>
    <row r="44" spans="1:9" ht="13">
      <c r="B44" s="1"/>
      <c r="E44" s="3" t="s">
        <v>347</v>
      </c>
      <c r="F44" s="3" t="s">
        <v>348</v>
      </c>
      <c r="G44" s="3" t="s">
        <v>349</v>
      </c>
    </row>
    <row r="45" spans="1:9" ht="13">
      <c r="B45" s="1"/>
      <c r="E45" s="239" t="s">
        <v>1288</v>
      </c>
      <c r="F45" s="3"/>
      <c r="G45" s="3"/>
    </row>
    <row r="46" spans="1:9" ht="13">
      <c r="B46" s="1"/>
      <c r="E46" s="2" t="s">
        <v>933</v>
      </c>
      <c r="F46" s="2" t="s">
        <v>1205</v>
      </c>
      <c r="G46" s="2" t="s">
        <v>1205</v>
      </c>
    </row>
    <row r="47" spans="1:9" ht="13">
      <c r="B47" s="1"/>
      <c r="E47" s="2" t="s">
        <v>1272</v>
      </c>
      <c r="F47" s="2" t="s">
        <v>26</v>
      </c>
      <c r="G47" s="2" t="s">
        <v>1289</v>
      </c>
    </row>
    <row r="48" spans="1:9" ht="13">
      <c r="B48" s="1"/>
      <c r="E48" s="3" t="s">
        <v>126</v>
      </c>
      <c r="F48" s="3" t="s">
        <v>1290</v>
      </c>
      <c r="G48" s="3" t="s">
        <v>1291</v>
      </c>
      <c r="H48" s="3" t="s">
        <v>233</v>
      </c>
    </row>
    <row r="49" spans="1:9" ht="13">
      <c r="A49" s="2">
        <f>A40+1</f>
        <v>16</v>
      </c>
      <c r="B49" s="1"/>
      <c r="C49" t="s">
        <v>1292</v>
      </c>
      <c r="E49" s="235">
        <f>F49+G49</f>
        <v>0</v>
      </c>
      <c r="F49" s="6">
        <v>0</v>
      </c>
      <c r="G49" s="6">
        <f>H87</f>
        <v>0</v>
      </c>
      <c r="H49" s="232" t="str">
        <f>"Line "&amp;A87&amp;", C4"</f>
        <v>Line 40, C4</v>
      </c>
    </row>
    <row r="50" spans="1:9" ht="13">
      <c r="A50" s="2">
        <f>A49+1</f>
        <v>17</v>
      </c>
      <c r="B50" s="1"/>
      <c r="C50" t="s">
        <v>1293</v>
      </c>
      <c r="E50" s="235">
        <f>F50+G50</f>
        <v>0</v>
      </c>
      <c r="F50" s="6">
        <f>E26</f>
        <v>0</v>
      </c>
      <c r="G50" s="6">
        <f>F87</f>
        <v>0</v>
      </c>
      <c r="H50" s="232" t="str">
        <f>"Line "&amp;A26&amp;", C1, and Line "&amp;A87&amp;", C2"</f>
        <v>Line 1, C1, and Line 40, C2</v>
      </c>
    </row>
    <row r="51" spans="1:9" ht="13">
      <c r="A51" s="2">
        <f>A50+1</f>
        <v>18</v>
      </c>
      <c r="B51" s="1"/>
      <c r="C51" s="233" t="s">
        <v>1294</v>
      </c>
      <c r="E51" s="235">
        <f>F51+G51</f>
        <v>0</v>
      </c>
      <c r="F51" s="6">
        <f>E27</f>
        <v>0</v>
      </c>
      <c r="G51" s="6">
        <f>G87</f>
        <v>0</v>
      </c>
      <c r="H51" s="232" t="str">
        <f>"Line "&amp;A27&amp;", C1, and Line "&amp;A87&amp;", C3"</f>
        <v>Line 2, C1, and Line 40, C3</v>
      </c>
    </row>
    <row r="52" spans="1:9" ht="13">
      <c r="A52" s="2">
        <f>A51+1</f>
        <v>19</v>
      </c>
      <c r="B52" s="1"/>
      <c r="C52" s="274" t="s">
        <v>641</v>
      </c>
      <c r="D52" s="54"/>
      <c r="E52" s="274" t="s">
        <v>391</v>
      </c>
      <c r="F52" s="274" t="s">
        <v>391</v>
      </c>
      <c r="G52" s="274" t="s">
        <v>391</v>
      </c>
      <c r="H52" s="274" t="s">
        <v>641</v>
      </c>
      <c r="I52" s="54"/>
    </row>
    <row r="53" spans="1:9" ht="13">
      <c r="A53" s="2">
        <f>A52+1</f>
        <v>20</v>
      </c>
      <c r="B53" s="1"/>
      <c r="C53" s="248"/>
      <c r="E53" s="239"/>
      <c r="F53" s="239"/>
      <c r="G53" s="239"/>
      <c r="H53" s="232"/>
    </row>
    <row r="54" spans="1:9" ht="13">
      <c r="A54" s="2">
        <f>A53+1</f>
        <v>21</v>
      </c>
      <c r="B54" s="1"/>
      <c r="D54" s="231" t="s">
        <v>1295</v>
      </c>
      <c r="E54" s="6">
        <f>SUM(E49:E51)</f>
        <v>0</v>
      </c>
      <c r="F54" s="239"/>
      <c r="G54" s="239"/>
      <c r="H54" s="232" t="s">
        <v>1296</v>
      </c>
    </row>
    <row r="55" spans="1:9" ht="13">
      <c r="B55" s="1"/>
    </row>
    <row r="56" spans="1:9" ht="13">
      <c r="B56" s="1"/>
      <c r="C56" s="1" t="s">
        <v>1297</v>
      </c>
    </row>
    <row r="57" spans="1:9" ht="13">
      <c r="B57" s="1"/>
      <c r="C57" s="1"/>
    </row>
    <row r="58" spans="1:9" ht="13">
      <c r="B58" s="1"/>
      <c r="C58" s="1"/>
      <c r="E58" s="3" t="s">
        <v>347</v>
      </c>
      <c r="F58" s="3" t="s">
        <v>348</v>
      </c>
      <c r="G58" s="3" t="s">
        <v>349</v>
      </c>
    </row>
    <row r="59" spans="1:9" ht="13">
      <c r="B59" s="1"/>
      <c r="E59" s="239" t="s">
        <v>1288</v>
      </c>
      <c r="G59" s="2" t="s">
        <v>483</v>
      </c>
    </row>
    <row r="60" spans="1:9" ht="13">
      <c r="B60" s="1"/>
      <c r="E60" s="2" t="s">
        <v>933</v>
      </c>
      <c r="F60" s="2" t="s">
        <v>483</v>
      </c>
      <c r="G60" s="2" t="s">
        <v>1289</v>
      </c>
    </row>
    <row r="61" spans="1:9" ht="13">
      <c r="B61" s="1"/>
      <c r="C61" s="2" t="s">
        <v>1272</v>
      </c>
      <c r="E61" s="2" t="s">
        <v>1272</v>
      </c>
      <c r="F61" s="2" t="s">
        <v>26</v>
      </c>
      <c r="G61" s="2" t="s">
        <v>1291</v>
      </c>
    </row>
    <row r="62" spans="1:9" ht="12.75" customHeight="1">
      <c r="B62" s="1"/>
      <c r="C62" s="3" t="s">
        <v>1187</v>
      </c>
      <c r="E62" s="3" t="s">
        <v>126</v>
      </c>
      <c r="F62" s="3" t="s">
        <v>1290</v>
      </c>
      <c r="G62" s="3" t="s">
        <v>1290</v>
      </c>
      <c r="H62" s="3" t="s">
        <v>233</v>
      </c>
    </row>
    <row r="63" spans="1:9" ht="13">
      <c r="A63" s="2">
        <f>A54+1</f>
        <v>22</v>
      </c>
      <c r="B63" s="1"/>
      <c r="C63" t="s">
        <v>1292</v>
      </c>
      <c r="E63" s="235">
        <f>F63+G63</f>
        <v>0</v>
      </c>
      <c r="F63" s="6">
        <v>0</v>
      </c>
      <c r="G63" s="792">
        <f>H88</f>
        <v>0</v>
      </c>
      <c r="H63" s="232" t="str">
        <f>"Line "&amp;A88&amp;", C4"</f>
        <v>Line 41, C4</v>
      </c>
    </row>
    <row r="64" spans="1:9" ht="13">
      <c r="A64" s="2">
        <f>A63+1</f>
        <v>23</v>
      </c>
      <c r="B64" s="1"/>
      <c r="C64" t="s">
        <v>1293</v>
      </c>
      <c r="E64" s="235">
        <f>F64+G64</f>
        <v>0</v>
      </c>
      <c r="F64" s="6">
        <f>F26</f>
        <v>0</v>
      </c>
      <c r="G64" s="792">
        <f>F88</f>
        <v>0</v>
      </c>
      <c r="H64" s="232" t="str">
        <f>"Line "&amp;A26&amp;", C2, and Line "&amp;A88&amp;", C2"</f>
        <v>Line 1, C2, and Line 41, C2</v>
      </c>
    </row>
    <row r="65" spans="1:11" ht="13">
      <c r="A65" s="2">
        <f>A64+1</f>
        <v>24</v>
      </c>
      <c r="B65" s="1"/>
      <c r="C65" s="233" t="s">
        <v>1298</v>
      </c>
      <c r="E65" s="235">
        <f>F65+G65</f>
        <v>0</v>
      </c>
      <c r="F65" s="6">
        <f>F27</f>
        <v>0</v>
      </c>
      <c r="G65" s="792">
        <f>G88</f>
        <v>0</v>
      </c>
      <c r="H65" s="232" t="str">
        <f>"Line "&amp;A27&amp;", C2, and Line "&amp;A88&amp;", C3"</f>
        <v>Line 2, C2, and Line 41, C3</v>
      </c>
    </row>
    <row r="66" spans="1:11" ht="13">
      <c r="A66" s="2">
        <f>A65+1</f>
        <v>25</v>
      </c>
      <c r="B66" s="1"/>
      <c r="C66" s="274" t="s">
        <v>641</v>
      </c>
      <c r="D66" s="54"/>
      <c r="E66" s="274" t="s">
        <v>391</v>
      </c>
      <c r="F66" s="274" t="s">
        <v>391</v>
      </c>
      <c r="G66" s="274" t="s">
        <v>391</v>
      </c>
      <c r="H66" s="274" t="s">
        <v>641</v>
      </c>
      <c r="I66" s="54"/>
    </row>
    <row r="67" spans="1:11" ht="13">
      <c r="A67" s="2">
        <f>A66+1</f>
        <v>26</v>
      </c>
      <c r="B67" s="1"/>
      <c r="C67" s="248"/>
      <c r="E67" s="239"/>
      <c r="F67" s="239"/>
      <c r="G67" s="239"/>
      <c r="H67" s="232"/>
    </row>
    <row r="68" spans="1:11" ht="13">
      <c r="A68" s="2">
        <f>A67+1</f>
        <v>27</v>
      </c>
      <c r="B68" s="1"/>
      <c r="D68" s="231" t="s">
        <v>1295</v>
      </c>
      <c r="E68" s="6">
        <f>SUM(E63:E65)</f>
        <v>0</v>
      </c>
      <c r="H68" s="279" t="s">
        <v>1299</v>
      </c>
    </row>
    <row r="69" spans="1:11" ht="13">
      <c r="A69" s="2"/>
      <c r="B69" s="1"/>
      <c r="D69" s="231"/>
      <c r="E69" s="6"/>
    </row>
    <row r="70" spans="1:11" ht="13">
      <c r="C70" s="1" t="s">
        <v>1300</v>
      </c>
    </row>
    <row r="71" spans="1:11" ht="13">
      <c r="E71" s="48" t="s">
        <v>347</v>
      </c>
      <c r="F71" s="48" t="s">
        <v>348</v>
      </c>
      <c r="G71" s="48" t="s">
        <v>349</v>
      </c>
      <c r="H71" s="48" t="s">
        <v>350</v>
      </c>
      <c r="I71" s="48" t="s">
        <v>351</v>
      </c>
      <c r="J71" s="48"/>
    </row>
    <row r="72" spans="1:11" ht="13">
      <c r="C72" s="2" t="s">
        <v>1301</v>
      </c>
      <c r="E72" s="2" t="s">
        <v>1302</v>
      </c>
      <c r="F72" s="37" t="str">
        <f>"L "&amp;A120&amp;" to L "&amp;A132&amp;", C3"</f>
        <v>L 56 to L 68, C3</v>
      </c>
      <c r="G72" s="37" t="str">
        <f>"L "&amp;A160&amp;" to L "&amp;A172&amp;", C3"</f>
        <v>L 82 to L 94, C3</v>
      </c>
      <c r="H72" s="37" t="str">
        <f>"L "&amp;A140&amp;" to L "&amp;A152&amp;", C3"</f>
        <v>L 69 to L 81, C3</v>
      </c>
      <c r="I72" s="54"/>
      <c r="K72" s="2"/>
    </row>
    <row r="73" spans="1:11" ht="13">
      <c r="C73" s="2" t="s">
        <v>383</v>
      </c>
      <c r="E73" s="2" t="s">
        <v>1303</v>
      </c>
      <c r="G73" s="2" t="s">
        <v>1068</v>
      </c>
      <c r="H73" s="2" t="s">
        <v>1304</v>
      </c>
      <c r="I73" s="104"/>
      <c r="J73" s="239"/>
      <c r="K73" s="2"/>
    </row>
    <row r="74" spans="1:11" ht="13">
      <c r="A74" s="30"/>
      <c r="C74" s="18" t="s">
        <v>382</v>
      </c>
      <c r="D74" s="18" t="s">
        <v>383</v>
      </c>
      <c r="E74" s="3" t="s">
        <v>1291</v>
      </c>
      <c r="F74" s="3" t="s">
        <v>1072</v>
      </c>
      <c r="G74" s="3" t="s">
        <v>1073</v>
      </c>
      <c r="H74" s="3" t="s">
        <v>1305</v>
      </c>
      <c r="I74" s="105"/>
      <c r="J74" s="3" t="s">
        <v>103</v>
      </c>
    </row>
    <row r="75" spans="1:11" ht="13">
      <c r="A75" s="2">
        <f>A68+1</f>
        <v>28</v>
      </c>
      <c r="C75" s="14" t="s">
        <v>390</v>
      </c>
      <c r="D75" s="479"/>
      <c r="E75" s="261">
        <f>SUM(F75:H75)</f>
        <v>0</v>
      </c>
      <c r="F75" s="489">
        <f>G120</f>
        <v>0</v>
      </c>
      <c r="G75" s="489">
        <f>G160</f>
        <v>0</v>
      </c>
      <c r="H75" s="489">
        <f>G140</f>
        <v>0</v>
      </c>
      <c r="I75" s="239" t="s">
        <v>391</v>
      </c>
      <c r="J75" s="276" t="s">
        <v>1306</v>
      </c>
    </row>
    <row r="76" spans="1:11" ht="13">
      <c r="A76" s="2">
        <f>A75+1</f>
        <v>29</v>
      </c>
      <c r="C76" s="14" t="s">
        <v>392</v>
      </c>
      <c r="D76" s="330"/>
      <c r="E76" s="261">
        <f t="shared" ref="E76:E87" si="1">SUM(F76:H76)</f>
        <v>0</v>
      </c>
      <c r="F76" s="489">
        <f t="shared" ref="F76:F87" si="2">G121</f>
        <v>0</v>
      </c>
      <c r="G76" s="489">
        <f t="shared" ref="G76:G87" si="3">G161</f>
        <v>0</v>
      </c>
      <c r="H76" s="489">
        <f t="shared" ref="H76:H87" si="4">G141</f>
        <v>0</v>
      </c>
      <c r="I76" s="239" t="s">
        <v>391</v>
      </c>
      <c r="J76" s="232" t="s">
        <v>1307</v>
      </c>
    </row>
    <row r="77" spans="1:11" ht="13">
      <c r="A77" s="2">
        <f t="shared" ref="A77:A88" si="5">A76+1</f>
        <v>30</v>
      </c>
      <c r="C77" s="14" t="s">
        <v>393</v>
      </c>
      <c r="D77" s="330"/>
      <c r="E77" s="261">
        <f t="shared" si="1"/>
        <v>0</v>
      </c>
      <c r="F77" s="489">
        <f t="shared" si="2"/>
        <v>0</v>
      </c>
      <c r="G77" s="489">
        <f t="shared" si="3"/>
        <v>0</v>
      </c>
      <c r="H77" s="489">
        <f t="shared" si="4"/>
        <v>0</v>
      </c>
      <c r="I77" s="239" t="s">
        <v>391</v>
      </c>
      <c r="J77" s="239" t="s">
        <v>1308</v>
      </c>
      <c r="K77" s="2"/>
    </row>
    <row r="78" spans="1:11" ht="13">
      <c r="A78" s="2">
        <f t="shared" si="5"/>
        <v>31</v>
      </c>
      <c r="C78" s="14" t="s">
        <v>394</v>
      </c>
      <c r="D78" s="330"/>
      <c r="E78" s="261">
        <f t="shared" si="1"/>
        <v>0</v>
      </c>
      <c r="F78" s="489">
        <f t="shared" si="2"/>
        <v>0</v>
      </c>
      <c r="G78" s="489">
        <f t="shared" si="3"/>
        <v>0</v>
      </c>
      <c r="H78" s="489">
        <f t="shared" si="4"/>
        <v>0</v>
      </c>
      <c r="I78" s="239" t="s">
        <v>391</v>
      </c>
      <c r="J78" s="239"/>
      <c r="K78" s="2"/>
    </row>
    <row r="79" spans="1:11" ht="13">
      <c r="A79" s="2">
        <f t="shared" si="5"/>
        <v>32</v>
      </c>
      <c r="C79" s="14" t="s">
        <v>395</v>
      </c>
      <c r="D79" s="330"/>
      <c r="E79" s="261">
        <f t="shared" si="1"/>
        <v>0</v>
      </c>
      <c r="F79" s="489">
        <f t="shared" si="2"/>
        <v>0</v>
      </c>
      <c r="G79" s="489">
        <f t="shared" si="3"/>
        <v>0</v>
      </c>
      <c r="H79" s="489">
        <f t="shared" si="4"/>
        <v>0</v>
      </c>
      <c r="I79" s="239" t="s">
        <v>391</v>
      </c>
      <c r="J79" s="239"/>
      <c r="K79" s="2"/>
    </row>
    <row r="80" spans="1:11" ht="13">
      <c r="A80" s="2">
        <f t="shared" si="5"/>
        <v>33</v>
      </c>
      <c r="C80" s="14" t="s">
        <v>396</v>
      </c>
      <c r="D80" s="330"/>
      <c r="E80" s="261">
        <f t="shared" si="1"/>
        <v>0</v>
      </c>
      <c r="F80" s="489">
        <f t="shared" si="2"/>
        <v>0</v>
      </c>
      <c r="G80" s="489">
        <f t="shared" si="3"/>
        <v>0</v>
      </c>
      <c r="H80" s="489">
        <f t="shared" si="4"/>
        <v>0</v>
      </c>
      <c r="I80" s="239" t="s">
        <v>391</v>
      </c>
      <c r="J80" s="239"/>
      <c r="K80" s="2"/>
    </row>
    <row r="81" spans="1:11" ht="13">
      <c r="A81" s="2">
        <f t="shared" si="5"/>
        <v>34</v>
      </c>
      <c r="C81" s="14" t="s">
        <v>397</v>
      </c>
      <c r="D81" s="330"/>
      <c r="E81" s="261">
        <f t="shared" si="1"/>
        <v>0</v>
      </c>
      <c r="F81" s="489">
        <f t="shared" si="2"/>
        <v>0</v>
      </c>
      <c r="G81" s="489">
        <f t="shared" si="3"/>
        <v>0</v>
      </c>
      <c r="H81" s="489">
        <f t="shared" si="4"/>
        <v>0</v>
      </c>
      <c r="I81" s="239" t="s">
        <v>391</v>
      </c>
      <c r="J81" s="239"/>
      <c r="K81" s="2"/>
    </row>
    <row r="82" spans="1:11" ht="13">
      <c r="A82" s="2">
        <f t="shared" si="5"/>
        <v>35</v>
      </c>
      <c r="C82" s="14" t="s">
        <v>398</v>
      </c>
      <c r="D82" s="330"/>
      <c r="E82" s="261">
        <f t="shared" si="1"/>
        <v>0</v>
      </c>
      <c r="F82" s="489">
        <f t="shared" si="2"/>
        <v>0</v>
      </c>
      <c r="G82" s="489">
        <f t="shared" si="3"/>
        <v>0</v>
      </c>
      <c r="H82" s="489">
        <f t="shared" si="4"/>
        <v>0</v>
      </c>
      <c r="I82" s="239" t="s">
        <v>391</v>
      </c>
      <c r="J82" s="239"/>
      <c r="K82" s="47"/>
    </row>
    <row r="83" spans="1:11" ht="13">
      <c r="A83" s="2">
        <f t="shared" si="5"/>
        <v>36</v>
      </c>
      <c r="C83" s="14" t="s">
        <v>399</v>
      </c>
      <c r="D83" s="330"/>
      <c r="E83" s="261">
        <f t="shared" si="1"/>
        <v>0</v>
      </c>
      <c r="F83" s="489">
        <f t="shared" si="2"/>
        <v>0</v>
      </c>
      <c r="G83" s="489">
        <f t="shared" si="3"/>
        <v>0</v>
      </c>
      <c r="H83" s="489">
        <f t="shared" si="4"/>
        <v>0</v>
      </c>
      <c r="I83" s="239" t="s">
        <v>391</v>
      </c>
      <c r="J83" s="239"/>
      <c r="K83" s="2"/>
    </row>
    <row r="84" spans="1:11" ht="13">
      <c r="A84" s="2">
        <f t="shared" si="5"/>
        <v>37</v>
      </c>
      <c r="C84" s="14" t="s">
        <v>400</v>
      </c>
      <c r="D84" s="330"/>
      <c r="E84" s="261">
        <f t="shared" si="1"/>
        <v>0</v>
      </c>
      <c r="F84" s="489">
        <f t="shared" si="2"/>
        <v>0</v>
      </c>
      <c r="G84" s="489">
        <f t="shared" si="3"/>
        <v>0</v>
      </c>
      <c r="H84" s="489">
        <f t="shared" si="4"/>
        <v>0</v>
      </c>
      <c r="I84" s="239" t="s">
        <v>391</v>
      </c>
      <c r="J84" s="239"/>
      <c r="K84" s="2"/>
    </row>
    <row r="85" spans="1:11" ht="13">
      <c r="A85" s="2">
        <f t="shared" si="5"/>
        <v>38</v>
      </c>
      <c r="C85" s="14" t="s">
        <v>1077</v>
      </c>
      <c r="D85" s="330"/>
      <c r="E85" s="261">
        <f t="shared" si="1"/>
        <v>0</v>
      </c>
      <c r="F85" s="489">
        <f t="shared" si="2"/>
        <v>0</v>
      </c>
      <c r="G85" s="489">
        <f t="shared" si="3"/>
        <v>0</v>
      </c>
      <c r="H85" s="489">
        <f t="shared" si="4"/>
        <v>0</v>
      </c>
      <c r="I85" s="239" t="s">
        <v>391</v>
      </c>
      <c r="J85" s="239"/>
      <c r="K85" s="2"/>
    </row>
    <row r="86" spans="1:11" ht="13">
      <c r="A86" s="2">
        <f t="shared" si="5"/>
        <v>39</v>
      </c>
      <c r="C86" s="14" t="s">
        <v>402</v>
      </c>
      <c r="D86" s="330"/>
      <c r="E86" s="261">
        <f t="shared" si="1"/>
        <v>0</v>
      </c>
      <c r="F86" s="489">
        <f t="shared" si="2"/>
        <v>0</v>
      </c>
      <c r="G86" s="489">
        <f t="shared" si="3"/>
        <v>0</v>
      </c>
      <c r="H86" s="489">
        <f t="shared" si="4"/>
        <v>0</v>
      </c>
      <c r="I86" s="239" t="s">
        <v>391</v>
      </c>
      <c r="J86" s="239"/>
      <c r="K86" s="2"/>
    </row>
    <row r="87" spans="1:11" ht="13">
      <c r="A87" s="2">
        <f t="shared" si="5"/>
        <v>40</v>
      </c>
      <c r="C87" s="14" t="s">
        <v>390</v>
      </c>
      <c r="D87" s="330"/>
      <c r="E87" s="36">
        <f t="shared" si="1"/>
        <v>0</v>
      </c>
      <c r="F87" s="36">
        <f t="shared" si="2"/>
        <v>0</v>
      </c>
      <c r="G87" s="36">
        <f t="shared" si="3"/>
        <v>0</v>
      </c>
      <c r="H87" s="36">
        <f t="shared" si="4"/>
        <v>0</v>
      </c>
      <c r="I87" s="239" t="s">
        <v>391</v>
      </c>
      <c r="J87" s="239"/>
      <c r="K87" s="2"/>
    </row>
    <row r="88" spans="1:11" ht="13">
      <c r="A88" s="2">
        <f t="shared" si="5"/>
        <v>41</v>
      </c>
      <c r="C88" s="14"/>
      <c r="D88" s="626" t="s">
        <v>1078</v>
      </c>
      <c r="E88" s="261">
        <f>SUM(E75:E87)/13</f>
        <v>0</v>
      </c>
      <c r="F88" s="261">
        <f>SUM(F75:F87)/13</f>
        <v>0</v>
      </c>
      <c r="G88" s="261">
        <f>SUM(G75:G87)/13</f>
        <v>0</v>
      </c>
      <c r="H88" s="261">
        <f>SUM(H75:H87)/13</f>
        <v>0</v>
      </c>
      <c r="I88" s="1"/>
      <c r="J88" s="1"/>
      <c r="K88" s="2"/>
    </row>
    <row r="90" spans="1:11" ht="13">
      <c r="A90" s="2"/>
      <c r="C90" s="15" t="s">
        <v>1309</v>
      </c>
      <c r="D90" s="260"/>
      <c r="E90" s="261"/>
      <c r="F90" s="261"/>
      <c r="G90" s="261"/>
      <c r="H90" s="261"/>
      <c r="I90" s="1"/>
      <c r="J90" s="1"/>
    </row>
    <row r="91" spans="1:11" ht="13">
      <c r="A91" s="2"/>
      <c r="C91" s="15"/>
      <c r="D91" s="260"/>
      <c r="E91" s="48" t="s">
        <v>347</v>
      </c>
      <c r="F91" s="48" t="s">
        <v>348</v>
      </c>
      <c r="G91" s="48" t="s">
        <v>349</v>
      </c>
      <c r="H91" s="261"/>
      <c r="I91" s="1"/>
      <c r="J91" s="1"/>
    </row>
    <row r="92" spans="1:11" ht="13">
      <c r="A92" s="2"/>
      <c r="C92" s="252"/>
      <c r="D92" s="260"/>
      <c r="G92" s="239" t="s">
        <v>1310</v>
      </c>
      <c r="H92" s="261"/>
      <c r="I92" s="1"/>
      <c r="J92" s="1"/>
    </row>
    <row r="93" spans="1:11" ht="13">
      <c r="A93" s="2"/>
      <c r="C93" s="252"/>
      <c r="D93" s="260"/>
      <c r="E93" s="181" t="s">
        <v>781</v>
      </c>
      <c r="F93" s="261"/>
      <c r="G93" s="262" t="s">
        <v>1311</v>
      </c>
      <c r="H93" s="261"/>
      <c r="I93" s="1"/>
      <c r="J93" s="1"/>
    </row>
    <row r="94" spans="1:11" ht="13">
      <c r="A94" s="2"/>
      <c r="C94" s="2" t="s">
        <v>1301</v>
      </c>
      <c r="E94" s="181" t="s">
        <v>1312</v>
      </c>
      <c r="F94" s="181" t="s">
        <v>753</v>
      </c>
      <c r="G94" s="181" t="s">
        <v>1312</v>
      </c>
      <c r="H94" s="261"/>
      <c r="I94" s="1"/>
      <c r="J94" s="1"/>
    </row>
    <row r="95" spans="1:11" ht="13">
      <c r="A95" s="2"/>
      <c r="C95" s="2" t="s">
        <v>383</v>
      </c>
      <c r="E95" s="181" t="s">
        <v>1272</v>
      </c>
      <c r="F95" s="4" t="s">
        <v>1313</v>
      </c>
      <c r="G95" s="181" t="s">
        <v>1272</v>
      </c>
      <c r="H95" s="261"/>
      <c r="I95" s="1"/>
      <c r="J95" s="1"/>
    </row>
    <row r="96" spans="1:11" ht="13">
      <c r="A96" s="2"/>
      <c r="C96" s="18" t="s">
        <v>382</v>
      </c>
      <c r="D96" s="18" t="s">
        <v>383</v>
      </c>
      <c r="E96" s="182" t="s">
        <v>1314</v>
      </c>
      <c r="F96" s="3" t="s">
        <v>1315</v>
      </c>
      <c r="G96" s="182" t="s">
        <v>1314</v>
      </c>
      <c r="H96" s="182" t="s">
        <v>1316</v>
      </c>
      <c r="I96" s="1"/>
      <c r="J96" s="1"/>
    </row>
    <row r="97" spans="1:10" ht="12.75" customHeight="1">
      <c r="A97" s="2">
        <f>A88+1</f>
        <v>42</v>
      </c>
      <c r="C97" s="252" t="s">
        <v>390</v>
      </c>
      <c r="D97" s="479"/>
      <c r="E97" s="6">
        <f>H120+H140+H160+H179+H198+H217+H236+H255+H274+H293+H312+H332+H351+H370</f>
        <v>0</v>
      </c>
      <c r="F97" s="263"/>
      <c r="G97" s="261">
        <f>E97-F97</f>
        <v>0</v>
      </c>
      <c r="H97" s="267" t="s">
        <v>1317</v>
      </c>
      <c r="I97" s="1"/>
      <c r="J97" s="6"/>
    </row>
    <row r="98" spans="1:10" ht="13">
      <c r="A98" s="2">
        <f>A97+1</f>
        <v>43</v>
      </c>
      <c r="C98" s="252" t="s">
        <v>392</v>
      </c>
      <c r="D98" s="330"/>
      <c r="E98" s="6">
        <f>H121+H141+H161+H180+H199+H218+H237+H256+H275+H294+H313+H333+H352+H371</f>
        <v>0</v>
      </c>
      <c r="F98" s="263"/>
      <c r="G98" s="261">
        <f t="shared" ref="G98:G109" si="6">E98-F98</f>
        <v>0</v>
      </c>
      <c r="H98" s="267" t="s">
        <v>1318</v>
      </c>
      <c r="I98" s="42"/>
      <c r="J98" s="6"/>
    </row>
    <row r="99" spans="1:10" ht="13">
      <c r="A99" s="2">
        <f t="shared" ref="A99:A110" si="7">A98+1</f>
        <v>44</v>
      </c>
      <c r="C99" s="252" t="s">
        <v>393</v>
      </c>
      <c r="D99" s="330"/>
      <c r="E99" s="6">
        <f>H122+H142+H162+H181+H200+H219+H238+H257+H276+H295+H314+H334+H353+H372</f>
        <v>0</v>
      </c>
      <c r="F99" s="263"/>
      <c r="G99" s="261">
        <f t="shared" si="6"/>
        <v>0</v>
      </c>
      <c r="H99" s="267"/>
      <c r="I99" s="42"/>
      <c r="J99" s="6"/>
    </row>
    <row r="100" spans="1:10" ht="13">
      <c r="A100" s="2">
        <f t="shared" si="7"/>
        <v>45</v>
      </c>
      <c r="C100" s="252" t="s">
        <v>394</v>
      </c>
      <c r="D100" s="330"/>
      <c r="E100" s="6">
        <f>H123+H143+H163+H182+H201+H220+H239+H258+H277+H296+H315+H335+H354+H373</f>
        <v>0</v>
      </c>
      <c r="F100" s="263"/>
      <c r="G100" s="261">
        <f t="shared" si="6"/>
        <v>0</v>
      </c>
      <c r="H100" s="261"/>
      <c r="I100" s="42"/>
      <c r="J100" s="6"/>
    </row>
    <row r="101" spans="1:10" ht="13">
      <c r="A101" s="2">
        <f t="shared" si="7"/>
        <v>46</v>
      </c>
      <c r="C101" s="252" t="s">
        <v>395</v>
      </c>
      <c r="D101" s="330"/>
      <c r="E101" s="6">
        <f t="shared" ref="E101:E109" si="8">H124+H144+H164+H183+H202+H221+H240+H259+H278+H297+H316+H336+H355+H374</f>
        <v>0</v>
      </c>
      <c r="F101" s="263"/>
      <c r="G101" s="261">
        <f t="shared" si="6"/>
        <v>0</v>
      </c>
      <c r="H101" s="261"/>
      <c r="I101" s="42"/>
      <c r="J101" s="6"/>
    </row>
    <row r="102" spans="1:10" ht="13">
      <c r="A102" s="2">
        <f t="shared" si="7"/>
        <v>47</v>
      </c>
      <c r="C102" s="252" t="s">
        <v>396</v>
      </c>
      <c r="D102" s="330"/>
      <c r="E102" s="6">
        <f t="shared" si="8"/>
        <v>0</v>
      </c>
      <c r="F102" s="263"/>
      <c r="G102" s="261">
        <f t="shared" si="6"/>
        <v>0</v>
      </c>
      <c r="H102" s="261"/>
      <c r="I102" s="42"/>
      <c r="J102" s="6"/>
    </row>
    <row r="103" spans="1:10" ht="13">
      <c r="A103" s="2">
        <f t="shared" si="7"/>
        <v>48</v>
      </c>
      <c r="C103" s="252" t="s">
        <v>397</v>
      </c>
      <c r="D103" s="330"/>
      <c r="E103" s="6">
        <f t="shared" si="8"/>
        <v>0</v>
      </c>
      <c r="F103" s="263"/>
      <c r="G103" s="261">
        <f t="shared" si="6"/>
        <v>0</v>
      </c>
      <c r="H103" s="261"/>
      <c r="I103" s="42"/>
      <c r="J103" s="6"/>
    </row>
    <row r="104" spans="1:10" ht="13">
      <c r="A104" s="2">
        <f t="shared" si="7"/>
        <v>49</v>
      </c>
      <c r="C104" s="252" t="s">
        <v>398</v>
      </c>
      <c r="D104" s="330"/>
      <c r="E104" s="6">
        <f t="shared" si="8"/>
        <v>0</v>
      </c>
      <c r="F104" s="263"/>
      <c r="G104" s="261">
        <f t="shared" si="6"/>
        <v>0</v>
      </c>
      <c r="H104" s="261"/>
      <c r="I104" s="42"/>
      <c r="J104" s="6"/>
    </row>
    <row r="105" spans="1:10" ht="13">
      <c r="A105" s="2">
        <f t="shared" si="7"/>
        <v>50</v>
      </c>
      <c r="C105" s="252" t="s">
        <v>399</v>
      </c>
      <c r="D105" s="330"/>
      <c r="E105" s="6">
        <f t="shared" si="8"/>
        <v>0</v>
      </c>
      <c r="F105" s="263"/>
      <c r="G105" s="261">
        <f t="shared" si="6"/>
        <v>0</v>
      </c>
      <c r="H105" s="261"/>
      <c r="I105" s="42"/>
      <c r="J105" s="6"/>
    </row>
    <row r="106" spans="1:10" ht="13">
      <c r="A106" s="2">
        <f t="shared" si="7"/>
        <v>51</v>
      </c>
      <c r="C106" s="252" t="s">
        <v>400</v>
      </c>
      <c r="D106" s="330"/>
      <c r="E106" s="6">
        <f t="shared" si="8"/>
        <v>0</v>
      </c>
      <c r="F106" s="263"/>
      <c r="G106" s="261">
        <f t="shared" si="6"/>
        <v>0</v>
      </c>
      <c r="H106" s="261"/>
      <c r="I106" s="42"/>
      <c r="J106" s="6"/>
    </row>
    <row r="107" spans="1:10" ht="13">
      <c r="A107" s="2">
        <f t="shared" si="7"/>
        <v>52</v>
      </c>
      <c r="C107" s="252" t="s">
        <v>1077</v>
      </c>
      <c r="D107" s="330"/>
      <c r="E107" s="6">
        <f t="shared" si="8"/>
        <v>0</v>
      </c>
      <c r="F107" s="263"/>
      <c r="G107" s="261">
        <f t="shared" si="6"/>
        <v>0</v>
      </c>
      <c r="H107" s="261"/>
      <c r="I107" s="42"/>
      <c r="J107" s="6"/>
    </row>
    <row r="108" spans="1:10" ht="13">
      <c r="A108" s="2">
        <f t="shared" si="7"/>
        <v>53</v>
      </c>
      <c r="C108" s="252" t="s">
        <v>402</v>
      </c>
      <c r="D108" s="330"/>
      <c r="E108" s="6">
        <f t="shared" si="8"/>
        <v>0</v>
      </c>
      <c r="F108" s="263"/>
      <c r="G108" s="261">
        <f t="shared" si="6"/>
        <v>0</v>
      </c>
      <c r="H108" s="261"/>
      <c r="I108" s="42"/>
      <c r="J108" s="6"/>
    </row>
    <row r="109" spans="1:10" ht="13">
      <c r="A109" s="2">
        <f t="shared" si="7"/>
        <v>54</v>
      </c>
      <c r="C109" s="252" t="s">
        <v>390</v>
      </c>
      <c r="D109" s="330"/>
      <c r="E109" s="53">
        <f t="shared" si="8"/>
        <v>0</v>
      </c>
      <c r="F109" s="206"/>
      <c r="G109" s="36">
        <f t="shared" si="6"/>
        <v>0</v>
      </c>
      <c r="H109" s="261"/>
      <c r="I109" s="42"/>
      <c r="J109" s="6"/>
    </row>
    <row r="110" spans="1:10" ht="13">
      <c r="A110" s="2">
        <f t="shared" si="7"/>
        <v>55</v>
      </c>
      <c r="C110" s="252" t="s">
        <v>252</v>
      </c>
      <c r="D110" s="256"/>
      <c r="E110" s="6">
        <f>SUM(E97:E109)</f>
        <v>0</v>
      </c>
      <c r="F110" s="6">
        <f t="shared" ref="F110" si="9">SUM(F97:F109)</f>
        <v>0</v>
      </c>
      <c r="G110" s="6">
        <f>SUM(G97:G109)</f>
        <v>0</v>
      </c>
      <c r="H110" s="261"/>
      <c r="I110" s="42"/>
      <c r="J110" s="1"/>
    </row>
    <row r="111" spans="1:10" ht="13">
      <c r="A111" s="2"/>
      <c r="C111" s="252"/>
      <c r="D111" s="256"/>
      <c r="E111" s="6"/>
      <c r="F111" s="261"/>
      <c r="G111" s="261"/>
      <c r="H111" s="261"/>
      <c r="I111" s="42"/>
      <c r="J111" s="1"/>
    </row>
    <row r="113" spans="1:9" ht="13">
      <c r="C113" s="15" t="s">
        <v>1319</v>
      </c>
    </row>
    <row r="115" spans="1:9" ht="13">
      <c r="C115" s="1" t="s">
        <v>1320</v>
      </c>
      <c r="E115" s="48" t="s">
        <v>347</v>
      </c>
      <c r="F115" s="48" t="s">
        <v>348</v>
      </c>
      <c r="G115" s="48" t="s">
        <v>349</v>
      </c>
      <c r="H115" s="48" t="s">
        <v>350</v>
      </c>
    </row>
    <row r="116" spans="1:9">
      <c r="G116" s="239" t="s">
        <v>1310</v>
      </c>
      <c r="H116" s="239" t="s">
        <v>1321</v>
      </c>
    </row>
    <row r="117" spans="1:9" ht="13">
      <c r="C117" s="2" t="s">
        <v>1301</v>
      </c>
      <c r="H117" s="234" t="s">
        <v>1322</v>
      </c>
    </row>
    <row r="118" spans="1:9" ht="13">
      <c r="C118" s="2" t="s">
        <v>383</v>
      </c>
      <c r="E118" s="2" t="s">
        <v>694</v>
      </c>
      <c r="F118" s="2" t="s">
        <v>1323</v>
      </c>
      <c r="G118" s="2" t="s">
        <v>1324</v>
      </c>
      <c r="H118" s="2" t="s">
        <v>751</v>
      </c>
    </row>
    <row r="119" spans="1:9" ht="13">
      <c r="C119" s="18" t="s">
        <v>382</v>
      </c>
      <c r="D119" s="18" t="s">
        <v>383</v>
      </c>
      <c r="E119" s="3" t="s">
        <v>1325</v>
      </c>
      <c r="F119" s="3" t="s">
        <v>40</v>
      </c>
      <c r="G119" s="3" t="s">
        <v>1291</v>
      </c>
      <c r="H119" s="3" t="s">
        <v>1315</v>
      </c>
    </row>
    <row r="120" spans="1:9" ht="13">
      <c r="A120" s="2">
        <f>A110+1</f>
        <v>56</v>
      </c>
      <c r="C120" s="252" t="s">
        <v>390</v>
      </c>
      <c r="D120" s="479"/>
      <c r="E120" s="59"/>
      <c r="F120" s="59"/>
      <c r="G120" s="6">
        <f t="shared" ref="G120:G132" si="10">E120-F120</f>
        <v>0</v>
      </c>
      <c r="H120" s="6">
        <f>E120-E120</f>
        <v>0</v>
      </c>
      <c r="I120" s="286"/>
    </row>
    <row r="121" spans="1:9" ht="13">
      <c r="A121" s="2">
        <f>A120+1</f>
        <v>57</v>
      </c>
      <c r="C121" s="252" t="s">
        <v>392</v>
      </c>
      <c r="D121" s="330"/>
      <c r="E121" s="59"/>
      <c r="F121" s="59"/>
      <c r="G121" s="6">
        <f t="shared" si="10"/>
        <v>0</v>
      </c>
      <c r="H121" s="6">
        <f>E121-E120</f>
        <v>0</v>
      </c>
    </row>
    <row r="122" spans="1:9" ht="13">
      <c r="A122" s="2">
        <f t="shared" ref="A122:A132" si="11">A121+1</f>
        <v>58</v>
      </c>
      <c r="C122" s="252" t="s">
        <v>393</v>
      </c>
      <c r="D122" s="330"/>
      <c r="E122" s="59"/>
      <c r="F122" s="59"/>
      <c r="G122" s="6">
        <f t="shared" si="10"/>
        <v>0</v>
      </c>
      <c r="H122" s="6">
        <f t="shared" ref="H122:H132" si="12">E122-E121</f>
        <v>0</v>
      </c>
    </row>
    <row r="123" spans="1:9" ht="13">
      <c r="A123" s="2">
        <f t="shared" si="11"/>
        <v>59</v>
      </c>
      <c r="C123" s="252" t="s">
        <v>394</v>
      </c>
      <c r="D123" s="330"/>
      <c r="E123" s="59"/>
      <c r="F123" s="59"/>
      <c r="G123" s="6">
        <f t="shared" si="10"/>
        <v>0</v>
      </c>
      <c r="H123" s="6">
        <f t="shared" si="12"/>
        <v>0</v>
      </c>
    </row>
    <row r="124" spans="1:9" ht="13">
      <c r="A124" s="2">
        <f t="shared" si="11"/>
        <v>60</v>
      </c>
      <c r="C124" s="252" t="s">
        <v>395</v>
      </c>
      <c r="D124" s="330"/>
      <c r="E124" s="59"/>
      <c r="F124" s="59"/>
      <c r="G124" s="6">
        <f t="shared" si="10"/>
        <v>0</v>
      </c>
      <c r="H124" s="6">
        <f t="shared" si="12"/>
        <v>0</v>
      </c>
    </row>
    <row r="125" spans="1:9" ht="13">
      <c r="A125" s="2">
        <f t="shared" si="11"/>
        <v>61</v>
      </c>
      <c r="C125" s="252" t="s">
        <v>396</v>
      </c>
      <c r="D125" s="330"/>
      <c r="E125" s="59"/>
      <c r="F125" s="59"/>
      <c r="G125" s="6">
        <f t="shared" si="10"/>
        <v>0</v>
      </c>
      <c r="H125" s="6">
        <f t="shared" si="12"/>
        <v>0</v>
      </c>
    </row>
    <row r="126" spans="1:9" ht="13">
      <c r="A126" s="2">
        <f t="shared" si="11"/>
        <v>62</v>
      </c>
      <c r="C126" s="252" t="s">
        <v>397</v>
      </c>
      <c r="D126" s="330"/>
      <c r="E126" s="59"/>
      <c r="F126" s="59"/>
      <c r="G126" s="6">
        <f t="shared" si="10"/>
        <v>0</v>
      </c>
      <c r="H126" s="6">
        <f t="shared" si="12"/>
        <v>0</v>
      </c>
    </row>
    <row r="127" spans="1:9" ht="13">
      <c r="A127" s="2">
        <f t="shared" si="11"/>
        <v>63</v>
      </c>
      <c r="C127" s="252" t="s">
        <v>398</v>
      </c>
      <c r="D127" s="330"/>
      <c r="E127" s="59"/>
      <c r="F127" s="59"/>
      <c r="G127" s="6">
        <f t="shared" si="10"/>
        <v>0</v>
      </c>
      <c r="H127" s="6">
        <f t="shared" si="12"/>
        <v>0</v>
      </c>
    </row>
    <row r="128" spans="1:9" ht="13">
      <c r="A128" s="2">
        <f t="shared" si="11"/>
        <v>64</v>
      </c>
      <c r="C128" s="252" t="s">
        <v>399</v>
      </c>
      <c r="D128" s="330"/>
      <c r="E128" s="59"/>
      <c r="F128" s="59"/>
      <c r="G128" s="6">
        <f t="shared" si="10"/>
        <v>0</v>
      </c>
      <c r="H128" s="6">
        <f t="shared" si="12"/>
        <v>0</v>
      </c>
    </row>
    <row r="129" spans="1:8" ht="13">
      <c r="A129" s="2">
        <f t="shared" si="11"/>
        <v>65</v>
      </c>
      <c r="C129" s="252" t="s">
        <v>400</v>
      </c>
      <c r="D129" s="330"/>
      <c r="E129" s="59"/>
      <c r="F129" s="59"/>
      <c r="G129" s="6">
        <f t="shared" si="10"/>
        <v>0</v>
      </c>
      <c r="H129" s="6">
        <f t="shared" si="12"/>
        <v>0</v>
      </c>
    </row>
    <row r="130" spans="1:8" ht="13">
      <c r="A130" s="2">
        <f t="shared" si="11"/>
        <v>66</v>
      </c>
      <c r="C130" s="252" t="s">
        <v>1077</v>
      </c>
      <c r="D130" s="330"/>
      <c r="E130" s="59"/>
      <c r="F130" s="59"/>
      <c r="G130" s="6">
        <f t="shared" si="10"/>
        <v>0</v>
      </c>
      <c r="H130" s="6">
        <f t="shared" si="12"/>
        <v>0</v>
      </c>
    </row>
    <row r="131" spans="1:8" ht="13">
      <c r="A131" s="2">
        <f t="shared" si="11"/>
        <v>67</v>
      </c>
      <c r="C131" s="252" t="s">
        <v>402</v>
      </c>
      <c r="D131" s="330"/>
      <c r="E131" s="59"/>
      <c r="F131" s="59"/>
      <c r="G131" s="6">
        <f t="shared" si="10"/>
        <v>0</v>
      </c>
      <c r="H131" s="6">
        <f t="shared" si="12"/>
        <v>0</v>
      </c>
    </row>
    <row r="132" spans="1:8" ht="13">
      <c r="A132" s="2">
        <f t="shared" si="11"/>
        <v>68</v>
      </c>
      <c r="C132" s="252" t="s">
        <v>390</v>
      </c>
      <c r="D132" s="330"/>
      <c r="E132" s="59"/>
      <c r="F132" s="59"/>
      <c r="G132" s="6">
        <f t="shared" si="10"/>
        <v>0</v>
      </c>
      <c r="H132" s="6">
        <f t="shared" si="12"/>
        <v>0</v>
      </c>
    </row>
    <row r="133" spans="1:8" ht="13">
      <c r="A133" s="2"/>
      <c r="C133" s="252"/>
      <c r="D133" s="256"/>
    </row>
    <row r="135" spans="1:8" ht="13">
      <c r="C135" s="15" t="s">
        <v>1326</v>
      </c>
      <c r="E135" s="48" t="s">
        <v>347</v>
      </c>
      <c r="F135" s="48" t="s">
        <v>348</v>
      </c>
      <c r="G135" s="48" t="s">
        <v>349</v>
      </c>
      <c r="H135" s="48" t="s">
        <v>350</v>
      </c>
    </row>
    <row r="136" spans="1:8">
      <c r="G136" s="239" t="s">
        <v>1310</v>
      </c>
      <c r="H136" s="239" t="s">
        <v>1321</v>
      </c>
    </row>
    <row r="137" spans="1:8" ht="13">
      <c r="C137" s="2" t="s">
        <v>1301</v>
      </c>
      <c r="H137" s="234" t="s">
        <v>1322</v>
      </c>
    </row>
    <row r="138" spans="1:8" ht="13">
      <c r="C138" s="2" t="s">
        <v>383</v>
      </c>
      <c r="E138" s="2" t="s">
        <v>694</v>
      </c>
      <c r="F138" s="2" t="s">
        <v>1323</v>
      </c>
      <c r="G138" s="2" t="s">
        <v>1324</v>
      </c>
      <c r="H138" s="2" t="s">
        <v>751</v>
      </c>
    </row>
    <row r="139" spans="1:8" ht="13">
      <c r="C139" s="18" t="s">
        <v>382</v>
      </c>
      <c r="D139" s="18" t="s">
        <v>383</v>
      </c>
      <c r="E139" s="3" t="s">
        <v>1325</v>
      </c>
      <c r="F139" s="3" t="s">
        <v>40</v>
      </c>
      <c r="G139" s="3" t="s">
        <v>1291</v>
      </c>
      <c r="H139" s="3" t="s">
        <v>1315</v>
      </c>
    </row>
    <row r="140" spans="1:8" ht="13">
      <c r="A140" s="2">
        <f>A132+1</f>
        <v>69</v>
      </c>
      <c r="C140" s="252" t="s">
        <v>390</v>
      </c>
      <c r="D140" s="479"/>
      <c r="E140" s="59"/>
      <c r="F140" s="59"/>
      <c r="G140" s="6">
        <f>E140-F140</f>
        <v>0</v>
      </c>
      <c r="H140" s="6">
        <f>E140-E140</f>
        <v>0</v>
      </c>
    </row>
    <row r="141" spans="1:8" ht="13">
      <c r="A141" s="2">
        <f>A140+1</f>
        <v>70</v>
      </c>
      <c r="C141" s="252" t="s">
        <v>392</v>
      </c>
      <c r="D141" s="330"/>
      <c r="E141" s="59"/>
      <c r="F141" s="59"/>
      <c r="G141" s="6">
        <f t="shared" ref="G141:G152" si="13">E141-F141</f>
        <v>0</v>
      </c>
      <c r="H141" s="6">
        <f>E141-E140</f>
        <v>0</v>
      </c>
    </row>
    <row r="142" spans="1:8" ht="13">
      <c r="A142" s="2">
        <f t="shared" ref="A142:A152" si="14">A141+1</f>
        <v>71</v>
      </c>
      <c r="C142" s="252" t="s">
        <v>393</v>
      </c>
      <c r="D142" s="330"/>
      <c r="E142" s="59"/>
      <c r="F142" s="59"/>
      <c r="G142" s="6">
        <f t="shared" si="13"/>
        <v>0</v>
      </c>
      <c r="H142" s="6">
        <f t="shared" ref="H142:H152" si="15">E142-E141</f>
        <v>0</v>
      </c>
    </row>
    <row r="143" spans="1:8" ht="13">
      <c r="A143" s="2">
        <f t="shared" si="14"/>
        <v>72</v>
      </c>
      <c r="C143" s="252" t="s">
        <v>394</v>
      </c>
      <c r="D143" s="330"/>
      <c r="E143" s="59"/>
      <c r="F143" s="59"/>
      <c r="G143" s="6">
        <f t="shared" si="13"/>
        <v>0</v>
      </c>
      <c r="H143" s="6">
        <f t="shared" si="15"/>
        <v>0</v>
      </c>
    </row>
    <row r="144" spans="1:8" ht="13">
      <c r="A144" s="2">
        <f t="shared" si="14"/>
        <v>73</v>
      </c>
      <c r="C144" s="252" t="s">
        <v>395</v>
      </c>
      <c r="D144" s="330"/>
      <c r="E144" s="59"/>
      <c r="F144" s="59"/>
      <c r="G144" s="6">
        <f t="shared" si="13"/>
        <v>0</v>
      </c>
      <c r="H144" s="6">
        <f t="shared" si="15"/>
        <v>0</v>
      </c>
    </row>
    <row r="145" spans="1:8" ht="13">
      <c r="A145" s="2">
        <f t="shared" si="14"/>
        <v>74</v>
      </c>
      <c r="C145" s="252" t="s">
        <v>396</v>
      </c>
      <c r="D145" s="330"/>
      <c r="E145" s="59"/>
      <c r="F145" s="59"/>
      <c r="G145" s="6">
        <f t="shared" si="13"/>
        <v>0</v>
      </c>
      <c r="H145" s="6">
        <f t="shared" si="15"/>
        <v>0</v>
      </c>
    </row>
    <row r="146" spans="1:8" ht="13">
      <c r="A146" s="2">
        <f t="shared" si="14"/>
        <v>75</v>
      </c>
      <c r="C146" s="252" t="s">
        <v>397</v>
      </c>
      <c r="D146" s="330"/>
      <c r="E146" s="59"/>
      <c r="F146" s="59"/>
      <c r="G146" s="6">
        <f t="shared" si="13"/>
        <v>0</v>
      </c>
      <c r="H146" s="6">
        <f t="shared" si="15"/>
        <v>0</v>
      </c>
    </row>
    <row r="147" spans="1:8" ht="13">
      <c r="A147" s="2">
        <f t="shared" si="14"/>
        <v>76</v>
      </c>
      <c r="C147" s="252" t="s">
        <v>398</v>
      </c>
      <c r="D147" s="330"/>
      <c r="E147" s="59"/>
      <c r="F147" s="59"/>
      <c r="G147" s="6">
        <f t="shared" si="13"/>
        <v>0</v>
      </c>
      <c r="H147" s="6">
        <f t="shared" si="15"/>
        <v>0</v>
      </c>
    </row>
    <row r="148" spans="1:8" ht="13">
      <c r="A148" s="2">
        <f t="shared" si="14"/>
        <v>77</v>
      </c>
      <c r="C148" s="252" t="s">
        <v>399</v>
      </c>
      <c r="D148" s="330"/>
      <c r="E148" s="59"/>
      <c r="F148" s="59"/>
      <c r="G148" s="6">
        <f t="shared" si="13"/>
        <v>0</v>
      </c>
      <c r="H148" s="6">
        <f t="shared" si="15"/>
        <v>0</v>
      </c>
    </row>
    <row r="149" spans="1:8" ht="13">
      <c r="A149" s="2">
        <f t="shared" si="14"/>
        <v>78</v>
      </c>
      <c r="C149" s="252" t="s">
        <v>400</v>
      </c>
      <c r="D149" s="330"/>
      <c r="E149" s="59"/>
      <c r="F149" s="59"/>
      <c r="G149" s="6">
        <f t="shared" si="13"/>
        <v>0</v>
      </c>
      <c r="H149" s="6">
        <f t="shared" si="15"/>
        <v>0</v>
      </c>
    </row>
    <row r="150" spans="1:8" ht="13">
      <c r="A150" s="2">
        <f t="shared" si="14"/>
        <v>79</v>
      </c>
      <c r="C150" s="252" t="s">
        <v>1077</v>
      </c>
      <c r="D150" s="330"/>
      <c r="E150" s="59"/>
      <c r="F150" s="59"/>
      <c r="G150" s="6">
        <f t="shared" si="13"/>
        <v>0</v>
      </c>
      <c r="H150" s="6">
        <f t="shared" si="15"/>
        <v>0</v>
      </c>
    </row>
    <row r="151" spans="1:8" ht="13">
      <c r="A151" s="2">
        <f t="shared" si="14"/>
        <v>80</v>
      </c>
      <c r="C151" s="252" t="s">
        <v>402</v>
      </c>
      <c r="D151" s="330"/>
      <c r="E151" s="59"/>
      <c r="F151" s="59"/>
      <c r="G151" s="6">
        <f t="shared" si="13"/>
        <v>0</v>
      </c>
      <c r="H151" s="6">
        <f t="shared" si="15"/>
        <v>0</v>
      </c>
    </row>
    <row r="152" spans="1:8" ht="13">
      <c r="A152" s="2">
        <f t="shared" si="14"/>
        <v>81</v>
      </c>
      <c r="C152" s="252" t="s">
        <v>390</v>
      </c>
      <c r="D152" s="330"/>
      <c r="E152" s="59"/>
      <c r="F152" s="59"/>
      <c r="G152" s="6">
        <f t="shared" si="13"/>
        <v>0</v>
      </c>
      <c r="H152" s="6">
        <f t="shared" si="15"/>
        <v>0</v>
      </c>
    </row>
    <row r="153" spans="1:8" ht="13">
      <c r="A153" s="2"/>
    </row>
    <row r="154" spans="1:8" ht="12.75" customHeight="1"/>
    <row r="155" spans="1:8" ht="13">
      <c r="C155" s="15" t="s">
        <v>1327</v>
      </c>
      <c r="E155" s="48" t="s">
        <v>347</v>
      </c>
      <c r="F155" s="48" t="s">
        <v>348</v>
      </c>
      <c r="G155" s="48" t="s">
        <v>349</v>
      </c>
      <c r="H155" s="48" t="s">
        <v>350</v>
      </c>
    </row>
    <row r="156" spans="1:8">
      <c r="G156" s="239" t="s">
        <v>1310</v>
      </c>
      <c r="H156" s="239" t="s">
        <v>1321</v>
      </c>
    </row>
    <row r="157" spans="1:8" ht="13">
      <c r="C157" s="2" t="s">
        <v>1301</v>
      </c>
      <c r="H157" s="234" t="s">
        <v>1322</v>
      </c>
    </row>
    <row r="158" spans="1:8" ht="13">
      <c r="C158" s="2" t="s">
        <v>383</v>
      </c>
      <c r="E158" s="2" t="s">
        <v>694</v>
      </c>
      <c r="F158" s="2" t="s">
        <v>1323</v>
      </c>
      <c r="G158" s="2" t="s">
        <v>1324</v>
      </c>
      <c r="H158" s="2" t="s">
        <v>751</v>
      </c>
    </row>
    <row r="159" spans="1:8" ht="13">
      <c r="C159" s="18" t="s">
        <v>382</v>
      </c>
      <c r="D159" s="18" t="s">
        <v>383</v>
      </c>
      <c r="E159" s="3" t="s">
        <v>1325</v>
      </c>
      <c r="F159" s="3" t="s">
        <v>40</v>
      </c>
      <c r="G159" s="3" t="s">
        <v>1291</v>
      </c>
      <c r="H159" s="3" t="s">
        <v>1315</v>
      </c>
    </row>
    <row r="160" spans="1:8" ht="13">
      <c r="A160" s="2">
        <f>A152+1</f>
        <v>82</v>
      </c>
      <c r="C160" s="252" t="s">
        <v>390</v>
      </c>
      <c r="D160" s="479"/>
      <c r="E160" s="59"/>
      <c r="F160" s="59"/>
      <c r="G160" s="6">
        <f t="shared" ref="G160:G172" si="16">E160-F160</f>
        <v>0</v>
      </c>
      <c r="H160" s="6">
        <f>E160-E160</f>
        <v>0</v>
      </c>
    </row>
    <row r="161" spans="1:8" ht="13">
      <c r="A161" s="2">
        <f>A160+1</f>
        <v>83</v>
      </c>
      <c r="C161" s="252" t="s">
        <v>392</v>
      </c>
      <c r="D161" s="330"/>
      <c r="E161" s="59"/>
      <c r="F161" s="59"/>
      <c r="G161" s="6">
        <f t="shared" si="16"/>
        <v>0</v>
      </c>
      <c r="H161" s="6">
        <f>E161-E160</f>
        <v>0</v>
      </c>
    </row>
    <row r="162" spans="1:8" ht="13">
      <c r="A162" s="2">
        <f t="shared" ref="A162:A172" si="17">A161+1</f>
        <v>84</v>
      </c>
      <c r="C162" s="252" t="s">
        <v>393</v>
      </c>
      <c r="D162" s="330"/>
      <c r="E162" s="59"/>
      <c r="F162" s="59"/>
      <c r="G162" s="6">
        <f t="shared" si="16"/>
        <v>0</v>
      </c>
      <c r="H162" s="6">
        <f t="shared" ref="H162:H172" si="18">E162-E161</f>
        <v>0</v>
      </c>
    </row>
    <row r="163" spans="1:8" ht="13">
      <c r="A163" s="2">
        <f t="shared" si="17"/>
        <v>85</v>
      </c>
      <c r="C163" s="252" t="s">
        <v>394</v>
      </c>
      <c r="D163" s="330"/>
      <c r="E163" s="59"/>
      <c r="F163" s="59"/>
      <c r="G163" s="6">
        <f t="shared" si="16"/>
        <v>0</v>
      </c>
      <c r="H163" s="6">
        <f t="shared" si="18"/>
        <v>0</v>
      </c>
    </row>
    <row r="164" spans="1:8" ht="13">
      <c r="A164" s="2">
        <f t="shared" si="17"/>
        <v>86</v>
      </c>
      <c r="C164" s="252" t="s">
        <v>395</v>
      </c>
      <c r="D164" s="330"/>
      <c r="E164" s="59"/>
      <c r="F164" s="59"/>
      <c r="G164" s="6">
        <f t="shared" si="16"/>
        <v>0</v>
      </c>
      <c r="H164" s="6">
        <f t="shared" si="18"/>
        <v>0</v>
      </c>
    </row>
    <row r="165" spans="1:8" ht="13">
      <c r="A165" s="2">
        <f t="shared" si="17"/>
        <v>87</v>
      </c>
      <c r="C165" s="252" t="s">
        <v>396</v>
      </c>
      <c r="D165" s="330"/>
      <c r="E165" s="59"/>
      <c r="F165" s="59"/>
      <c r="G165" s="6">
        <f t="shared" si="16"/>
        <v>0</v>
      </c>
      <c r="H165" s="6">
        <f t="shared" si="18"/>
        <v>0</v>
      </c>
    </row>
    <row r="166" spans="1:8" ht="13">
      <c r="A166" s="2">
        <f t="shared" si="17"/>
        <v>88</v>
      </c>
      <c r="C166" s="252" t="s">
        <v>397</v>
      </c>
      <c r="D166" s="330"/>
      <c r="E166" s="59"/>
      <c r="F166" s="59"/>
      <c r="G166" s="6">
        <f t="shared" si="16"/>
        <v>0</v>
      </c>
      <c r="H166" s="6">
        <f t="shared" si="18"/>
        <v>0</v>
      </c>
    </row>
    <row r="167" spans="1:8" ht="13">
      <c r="A167" s="2">
        <f t="shared" si="17"/>
        <v>89</v>
      </c>
      <c r="C167" s="252" t="s">
        <v>398</v>
      </c>
      <c r="D167" s="330"/>
      <c r="E167" s="59"/>
      <c r="F167" s="59"/>
      <c r="G167" s="6">
        <f t="shared" si="16"/>
        <v>0</v>
      </c>
      <c r="H167" s="6">
        <f t="shared" si="18"/>
        <v>0</v>
      </c>
    </row>
    <row r="168" spans="1:8" ht="13">
      <c r="A168" s="2">
        <f t="shared" si="17"/>
        <v>90</v>
      </c>
      <c r="C168" s="252" t="s">
        <v>399</v>
      </c>
      <c r="D168" s="330"/>
      <c r="E168" s="59"/>
      <c r="F168" s="59"/>
      <c r="G168" s="6">
        <f t="shared" si="16"/>
        <v>0</v>
      </c>
      <c r="H168" s="6">
        <f t="shared" si="18"/>
        <v>0</v>
      </c>
    </row>
    <row r="169" spans="1:8" ht="13">
      <c r="A169" s="2">
        <f t="shared" si="17"/>
        <v>91</v>
      </c>
      <c r="C169" s="252" t="s">
        <v>400</v>
      </c>
      <c r="D169" s="330"/>
      <c r="E169" s="59"/>
      <c r="F169" s="59"/>
      <c r="G169" s="6">
        <f t="shared" si="16"/>
        <v>0</v>
      </c>
      <c r="H169" s="6">
        <f t="shared" si="18"/>
        <v>0</v>
      </c>
    </row>
    <row r="170" spans="1:8" ht="13">
      <c r="A170" s="2">
        <f t="shared" si="17"/>
        <v>92</v>
      </c>
      <c r="C170" s="252" t="s">
        <v>1077</v>
      </c>
      <c r="D170" s="330"/>
      <c r="E170" s="59"/>
      <c r="F170" s="59"/>
      <c r="G170" s="6">
        <f t="shared" si="16"/>
        <v>0</v>
      </c>
      <c r="H170" s="6">
        <f t="shared" si="18"/>
        <v>0</v>
      </c>
    </row>
    <row r="171" spans="1:8" ht="13">
      <c r="A171" s="2">
        <f t="shared" si="17"/>
        <v>93</v>
      </c>
      <c r="C171" s="252" t="s">
        <v>402</v>
      </c>
      <c r="D171" s="330"/>
      <c r="E171" s="59"/>
      <c r="F171" s="59"/>
      <c r="G171" s="6">
        <f t="shared" si="16"/>
        <v>0</v>
      </c>
      <c r="H171" s="6">
        <f t="shared" si="18"/>
        <v>0</v>
      </c>
    </row>
    <row r="172" spans="1:8" ht="13">
      <c r="A172" s="2">
        <f t="shared" si="17"/>
        <v>94</v>
      </c>
      <c r="C172" s="252" t="s">
        <v>390</v>
      </c>
      <c r="D172" s="330"/>
      <c r="E172" s="59"/>
      <c r="F172" s="59"/>
      <c r="G172" s="6">
        <f t="shared" si="16"/>
        <v>0</v>
      </c>
      <c r="H172" s="6">
        <f t="shared" si="18"/>
        <v>0</v>
      </c>
    </row>
    <row r="174" spans="1:8" ht="13">
      <c r="C174" s="15" t="s">
        <v>1328</v>
      </c>
      <c r="E174" s="48" t="s">
        <v>347</v>
      </c>
      <c r="F174" s="48" t="s">
        <v>348</v>
      </c>
      <c r="G174" s="48" t="s">
        <v>349</v>
      </c>
      <c r="H174" s="48" t="s">
        <v>350</v>
      </c>
    </row>
    <row r="175" spans="1:8">
      <c r="G175" s="239" t="s">
        <v>1310</v>
      </c>
      <c r="H175" s="239" t="s">
        <v>1321</v>
      </c>
    </row>
    <row r="176" spans="1:8" ht="13">
      <c r="C176" s="2" t="s">
        <v>1301</v>
      </c>
      <c r="H176" s="234" t="s">
        <v>1322</v>
      </c>
    </row>
    <row r="177" spans="1:8" ht="13">
      <c r="C177" s="2" t="s">
        <v>383</v>
      </c>
      <c r="E177" s="2" t="s">
        <v>694</v>
      </c>
      <c r="F177" s="2" t="s">
        <v>1323</v>
      </c>
      <c r="G177" s="2" t="s">
        <v>1324</v>
      </c>
      <c r="H177" s="2" t="s">
        <v>751</v>
      </c>
    </row>
    <row r="178" spans="1:8" ht="13">
      <c r="C178" s="18" t="s">
        <v>382</v>
      </c>
      <c r="D178" s="18" t="s">
        <v>383</v>
      </c>
      <c r="E178" s="3" t="s">
        <v>1325</v>
      </c>
      <c r="F178" s="3" t="s">
        <v>40</v>
      </c>
      <c r="G178" s="3" t="s">
        <v>1291</v>
      </c>
      <c r="H178" s="3" t="s">
        <v>1315</v>
      </c>
    </row>
    <row r="179" spans="1:8" ht="13">
      <c r="A179" s="2">
        <f>A172+1</f>
        <v>95</v>
      </c>
      <c r="C179" s="252" t="s">
        <v>390</v>
      </c>
      <c r="D179" s="479"/>
      <c r="E179" s="59"/>
      <c r="F179" s="59"/>
      <c r="G179" s="6">
        <f t="shared" ref="G179:G191" si="19">E179-F179</f>
        <v>0</v>
      </c>
      <c r="H179" s="6">
        <f>E179-E179</f>
        <v>0</v>
      </c>
    </row>
    <row r="180" spans="1:8" ht="13">
      <c r="A180" s="2">
        <f>A179+1</f>
        <v>96</v>
      </c>
      <c r="C180" s="252" t="s">
        <v>392</v>
      </c>
      <c r="D180" s="330"/>
      <c r="E180" s="59"/>
      <c r="F180" s="59"/>
      <c r="G180" s="6">
        <f t="shared" si="19"/>
        <v>0</v>
      </c>
      <c r="H180" s="6">
        <f>E180-E179</f>
        <v>0</v>
      </c>
    </row>
    <row r="181" spans="1:8" ht="13">
      <c r="A181" s="2">
        <f t="shared" ref="A181:A191" si="20">A180+1</f>
        <v>97</v>
      </c>
      <c r="C181" s="252" t="s">
        <v>393</v>
      </c>
      <c r="D181" s="330"/>
      <c r="E181" s="59"/>
      <c r="F181" s="59"/>
      <c r="G181" s="6">
        <f t="shared" si="19"/>
        <v>0</v>
      </c>
      <c r="H181" s="6">
        <f t="shared" ref="H181:H191" si="21">E181-E180</f>
        <v>0</v>
      </c>
    </row>
    <row r="182" spans="1:8" ht="13">
      <c r="A182" s="2">
        <f t="shared" si="20"/>
        <v>98</v>
      </c>
      <c r="C182" s="252" t="s">
        <v>394</v>
      </c>
      <c r="D182" s="330"/>
      <c r="E182" s="59"/>
      <c r="F182" s="59"/>
      <c r="G182" s="6">
        <f t="shared" si="19"/>
        <v>0</v>
      </c>
      <c r="H182" s="6">
        <f t="shared" si="21"/>
        <v>0</v>
      </c>
    </row>
    <row r="183" spans="1:8" ht="13">
      <c r="A183" s="2">
        <f t="shared" si="20"/>
        <v>99</v>
      </c>
      <c r="C183" s="252" t="s">
        <v>395</v>
      </c>
      <c r="D183" s="330"/>
      <c r="E183" s="59"/>
      <c r="F183" s="59"/>
      <c r="G183" s="6">
        <f t="shared" si="19"/>
        <v>0</v>
      </c>
      <c r="H183" s="6">
        <f t="shared" si="21"/>
        <v>0</v>
      </c>
    </row>
    <row r="184" spans="1:8" ht="13">
      <c r="A184" s="2">
        <f t="shared" si="20"/>
        <v>100</v>
      </c>
      <c r="C184" s="252" t="s">
        <v>396</v>
      </c>
      <c r="D184" s="330"/>
      <c r="E184" s="59"/>
      <c r="F184" s="59"/>
      <c r="G184" s="6">
        <f t="shared" si="19"/>
        <v>0</v>
      </c>
      <c r="H184" s="6">
        <f t="shared" si="21"/>
        <v>0</v>
      </c>
    </row>
    <row r="185" spans="1:8" ht="13">
      <c r="A185" s="2">
        <f t="shared" si="20"/>
        <v>101</v>
      </c>
      <c r="C185" s="252" t="s">
        <v>397</v>
      </c>
      <c r="D185" s="330"/>
      <c r="E185" s="59"/>
      <c r="F185" s="59"/>
      <c r="G185" s="6">
        <f t="shared" si="19"/>
        <v>0</v>
      </c>
      <c r="H185" s="6">
        <f t="shared" si="21"/>
        <v>0</v>
      </c>
    </row>
    <row r="186" spans="1:8" ht="13">
      <c r="A186" s="2">
        <f t="shared" si="20"/>
        <v>102</v>
      </c>
      <c r="C186" s="252" t="s">
        <v>398</v>
      </c>
      <c r="D186" s="330"/>
      <c r="E186" s="59"/>
      <c r="F186" s="59"/>
      <c r="G186" s="6">
        <f t="shared" si="19"/>
        <v>0</v>
      </c>
      <c r="H186" s="6">
        <f t="shared" si="21"/>
        <v>0</v>
      </c>
    </row>
    <row r="187" spans="1:8" ht="13">
      <c r="A187" s="2">
        <f t="shared" si="20"/>
        <v>103</v>
      </c>
      <c r="C187" s="252" t="s">
        <v>399</v>
      </c>
      <c r="D187" s="330"/>
      <c r="E187" s="59"/>
      <c r="F187" s="59"/>
      <c r="G187" s="6">
        <f t="shared" si="19"/>
        <v>0</v>
      </c>
      <c r="H187" s="6">
        <f t="shared" si="21"/>
        <v>0</v>
      </c>
    </row>
    <row r="188" spans="1:8" ht="13">
      <c r="A188" s="2">
        <f t="shared" si="20"/>
        <v>104</v>
      </c>
      <c r="C188" s="252" t="s">
        <v>400</v>
      </c>
      <c r="D188" s="330"/>
      <c r="E188" s="59"/>
      <c r="F188" s="59"/>
      <c r="G188" s="6">
        <f t="shared" si="19"/>
        <v>0</v>
      </c>
      <c r="H188" s="6">
        <f t="shared" si="21"/>
        <v>0</v>
      </c>
    </row>
    <row r="189" spans="1:8" ht="13">
      <c r="A189" s="2">
        <f t="shared" si="20"/>
        <v>105</v>
      </c>
      <c r="C189" s="252" t="s">
        <v>1077</v>
      </c>
      <c r="D189" s="330"/>
      <c r="E189" s="59"/>
      <c r="F189" s="59"/>
      <c r="G189" s="6">
        <f t="shared" si="19"/>
        <v>0</v>
      </c>
      <c r="H189" s="6">
        <f t="shared" si="21"/>
        <v>0</v>
      </c>
    </row>
    <row r="190" spans="1:8" ht="13">
      <c r="A190" s="2">
        <f t="shared" si="20"/>
        <v>106</v>
      </c>
      <c r="C190" s="252" t="s">
        <v>402</v>
      </c>
      <c r="D190" s="330"/>
      <c r="E190" s="59"/>
      <c r="F190" s="59"/>
      <c r="G190" s="6">
        <f t="shared" si="19"/>
        <v>0</v>
      </c>
      <c r="H190" s="6">
        <f t="shared" si="21"/>
        <v>0</v>
      </c>
    </row>
    <row r="191" spans="1:8" ht="13">
      <c r="A191" s="2">
        <f t="shared" si="20"/>
        <v>107</v>
      </c>
      <c r="C191" s="252" t="s">
        <v>390</v>
      </c>
      <c r="D191" s="330"/>
      <c r="E191" s="59"/>
      <c r="F191" s="59"/>
      <c r="G191" s="6">
        <f t="shared" si="19"/>
        <v>0</v>
      </c>
      <c r="H191" s="6">
        <f t="shared" si="21"/>
        <v>0</v>
      </c>
    </row>
    <row r="193" spans="1:8" ht="13">
      <c r="C193" s="15" t="s">
        <v>1329</v>
      </c>
      <c r="E193" s="48" t="s">
        <v>347</v>
      </c>
      <c r="F193" s="48" t="s">
        <v>348</v>
      </c>
      <c r="G193" s="48" t="s">
        <v>349</v>
      </c>
      <c r="H193" s="48" t="s">
        <v>350</v>
      </c>
    </row>
    <row r="194" spans="1:8">
      <c r="G194" s="239" t="s">
        <v>1310</v>
      </c>
      <c r="H194" s="239" t="s">
        <v>1321</v>
      </c>
    </row>
    <row r="195" spans="1:8" ht="13">
      <c r="C195" s="2" t="s">
        <v>1301</v>
      </c>
      <c r="H195" s="234" t="s">
        <v>1322</v>
      </c>
    </row>
    <row r="196" spans="1:8" ht="13">
      <c r="C196" s="2" t="s">
        <v>383</v>
      </c>
      <c r="E196" s="2" t="s">
        <v>694</v>
      </c>
      <c r="F196" s="2" t="s">
        <v>1323</v>
      </c>
      <c r="G196" s="2" t="s">
        <v>1324</v>
      </c>
      <c r="H196" s="2" t="s">
        <v>751</v>
      </c>
    </row>
    <row r="197" spans="1:8" ht="13">
      <c r="C197" s="18" t="s">
        <v>382</v>
      </c>
      <c r="D197" s="18" t="s">
        <v>383</v>
      </c>
      <c r="E197" s="3" t="s">
        <v>1325</v>
      </c>
      <c r="F197" s="3" t="s">
        <v>40</v>
      </c>
      <c r="G197" s="3" t="s">
        <v>1291</v>
      </c>
      <c r="H197" s="3" t="s">
        <v>1315</v>
      </c>
    </row>
    <row r="198" spans="1:8" ht="13">
      <c r="A198" s="2">
        <f>A191+1</f>
        <v>108</v>
      </c>
      <c r="C198" s="252" t="s">
        <v>390</v>
      </c>
      <c r="D198" s="479"/>
      <c r="E198" s="59"/>
      <c r="F198" s="59"/>
      <c r="G198" s="6">
        <f t="shared" ref="G198:G210" si="22">E198-F198</f>
        <v>0</v>
      </c>
      <c r="H198" s="6">
        <f>E198-E198</f>
        <v>0</v>
      </c>
    </row>
    <row r="199" spans="1:8" ht="13">
      <c r="A199" s="2">
        <f>A198+1</f>
        <v>109</v>
      </c>
      <c r="C199" s="252" t="s">
        <v>392</v>
      </c>
      <c r="D199" s="330"/>
      <c r="E199" s="59"/>
      <c r="F199" s="59"/>
      <c r="G199" s="6">
        <f t="shared" si="22"/>
        <v>0</v>
      </c>
      <c r="H199" s="6">
        <f>E199-E198</f>
        <v>0</v>
      </c>
    </row>
    <row r="200" spans="1:8" ht="13">
      <c r="A200" s="2">
        <f t="shared" ref="A200:A210" si="23">A199+1</f>
        <v>110</v>
      </c>
      <c r="C200" s="252" t="s">
        <v>393</v>
      </c>
      <c r="D200" s="330"/>
      <c r="E200" s="59"/>
      <c r="F200" s="59"/>
      <c r="G200" s="6">
        <f t="shared" si="22"/>
        <v>0</v>
      </c>
      <c r="H200" s="6">
        <f t="shared" ref="H200:H210" si="24">E200-E199</f>
        <v>0</v>
      </c>
    </row>
    <row r="201" spans="1:8" ht="13">
      <c r="A201" s="2">
        <f t="shared" si="23"/>
        <v>111</v>
      </c>
      <c r="C201" s="252" t="s">
        <v>394</v>
      </c>
      <c r="D201" s="330"/>
      <c r="E201" s="59"/>
      <c r="F201" s="59"/>
      <c r="G201" s="6">
        <f t="shared" si="22"/>
        <v>0</v>
      </c>
      <c r="H201" s="6">
        <f t="shared" si="24"/>
        <v>0</v>
      </c>
    </row>
    <row r="202" spans="1:8" ht="13">
      <c r="A202" s="2">
        <f t="shared" si="23"/>
        <v>112</v>
      </c>
      <c r="C202" s="252" t="s">
        <v>395</v>
      </c>
      <c r="D202" s="330"/>
      <c r="E202" s="59"/>
      <c r="F202" s="59"/>
      <c r="G202" s="6">
        <f t="shared" si="22"/>
        <v>0</v>
      </c>
      <c r="H202" s="6">
        <f t="shared" si="24"/>
        <v>0</v>
      </c>
    </row>
    <row r="203" spans="1:8" ht="13">
      <c r="A203" s="2">
        <f t="shared" si="23"/>
        <v>113</v>
      </c>
      <c r="C203" s="252" t="s">
        <v>396</v>
      </c>
      <c r="D203" s="330"/>
      <c r="E203" s="59"/>
      <c r="F203" s="59"/>
      <c r="G203" s="6">
        <f t="shared" si="22"/>
        <v>0</v>
      </c>
      <c r="H203" s="6">
        <f t="shared" si="24"/>
        <v>0</v>
      </c>
    </row>
    <row r="204" spans="1:8" ht="13">
      <c r="A204" s="2">
        <f t="shared" si="23"/>
        <v>114</v>
      </c>
      <c r="C204" s="252" t="s">
        <v>397</v>
      </c>
      <c r="D204" s="330"/>
      <c r="E204" s="59"/>
      <c r="F204" s="59"/>
      <c r="G204" s="6">
        <f t="shared" si="22"/>
        <v>0</v>
      </c>
      <c r="H204" s="6">
        <f t="shared" si="24"/>
        <v>0</v>
      </c>
    </row>
    <row r="205" spans="1:8" ht="13">
      <c r="A205" s="2">
        <f t="shared" si="23"/>
        <v>115</v>
      </c>
      <c r="C205" s="252" t="s">
        <v>398</v>
      </c>
      <c r="D205" s="330"/>
      <c r="E205" s="59"/>
      <c r="F205" s="59"/>
      <c r="G205" s="6">
        <f t="shared" si="22"/>
        <v>0</v>
      </c>
      <c r="H205" s="6">
        <f t="shared" si="24"/>
        <v>0</v>
      </c>
    </row>
    <row r="206" spans="1:8" ht="13">
      <c r="A206" s="2">
        <f t="shared" si="23"/>
        <v>116</v>
      </c>
      <c r="C206" s="252" t="s">
        <v>399</v>
      </c>
      <c r="D206" s="330"/>
      <c r="E206" s="59"/>
      <c r="F206" s="59"/>
      <c r="G206" s="6">
        <f t="shared" si="22"/>
        <v>0</v>
      </c>
      <c r="H206" s="6">
        <f t="shared" si="24"/>
        <v>0</v>
      </c>
    </row>
    <row r="207" spans="1:8" ht="13">
      <c r="A207" s="2">
        <f t="shared" si="23"/>
        <v>117</v>
      </c>
      <c r="C207" s="252" t="s">
        <v>400</v>
      </c>
      <c r="D207" s="330"/>
      <c r="E207" s="59"/>
      <c r="F207" s="59"/>
      <c r="G207" s="6">
        <f t="shared" si="22"/>
        <v>0</v>
      </c>
      <c r="H207" s="6">
        <f t="shared" si="24"/>
        <v>0</v>
      </c>
    </row>
    <row r="208" spans="1:8" ht="13">
      <c r="A208" s="2">
        <f t="shared" si="23"/>
        <v>118</v>
      </c>
      <c r="C208" s="252" t="s">
        <v>1077</v>
      </c>
      <c r="D208" s="330"/>
      <c r="E208" s="59"/>
      <c r="F208" s="59"/>
      <c r="G208" s="6">
        <f t="shared" si="22"/>
        <v>0</v>
      </c>
      <c r="H208" s="6">
        <f t="shared" si="24"/>
        <v>0</v>
      </c>
    </row>
    <row r="209" spans="1:8" ht="13">
      <c r="A209" s="2">
        <f t="shared" si="23"/>
        <v>119</v>
      </c>
      <c r="C209" s="252" t="s">
        <v>402</v>
      </c>
      <c r="D209" s="330"/>
      <c r="E209" s="59"/>
      <c r="F209" s="59"/>
      <c r="G209" s="6">
        <f t="shared" si="22"/>
        <v>0</v>
      </c>
      <c r="H209" s="6">
        <f t="shared" si="24"/>
        <v>0</v>
      </c>
    </row>
    <row r="210" spans="1:8" ht="13">
      <c r="A210" s="2">
        <f t="shared" si="23"/>
        <v>120</v>
      </c>
      <c r="C210" s="252" t="s">
        <v>390</v>
      </c>
      <c r="D210" s="330"/>
      <c r="E210" s="59"/>
      <c r="F210" s="59"/>
      <c r="G210" s="6">
        <f t="shared" si="22"/>
        <v>0</v>
      </c>
      <c r="H210" s="6">
        <f t="shared" si="24"/>
        <v>0</v>
      </c>
    </row>
    <row r="212" spans="1:8" ht="13">
      <c r="C212" s="15" t="s">
        <v>1330</v>
      </c>
      <c r="E212" s="48" t="s">
        <v>347</v>
      </c>
      <c r="F212" s="48" t="s">
        <v>348</v>
      </c>
      <c r="G212" s="48" t="s">
        <v>349</v>
      </c>
      <c r="H212" s="48" t="s">
        <v>350</v>
      </c>
    </row>
    <row r="213" spans="1:8">
      <c r="G213" s="239" t="s">
        <v>1310</v>
      </c>
      <c r="H213" s="239" t="s">
        <v>1321</v>
      </c>
    </row>
    <row r="214" spans="1:8" ht="13">
      <c r="C214" s="2" t="s">
        <v>1301</v>
      </c>
      <c r="H214" s="234" t="s">
        <v>1322</v>
      </c>
    </row>
    <row r="215" spans="1:8" ht="13">
      <c r="C215" s="2" t="s">
        <v>383</v>
      </c>
      <c r="E215" s="2" t="s">
        <v>694</v>
      </c>
      <c r="F215" s="2" t="s">
        <v>1323</v>
      </c>
      <c r="G215" s="2" t="s">
        <v>1324</v>
      </c>
      <c r="H215" s="2" t="s">
        <v>751</v>
      </c>
    </row>
    <row r="216" spans="1:8" ht="13">
      <c r="C216" s="18" t="s">
        <v>382</v>
      </c>
      <c r="D216" s="18" t="s">
        <v>383</v>
      </c>
      <c r="E216" s="3" t="s">
        <v>1325</v>
      </c>
      <c r="F216" s="3" t="s">
        <v>40</v>
      </c>
      <c r="G216" s="3" t="s">
        <v>1291</v>
      </c>
      <c r="H216" s="3" t="s">
        <v>1315</v>
      </c>
    </row>
    <row r="217" spans="1:8" ht="13">
      <c r="A217" s="2">
        <f>A210+1</f>
        <v>121</v>
      </c>
      <c r="C217" s="252" t="s">
        <v>390</v>
      </c>
      <c r="D217" s="479"/>
      <c r="E217" s="59"/>
      <c r="F217" s="59"/>
      <c r="G217" s="6">
        <f t="shared" ref="G217:G229" si="25">E217-F217</f>
        <v>0</v>
      </c>
      <c r="H217" s="6">
        <f>E217-E217</f>
        <v>0</v>
      </c>
    </row>
    <row r="218" spans="1:8" ht="13">
      <c r="A218" s="2">
        <f>A217+1</f>
        <v>122</v>
      </c>
      <c r="C218" s="252" t="s">
        <v>392</v>
      </c>
      <c r="D218" s="330"/>
      <c r="E218" s="59"/>
      <c r="F218" s="59"/>
      <c r="G218" s="6">
        <f t="shared" si="25"/>
        <v>0</v>
      </c>
      <c r="H218" s="6">
        <f>E218-E217</f>
        <v>0</v>
      </c>
    </row>
    <row r="219" spans="1:8" ht="13">
      <c r="A219" s="2">
        <f t="shared" ref="A219:A229" si="26">A218+1</f>
        <v>123</v>
      </c>
      <c r="C219" s="252" t="s">
        <v>393</v>
      </c>
      <c r="D219" s="330"/>
      <c r="E219" s="59"/>
      <c r="F219" s="59"/>
      <c r="G219" s="6">
        <f t="shared" si="25"/>
        <v>0</v>
      </c>
      <c r="H219" s="6">
        <f t="shared" ref="H219:H229" si="27">E219-E218</f>
        <v>0</v>
      </c>
    </row>
    <row r="220" spans="1:8" ht="13">
      <c r="A220" s="2">
        <f t="shared" si="26"/>
        <v>124</v>
      </c>
      <c r="C220" s="252" t="s">
        <v>394</v>
      </c>
      <c r="D220" s="330"/>
      <c r="E220" s="59"/>
      <c r="F220" s="59"/>
      <c r="G220" s="6">
        <f t="shared" si="25"/>
        <v>0</v>
      </c>
      <c r="H220" s="6">
        <f t="shared" si="27"/>
        <v>0</v>
      </c>
    </row>
    <row r="221" spans="1:8" ht="13">
      <c r="A221" s="2">
        <f t="shared" si="26"/>
        <v>125</v>
      </c>
      <c r="C221" s="252" t="s">
        <v>395</v>
      </c>
      <c r="D221" s="330"/>
      <c r="E221" s="59"/>
      <c r="F221" s="59"/>
      <c r="G221" s="6">
        <f t="shared" si="25"/>
        <v>0</v>
      </c>
      <c r="H221" s="6">
        <f t="shared" si="27"/>
        <v>0</v>
      </c>
    </row>
    <row r="222" spans="1:8" ht="13">
      <c r="A222" s="2">
        <f t="shared" si="26"/>
        <v>126</v>
      </c>
      <c r="C222" s="252" t="s">
        <v>396</v>
      </c>
      <c r="D222" s="330"/>
      <c r="E222" s="59"/>
      <c r="F222" s="59"/>
      <c r="G222" s="6">
        <f t="shared" si="25"/>
        <v>0</v>
      </c>
      <c r="H222" s="6">
        <f t="shared" si="27"/>
        <v>0</v>
      </c>
    </row>
    <row r="223" spans="1:8" ht="13">
      <c r="A223" s="2">
        <f t="shared" si="26"/>
        <v>127</v>
      </c>
      <c r="C223" s="252" t="s">
        <v>397</v>
      </c>
      <c r="D223" s="330"/>
      <c r="E223" s="59"/>
      <c r="F223" s="59"/>
      <c r="G223" s="6">
        <f t="shared" si="25"/>
        <v>0</v>
      </c>
      <c r="H223" s="6">
        <f t="shared" si="27"/>
        <v>0</v>
      </c>
    </row>
    <row r="224" spans="1:8" ht="13">
      <c r="A224" s="2">
        <f t="shared" si="26"/>
        <v>128</v>
      </c>
      <c r="C224" s="252" t="s">
        <v>398</v>
      </c>
      <c r="D224" s="330"/>
      <c r="E224" s="59"/>
      <c r="F224" s="59"/>
      <c r="G224" s="6">
        <f t="shared" si="25"/>
        <v>0</v>
      </c>
      <c r="H224" s="6">
        <f t="shared" si="27"/>
        <v>0</v>
      </c>
    </row>
    <row r="225" spans="1:8" ht="13">
      <c r="A225" s="2">
        <f t="shared" si="26"/>
        <v>129</v>
      </c>
      <c r="C225" s="252" t="s">
        <v>399</v>
      </c>
      <c r="D225" s="330"/>
      <c r="E225" s="59"/>
      <c r="F225" s="59"/>
      <c r="G225" s="6">
        <f t="shared" si="25"/>
        <v>0</v>
      </c>
      <c r="H225" s="6">
        <f t="shared" si="27"/>
        <v>0</v>
      </c>
    </row>
    <row r="226" spans="1:8" ht="13">
      <c r="A226" s="2">
        <f t="shared" si="26"/>
        <v>130</v>
      </c>
      <c r="C226" s="252" t="s">
        <v>400</v>
      </c>
      <c r="D226" s="330"/>
      <c r="E226" s="59"/>
      <c r="F226" s="59"/>
      <c r="G226" s="6">
        <f t="shared" si="25"/>
        <v>0</v>
      </c>
      <c r="H226" s="6">
        <f t="shared" si="27"/>
        <v>0</v>
      </c>
    </row>
    <row r="227" spans="1:8" ht="13">
      <c r="A227" s="2">
        <f t="shared" si="26"/>
        <v>131</v>
      </c>
      <c r="C227" s="252" t="s">
        <v>1077</v>
      </c>
      <c r="D227" s="330"/>
      <c r="E227" s="59"/>
      <c r="F227" s="59"/>
      <c r="G227" s="6">
        <f t="shared" si="25"/>
        <v>0</v>
      </c>
      <c r="H227" s="6">
        <f t="shared" si="27"/>
        <v>0</v>
      </c>
    </row>
    <row r="228" spans="1:8" ht="13">
      <c r="A228" s="2">
        <f t="shared" si="26"/>
        <v>132</v>
      </c>
      <c r="C228" s="252" t="s">
        <v>402</v>
      </c>
      <c r="D228" s="330"/>
      <c r="E228" s="59"/>
      <c r="F228" s="59"/>
      <c r="G228" s="6">
        <f t="shared" si="25"/>
        <v>0</v>
      </c>
      <c r="H228" s="6">
        <f t="shared" si="27"/>
        <v>0</v>
      </c>
    </row>
    <row r="229" spans="1:8" ht="13">
      <c r="A229" s="2">
        <f t="shared" si="26"/>
        <v>133</v>
      </c>
      <c r="C229" s="252" t="s">
        <v>390</v>
      </c>
      <c r="D229" s="330"/>
      <c r="E229" s="59"/>
      <c r="F229" s="59"/>
      <c r="G229" s="6">
        <f t="shared" si="25"/>
        <v>0</v>
      </c>
      <c r="H229" s="6">
        <f t="shared" si="27"/>
        <v>0</v>
      </c>
    </row>
    <row r="231" spans="1:8" ht="13">
      <c r="C231" s="334" t="s">
        <v>1331</v>
      </c>
      <c r="H231" s="48" t="s">
        <v>350</v>
      </c>
    </row>
    <row r="232" spans="1:8" ht="13">
      <c r="E232" s="48" t="s">
        <v>347</v>
      </c>
      <c r="F232" s="48" t="s">
        <v>348</v>
      </c>
      <c r="G232" s="48" t="s">
        <v>349</v>
      </c>
      <c r="H232" s="239" t="s">
        <v>1321</v>
      </c>
    </row>
    <row r="233" spans="1:8" ht="13">
      <c r="C233" s="2" t="s">
        <v>1301</v>
      </c>
      <c r="G233" s="239" t="s">
        <v>1310</v>
      </c>
      <c r="H233" s="234" t="s">
        <v>1322</v>
      </c>
    </row>
    <row r="234" spans="1:8" ht="13">
      <c r="C234" s="2" t="s">
        <v>383</v>
      </c>
      <c r="E234" s="2" t="s">
        <v>694</v>
      </c>
      <c r="F234" s="2" t="s">
        <v>1323</v>
      </c>
      <c r="G234" s="2" t="s">
        <v>1324</v>
      </c>
      <c r="H234" s="2" t="s">
        <v>751</v>
      </c>
    </row>
    <row r="235" spans="1:8" ht="13">
      <c r="C235" s="18" t="s">
        <v>382</v>
      </c>
      <c r="D235" s="18" t="s">
        <v>383</v>
      </c>
      <c r="E235" s="3" t="s">
        <v>1325</v>
      </c>
      <c r="F235" s="3" t="s">
        <v>40</v>
      </c>
      <c r="G235" s="3" t="s">
        <v>1291</v>
      </c>
      <c r="H235" s="3" t="s">
        <v>1315</v>
      </c>
    </row>
    <row r="236" spans="1:8" ht="13">
      <c r="A236" s="2">
        <f>A229+1</f>
        <v>134</v>
      </c>
      <c r="C236" s="252" t="s">
        <v>390</v>
      </c>
      <c r="D236" s="479"/>
      <c r="E236" s="59"/>
      <c r="F236" s="59"/>
      <c r="G236" s="6">
        <f t="shared" ref="G236:G248" si="28">E236-F236</f>
        <v>0</v>
      </c>
      <c r="H236" s="6">
        <f>E236-E236</f>
        <v>0</v>
      </c>
    </row>
    <row r="237" spans="1:8" ht="13">
      <c r="A237" s="2">
        <f>A236+1</f>
        <v>135</v>
      </c>
      <c r="C237" s="252" t="s">
        <v>392</v>
      </c>
      <c r="D237" s="330"/>
      <c r="E237" s="59"/>
      <c r="F237" s="59"/>
      <c r="G237" s="6">
        <f t="shared" si="28"/>
        <v>0</v>
      </c>
      <c r="H237" s="6">
        <f>E237-E236</f>
        <v>0</v>
      </c>
    </row>
    <row r="238" spans="1:8" ht="13">
      <c r="A238" s="2">
        <f t="shared" ref="A238:A248" si="29">A237+1</f>
        <v>136</v>
      </c>
      <c r="C238" s="252" t="s">
        <v>393</v>
      </c>
      <c r="D238" s="330"/>
      <c r="E238" s="59"/>
      <c r="F238" s="59"/>
      <c r="G238" s="6">
        <f t="shared" si="28"/>
        <v>0</v>
      </c>
      <c r="H238" s="6">
        <f t="shared" ref="H238:H248" si="30">E238-E237</f>
        <v>0</v>
      </c>
    </row>
    <row r="239" spans="1:8" ht="13">
      <c r="A239" s="2">
        <f t="shared" si="29"/>
        <v>137</v>
      </c>
      <c r="C239" s="252" t="s">
        <v>394</v>
      </c>
      <c r="D239" s="330"/>
      <c r="E239" s="59"/>
      <c r="F239" s="59"/>
      <c r="G239" s="6">
        <f t="shared" si="28"/>
        <v>0</v>
      </c>
      <c r="H239" s="6">
        <f t="shared" si="30"/>
        <v>0</v>
      </c>
    </row>
    <row r="240" spans="1:8" ht="13">
      <c r="A240" s="2">
        <f t="shared" si="29"/>
        <v>138</v>
      </c>
      <c r="C240" s="252" t="s">
        <v>395</v>
      </c>
      <c r="D240" s="330"/>
      <c r="E240" s="59"/>
      <c r="F240" s="59"/>
      <c r="G240" s="6">
        <f t="shared" si="28"/>
        <v>0</v>
      </c>
      <c r="H240" s="6">
        <f t="shared" si="30"/>
        <v>0</v>
      </c>
    </row>
    <row r="241" spans="1:8" ht="13">
      <c r="A241" s="2">
        <f t="shared" si="29"/>
        <v>139</v>
      </c>
      <c r="C241" s="252" t="s">
        <v>396</v>
      </c>
      <c r="D241" s="330"/>
      <c r="E241" s="59"/>
      <c r="F241" s="59"/>
      <c r="G241" s="6">
        <f t="shared" si="28"/>
        <v>0</v>
      </c>
      <c r="H241" s="6">
        <f t="shared" si="30"/>
        <v>0</v>
      </c>
    </row>
    <row r="242" spans="1:8" ht="13">
      <c r="A242" s="2">
        <f t="shared" si="29"/>
        <v>140</v>
      </c>
      <c r="C242" s="252" t="s">
        <v>397</v>
      </c>
      <c r="D242" s="330"/>
      <c r="E242" s="59"/>
      <c r="F242" s="59"/>
      <c r="G242" s="6">
        <f t="shared" si="28"/>
        <v>0</v>
      </c>
      <c r="H242" s="6">
        <f t="shared" si="30"/>
        <v>0</v>
      </c>
    </row>
    <row r="243" spans="1:8" ht="13">
      <c r="A243" s="2">
        <f t="shared" si="29"/>
        <v>141</v>
      </c>
      <c r="C243" s="252" t="s">
        <v>398</v>
      </c>
      <c r="D243" s="330"/>
      <c r="E243" s="59"/>
      <c r="F243" s="59"/>
      <c r="G243" s="6">
        <f t="shared" si="28"/>
        <v>0</v>
      </c>
      <c r="H243" s="6">
        <f t="shared" si="30"/>
        <v>0</v>
      </c>
    </row>
    <row r="244" spans="1:8" ht="13">
      <c r="A244" s="2">
        <f t="shared" si="29"/>
        <v>142</v>
      </c>
      <c r="C244" s="252" t="s">
        <v>399</v>
      </c>
      <c r="D244" s="330"/>
      <c r="E244" s="59"/>
      <c r="F244" s="59"/>
      <c r="G244" s="6">
        <f t="shared" si="28"/>
        <v>0</v>
      </c>
      <c r="H244" s="6">
        <f t="shared" si="30"/>
        <v>0</v>
      </c>
    </row>
    <row r="245" spans="1:8" ht="13">
      <c r="A245" s="2">
        <f t="shared" si="29"/>
        <v>143</v>
      </c>
      <c r="C245" s="252" t="s">
        <v>400</v>
      </c>
      <c r="D245" s="330"/>
      <c r="E245" s="59"/>
      <c r="F245" s="59"/>
      <c r="G245" s="6">
        <f t="shared" si="28"/>
        <v>0</v>
      </c>
      <c r="H245" s="6">
        <f t="shared" si="30"/>
        <v>0</v>
      </c>
    </row>
    <row r="246" spans="1:8" ht="13">
      <c r="A246" s="2">
        <f t="shared" si="29"/>
        <v>144</v>
      </c>
      <c r="C246" s="252" t="s">
        <v>1077</v>
      </c>
      <c r="D246" s="330"/>
      <c r="E246" s="59"/>
      <c r="F246" s="59"/>
      <c r="G246" s="6">
        <f t="shared" si="28"/>
        <v>0</v>
      </c>
      <c r="H246" s="6">
        <f t="shared" si="30"/>
        <v>0</v>
      </c>
    </row>
    <row r="247" spans="1:8" ht="13">
      <c r="A247" s="2">
        <f t="shared" si="29"/>
        <v>145</v>
      </c>
      <c r="C247" s="252" t="s">
        <v>402</v>
      </c>
      <c r="D247" s="330"/>
      <c r="E247" s="59"/>
      <c r="F247" s="59"/>
      <c r="G247" s="6">
        <f t="shared" si="28"/>
        <v>0</v>
      </c>
      <c r="H247" s="6">
        <f t="shared" si="30"/>
        <v>0</v>
      </c>
    </row>
    <row r="248" spans="1:8" ht="13">
      <c r="A248" s="2">
        <f t="shared" si="29"/>
        <v>146</v>
      </c>
      <c r="C248" s="252" t="s">
        <v>390</v>
      </c>
      <c r="D248" s="330"/>
      <c r="E248" s="59"/>
      <c r="F248" s="59"/>
      <c r="G248" s="6">
        <f t="shared" si="28"/>
        <v>0</v>
      </c>
      <c r="H248" s="6">
        <f t="shared" si="30"/>
        <v>0</v>
      </c>
    </row>
    <row r="250" spans="1:8" ht="13">
      <c r="C250" s="15" t="s">
        <v>1332</v>
      </c>
      <c r="H250" s="48" t="s">
        <v>350</v>
      </c>
    </row>
    <row r="251" spans="1:8" ht="13">
      <c r="E251" s="48" t="s">
        <v>347</v>
      </c>
      <c r="F251" s="48" t="s">
        <v>348</v>
      </c>
      <c r="G251" s="48" t="s">
        <v>349</v>
      </c>
      <c r="H251" s="239" t="s">
        <v>1321</v>
      </c>
    </row>
    <row r="252" spans="1:8" ht="13">
      <c r="C252" s="2" t="s">
        <v>1301</v>
      </c>
      <c r="G252" s="239" t="s">
        <v>1310</v>
      </c>
      <c r="H252" s="234" t="s">
        <v>1322</v>
      </c>
    </row>
    <row r="253" spans="1:8" ht="13">
      <c r="C253" s="2" t="s">
        <v>383</v>
      </c>
      <c r="E253" s="2" t="s">
        <v>694</v>
      </c>
      <c r="F253" s="2" t="s">
        <v>1323</v>
      </c>
      <c r="G253" s="2" t="s">
        <v>1324</v>
      </c>
      <c r="H253" s="2" t="s">
        <v>751</v>
      </c>
    </row>
    <row r="254" spans="1:8" ht="13">
      <c r="C254" s="18" t="s">
        <v>382</v>
      </c>
      <c r="D254" s="18" t="s">
        <v>383</v>
      </c>
      <c r="E254" s="3" t="s">
        <v>1325</v>
      </c>
      <c r="F254" s="3" t="s">
        <v>40</v>
      </c>
      <c r="G254" s="3" t="s">
        <v>1291</v>
      </c>
      <c r="H254" s="3" t="s">
        <v>1315</v>
      </c>
    </row>
    <row r="255" spans="1:8" ht="13">
      <c r="A255" s="2">
        <f>A248+1</f>
        <v>147</v>
      </c>
      <c r="C255" s="252" t="s">
        <v>390</v>
      </c>
      <c r="D255" s="479"/>
      <c r="E255" s="59"/>
      <c r="F255" s="59"/>
      <c r="G255" s="6">
        <f t="shared" ref="G255:G267" si="31">E255-F255</f>
        <v>0</v>
      </c>
      <c r="H255" s="6">
        <f>E255-E255</f>
        <v>0</v>
      </c>
    </row>
    <row r="256" spans="1:8" ht="13">
      <c r="A256" s="2">
        <f>A255+1</f>
        <v>148</v>
      </c>
      <c r="C256" s="252" t="s">
        <v>392</v>
      </c>
      <c r="D256" s="330"/>
      <c r="E256" s="59"/>
      <c r="F256" s="59"/>
      <c r="G256" s="6">
        <f t="shared" si="31"/>
        <v>0</v>
      </c>
      <c r="H256" s="6">
        <f>E256-E255</f>
        <v>0</v>
      </c>
    </row>
    <row r="257" spans="1:8" ht="13">
      <c r="A257" s="2">
        <f t="shared" ref="A257:A267" si="32">A256+1</f>
        <v>149</v>
      </c>
      <c r="C257" s="252" t="s">
        <v>393</v>
      </c>
      <c r="D257" s="330"/>
      <c r="E257" s="59"/>
      <c r="F257" s="59"/>
      <c r="G257" s="6">
        <f t="shared" si="31"/>
        <v>0</v>
      </c>
      <c r="H257" s="6">
        <f t="shared" ref="H257:H267" si="33">E257-E256</f>
        <v>0</v>
      </c>
    </row>
    <row r="258" spans="1:8" ht="13">
      <c r="A258" s="2">
        <f t="shared" si="32"/>
        <v>150</v>
      </c>
      <c r="C258" s="252" t="s">
        <v>394</v>
      </c>
      <c r="D258" s="330"/>
      <c r="E258" s="59"/>
      <c r="F258" s="59"/>
      <c r="G258" s="6">
        <f t="shared" si="31"/>
        <v>0</v>
      </c>
      <c r="H258" s="6">
        <f t="shared" si="33"/>
        <v>0</v>
      </c>
    </row>
    <row r="259" spans="1:8" ht="13">
      <c r="A259" s="2">
        <f t="shared" si="32"/>
        <v>151</v>
      </c>
      <c r="C259" s="252" t="s">
        <v>395</v>
      </c>
      <c r="D259" s="330"/>
      <c r="E259" s="59"/>
      <c r="F259" s="59"/>
      <c r="G259" s="6">
        <f t="shared" si="31"/>
        <v>0</v>
      </c>
      <c r="H259" s="6">
        <f t="shared" si="33"/>
        <v>0</v>
      </c>
    </row>
    <row r="260" spans="1:8" ht="13">
      <c r="A260" s="2">
        <f t="shared" si="32"/>
        <v>152</v>
      </c>
      <c r="C260" s="252" t="s">
        <v>396</v>
      </c>
      <c r="D260" s="330"/>
      <c r="E260" s="59"/>
      <c r="F260" s="59"/>
      <c r="G260" s="6">
        <f t="shared" si="31"/>
        <v>0</v>
      </c>
      <c r="H260" s="6">
        <f t="shared" si="33"/>
        <v>0</v>
      </c>
    </row>
    <row r="261" spans="1:8" ht="13">
      <c r="A261" s="2">
        <f t="shared" si="32"/>
        <v>153</v>
      </c>
      <c r="C261" s="252" t="s">
        <v>397</v>
      </c>
      <c r="D261" s="330"/>
      <c r="E261" s="59"/>
      <c r="F261" s="59"/>
      <c r="G261" s="6">
        <f t="shared" si="31"/>
        <v>0</v>
      </c>
      <c r="H261" s="6">
        <f t="shared" si="33"/>
        <v>0</v>
      </c>
    </row>
    <row r="262" spans="1:8" ht="13">
      <c r="A262" s="2">
        <f t="shared" si="32"/>
        <v>154</v>
      </c>
      <c r="C262" s="252" t="s">
        <v>398</v>
      </c>
      <c r="D262" s="330"/>
      <c r="E262" s="59"/>
      <c r="F262" s="59"/>
      <c r="G262" s="6">
        <f t="shared" si="31"/>
        <v>0</v>
      </c>
      <c r="H262" s="6">
        <f t="shared" si="33"/>
        <v>0</v>
      </c>
    </row>
    <row r="263" spans="1:8" ht="13">
      <c r="A263" s="2">
        <f t="shared" si="32"/>
        <v>155</v>
      </c>
      <c r="C263" s="252" t="s">
        <v>399</v>
      </c>
      <c r="D263" s="330"/>
      <c r="E263" s="59"/>
      <c r="F263" s="59"/>
      <c r="G263" s="6">
        <f t="shared" si="31"/>
        <v>0</v>
      </c>
      <c r="H263" s="6">
        <f t="shared" si="33"/>
        <v>0</v>
      </c>
    </row>
    <row r="264" spans="1:8" ht="13">
      <c r="A264" s="2">
        <f t="shared" si="32"/>
        <v>156</v>
      </c>
      <c r="C264" s="252" t="s">
        <v>400</v>
      </c>
      <c r="D264" s="330"/>
      <c r="E264" s="59"/>
      <c r="F264" s="59"/>
      <c r="G264" s="6">
        <f t="shared" si="31"/>
        <v>0</v>
      </c>
      <c r="H264" s="6">
        <f t="shared" si="33"/>
        <v>0</v>
      </c>
    </row>
    <row r="265" spans="1:8" ht="13">
      <c r="A265" s="2">
        <f t="shared" si="32"/>
        <v>157</v>
      </c>
      <c r="C265" s="252" t="s">
        <v>1077</v>
      </c>
      <c r="D265" s="330"/>
      <c r="E265" s="59"/>
      <c r="F265" s="59"/>
      <c r="G265" s="6">
        <f t="shared" si="31"/>
        <v>0</v>
      </c>
      <c r="H265" s="6">
        <f t="shared" si="33"/>
        <v>0</v>
      </c>
    </row>
    <row r="266" spans="1:8" ht="13">
      <c r="A266" s="2">
        <f t="shared" si="32"/>
        <v>158</v>
      </c>
      <c r="C266" s="252" t="s">
        <v>402</v>
      </c>
      <c r="D266" s="330"/>
      <c r="E266" s="59"/>
      <c r="F266" s="59"/>
      <c r="G266" s="6">
        <f t="shared" si="31"/>
        <v>0</v>
      </c>
      <c r="H266" s="6">
        <f t="shared" si="33"/>
        <v>0</v>
      </c>
    </row>
    <row r="267" spans="1:8" ht="13">
      <c r="A267" s="2">
        <f t="shared" si="32"/>
        <v>159</v>
      </c>
      <c r="C267" s="252" t="s">
        <v>390</v>
      </c>
      <c r="D267" s="330"/>
      <c r="E267" s="59"/>
      <c r="F267" s="59"/>
      <c r="G267" s="6">
        <f t="shared" si="31"/>
        <v>0</v>
      </c>
      <c r="H267" s="6">
        <f t="shared" si="33"/>
        <v>0</v>
      </c>
    </row>
    <row r="269" spans="1:8" ht="13">
      <c r="C269" s="15" t="s">
        <v>1333</v>
      </c>
      <c r="E269" s="48" t="s">
        <v>347</v>
      </c>
      <c r="F269" s="48" t="s">
        <v>348</v>
      </c>
      <c r="G269" s="48" t="s">
        <v>349</v>
      </c>
      <c r="H269" s="48" t="s">
        <v>350</v>
      </c>
    </row>
    <row r="270" spans="1:8">
      <c r="G270" s="239" t="s">
        <v>1310</v>
      </c>
      <c r="H270" s="239" t="s">
        <v>1321</v>
      </c>
    </row>
    <row r="271" spans="1:8" ht="13">
      <c r="C271" s="2" t="s">
        <v>1301</v>
      </c>
      <c r="H271" s="234" t="s">
        <v>1322</v>
      </c>
    </row>
    <row r="272" spans="1:8" ht="13">
      <c r="C272" s="2" t="s">
        <v>383</v>
      </c>
      <c r="E272" s="2" t="s">
        <v>694</v>
      </c>
      <c r="F272" s="2" t="s">
        <v>1323</v>
      </c>
      <c r="G272" s="2" t="s">
        <v>1324</v>
      </c>
      <c r="H272" s="2" t="s">
        <v>751</v>
      </c>
    </row>
    <row r="273" spans="1:8" ht="13">
      <c r="C273" s="18" t="s">
        <v>382</v>
      </c>
      <c r="D273" s="18" t="s">
        <v>383</v>
      </c>
      <c r="E273" s="3" t="s">
        <v>1325</v>
      </c>
      <c r="F273" s="3" t="s">
        <v>40</v>
      </c>
      <c r="G273" s="3" t="s">
        <v>1291</v>
      </c>
      <c r="H273" s="3" t="s">
        <v>1315</v>
      </c>
    </row>
    <row r="274" spans="1:8" ht="13">
      <c r="A274" s="2">
        <f>A267+1</f>
        <v>160</v>
      </c>
      <c r="C274" s="252" t="s">
        <v>390</v>
      </c>
      <c r="D274" s="479"/>
      <c r="E274" s="59"/>
      <c r="F274" s="59"/>
      <c r="G274" s="6">
        <f t="shared" ref="G274:G286" si="34">E274-F274</f>
        <v>0</v>
      </c>
      <c r="H274" s="6">
        <f>E274-E274</f>
        <v>0</v>
      </c>
    </row>
    <row r="275" spans="1:8" ht="13">
      <c r="A275" s="2">
        <f>A274+1</f>
        <v>161</v>
      </c>
      <c r="C275" s="252" t="s">
        <v>392</v>
      </c>
      <c r="D275" s="330"/>
      <c r="E275" s="59"/>
      <c r="F275" s="59"/>
      <c r="G275" s="6">
        <f t="shared" si="34"/>
        <v>0</v>
      </c>
      <c r="H275" s="6">
        <f>E275-E274</f>
        <v>0</v>
      </c>
    </row>
    <row r="276" spans="1:8" ht="13">
      <c r="A276" s="2">
        <f t="shared" ref="A276:A286" si="35">A275+1</f>
        <v>162</v>
      </c>
      <c r="C276" s="252" t="s">
        <v>393</v>
      </c>
      <c r="D276" s="330"/>
      <c r="E276" s="59"/>
      <c r="F276" s="59"/>
      <c r="G276" s="6">
        <f t="shared" si="34"/>
        <v>0</v>
      </c>
      <c r="H276" s="6">
        <f t="shared" ref="H276:H286" si="36">E276-E275</f>
        <v>0</v>
      </c>
    </row>
    <row r="277" spans="1:8" ht="13">
      <c r="A277" s="2">
        <f t="shared" si="35"/>
        <v>163</v>
      </c>
      <c r="C277" s="252" t="s">
        <v>394</v>
      </c>
      <c r="D277" s="330"/>
      <c r="E277" s="59"/>
      <c r="F277" s="59"/>
      <c r="G277" s="6">
        <f t="shared" si="34"/>
        <v>0</v>
      </c>
      <c r="H277" s="6">
        <f t="shared" si="36"/>
        <v>0</v>
      </c>
    </row>
    <row r="278" spans="1:8" ht="13">
      <c r="A278" s="2">
        <f t="shared" si="35"/>
        <v>164</v>
      </c>
      <c r="C278" s="252" t="s">
        <v>395</v>
      </c>
      <c r="D278" s="330"/>
      <c r="E278" s="59"/>
      <c r="F278" s="59"/>
      <c r="G278" s="6">
        <f t="shared" si="34"/>
        <v>0</v>
      </c>
      <c r="H278" s="6">
        <f t="shared" si="36"/>
        <v>0</v>
      </c>
    </row>
    <row r="279" spans="1:8" ht="13">
      <c r="A279" s="2">
        <f t="shared" si="35"/>
        <v>165</v>
      </c>
      <c r="C279" s="252" t="s">
        <v>396</v>
      </c>
      <c r="D279" s="330"/>
      <c r="E279" s="59"/>
      <c r="F279" s="59"/>
      <c r="G279" s="6">
        <f t="shared" si="34"/>
        <v>0</v>
      </c>
      <c r="H279" s="6">
        <f t="shared" si="36"/>
        <v>0</v>
      </c>
    </row>
    <row r="280" spans="1:8" ht="13">
      <c r="A280" s="2">
        <f t="shared" si="35"/>
        <v>166</v>
      </c>
      <c r="C280" s="252" t="s">
        <v>397</v>
      </c>
      <c r="D280" s="330"/>
      <c r="E280" s="59"/>
      <c r="F280" s="59"/>
      <c r="G280" s="6">
        <f t="shared" si="34"/>
        <v>0</v>
      </c>
      <c r="H280" s="6">
        <f t="shared" si="36"/>
        <v>0</v>
      </c>
    </row>
    <row r="281" spans="1:8" ht="13">
      <c r="A281" s="2">
        <f t="shared" si="35"/>
        <v>167</v>
      </c>
      <c r="C281" s="252" t="s">
        <v>398</v>
      </c>
      <c r="D281" s="330"/>
      <c r="E281" s="59"/>
      <c r="F281" s="59"/>
      <c r="G281" s="6">
        <f t="shared" si="34"/>
        <v>0</v>
      </c>
      <c r="H281" s="6">
        <f t="shared" si="36"/>
        <v>0</v>
      </c>
    </row>
    <row r="282" spans="1:8" ht="13">
      <c r="A282" s="2">
        <f t="shared" si="35"/>
        <v>168</v>
      </c>
      <c r="C282" s="252" t="s">
        <v>399</v>
      </c>
      <c r="D282" s="330"/>
      <c r="E282" s="59"/>
      <c r="F282" s="59"/>
      <c r="G282" s="6">
        <f t="shared" si="34"/>
        <v>0</v>
      </c>
      <c r="H282" s="6">
        <f t="shared" si="36"/>
        <v>0</v>
      </c>
    </row>
    <row r="283" spans="1:8" ht="13">
      <c r="A283" s="2">
        <f t="shared" si="35"/>
        <v>169</v>
      </c>
      <c r="C283" s="252" t="s">
        <v>400</v>
      </c>
      <c r="D283" s="330"/>
      <c r="E283" s="59"/>
      <c r="F283" s="59"/>
      <c r="G283" s="6">
        <f t="shared" si="34"/>
        <v>0</v>
      </c>
      <c r="H283" s="6">
        <f t="shared" si="36"/>
        <v>0</v>
      </c>
    </row>
    <row r="284" spans="1:8" ht="13">
      <c r="A284" s="2">
        <f t="shared" si="35"/>
        <v>170</v>
      </c>
      <c r="C284" s="252" t="s">
        <v>1077</v>
      </c>
      <c r="D284" s="330"/>
      <c r="E284" s="59"/>
      <c r="F284" s="59"/>
      <c r="G284" s="6">
        <f t="shared" si="34"/>
        <v>0</v>
      </c>
      <c r="H284" s="6">
        <f t="shared" si="36"/>
        <v>0</v>
      </c>
    </row>
    <row r="285" spans="1:8" ht="13">
      <c r="A285" s="2">
        <f t="shared" si="35"/>
        <v>171</v>
      </c>
      <c r="C285" s="252" t="s">
        <v>402</v>
      </c>
      <c r="D285" s="330"/>
      <c r="E285" s="59"/>
      <c r="F285" s="59"/>
      <c r="G285" s="6">
        <f t="shared" si="34"/>
        <v>0</v>
      </c>
      <c r="H285" s="6">
        <f t="shared" si="36"/>
        <v>0</v>
      </c>
    </row>
    <row r="286" spans="1:8" ht="13">
      <c r="A286" s="2">
        <f t="shared" si="35"/>
        <v>172</v>
      </c>
      <c r="C286" s="252" t="s">
        <v>390</v>
      </c>
      <c r="D286" s="330"/>
      <c r="E286" s="59"/>
      <c r="F286" s="59"/>
      <c r="G286" s="6">
        <f t="shared" si="34"/>
        <v>0</v>
      </c>
      <c r="H286" s="6">
        <f t="shared" si="36"/>
        <v>0</v>
      </c>
    </row>
    <row r="288" spans="1:8" ht="13">
      <c r="C288" s="334" t="s">
        <v>1334</v>
      </c>
      <c r="E288" s="48" t="s">
        <v>347</v>
      </c>
      <c r="F288" s="48" t="s">
        <v>348</v>
      </c>
      <c r="G288" s="48" t="s">
        <v>349</v>
      </c>
      <c r="H288" s="48" t="s">
        <v>350</v>
      </c>
    </row>
    <row r="289" spans="1:8">
      <c r="G289" s="239" t="s">
        <v>1310</v>
      </c>
      <c r="H289" s="239" t="s">
        <v>1321</v>
      </c>
    </row>
    <row r="290" spans="1:8" ht="13">
      <c r="C290" s="2" t="s">
        <v>1301</v>
      </c>
      <c r="H290" s="234" t="s">
        <v>1322</v>
      </c>
    </row>
    <row r="291" spans="1:8" ht="13">
      <c r="C291" s="2" t="s">
        <v>383</v>
      </c>
      <c r="E291" s="2" t="s">
        <v>694</v>
      </c>
      <c r="F291" s="2" t="s">
        <v>1323</v>
      </c>
      <c r="G291" s="2" t="s">
        <v>1324</v>
      </c>
      <c r="H291" s="2" t="s">
        <v>751</v>
      </c>
    </row>
    <row r="292" spans="1:8" ht="13">
      <c r="C292" s="18" t="s">
        <v>382</v>
      </c>
      <c r="D292" s="18" t="s">
        <v>383</v>
      </c>
      <c r="E292" s="3" t="s">
        <v>1325</v>
      </c>
      <c r="F292" s="3" t="s">
        <v>40</v>
      </c>
      <c r="G292" s="3" t="s">
        <v>1291</v>
      </c>
      <c r="H292" s="3" t="s">
        <v>1315</v>
      </c>
    </row>
    <row r="293" spans="1:8" ht="13">
      <c r="A293" s="2">
        <f>A286+1</f>
        <v>173</v>
      </c>
      <c r="C293" s="252" t="s">
        <v>390</v>
      </c>
      <c r="D293" s="479"/>
      <c r="E293" s="59"/>
      <c r="F293" s="59"/>
      <c r="G293" s="6">
        <f t="shared" ref="G293:G305" si="37">E293-F293</f>
        <v>0</v>
      </c>
      <c r="H293" s="6">
        <f>E293-E293</f>
        <v>0</v>
      </c>
    </row>
    <row r="294" spans="1:8" ht="13">
      <c r="A294" s="2">
        <f>A293+1</f>
        <v>174</v>
      </c>
      <c r="C294" s="252" t="s">
        <v>392</v>
      </c>
      <c r="D294" s="330"/>
      <c r="E294" s="59"/>
      <c r="F294" s="59"/>
      <c r="G294" s="6">
        <f t="shared" si="37"/>
        <v>0</v>
      </c>
      <c r="H294" s="6">
        <f>E294-E293</f>
        <v>0</v>
      </c>
    </row>
    <row r="295" spans="1:8" ht="13">
      <c r="A295" s="2">
        <f t="shared" ref="A295:A305" si="38">A294+1</f>
        <v>175</v>
      </c>
      <c r="C295" s="252" t="s">
        <v>393</v>
      </c>
      <c r="D295" s="330"/>
      <c r="E295" s="59"/>
      <c r="F295" s="59"/>
      <c r="G295" s="6">
        <f t="shared" si="37"/>
        <v>0</v>
      </c>
      <c r="H295" s="6">
        <f t="shared" ref="H295:H305" si="39">E295-E294</f>
        <v>0</v>
      </c>
    </row>
    <row r="296" spans="1:8" ht="13">
      <c r="A296" s="2">
        <f t="shared" si="38"/>
        <v>176</v>
      </c>
      <c r="C296" s="252" t="s">
        <v>394</v>
      </c>
      <c r="D296" s="330"/>
      <c r="E296" s="59"/>
      <c r="F296" s="59"/>
      <c r="G296" s="6">
        <f t="shared" si="37"/>
        <v>0</v>
      </c>
      <c r="H296" s="6">
        <f t="shared" si="39"/>
        <v>0</v>
      </c>
    </row>
    <row r="297" spans="1:8" ht="13">
      <c r="A297" s="2">
        <f t="shared" si="38"/>
        <v>177</v>
      </c>
      <c r="C297" s="252" t="s">
        <v>395</v>
      </c>
      <c r="D297" s="330"/>
      <c r="E297" s="59"/>
      <c r="F297" s="59"/>
      <c r="G297" s="6">
        <f t="shared" si="37"/>
        <v>0</v>
      </c>
      <c r="H297" s="6">
        <f t="shared" si="39"/>
        <v>0</v>
      </c>
    </row>
    <row r="298" spans="1:8" ht="13">
      <c r="A298" s="2">
        <f t="shared" si="38"/>
        <v>178</v>
      </c>
      <c r="C298" s="252" t="s">
        <v>396</v>
      </c>
      <c r="D298" s="330"/>
      <c r="E298" s="59"/>
      <c r="F298" s="59"/>
      <c r="G298" s="6">
        <f t="shared" si="37"/>
        <v>0</v>
      </c>
      <c r="H298" s="6">
        <f t="shared" si="39"/>
        <v>0</v>
      </c>
    </row>
    <row r="299" spans="1:8" ht="13">
      <c r="A299" s="2">
        <f t="shared" si="38"/>
        <v>179</v>
      </c>
      <c r="C299" s="252" t="s">
        <v>397</v>
      </c>
      <c r="D299" s="330"/>
      <c r="E299" s="59"/>
      <c r="F299" s="59"/>
      <c r="G299" s="6">
        <f t="shared" si="37"/>
        <v>0</v>
      </c>
      <c r="H299" s="6">
        <f t="shared" si="39"/>
        <v>0</v>
      </c>
    </row>
    <row r="300" spans="1:8" ht="13">
      <c r="A300" s="2">
        <f t="shared" si="38"/>
        <v>180</v>
      </c>
      <c r="C300" s="252" t="s">
        <v>398</v>
      </c>
      <c r="D300" s="330"/>
      <c r="E300" s="59"/>
      <c r="F300" s="59"/>
      <c r="G300" s="6">
        <f t="shared" si="37"/>
        <v>0</v>
      </c>
      <c r="H300" s="6">
        <f t="shared" si="39"/>
        <v>0</v>
      </c>
    </row>
    <row r="301" spans="1:8" ht="13">
      <c r="A301" s="2">
        <f t="shared" si="38"/>
        <v>181</v>
      </c>
      <c r="C301" s="252" t="s">
        <v>399</v>
      </c>
      <c r="D301" s="330"/>
      <c r="E301" s="59"/>
      <c r="F301" s="59"/>
      <c r="G301" s="6">
        <f t="shared" si="37"/>
        <v>0</v>
      </c>
      <c r="H301" s="6">
        <f t="shared" si="39"/>
        <v>0</v>
      </c>
    </row>
    <row r="302" spans="1:8" ht="13">
      <c r="A302" s="2">
        <f t="shared" si="38"/>
        <v>182</v>
      </c>
      <c r="C302" s="252" t="s">
        <v>400</v>
      </c>
      <c r="D302" s="330"/>
      <c r="E302" s="59"/>
      <c r="F302" s="59"/>
      <c r="G302" s="6">
        <f t="shared" si="37"/>
        <v>0</v>
      </c>
      <c r="H302" s="6">
        <f t="shared" si="39"/>
        <v>0</v>
      </c>
    </row>
    <row r="303" spans="1:8" ht="13">
      <c r="A303" s="2">
        <f t="shared" si="38"/>
        <v>183</v>
      </c>
      <c r="C303" s="252" t="s">
        <v>1077</v>
      </c>
      <c r="D303" s="330"/>
      <c r="E303" s="59"/>
      <c r="F303" s="59"/>
      <c r="G303" s="6">
        <f t="shared" si="37"/>
        <v>0</v>
      </c>
      <c r="H303" s="6">
        <f t="shared" si="39"/>
        <v>0</v>
      </c>
    </row>
    <row r="304" spans="1:8" ht="13">
      <c r="A304" s="2">
        <f t="shared" si="38"/>
        <v>184</v>
      </c>
      <c r="C304" s="252" t="s">
        <v>402</v>
      </c>
      <c r="D304" s="330"/>
      <c r="E304" s="59"/>
      <c r="F304" s="59"/>
      <c r="G304" s="6">
        <f t="shared" si="37"/>
        <v>0</v>
      </c>
      <c r="H304" s="6">
        <f t="shared" si="39"/>
        <v>0</v>
      </c>
    </row>
    <row r="305" spans="1:11" ht="13">
      <c r="A305" s="2">
        <f t="shared" si="38"/>
        <v>185</v>
      </c>
      <c r="C305" s="252" t="s">
        <v>390</v>
      </c>
      <c r="D305" s="330"/>
      <c r="E305" s="59"/>
      <c r="F305" s="59"/>
      <c r="G305" s="6">
        <f t="shared" si="37"/>
        <v>0</v>
      </c>
      <c r="H305" s="6">
        <f t="shared" si="39"/>
        <v>0</v>
      </c>
    </row>
    <row r="307" spans="1:11" ht="13">
      <c r="C307" s="334" t="s">
        <v>1335</v>
      </c>
      <c r="E307" s="48" t="s">
        <v>347</v>
      </c>
      <c r="F307" s="48" t="s">
        <v>348</v>
      </c>
      <c r="G307" s="48" t="s">
        <v>349</v>
      </c>
      <c r="H307" s="48" t="s">
        <v>350</v>
      </c>
    </row>
    <row r="308" spans="1:11">
      <c r="G308" s="239" t="s">
        <v>1310</v>
      </c>
      <c r="H308" s="239" t="s">
        <v>1321</v>
      </c>
    </row>
    <row r="309" spans="1:11" ht="13">
      <c r="C309" s="2" t="s">
        <v>1301</v>
      </c>
      <c r="H309" s="234" t="s">
        <v>1322</v>
      </c>
    </row>
    <row r="310" spans="1:11" ht="13">
      <c r="C310" s="2" t="s">
        <v>383</v>
      </c>
      <c r="E310" s="2" t="s">
        <v>694</v>
      </c>
      <c r="F310" s="2" t="s">
        <v>1323</v>
      </c>
      <c r="G310" s="2" t="s">
        <v>1324</v>
      </c>
      <c r="H310" s="2" t="s">
        <v>751</v>
      </c>
    </row>
    <row r="311" spans="1:11" ht="13">
      <c r="C311" s="18" t="s">
        <v>382</v>
      </c>
      <c r="D311" s="18" t="s">
        <v>383</v>
      </c>
      <c r="E311" s="3" t="s">
        <v>1325</v>
      </c>
      <c r="F311" s="3" t="s">
        <v>40</v>
      </c>
      <c r="G311" s="3" t="s">
        <v>1291</v>
      </c>
      <c r="H311" s="3" t="s">
        <v>1315</v>
      </c>
    </row>
    <row r="312" spans="1:11" ht="13">
      <c r="A312" s="2">
        <f>A305+1</f>
        <v>186</v>
      </c>
      <c r="C312" s="252" t="s">
        <v>390</v>
      </c>
      <c r="D312" s="479"/>
      <c r="E312" s="59"/>
      <c r="F312" s="59"/>
      <c r="G312" s="6">
        <f t="shared" ref="G312:G324" si="40">E312-F312</f>
        <v>0</v>
      </c>
      <c r="H312" s="6">
        <f>E312-E312</f>
        <v>0</v>
      </c>
    </row>
    <row r="313" spans="1:11" ht="13">
      <c r="A313" s="2">
        <f>A312+1</f>
        <v>187</v>
      </c>
      <c r="C313" s="252" t="s">
        <v>392</v>
      </c>
      <c r="D313" s="330"/>
      <c r="E313" s="59"/>
      <c r="F313" s="59"/>
      <c r="G313" s="6">
        <f t="shared" si="40"/>
        <v>0</v>
      </c>
      <c r="H313" s="6">
        <f>E313-E312</f>
        <v>0</v>
      </c>
    </row>
    <row r="314" spans="1:11" ht="13">
      <c r="A314" s="2">
        <f t="shared" ref="A314:A324" si="41">A313+1</f>
        <v>188</v>
      </c>
      <c r="C314" s="252" t="s">
        <v>393</v>
      </c>
      <c r="D314" s="330"/>
      <c r="E314" s="59"/>
      <c r="F314" s="59"/>
      <c r="G314" s="6">
        <f t="shared" si="40"/>
        <v>0</v>
      </c>
      <c r="H314" s="6">
        <f t="shared" ref="H314:H324" si="42">E314-E313</f>
        <v>0</v>
      </c>
    </row>
    <row r="315" spans="1:11" ht="13">
      <c r="A315" s="2">
        <f t="shared" si="41"/>
        <v>189</v>
      </c>
      <c r="C315" s="252" t="s">
        <v>394</v>
      </c>
      <c r="D315" s="330"/>
      <c r="E315" s="59"/>
      <c r="F315" s="59"/>
      <c r="G315" s="6">
        <f t="shared" si="40"/>
        <v>0</v>
      </c>
      <c r="H315" s="6">
        <f t="shared" si="42"/>
        <v>0</v>
      </c>
    </row>
    <row r="316" spans="1:11" ht="13">
      <c r="A316" s="2">
        <f t="shared" si="41"/>
        <v>190</v>
      </c>
      <c r="C316" s="252" t="s">
        <v>395</v>
      </c>
      <c r="D316" s="330"/>
      <c r="E316" s="59"/>
      <c r="F316" s="59"/>
      <c r="G316" s="6">
        <f t="shared" si="40"/>
        <v>0</v>
      </c>
      <c r="H316" s="6">
        <f t="shared" si="42"/>
        <v>0</v>
      </c>
    </row>
    <row r="317" spans="1:11" ht="13">
      <c r="A317" s="2">
        <f t="shared" si="41"/>
        <v>191</v>
      </c>
      <c r="C317" s="252" t="s">
        <v>396</v>
      </c>
      <c r="D317" s="330"/>
      <c r="E317" s="59"/>
      <c r="F317" s="59"/>
      <c r="G317" s="6">
        <f t="shared" si="40"/>
        <v>0</v>
      </c>
      <c r="H317" s="6">
        <f t="shared" si="42"/>
        <v>0</v>
      </c>
      <c r="K317" t="s">
        <v>1336</v>
      </c>
    </row>
    <row r="318" spans="1:11" ht="13">
      <c r="A318" s="2">
        <f t="shared" si="41"/>
        <v>192</v>
      </c>
      <c r="C318" s="252" t="s">
        <v>397</v>
      </c>
      <c r="D318" s="330"/>
      <c r="E318" s="59"/>
      <c r="F318" s="59"/>
      <c r="G318" s="6">
        <f t="shared" si="40"/>
        <v>0</v>
      </c>
      <c r="H318" s="6">
        <f t="shared" si="42"/>
        <v>0</v>
      </c>
    </row>
    <row r="319" spans="1:11" ht="13">
      <c r="A319" s="2">
        <f t="shared" si="41"/>
        <v>193</v>
      </c>
      <c r="C319" s="252" t="s">
        <v>398</v>
      </c>
      <c r="D319" s="330"/>
      <c r="E319" s="59"/>
      <c r="F319" s="59"/>
      <c r="G319" s="6">
        <f t="shared" si="40"/>
        <v>0</v>
      </c>
      <c r="H319" s="6">
        <f t="shared" si="42"/>
        <v>0</v>
      </c>
    </row>
    <row r="320" spans="1:11" ht="13">
      <c r="A320" s="2">
        <f t="shared" si="41"/>
        <v>194</v>
      </c>
      <c r="C320" s="252" t="s">
        <v>399</v>
      </c>
      <c r="D320" s="330"/>
      <c r="E320" s="59"/>
      <c r="F320" s="59"/>
      <c r="G320" s="6">
        <f t="shared" si="40"/>
        <v>0</v>
      </c>
      <c r="H320" s="6">
        <f t="shared" si="42"/>
        <v>0</v>
      </c>
    </row>
    <row r="321" spans="1:8" ht="13">
      <c r="A321" s="2">
        <f t="shared" si="41"/>
        <v>195</v>
      </c>
      <c r="C321" s="252" t="s">
        <v>400</v>
      </c>
      <c r="D321" s="330"/>
      <c r="E321" s="59"/>
      <c r="F321" s="59"/>
      <c r="G321" s="6">
        <f t="shared" si="40"/>
        <v>0</v>
      </c>
      <c r="H321" s="6">
        <f t="shared" si="42"/>
        <v>0</v>
      </c>
    </row>
    <row r="322" spans="1:8" ht="13">
      <c r="A322" s="2">
        <f t="shared" si="41"/>
        <v>196</v>
      </c>
      <c r="C322" s="252" t="s">
        <v>1077</v>
      </c>
      <c r="D322" s="330"/>
      <c r="E322" s="59"/>
      <c r="F322" s="59"/>
      <c r="G322" s="6">
        <f t="shared" si="40"/>
        <v>0</v>
      </c>
      <c r="H322" s="6">
        <f t="shared" si="42"/>
        <v>0</v>
      </c>
    </row>
    <row r="323" spans="1:8" ht="13">
      <c r="A323" s="2">
        <f t="shared" si="41"/>
        <v>197</v>
      </c>
      <c r="C323" s="252" t="s">
        <v>402</v>
      </c>
      <c r="D323" s="330"/>
      <c r="E323" s="59"/>
      <c r="F323" s="59"/>
      <c r="G323" s="6">
        <f t="shared" si="40"/>
        <v>0</v>
      </c>
      <c r="H323" s="6">
        <f t="shared" si="42"/>
        <v>0</v>
      </c>
    </row>
    <row r="324" spans="1:8" ht="13">
      <c r="A324" s="2">
        <f t="shared" si="41"/>
        <v>198</v>
      </c>
      <c r="C324" s="252" t="s">
        <v>390</v>
      </c>
      <c r="D324" s="330"/>
      <c r="E324" s="59"/>
      <c r="F324" s="59"/>
      <c r="G324" s="6">
        <f t="shared" si="40"/>
        <v>0</v>
      </c>
      <c r="H324" s="6">
        <f t="shared" si="42"/>
        <v>0</v>
      </c>
    </row>
    <row r="325" spans="1:8" ht="13">
      <c r="A325" s="2"/>
      <c r="C325" s="252"/>
      <c r="D325" s="568"/>
      <c r="E325" s="6"/>
      <c r="F325" s="6"/>
      <c r="G325" s="6"/>
      <c r="H325" s="6"/>
    </row>
    <row r="326" spans="1:8" ht="13">
      <c r="A326" s="2"/>
      <c r="C326" s="334" t="s">
        <v>1337</v>
      </c>
      <c r="D326" s="252"/>
      <c r="E326" s="252"/>
      <c r="F326" s="252"/>
      <c r="G326" s="6"/>
      <c r="H326" s="6"/>
    </row>
    <row r="327" spans="1:8" ht="13">
      <c r="C327" s="334"/>
      <c r="E327" s="48" t="s">
        <v>347</v>
      </c>
      <c r="F327" s="48" t="s">
        <v>348</v>
      </c>
      <c r="G327" s="48" t="s">
        <v>349</v>
      </c>
      <c r="H327" s="48" t="s">
        <v>350</v>
      </c>
    </row>
    <row r="328" spans="1:8">
      <c r="G328" s="239" t="s">
        <v>1310</v>
      </c>
      <c r="H328" s="239" t="s">
        <v>1321</v>
      </c>
    </row>
    <row r="329" spans="1:8" ht="13">
      <c r="C329" s="2" t="s">
        <v>1301</v>
      </c>
      <c r="H329" s="234" t="s">
        <v>1322</v>
      </c>
    </row>
    <row r="330" spans="1:8" ht="13">
      <c r="C330" s="2" t="s">
        <v>383</v>
      </c>
      <c r="E330" s="2" t="s">
        <v>694</v>
      </c>
      <c r="F330" s="2" t="s">
        <v>1323</v>
      </c>
      <c r="G330" s="2" t="s">
        <v>1324</v>
      </c>
      <c r="H330" s="2" t="s">
        <v>751</v>
      </c>
    </row>
    <row r="331" spans="1:8" ht="13">
      <c r="C331" s="18" t="s">
        <v>382</v>
      </c>
      <c r="D331" s="18" t="s">
        <v>383</v>
      </c>
      <c r="E331" s="3" t="s">
        <v>1325</v>
      </c>
      <c r="F331" s="3" t="s">
        <v>40</v>
      </c>
      <c r="G331" s="3" t="s">
        <v>1291</v>
      </c>
      <c r="H331" s="3" t="s">
        <v>1315</v>
      </c>
    </row>
    <row r="332" spans="1:8" ht="13">
      <c r="A332" s="2">
        <f>A324+1</f>
        <v>199</v>
      </c>
      <c r="C332" s="252" t="s">
        <v>390</v>
      </c>
      <c r="D332" s="479"/>
      <c r="E332" s="59"/>
      <c r="F332" s="59"/>
      <c r="G332" s="6">
        <f t="shared" ref="G332:G344" si="43">E332-F332</f>
        <v>0</v>
      </c>
      <c r="H332" s="6">
        <f>E332-E332</f>
        <v>0</v>
      </c>
    </row>
    <row r="333" spans="1:8" ht="13">
      <c r="A333" s="2">
        <f>A332+1</f>
        <v>200</v>
      </c>
      <c r="C333" s="252" t="s">
        <v>392</v>
      </c>
      <c r="D333" s="330"/>
      <c r="E333" s="59"/>
      <c r="F333" s="59"/>
      <c r="G333" s="6">
        <f t="shared" si="43"/>
        <v>0</v>
      </c>
      <c r="H333" s="6">
        <f>E333-E332</f>
        <v>0</v>
      </c>
    </row>
    <row r="334" spans="1:8" ht="13">
      <c r="A334" s="2">
        <f t="shared" ref="A334:A344" si="44">A333+1</f>
        <v>201</v>
      </c>
      <c r="C334" s="252" t="s">
        <v>393</v>
      </c>
      <c r="D334" s="330"/>
      <c r="E334" s="59"/>
      <c r="F334" s="59"/>
      <c r="G334" s="6">
        <f t="shared" si="43"/>
        <v>0</v>
      </c>
      <c r="H334" s="6">
        <f t="shared" ref="H334:H344" si="45">E334-E333</f>
        <v>0</v>
      </c>
    </row>
    <row r="335" spans="1:8" ht="13">
      <c r="A335" s="2">
        <f t="shared" si="44"/>
        <v>202</v>
      </c>
      <c r="C335" s="252" t="s">
        <v>394</v>
      </c>
      <c r="D335" s="330"/>
      <c r="E335" s="59"/>
      <c r="F335" s="59"/>
      <c r="G335" s="6">
        <f t="shared" si="43"/>
        <v>0</v>
      </c>
      <c r="H335" s="6">
        <f t="shared" si="45"/>
        <v>0</v>
      </c>
    </row>
    <row r="336" spans="1:8" ht="13">
      <c r="A336" s="2">
        <f t="shared" si="44"/>
        <v>203</v>
      </c>
      <c r="C336" s="252" t="s">
        <v>395</v>
      </c>
      <c r="D336" s="330"/>
      <c r="E336" s="59"/>
      <c r="F336" s="59"/>
      <c r="G336" s="6">
        <f t="shared" si="43"/>
        <v>0</v>
      </c>
      <c r="H336" s="6">
        <f t="shared" si="45"/>
        <v>0</v>
      </c>
    </row>
    <row r="337" spans="1:8" ht="13">
      <c r="A337" s="2">
        <f t="shared" si="44"/>
        <v>204</v>
      </c>
      <c r="C337" s="252" t="s">
        <v>396</v>
      </c>
      <c r="D337" s="330"/>
      <c r="E337" s="59"/>
      <c r="F337" s="59"/>
      <c r="G337" s="6">
        <f t="shared" si="43"/>
        <v>0</v>
      </c>
      <c r="H337" s="6">
        <f t="shared" si="45"/>
        <v>0</v>
      </c>
    </row>
    <row r="338" spans="1:8" ht="13">
      <c r="A338" s="2">
        <f t="shared" si="44"/>
        <v>205</v>
      </c>
      <c r="C338" s="252" t="s">
        <v>397</v>
      </c>
      <c r="D338" s="330"/>
      <c r="E338" s="59"/>
      <c r="F338" s="59"/>
      <c r="G338" s="6">
        <f t="shared" si="43"/>
        <v>0</v>
      </c>
      <c r="H338" s="6">
        <f t="shared" si="45"/>
        <v>0</v>
      </c>
    </row>
    <row r="339" spans="1:8" ht="13">
      <c r="A339" s="2">
        <f t="shared" si="44"/>
        <v>206</v>
      </c>
      <c r="C339" s="252" t="s">
        <v>398</v>
      </c>
      <c r="D339" s="330"/>
      <c r="E339" s="59"/>
      <c r="F339" s="59"/>
      <c r="G339" s="6">
        <f t="shared" si="43"/>
        <v>0</v>
      </c>
      <c r="H339" s="6">
        <f t="shared" si="45"/>
        <v>0</v>
      </c>
    </row>
    <row r="340" spans="1:8" ht="13">
      <c r="A340" s="2">
        <f t="shared" si="44"/>
        <v>207</v>
      </c>
      <c r="C340" s="252" t="s">
        <v>399</v>
      </c>
      <c r="D340" s="330"/>
      <c r="E340" s="59"/>
      <c r="F340" s="59"/>
      <c r="G340" s="6">
        <f t="shared" si="43"/>
        <v>0</v>
      </c>
      <c r="H340" s="6">
        <f t="shared" si="45"/>
        <v>0</v>
      </c>
    </row>
    <row r="341" spans="1:8" ht="13">
      <c r="A341" s="2">
        <f t="shared" si="44"/>
        <v>208</v>
      </c>
      <c r="C341" s="252" t="s">
        <v>400</v>
      </c>
      <c r="D341" s="330"/>
      <c r="E341" s="59"/>
      <c r="F341" s="59"/>
      <c r="G341" s="6">
        <f t="shared" si="43"/>
        <v>0</v>
      </c>
      <c r="H341" s="6">
        <f t="shared" si="45"/>
        <v>0</v>
      </c>
    </row>
    <row r="342" spans="1:8" ht="13">
      <c r="A342" s="2">
        <f t="shared" si="44"/>
        <v>209</v>
      </c>
      <c r="C342" s="252" t="s">
        <v>1077</v>
      </c>
      <c r="D342" s="330"/>
      <c r="E342" s="59"/>
      <c r="F342" s="59"/>
      <c r="G342" s="6">
        <f t="shared" si="43"/>
        <v>0</v>
      </c>
      <c r="H342" s="6">
        <f t="shared" si="45"/>
        <v>0</v>
      </c>
    </row>
    <row r="343" spans="1:8" ht="13">
      <c r="A343" s="2">
        <f t="shared" si="44"/>
        <v>210</v>
      </c>
      <c r="C343" s="252" t="s">
        <v>402</v>
      </c>
      <c r="D343" s="330"/>
      <c r="E343" s="59"/>
      <c r="F343" s="59"/>
      <c r="G343" s="6">
        <f t="shared" si="43"/>
        <v>0</v>
      </c>
      <c r="H343" s="6">
        <f t="shared" si="45"/>
        <v>0</v>
      </c>
    </row>
    <row r="344" spans="1:8" ht="13">
      <c r="A344" s="2">
        <f t="shared" si="44"/>
        <v>211</v>
      </c>
      <c r="C344" s="252" t="s">
        <v>390</v>
      </c>
      <c r="D344" s="330"/>
      <c r="E344" s="59"/>
      <c r="F344" s="59"/>
      <c r="G344" s="6">
        <f t="shared" si="43"/>
        <v>0</v>
      </c>
      <c r="H344" s="6">
        <f t="shared" si="45"/>
        <v>0</v>
      </c>
    </row>
    <row r="345" spans="1:8" ht="13">
      <c r="A345" s="2"/>
      <c r="C345" s="252"/>
      <c r="D345" s="568"/>
      <c r="E345" s="6"/>
      <c r="F345" s="6"/>
      <c r="G345" s="6"/>
      <c r="H345" s="6"/>
    </row>
    <row r="346" spans="1:8" ht="13">
      <c r="C346" s="334" t="s">
        <v>1338</v>
      </c>
      <c r="E346" s="48" t="s">
        <v>347</v>
      </c>
      <c r="F346" s="48" t="s">
        <v>348</v>
      </c>
      <c r="G346" s="48" t="s">
        <v>349</v>
      </c>
      <c r="H346" s="48" t="s">
        <v>350</v>
      </c>
    </row>
    <row r="347" spans="1:8">
      <c r="G347" s="239" t="s">
        <v>1310</v>
      </c>
      <c r="H347" s="239" t="s">
        <v>1321</v>
      </c>
    </row>
    <row r="348" spans="1:8" ht="13">
      <c r="C348" s="2" t="s">
        <v>1301</v>
      </c>
      <c r="H348" s="234" t="s">
        <v>1322</v>
      </c>
    </row>
    <row r="349" spans="1:8" ht="13">
      <c r="C349" s="2" t="s">
        <v>383</v>
      </c>
      <c r="E349" s="2" t="s">
        <v>694</v>
      </c>
      <c r="F349" s="2" t="s">
        <v>1323</v>
      </c>
      <c r="G349" s="2" t="s">
        <v>1324</v>
      </c>
      <c r="H349" s="2" t="s">
        <v>751</v>
      </c>
    </row>
    <row r="350" spans="1:8" ht="13">
      <c r="C350" s="18" t="s">
        <v>382</v>
      </c>
      <c r="D350" s="18" t="s">
        <v>383</v>
      </c>
      <c r="E350" s="3" t="s">
        <v>1325</v>
      </c>
      <c r="F350" s="3" t="s">
        <v>40</v>
      </c>
      <c r="G350" s="3" t="s">
        <v>1291</v>
      </c>
      <c r="H350" s="3" t="s">
        <v>1315</v>
      </c>
    </row>
    <row r="351" spans="1:8" ht="13">
      <c r="A351" s="2">
        <f>A344+1</f>
        <v>212</v>
      </c>
      <c r="C351" s="252" t="s">
        <v>390</v>
      </c>
      <c r="D351" s="479"/>
      <c r="E351" s="59"/>
      <c r="F351" s="59"/>
      <c r="G351" s="6">
        <f t="shared" ref="G351:G363" si="46">E351-F351</f>
        <v>0</v>
      </c>
      <c r="H351" s="6">
        <f>E351-E351</f>
        <v>0</v>
      </c>
    </row>
    <row r="352" spans="1:8" ht="13">
      <c r="A352" s="2">
        <f>A351+1</f>
        <v>213</v>
      </c>
      <c r="C352" s="252" t="s">
        <v>392</v>
      </c>
      <c r="D352" s="330"/>
      <c r="E352" s="59"/>
      <c r="F352" s="59"/>
      <c r="G352" s="6">
        <f t="shared" si="46"/>
        <v>0</v>
      </c>
      <c r="H352" s="6">
        <f>E352-E351</f>
        <v>0</v>
      </c>
    </row>
    <row r="353" spans="1:8" ht="13">
      <c r="A353" s="2">
        <f t="shared" ref="A353:A363" si="47">A352+1</f>
        <v>214</v>
      </c>
      <c r="C353" s="252" t="s">
        <v>393</v>
      </c>
      <c r="D353" s="330"/>
      <c r="E353" s="59"/>
      <c r="F353" s="59"/>
      <c r="G353" s="6">
        <f t="shared" si="46"/>
        <v>0</v>
      </c>
      <c r="H353" s="6">
        <f t="shared" ref="H353:H363" si="48">E353-E352</f>
        <v>0</v>
      </c>
    </row>
    <row r="354" spans="1:8" ht="13">
      <c r="A354" s="2">
        <f t="shared" si="47"/>
        <v>215</v>
      </c>
      <c r="C354" s="252" t="s">
        <v>394</v>
      </c>
      <c r="D354" s="330"/>
      <c r="E354" s="59"/>
      <c r="F354" s="59"/>
      <c r="G354" s="6">
        <f t="shared" si="46"/>
        <v>0</v>
      </c>
      <c r="H354" s="6">
        <f t="shared" si="48"/>
        <v>0</v>
      </c>
    </row>
    <row r="355" spans="1:8" ht="13">
      <c r="A355" s="2">
        <f t="shared" si="47"/>
        <v>216</v>
      </c>
      <c r="C355" s="252" t="s">
        <v>395</v>
      </c>
      <c r="D355" s="330"/>
      <c r="E355" s="59"/>
      <c r="F355" s="59"/>
      <c r="G355" s="6">
        <f t="shared" si="46"/>
        <v>0</v>
      </c>
      <c r="H355" s="6">
        <f t="shared" si="48"/>
        <v>0</v>
      </c>
    </row>
    <row r="356" spans="1:8" ht="13">
      <c r="A356" s="2">
        <f t="shared" si="47"/>
        <v>217</v>
      </c>
      <c r="C356" s="252" t="s">
        <v>396</v>
      </c>
      <c r="D356" s="330"/>
      <c r="E356" s="59"/>
      <c r="F356" s="59"/>
      <c r="G356" s="6">
        <f t="shared" si="46"/>
        <v>0</v>
      </c>
      <c r="H356" s="6">
        <f t="shared" si="48"/>
        <v>0</v>
      </c>
    </row>
    <row r="357" spans="1:8" ht="13">
      <c r="A357" s="2">
        <f t="shared" si="47"/>
        <v>218</v>
      </c>
      <c r="C357" s="252" t="s">
        <v>397</v>
      </c>
      <c r="D357" s="330"/>
      <c r="E357" s="59"/>
      <c r="F357" s="59"/>
      <c r="G357" s="6">
        <f t="shared" si="46"/>
        <v>0</v>
      </c>
      <c r="H357" s="6">
        <f t="shared" si="48"/>
        <v>0</v>
      </c>
    </row>
    <row r="358" spans="1:8" ht="13">
      <c r="A358" s="2">
        <f t="shared" si="47"/>
        <v>219</v>
      </c>
      <c r="C358" s="252" t="s">
        <v>398</v>
      </c>
      <c r="D358" s="330"/>
      <c r="E358" s="59"/>
      <c r="F358" s="59"/>
      <c r="G358" s="6">
        <f t="shared" si="46"/>
        <v>0</v>
      </c>
      <c r="H358" s="6">
        <f t="shared" si="48"/>
        <v>0</v>
      </c>
    </row>
    <row r="359" spans="1:8" ht="13">
      <c r="A359" s="2">
        <f t="shared" si="47"/>
        <v>220</v>
      </c>
      <c r="C359" s="252" t="s">
        <v>399</v>
      </c>
      <c r="D359" s="330"/>
      <c r="E359" s="59"/>
      <c r="F359" s="59"/>
      <c r="G359" s="6">
        <f t="shared" si="46"/>
        <v>0</v>
      </c>
      <c r="H359" s="6">
        <f t="shared" si="48"/>
        <v>0</v>
      </c>
    </row>
    <row r="360" spans="1:8" ht="13">
      <c r="A360" s="2">
        <f t="shared" si="47"/>
        <v>221</v>
      </c>
      <c r="C360" s="252" t="s">
        <v>400</v>
      </c>
      <c r="D360" s="330"/>
      <c r="E360" s="59"/>
      <c r="F360" s="59"/>
      <c r="G360" s="6">
        <f t="shared" si="46"/>
        <v>0</v>
      </c>
      <c r="H360" s="6">
        <f t="shared" si="48"/>
        <v>0</v>
      </c>
    </row>
    <row r="361" spans="1:8" ht="13">
      <c r="A361" s="2">
        <f t="shared" si="47"/>
        <v>222</v>
      </c>
      <c r="C361" s="252" t="s">
        <v>1077</v>
      </c>
      <c r="D361" s="330"/>
      <c r="E361" s="59"/>
      <c r="F361" s="59"/>
      <c r="G361" s="6">
        <f t="shared" si="46"/>
        <v>0</v>
      </c>
      <c r="H361" s="6">
        <f t="shared" si="48"/>
        <v>0</v>
      </c>
    </row>
    <row r="362" spans="1:8" ht="13">
      <c r="A362" s="2">
        <f t="shared" si="47"/>
        <v>223</v>
      </c>
      <c r="C362" s="252" t="s">
        <v>402</v>
      </c>
      <c r="D362" s="330"/>
      <c r="E362" s="59"/>
      <c r="F362" s="59"/>
      <c r="G362" s="6">
        <f t="shared" si="46"/>
        <v>0</v>
      </c>
      <c r="H362" s="6">
        <f t="shared" si="48"/>
        <v>0</v>
      </c>
    </row>
    <row r="363" spans="1:8" ht="13">
      <c r="A363" s="2">
        <f t="shared" si="47"/>
        <v>224</v>
      </c>
      <c r="C363" s="252" t="s">
        <v>390</v>
      </c>
      <c r="D363" s="330"/>
      <c r="E363" s="59"/>
      <c r="F363" s="59"/>
      <c r="G363" s="6">
        <f t="shared" si="46"/>
        <v>0</v>
      </c>
      <c r="H363" s="6">
        <f t="shared" si="48"/>
        <v>0</v>
      </c>
    </row>
    <row r="364" spans="1:8" ht="13">
      <c r="A364" s="2"/>
      <c r="C364" s="252"/>
      <c r="D364" s="568"/>
      <c r="E364" s="6"/>
      <c r="F364" s="6"/>
      <c r="G364" s="6"/>
      <c r="H364" s="6"/>
    </row>
    <row r="365" spans="1:8" ht="13">
      <c r="C365" s="334" t="s">
        <v>1339</v>
      </c>
      <c r="E365" s="48" t="s">
        <v>347</v>
      </c>
      <c r="F365" s="48" t="s">
        <v>348</v>
      </c>
      <c r="G365" s="48" t="s">
        <v>349</v>
      </c>
      <c r="H365" s="48" t="s">
        <v>350</v>
      </c>
    </row>
    <row r="366" spans="1:8">
      <c r="E366" s="233"/>
      <c r="F366" s="233"/>
      <c r="G366" s="239" t="s">
        <v>1310</v>
      </c>
      <c r="H366" s="239" t="s">
        <v>1321</v>
      </c>
    </row>
    <row r="367" spans="1:8" ht="13">
      <c r="A367" s="233"/>
      <c r="B367" s="233"/>
      <c r="C367" s="2" t="s">
        <v>1301</v>
      </c>
      <c r="D367" s="233"/>
      <c r="E367" s="233"/>
      <c r="F367" s="233"/>
      <c r="G367" s="233"/>
      <c r="H367" s="234" t="s">
        <v>1322</v>
      </c>
    </row>
    <row r="368" spans="1:8" ht="13">
      <c r="A368" s="233"/>
      <c r="B368" s="233"/>
      <c r="C368" s="2" t="s">
        <v>383</v>
      </c>
      <c r="D368" s="233"/>
      <c r="E368" s="2" t="s">
        <v>694</v>
      </c>
      <c r="F368" s="2" t="s">
        <v>1323</v>
      </c>
      <c r="G368" s="2" t="s">
        <v>1324</v>
      </c>
      <c r="H368" s="2" t="s">
        <v>751</v>
      </c>
    </row>
    <row r="369" spans="1:8" ht="13">
      <c r="A369" s="233"/>
      <c r="B369" s="233"/>
      <c r="C369" s="18" t="s">
        <v>382</v>
      </c>
      <c r="D369" s="18" t="s">
        <v>383</v>
      </c>
      <c r="E369" s="3" t="s">
        <v>1325</v>
      </c>
      <c r="F369" s="3" t="s">
        <v>40</v>
      </c>
      <c r="G369" s="3" t="s">
        <v>1291</v>
      </c>
      <c r="H369" s="3" t="s">
        <v>1315</v>
      </c>
    </row>
    <row r="370" spans="1:8" ht="13">
      <c r="A370" s="2">
        <f>A363+1</f>
        <v>225</v>
      </c>
      <c r="B370" s="233"/>
      <c r="C370" s="252" t="s">
        <v>390</v>
      </c>
      <c r="D370" s="479"/>
      <c r="E370" s="253"/>
      <c r="F370" s="253"/>
      <c r="G370" s="235">
        <f t="shared" ref="G370:G382" si="49">E370-F370</f>
        <v>0</v>
      </c>
      <c r="H370" s="235">
        <f>E370-E370</f>
        <v>0</v>
      </c>
    </row>
    <row r="371" spans="1:8" ht="13">
      <c r="A371" s="2">
        <f>A370+1</f>
        <v>226</v>
      </c>
      <c r="B371" s="233"/>
      <c r="C371" s="252" t="s">
        <v>392</v>
      </c>
      <c r="D371" s="330"/>
      <c r="E371" s="253"/>
      <c r="F371" s="253"/>
      <c r="G371" s="235">
        <f t="shared" si="49"/>
        <v>0</v>
      </c>
      <c r="H371" s="235">
        <f>E371-E370</f>
        <v>0</v>
      </c>
    </row>
    <row r="372" spans="1:8" ht="13">
      <c r="A372" s="2">
        <f t="shared" ref="A372:A382" si="50">A371+1</f>
        <v>227</v>
      </c>
      <c r="B372" s="233"/>
      <c r="C372" s="252" t="s">
        <v>393</v>
      </c>
      <c r="D372" s="330"/>
      <c r="E372" s="253"/>
      <c r="F372" s="253"/>
      <c r="G372" s="235">
        <f t="shared" si="49"/>
        <v>0</v>
      </c>
      <c r="H372" s="235">
        <f t="shared" ref="H372:H382" si="51">E372-E371</f>
        <v>0</v>
      </c>
    </row>
    <row r="373" spans="1:8" ht="13">
      <c r="A373" s="2">
        <f t="shared" si="50"/>
        <v>228</v>
      </c>
      <c r="B373" s="233"/>
      <c r="C373" s="252" t="s">
        <v>394</v>
      </c>
      <c r="D373" s="330"/>
      <c r="E373" s="253"/>
      <c r="F373" s="253"/>
      <c r="G373" s="235">
        <f t="shared" si="49"/>
        <v>0</v>
      </c>
      <c r="H373" s="235">
        <f t="shared" si="51"/>
        <v>0</v>
      </c>
    </row>
    <row r="374" spans="1:8" ht="13">
      <c r="A374" s="2">
        <f t="shared" si="50"/>
        <v>229</v>
      </c>
      <c r="B374" s="233"/>
      <c r="C374" s="252" t="s">
        <v>395</v>
      </c>
      <c r="D374" s="330"/>
      <c r="E374" s="253"/>
      <c r="F374" s="253"/>
      <c r="G374" s="235">
        <f t="shared" si="49"/>
        <v>0</v>
      </c>
      <c r="H374" s="235">
        <f t="shared" si="51"/>
        <v>0</v>
      </c>
    </row>
    <row r="375" spans="1:8" ht="13">
      <c r="A375" s="2">
        <f t="shared" si="50"/>
        <v>230</v>
      </c>
      <c r="B375" s="233"/>
      <c r="C375" s="252" t="s">
        <v>396</v>
      </c>
      <c r="D375" s="330"/>
      <c r="E375" s="253"/>
      <c r="F375" s="253"/>
      <c r="G375" s="235">
        <f t="shared" si="49"/>
        <v>0</v>
      </c>
      <c r="H375" s="235">
        <f t="shared" si="51"/>
        <v>0</v>
      </c>
    </row>
    <row r="376" spans="1:8" ht="13">
      <c r="A376" s="2">
        <f t="shared" si="50"/>
        <v>231</v>
      </c>
      <c r="B376" s="233"/>
      <c r="C376" s="252" t="s">
        <v>397</v>
      </c>
      <c r="D376" s="330"/>
      <c r="E376" s="253"/>
      <c r="F376" s="253"/>
      <c r="G376" s="235">
        <f t="shared" si="49"/>
        <v>0</v>
      </c>
      <c r="H376" s="235">
        <f t="shared" si="51"/>
        <v>0</v>
      </c>
    </row>
    <row r="377" spans="1:8" ht="13">
      <c r="A377" s="2">
        <f t="shared" si="50"/>
        <v>232</v>
      </c>
      <c r="B377" s="233"/>
      <c r="C377" s="252" t="s">
        <v>398</v>
      </c>
      <c r="D377" s="330"/>
      <c r="E377" s="253"/>
      <c r="F377" s="253"/>
      <c r="G377" s="235">
        <f t="shared" si="49"/>
        <v>0</v>
      </c>
      <c r="H377" s="235">
        <f t="shared" si="51"/>
        <v>0</v>
      </c>
    </row>
    <row r="378" spans="1:8" ht="13">
      <c r="A378" s="2">
        <f t="shared" si="50"/>
        <v>233</v>
      </c>
      <c r="B378" s="233"/>
      <c r="C378" s="252" t="s">
        <v>399</v>
      </c>
      <c r="D378" s="330"/>
      <c r="E378" s="253"/>
      <c r="F378" s="253"/>
      <c r="G378" s="235">
        <f t="shared" si="49"/>
        <v>0</v>
      </c>
      <c r="H378" s="235">
        <f t="shared" si="51"/>
        <v>0</v>
      </c>
    </row>
    <row r="379" spans="1:8" ht="13">
      <c r="A379" s="2">
        <f t="shared" si="50"/>
        <v>234</v>
      </c>
      <c r="B379" s="233"/>
      <c r="C379" s="252" t="s">
        <v>400</v>
      </c>
      <c r="D379" s="330"/>
      <c r="E379" s="253"/>
      <c r="F379" s="253"/>
      <c r="G379" s="235">
        <f t="shared" si="49"/>
        <v>0</v>
      </c>
      <c r="H379" s="235">
        <f t="shared" si="51"/>
        <v>0</v>
      </c>
    </row>
    <row r="380" spans="1:8" ht="13">
      <c r="A380" s="2">
        <f t="shared" si="50"/>
        <v>235</v>
      </c>
      <c r="B380" s="233"/>
      <c r="C380" s="252" t="s">
        <v>1077</v>
      </c>
      <c r="D380" s="330"/>
      <c r="E380" s="253"/>
      <c r="F380" s="253"/>
      <c r="G380" s="235">
        <f t="shared" si="49"/>
        <v>0</v>
      </c>
      <c r="H380" s="235">
        <f t="shared" si="51"/>
        <v>0</v>
      </c>
    </row>
    <row r="381" spans="1:8" ht="13">
      <c r="A381" s="2">
        <f t="shared" si="50"/>
        <v>236</v>
      </c>
      <c r="B381" s="233"/>
      <c r="C381" s="252" t="s">
        <v>402</v>
      </c>
      <c r="D381" s="330"/>
      <c r="E381" s="253"/>
      <c r="F381" s="253"/>
      <c r="G381" s="235">
        <f t="shared" si="49"/>
        <v>0</v>
      </c>
      <c r="H381" s="235">
        <f t="shared" si="51"/>
        <v>0</v>
      </c>
    </row>
    <row r="382" spans="1:8" ht="13">
      <c r="A382" s="2">
        <f t="shared" si="50"/>
        <v>237</v>
      </c>
      <c r="B382" s="233"/>
      <c r="C382" s="252" t="s">
        <v>390</v>
      </c>
      <c r="D382" s="330"/>
      <c r="E382" s="253"/>
      <c r="F382" s="253"/>
      <c r="G382" s="235">
        <f t="shared" si="49"/>
        <v>0</v>
      </c>
      <c r="H382" s="235">
        <f t="shared" si="51"/>
        <v>0</v>
      </c>
    </row>
    <row r="383" spans="1:8" ht="13">
      <c r="A383" s="1069"/>
      <c r="C383" s="1074"/>
      <c r="D383" s="1075"/>
      <c r="E383" s="820"/>
      <c r="F383" s="820"/>
      <c r="G383" s="820"/>
      <c r="H383" s="820"/>
    </row>
    <row r="384" spans="1:8" ht="13">
      <c r="C384" s="1085" t="s">
        <v>1340</v>
      </c>
      <c r="D384" s="54"/>
      <c r="E384" s="48" t="s">
        <v>347</v>
      </c>
      <c r="F384" s="48" t="s">
        <v>348</v>
      </c>
      <c r="G384" s="48" t="s">
        <v>349</v>
      </c>
      <c r="H384" s="48" t="s">
        <v>350</v>
      </c>
    </row>
    <row r="385" spans="1:8">
      <c r="E385" s="233"/>
      <c r="F385" s="233"/>
      <c r="G385" s="239" t="s">
        <v>1310</v>
      </c>
      <c r="H385" s="239" t="s">
        <v>1321</v>
      </c>
    </row>
    <row r="386" spans="1:8" ht="13">
      <c r="A386" s="233"/>
      <c r="B386" s="233"/>
      <c r="C386" s="2" t="s">
        <v>1301</v>
      </c>
      <c r="D386" s="233"/>
      <c r="E386" s="233"/>
      <c r="F386" s="233"/>
      <c r="G386" s="233"/>
      <c r="H386" s="234" t="s">
        <v>1322</v>
      </c>
    </row>
    <row r="387" spans="1:8" ht="13">
      <c r="A387" s="233"/>
      <c r="B387" s="233"/>
      <c r="C387" s="2" t="s">
        <v>383</v>
      </c>
      <c r="D387" s="233"/>
      <c r="E387" s="2" t="s">
        <v>694</v>
      </c>
      <c r="F387" s="2" t="s">
        <v>1323</v>
      </c>
      <c r="G387" s="2" t="s">
        <v>1324</v>
      </c>
      <c r="H387" s="2" t="s">
        <v>751</v>
      </c>
    </row>
    <row r="388" spans="1:8" ht="13">
      <c r="A388" s="233"/>
      <c r="B388" s="233"/>
      <c r="C388" s="18" t="s">
        <v>382</v>
      </c>
      <c r="D388" s="18" t="s">
        <v>383</v>
      </c>
      <c r="E388" s="3" t="s">
        <v>1325</v>
      </c>
      <c r="F388" s="3" t="s">
        <v>40</v>
      </c>
      <c r="G388" s="3" t="s">
        <v>1291</v>
      </c>
      <c r="H388" s="3" t="s">
        <v>1315</v>
      </c>
    </row>
    <row r="389" spans="1:8" ht="13">
      <c r="A389" s="2">
        <f>A381+1</f>
        <v>237</v>
      </c>
      <c r="B389" s="233"/>
      <c r="C389" s="252" t="s">
        <v>390</v>
      </c>
      <c r="D389" s="479"/>
      <c r="E389" s="253"/>
      <c r="F389" s="253"/>
      <c r="G389" s="235">
        <f t="shared" ref="G389:G401" si="52">E389-F389</f>
        <v>0</v>
      </c>
      <c r="H389" s="235">
        <f>E389-E389</f>
        <v>0</v>
      </c>
    </row>
    <row r="390" spans="1:8" ht="13">
      <c r="A390" s="2">
        <f>A389+1</f>
        <v>238</v>
      </c>
      <c r="B390" s="233"/>
      <c r="C390" s="252" t="s">
        <v>392</v>
      </c>
      <c r="D390" s="330"/>
      <c r="E390" s="253"/>
      <c r="F390" s="253"/>
      <c r="G390" s="235">
        <f t="shared" si="52"/>
        <v>0</v>
      </c>
      <c r="H390" s="235">
        <f>E390-E389</f>
        <v>0</v>
      </c>
    </row>
    <row r="391" spans="1:8" ht="13">
      <c r="A391" s="2">
        <f t="shared" ref="A391:A401" si="53">A390+1</f>
        <v>239</v>
      </c>
      <c r="B391" s="233"/>
      <c r="C391" s="252" t="s">
        <v>393</v>
      </c>
      <c r="D391" s="330"/>
      <c r="E391" s="253"/>
      <c r="F391" s="253"/>
      <c r="G391" s="235">
        <f t="shared" si="52"/>
        <v>0</v>
      </c>
      <c r="H391" s="235">
        <f t="shared" ref="H391:H401" si="54">E391-E390</f>
        <v>0</v>
      </c>
    </row>
    <row r="392" spans="1:8" ht="13">
      <c r="A392" s="2">
        <f t="shared" si="53"/>
        <v>240</v>
      </c>
      <c r="B392" s="233"/>
      <c r="C392" s="252" t="s">
        <v>394</v>
      </c>
      <c r="D392" s="330"/>
      <c r="E392" s="253"/>
      <c r="F392" s="253"/>
      <c r="G392" s="235">
        <f t="shared" si="52"/>
        <v>0</v>
      </c>
      <c r="H392" s="235">
        <f t="shared" si="54"/>
        <v>0</v>
      </c>
    </row>
    <row r="393" spans="1:8" ht="13">
      <c r="A393" s="2">
        <f t="shared" si="53"/>
        <v>241</v>
      </c>
      <c r="B393" s="233"/>
      <c r="C393" s="252" t="s">
        <v>395</v>
      </c>
      <c r="D393" s="330"/>
      <c r="E393" s="253"/>
      <c r="F393" s="253"/>
      <c r="G393" s="235">
        <f t="shared" si="52"/>
        <v>0</v>
      </c>
      <c r="H393" s="235">
        <f t="shared" si="54"/>
        <v>0</v>
      </c>
    </row>
    <row r="394" spans="1:8" ht="13">
      <c r="A394" s="2">
        <f t="shared" si="53"/>
        <v>242</v>
      </c>
      <c r="B394" s="233"/>
      <c r="C394" s="252" t="s">
        <v>396</v>
      </c>
      <c r="D394" s="330"/>
      <c r="E394" s="253"/>
      <c r="F394" s="253"/>
      <c r="G394" s="235">
        <f t="shared" si="52"/>
        <v>0</v>
      </c>
      <c r="H394" s="235">
        <f t="shared" si="54"/>
        <v>0</v>
      </c>
    </row>
    <row r="395" spans="1:8" ht="13">
      <c r="A395" s="2">
        <f t="shared" si="53"/>
        <v>243</v>
      </c>
      <c r="B395" s="233"/>
      <c r="C395" s="252" t="s">
        <v>397</v>
      </c>
      <c r="D395" s="330"/>
      <c r="E395" s="253"/>
      <c r="F395" s="253"/>
      <c r="G395" s="235">
        <f t="shared" si="52"/>
        <v>0</v>
      </c>
      <c r="H395" s="235">
        <f t="shared" si="54"/>
        <v>0</v>
      </c>
    </row>
    <row r="396" spans="1:8" ht="13">
      <c r="A396" s="2">
        <f t="shared" si="53"/>
        <v>244</v>
      </c>
      <c r="B396" s="233"/>
      <c r="C396" s="252" t="s">
        <v>398</v>
      </c>
      <c r="D396" s="330"/>
      <c r="E396" s="253"/>
      <c r="F396" s="253"/>
      <c r="G396" s="235">
        <f t="shared" si="52"/>
        <v>0</v>
      </c>
      <c r="H396" s="235">
        <f t="shared" si="54"/>
        <v>0</v>
      </c>
    </row>
    <row r="397" spans="1:8" ht="13">
      <c r="A397" s="2">
        <f t="shared" si="53"/>
        <v>245</v>
      </c>
      <c r="B397" s="233"/>
      <c r="C397" s="252" t="s">
        <v>399</v>
      </c>
      <c r="D397" s="330"/>
      <c r="E397" s="253"/>
      <c r="F397" s="253"/>
      <c r="G397" s="235">
        <f t="shared" si="52"/>
        <v>0</v>
      </c>
      <c r="H397" s="235">
        <f t="shared" si="54"/>
        <v>0</v>
      </c>
    </row>
    <row r="398" spans="1:8" ht="13">
      <c r="A398" s="2">
        <f t="shared" si="53"/>
        <v>246</v>
      </c>
      <c r="B398" s="233"/>
      <c r="C398" s="252" t="s">
        <v>400</v>
      </c>
      <c r="D398" s="330"/>
      <c r="E398" s="253"/>
      <c r="F398" s="253"/>
      <c r="G398" s="235">
        <f t="shared" si="52"/>
        <v>0</v>
      </c>
      <c r="H398" s="235">
        <f t="shared" si="54"/>
        <v>0</v>
      </c>
    </row>
    <row r="399" spans="1:8" ht="13">
      <c r="A399" s="2">
        <f t="shared" si="53"/>
        <v>247</v>
      </c>
      <c r="B399" s="233"/>
      <c r="C399" s="252" t="s">
        <v>1077</v>
      </c>
      <c r="D399" s="330"/>
      <c r="E399" s="253"/>
      <c r="F399" s="253"/>
      <c r="G399" s="235">
        <f t="shared" si="52"/>
        <v>0</v>
      </c>
      <c r="H399" s="235">
        <f t="shared" si="54"/>
        <v>0</v>
      </c>
    </row>
    <row r="400" spans="1:8" ht="13">
      <c r="A400" s="2">
        <f t="shared" si="53"/>
        <v>248</v>
      </c>
      <c r="B400" s="233"/>
      <c r="C400" s="252" t="s">
        <v>402</v>
      </c>
      <c r="D400" s="330"/>
      <c r="E400" s="253"/>
      <c r="F400" s="253"/>
      <c r="G400" s="235">
        <f t="shared" si="52"/>
        <v>0</v>
      </c>
      <c r="H400" s="235">
        <f t="shared" si="54"/>
        <v>0</v>
      </c>
    </row>
    <row r="401" spans="1:10" ht="13">
      <c r="A401" s="2">
        <f t="shared" si="53"/>
        <v>249</v>
      </c>
      <c r="B401" s="233"/>
      <c r="C401" s="252" t="s">
        <v>390</v>
      </c>
      <c r="D401" s="330"/>
      <c r="E401" s="253"/>
      <c r="F401" s="253"/>
      <c r="G401" s="235">
        <f t="shared" si="52"/>
        <v>0</v>
      </c>
      <c r="H401" s="235">
        <f t="shared" si="54"/>
        <v>0</v>
      </c>
    </row>
    <row r="402" spans="1:10" ht="13">
      <c r="A402" s="2"/>
      <c r="C402" s="252"/>
      <c r="D402" s="17"/>
      <c r="E402" s="6"/>
      <c r="F402" s="6"/>
      <c r="G402" s="6"/>
      <c r="H402" s="6"/>
    </row>
    <row r="403" spans="1:10" ht="13">
      <c r="B403" s="1"/>
      <c r="C403" s="1" t="s">
        <v>1341</v>
      </c>
      <c r="D403" s="231"/>
      <c r="E403" s="6"/>
    </row>
    <row r="404" spans="1:10" ht="13">
      <c r="B404" s="1"/>
    </row>
    <row r="405" spans="1:10" ht="13">
      <c r="C405" s="1045" t="s">
        <v>1342</v>
      </c>
      <c r="D405" s="1046"/>
      <c r="E405" s="1046"/>
      <c r="F405" s="1046"/>
      <c r="G405" s="1047" t="s">
        <v>1343</v>
      </c>
      <c r="H405" s="1046"/>
      <c r="I405" s="1046"/>
      <c r="J405" s="1046"/>
    </row>
    <row r="406" spans="1:10" ht="13">
      <c r="A406" s="2">
        <f>A401+1</f>
        <v>250</v>
      </c>
      <c r="C406" s="1048" t="s">
        <v>1344</v>
      </c>
      <c r="D406" s="1046"/>
      <c r="E406" s="1049"/>
      <c r="F406" s="1050" t="s">
        <v>1345</v>
      </c>
      <c r="G406" s="448" t="s">
        <v>1346</v>
      </c>
      <c r="H406" s="1046"/>
      <c r="I406" s="1046"/>
      <c r="J406" s="1046"/>
    </row>
    <row r="407" spans="1:10" ht="13">
      <c r="A407" s="2">
        <f>A406+1</f>
        <v>251</v>
      </c>
      <c r="C407" s="1051" t="s">
        <v>1347</v>
      </c>
      <c r="D407" s="1046"/>
      <c r="E407" s="1052"/>
      <c r="F407" s="1053">
        <v>7.4999999999999997E-3</v>
      </c>
      <c r="G407" s="448" t="s">
        <v>1348</v>
      </c>
      <c r="H407" s="1046"/>
      <c r="I407" s="1046"/>
      <c r="J407" s="1046"/>
    </row>
    <row r="408" spans="1:10" ht="13">
      <c r="A408" s="2">
        <f>A407+1</f>
        <v>252</v>
      </c>
      <c r="C408" s="1051" t="s">
        <v>1349</v>
      </c>
      <c r="D408" s="1046"/>
      <c r="E408" s="1049"/>
      <c r="F408" s="1050" t="s">
        <v>1035</v>
      </c>
      <c r="G408" s="1054" t="s">
        <v>1350</v>
      </c>
      <c r="H408" s="1046"/>
      <c r="I408" s="1046"/>
      <c r="J408" s="1046"/>
    </row>
    <row r="409" spans="1:10">
      <c r="A409" s="233"/>
      <c r="C409" s="1046"/>
      <c r="D409" s="1046"/>
      <c r="E409" s="1049"/>
      <c r="F409" s="1046"/>
      <c r="G409" s="1046"/>
      <c r="H409" s="1046"/>
      <c r="I409" s="1046"/>
      <c r="J409" s="1046"/>
    </row>
    <row r="410" spans="1:10" ht="13">
      <c r="A410" s="233"/>
      <c r="C410" s="1045" t="s">
        <v>1351</v>
      </c>
      <c r="D410" s="1046"/>
      <c r="E410" s="1046"/>
      <c r="F410" s="1046"/>
      <c r="G410" s="1047" t="s">
        <v>1343</v>
      </c>
      <c r="H410" s="1046"/>
      <c r="I410" s="1046"/>
      <c r="J410" s="1046"/>
    </row>
    <row r="411" spans="1:10" ht="13">
      <c r="A411" s="2">
        <f>A408+1</f>
        <v>253</v>
      </c>
      <c r="C411" s="1048" t="s">
        <v>1344</v>
      </c>
      <c r="D411" s="1046"/>
      <c r="E411" s="1049"/>
      <c r="F411" s="1050" t="s">
        <v>1345</v>
      </c>
      <c r="G411" s="448" t="s">
        <v>1346</v>
      </c>
      <c r="H411" s="1046"/>
      <c r="I411" s="1046"/>
      <c r="J411" s="1046"/>
    </row>
    <row r="412" spans="1:10" ht="13">
      <c r="A412" s="2">
        <f>A411+1</f>
        <v>254</v>
      </c>
      <c r="C412" s="1051" t="s">
        <v>1347</v>
      </c>
      <c r="D412" s="1046"/>
      <c r="E412" s="1052"/>
      <c r="F412" s="1053">
        <v>1.2500000000000001E-2</v>
      </c>
      <c r="G412" s="448" t="s">
        <v>1348</v>
      </c>
      <c r="H412" s="1046"/>
      <c r="I412" s="1046"/>
      <c r="J412" s="1046"/>
    </row>
    <row r="413" spans="1:10" ht="13">
      <c r="A413" s="2">
        <f>A412+1</f>
        <v>255</v>
      </c>
      <c r="C413" s="1051" t="s">
        <v>1349</v>
      </c>
      <c r="D413" s="1046"/>
      <c r="E413" s="1049"/>
      <c r="F413" s="1050" t="s">
        <v>1345</v>
      </c>
      <c r="G413" s="448" t="s">
        <v>1352</v>
      </c>
      <c r="H413" s="1046"/>
      <c r="I413" s="1046"/>
      <c r="J413" s="1046"/>
    </row>
    <row r="414" spans="1:10">
      <c r="A414" s="233"/>
      <c r="C414" s="1051"/>
      <c r="D414" s="1046"/>
      <c r="E414" s="1049"/>
      <c r="F414" s="1050"/>
      <c r="G414" s="1046"/>
      <c r="H414" s="1046"/>
      <c r="I414" s="1046"/>
      <c r="J414" s="1046"/>
    </row>
    <row r="415" spans="1:10" ht="13">
      <c r="A415" s="233"/>
      <c r="C415" s="1045" t="s">
        <v>1353</v>
      </c>
      <c r="D415" s="1046"/>
      <c r="E415" s="448"/>
      <c r="F415" s="813"/>
      <c r="G415" s="1047" t="s">
        <v>1343</v>
      </c>
      <c r="H415" s="1046"/>
      <c r="I415" s="1046"/>
      <c r="J415" s="1046"/>
    </row>
    <row r="416" spans="1:10" ht="13">
      <c r="A416" s="2">
        <f>A413+1</f>
        <v>256</v>
      </c>
      <c r="C416" s="1048" t="s">
        <v>1344</v>
      </c>
      <c r="D416" s="1046"/>
      <c r="E416" s="1049"/>
      <c r="F416" s="1050" t="s">
        <v>1345</v>
      </c>
      <c r="G416" s="448" t="s">
        <v>1346</v>
      </c>
      <c r="H416" s="1046"/>
      <c r="I416" s="1046"/>
      <c r="J416" s="1046"/>
    </row>
    <row r="417" spans="1:10" ht="13">
      <c r="A417" s="2">
        <f>A416+1</f>
        <v>257</v>
      </c>
      <c r="C417" s="1051" t="s">
        <v>1347</v>
      </c>
      <c r="D417" s="1046"/>
      <c r="E417" s="1052"/>
      <c r="F417" s="1053">
        <v>0.01</v>
      </c>
      <c r="G417" s="448" t="s">
        <v>1354</v>
      </c>
      <c r="H417" s="1046"/>
      <c r="I417" s="1046"/>
      <c r="J417" s="1046"/>
    </row>
    <row r="418" spans="1:10" ht="13">
      <c r="A418" s="2">
        <f>A417+1</f>
        <v>258</v>
      </c>
      <c r="C418" s="1051"/>
      <c r="D418" s="1046"/>
      <c r="E418" s="1052"/>
      <c r="F418" s="1053"/>
      <c r="G418" s="448" t="s">
        <v>1355</v>
      </c>
      <c r="H418" s="1046"/>
      <c r="I418" s="1046"/>
      <c r="J418" s="1046"/>
    </row>
    <row r="419" spans="1:10" ht="13">
      <c r="A419" s="2">
        <f>A418+1</f>
        <v>259</v>
      </c>
      <c r="C419" s="1051" t="s">
        <v>1349</v>
      </c>
      <c r="D419" s="1046"/>
      <c r="E419" s="1049"/>
      <c r="F419" s="1050" t="s">
        <v>1345</v>
      </c>
      <c r="G419" s="448" t="s">
        <v>1352</v>
      </c>
      <c r="H419" s="1046"/>
      <c r="I419" s="1046"/>
      <c r="J419" s="1046"/>
    </row>
    <row r="420" spans="1:10">
      <c r="A420" s="233"/>
      <c r="C420" s="1051"/>
      <c r="D420" s="1046"/>
      <c r="E420" s="1049"/>
      <c r="F420" s="1050"/>
      <c r="G420" s="1046"/>
      <c r="H420" s="1046"/>
      <c r="I420" s="1046"/>
      <c r="J420" s="1046"/>
    </row>
    <row r="421" spans="1:10" ht="14">
      <c r="A421" s="233"/>
      <c r="C421" s="1045" t="s">
        <v>1356</v>
      </c>
      <c r="D421" s="1055"/>
      <c r="E421" s="448"/>
      <c r="F421" s="813"/>
      <c r="G421" s="1047" t="s">
        <v>1343</v>
      </c>
      <c r="H421" s="1055"/>
      <c r="I421" s="1055"/>
      <c r="J421" s="1055"/>
    </row>
    <row r="422" spans="1:10" ht="14">
      <c r="A422" s="2">
        <f>A419+1</f>
        <v>260</v>
      </c>
      <c r="C422" s="1048" t="s">
        <v>1344</v>
      </c>
      <c r="D422" s="1055"/>
      <c r="E422" s="1056"/>
      <c r="F422" s="1057" t="s">
        <v>1035</v>
      </c>
      <c r="G422" s="448" t="s">
        <v>1357</v>
      </c>
      <c r="H422" s="1055"/>
      <c r="I422" s="1055"/>
      <c r="J422" s="1055"/>
    </row>
    <row r="423" spans="1:10" ht="14">
      <c r="A423" s="2">
        <f>A422+1</f>
        <v>261</v>
      </c>
      <c r="C423" s="1048"/>
      <c r="D423" s="1055"/>
      <c r="E423" s="1056"/>
      <c r="F423" s="1057"/>
      <c r="G423" s="1055" t="s">
        <v>1358</v>
      </c>
      <c r="H423" s="1055"/>
      <c r="I423" s="1055"/>
      <c r="J423" s="1055"/>
    </row>
    <row r="424" spans="1:10" ht="14">
      <c r="A424" s="2">
        <f>A423+1</f>
        <v>262</v>
      </c>
      <c r="C424" s="1058" t="s">
        <v>1347</v>
      </c>
      <c r="D424" s="1055"/>
      <c r="E424" s="1059"/>
      <c r="F424" s="1060">
        <v>0</v>
      </c>
      <c r="G424" s="448" t="s">
        <v>1359</v>
      </c>
      <c r="H424" s="1055"/>
      <c r="I424" s="1055"/>
      <c r="J424" s="1055"/>
    </row>
    <row r="425" spans="1:10" ht="14">
      <c r="A425" s="2">
        <f>A424+1</f>
        <v>263</v>
      </c>
      <c r="C425" s="1058"/>
      <c r="D425" s="1055"/>
      <c r="E425" s="1059"/>
      <c r="F425" s="1060"/>
      <c r="G425" s="448" t="s">
        <v>1360</v>
      </c>
      <c r="H425" s="1055"/>
      <c r="I425" s="1055"/>
      <c r="J425" s="1055"/>
    </row>
    <row r="426" spans="1:10" ht="14">
      <c r="A426" s="2">
        <f>A425+1</f>
        <v>264</v>
      </c>
      <c r="C426" s="1058" t="s">
        <v>1349</v>
      </c>
      <c r="D426" s="1055"/>
      <c r="E426" s="1056"/>
      <c r="F426" s="1057" t="s">
        <v>1345</v>
      </c>
      <c r="G426" s="448" t="s">
        <v>1352</v>
      </c>
      <c r="H426" s="1055"/>
      <c r="I426" s="1055"/>
      <c r="J426" s="1055"/>
    </row>
    <row r="427" spans="1:10" ht="14">
      <c r="A427" s="233"/>
      <c r="C427" s="1058"/>
      <c r="D427" s="1055"/>
      <c r="E427" s="1056"/>
      <c r="F427" s="1057"/>
      <c r="G427" s="1055"/>
      <c r="H427" s="1055"/>
      <c r="I427" s="1055"/>
      <c r="J427" s="1055"/>
    </row>
    <row r="428" spans="1:10" ht="14">
      <c r="A428" s="233"/>
      <c r="C428" s="1045" t="s">
        <v>1361</v>
      </c>
      <c r="D428" s="1055"/>
      <c r="E428" s="448"/>
      <c r="F428" s="813"/>
      <c r="G428" s="1047" t="s">
        <v>1343</v>
      </c>
      <c r="H428" s="1055"/>
      <c r="I428" s="1055"/>
      <c r="J428" s="1055"/>
    </row>
    <row r="429" spans="1:10" ht="14">
      <c r="A429" s="2">
        <f>A426+1</f>
        <v>265</v>
      </c>
      <c r="C429" s="1048" t="s">
        <v>1344</v>
      </c>
      <c r="D429" s="1055"/>
      <c r="E429" s="1056"/>
      <c r="F429" s="1057" t="s">
        <v>1345</v>
      </c>
      <c r="G429" s="1061" t="s">
        <v>1362</v>
      </c>
      <c r="H429" s="1055"/>
      <c r="I429" s="1055"/>
      <c r="J429" s="1055"/>
    </row>
    <row r="430" spans="1:10" ht="14">
      <c r="A430" s="2">
        <f>A429+1</f>
        <v>266</v>
      </c>
      <c r="C430" s="1058" t="s">
        <v>1347</v>
      </c>
      <c r="D430" s="1055"/>
      <c r="E430" s="1059"/>
      <c r="F430" s="1060">
        <v>0</v>
      </c>
      <c r="G430" s="1062" t="s">
        <v>391</v>
      </c>
      <c r="H430" s="1055"/>
      <c r="I430" s="1055"/>
      <c r="J430" s="1055"/>
    </row>
    <row r="431" spans="1:10" ht="14">
      <c r="A431" s="2">
        <f>A430+1</f>
        <v>267</v>
      </c>
      <c r="C431" s="1058" t="s">
        <v>1349</v>
      </c>
      <c r="D431" s="1055"/>
      <c r="E431" s="1056"/>
      <c r="F431" s="1057" t="s">
        <v>1345</v>
      </c>
      <c r="G431" s="1061" t="s">
        <v>1362</v>
      </c>
      <c r="H431" s="1055"/>
      <c r="I431" s="1055"/>
      <c r="J431" s="1055"/>
    </row>
    <row r="432" spans="1:10" ht="14">
      <c r="A432" s="233"/>
      <c r="C432" s="1055"/>
      <c r="D432" s="1055"/>
      <c r="E432" s="1055"/>
      <c r="F432" s="1057"/>
      <c r="G432" s="1055"/>
      <c r="H432" s="1055"/>
      <c r="I432" s="1055"/>
      <c r="J432" s="1055"/>
    </row>
    <row r="433" spans="1:10" ht="14">
      <c r="A433" s="233"/>
      <c r="C433" s="1045" t="s">
        <v>1363</v>
      </c>
      <c r="D433" s="1055"/>
      <c r="E433" s="448"/>
      <c r="F433" s="813"/>
      <c r="G433" s="1047" t="s">
        <v>1343</v>
      </c>
      <c r="H433" s="1055"/>
      <c r="I433" s="1055"/>
      <c r="J433" s="1055"/>
    </row>
    <row r="434" spans="1:10" ht="14">
      <c r="A434" s="2">
        <f>A431+1</f>
        <v>268</v>
      </c>
      <c r="C434" s="1048" t="s">
        <v>1344</v>
      </c>
      <c r="D434" s="1055"/>
      <c r="E434" s="1056"/>
      <c r="F434" s="1057" t="s">
        <v>1345</v>
      </c>
      <c r="G434" s="1061" t="s">
        <v>1362</v>
      </c>
      <c r="H434" s="1055"/>
      <c r="I434" s="448"/>
      <c r="J434" s="448"/>
    </row>
    <row r="435" spans="1:10" ht="14">
      <c r="A435" s="2">
        <f>A434+1</f>
        <v>269</v>
      </c>
      <c r="C435" s="1058" t="s">
        <v>1347</v>
      </c>
      <c r="D435" s="1055"/>
      <c r="E435" s="1059"/>
      <c r="F435" s="1060">
        <v>0</v>
      </c>
      <c r="G435" s="1062" t="s">
        <v>391</v>
      </c>
      <c r="H435" s="1055"/>
      <c r="I435" s="448"/>
      <c r="J435" s="448"/>
    </row>
    <row r="436" spans="1:10" ht="14">
      <c r="A436" s="2">
        <f>A435+1</f>
        <v>270</v>
      </c>
      <c r="C436" s="1058" t="s">
        <v>1349</v>
      </c>
      <c r="D436" s="1055"/>
      <c r="E436" s="1056"/>
      <c r="F436" s="1057" t="s">
        <v>1345</v>
      </c>
      <c r="G436" s="1061" t="s">
        <v>1362</v>
      </c>
      <c r="H436" s="1055"/>
      <c r="I436" s="448"/>
      <c r="J436" s="448"/>
    </row>
    <row r="437" spans="1:10" ht="14">
      <c r="A437" s="233"/>
      <c r="C437" s="1058"/>
      <c r="D437" s="1055"/>
      <c r="E437" s="1059"/>
      <c r="F437" s="1060"/>
      <c r="G437" s="448"/>
      <c r="H437" s="1055"/>
      <c r="I437" s="448"/>
      <c r="J437" s="448"/>
    </row>
    <row r="438" spans="1:10" ht="14">
      <c r="A438" s="233"/>
      <c r="C438" s="1045" t="s">
        <v>1364</v>
      </c>
      <c r="D438" s="1055"/>
      <c r="E438" s="448"/>
      <c r="F438" s="813"/>
      <c r="G438" s="1047" t="s">
        <v>1343</v>
      </c>
      <c r="H438" s="1055"/>
      <c r="I438" s="448"/>
      <c r="J438" s="448"/>
    </row>
    <row r="439" spans="1:10" ht="14">
      <c r="A439" s="2">
        <f>A436+1</f>
        <v>271</v>
      </c>
      <c r="C439" s="1048" t="s">
        <v>1344</v>
      </c>
      <c r="D439" s="1055"/>
      <c r="E439" s="1056"/>
      <c r="F439" s="1057" t="s">
        <v>1345</v>
      </c>
      <c r="G439" s="448" t="s">
        <v>1365</v>
      </c>
      <c r="H439" s="1055"/>
      <c r="I439" s="448"/>
      <c r="J439" s="448"/>
    </row>
    <row r="440" spans="1:10" ht="14">
      <c r="A440" s="2">
        <f>A439+1</f>
        <v>272</v>
      </c>
      <c r="C440" s="1058" t="s">
        <v>1347</v>
      </c>
      <c r="D440" s="1055"/>
      <c r="E440" s="1059"/>
      <c r="F440" s="1060">
        <v>0</v>
      </c>
      <c r="G440" s="448" t="s">
        <v>1366</v>
      </c>
      <c r="H440" s="1055"/>
      <c r="I440" s="448"/>
      <c r="J440" s="448"/>
    </row>
    <row r="441" spans="1:10" ht="14">
      <c r="A441" s="2">
        <f>A440+1</f>
        <v>273</v>
      </c>
      <c r="C441" s="1058" t="s">
        <v>1349</v>
      </c>
      <c r="D441" s="1055"/>
      <c r="E441" s="1056"/>
      <c r="F441" s="1057" t="s">
        <v>1345</v>
      </c>
      <c r="G441" s="448" t="s">
        <v>1367</v>
      </c>
      <c r="H441" s="1055"/>
      <c r="I441" s="448"/>
      <c r="J441" s="448"/>
    </row>
    <row r="442" spans="1:10" ht="14">
      <c r="A442" s="233"/>
      <c r="C442" s="1055"/>
      <c r="D442" s="1055"/>
      <c r="E442" s="1055"/>
      <c r="F442" s="1057"/>
      <c r="G442" s="1055"/>
      <c r="H442" s="1055"/>
      <c r="I442" s="1055"/>
      <c r="J442" s="1055"/>
    </row>
    <row r="443" spans="1:10" ht="14">
      <c r="A443" s="233"/>
      <c r="C443" s="1045" t="s">
        <v>1368</v>
      </c>
      <c r="D443" s="1055"/>
      <c r="E443" s="448"/>
      <c r="F443" s="813"/>
      <c r="G443" s="1047" t="s">
        <v>1343</v>
      </c>
      <c r="H443" s="1055"/>
      <c r="I443" s="1055"/>
      <c r="J443" s="1055"/>
    </row>
    <row r="444" spans="1:10" ht="14">
      <c r="A444" s="2">
        <f>A441+1</f>
        <v>274</v>
      </c>
      <c r="C444" s="1048" t="s">
        <v>1344</v>
      </c>
      <c r="D444" s="1055"/>
      <c r="E444" s="1056"/>
      <c r="F444" s="1057" t="s">
        <v>1345</v>
      </c>
      <c r="G444" s="1061" t="s">
        <v>1362</v>
      </c>
      <c r="H444" s="1055"/>
      <c r="I444" s="1055"/>
      <c r="J444" s="1055"/>
    </row>
    <row r="445" spans="1:10" ht="14">
      <c r="A445" s="2">
        <f>A444+1</f>
        <v>275</v>
      </c>
      <c r="C445" s="1058" t="s">
        <v>1347</v>
      </c>
      <c r="D445" s="1055"/>
      <c r="E445" s="1059"/>
      <c r="F445" s="1060">
        <v>0</v>
      </c>
      <c r="G445" s="1062" t="s">
        <v>391</v>
      </c>
      <c r="H445" s="1055"/>
      <c r="I445" s="1055"/>
      <c r="J445" s="1055"/>
    </row>
    <row r="446" spans="1:10" ht="14">
      <c r="A446" s="2">
        <f>A445+1</f>
        <v>276</v>
      </c>
      <c r="C446" s="1058" t="s">
        <v>1349</v>
      </c>
      <c r="D446" s="1055"/>
      <c r="E446" s="1056"/>
      <c r="F446" s="1057" t="s">
        <v>1345</v>
      </c>
      <c r="G446" s="1061" t="s">
        <v>1362</v>
      </c>
      <c r="H446" s="1055"/>
      <c r="I446" s="1055"/>
      <c r="J446" s="1055"/>
    </row>
    <row r="447" spans="1:10" ht="14">
      <c r="A447" s="233"/>
      <c r="C447" s="1055"/>
      <c r="D447" s="1055"/>
      <c r="E447" s="1055"/>
      <c r="F447" s="1057"/>
      <c r="G447" s="1055"/>
      <c r="H447" s="1055"/>
      <c r="I447" s="1055"/>
      <c r="J447" s="1055"/>
    </row>
    <row r="448" spans="1:10" ht="14">
      <c r="A448" s="233"/>
      <c r="C448" s="1045" t="s">
        <v>1369</v>
      </c>
      <c r="D448" s="1055"/>
      <c r="E448" s="448"/>
      <c r="F448" s="813"/>
      <c r="G448" s="1047" t="s">
        <v>1343</v>
      </c>
      <c r="H448" s="1055"/>
      <c r="I448" s="1055"/>
      <c r="J448" s="1055"/>
    </row>
    <row r="449" spans="1:10" ht="14">
      <c r="A449" s="2">
        <f>A446+1</f>
        <v>277</v>
      </c>
      <c r="C449" s="1048" t="s">
        <v>1344</v>
      </c>
      <c r="D449" s="1055"/>
      <c r="E449" s="1056"/>
      <c r="F449" s="1057" t="s">
        <v>1345</v>
      </c>
      <c r="G449" s="1061" t="s">
        <v>1362</v>
      </c>
      <c r="H449" s="1055"/>
      <c r="I449" s="1055"/>
      <c r="J449" s="1055"/>
    </row>
    <row r="450" spans="1:10" ht="14">
      <c r="A450" s="2">
        <f>A449+1</f>
        <v>278</v>
      </c>
      <c r="C450" s="1058" t="s">
        <v>1347</v>
      </c>
      <c r="D450" s="1055"/>
      <c r="E450" s="1059"/>
      <c r="F450" s="1060">
        <v>0</v>
      </c>
      <c r="G450" s="1062" t="s">
        <v>391</v>
      </c>
      <c r="H450" s="1055"/>
      <c r="I450" s="1055"/>
      <c r="J450" s="1055"/>
    </row>
    <row r="451" spans="1:10" ht="14">
      <c r="A451" s="2">
        <f>A450+1</f>
        <v>279</v>
      </c>
      <c r="C451" s="1058" t="s">
        <v>1349</v>
      </c>
      <c r="D451" s="1055"/>
      <c r="E451" s="1056"/>
      <c r="F451" s="1057" t="s">
        <v>1345</v>
      </c>
      <c r="G451" s="1061" t="s">
        <v>1362</v>
      </c>
      <c r="H451" s="1055"/>
      <c r="I451" s="1055"/>
      <c r="J451" s="1055"/>
    </row>
    <row r="452" spans="1:10" ht="14">
      <c r="A452" s="233"/>
      <c r="C452" s="1055"/>
      <c r="D452" s="1055"/>
      <c r="E452" s="1055"/>
      <c r="F452" s="1057"/>
      <c r="G452" s="1055"/>
      <c r="H452" s="1055"/>
      <c r="I452" s="1055"/>
      <c r="J452" s="1055"/>
    </row>
    <row r="453" spans="1:10" ht="14">
      <c r="A453" s="233"/>
      <c r="C453" s="1063" t="s">
        <v>1370</v>
      </c>
      <c r="D453" s="1055"/>
      <c r="E453" s="1055"/>
      <c r="F453" s="1055"/>
      <c r="G453" s="1047" t="s">
        <v>1343</v>
      </c>
      <c r="H453" s="1055"/>
      <c r="I453" s="1055"/>
      <c r="J453" s="1055"/>
    </row>
    <row r="454" spans="1:10" ht="14">
      <c r="A454" s="2">
        <f>A451+1</f>
        <v>280</v>
      </c>
      <c r="C454" s="1048" t="s">
        <v>1344</v>
      </c>
      <c r="D454" s="1055"/>
      <c r="E454" s="1055"/>
      <c r="F454" s="448" t="s">
        <v>1345</v>
      </c>
      <c r="G454" s="448" t="s">
        <v>1371</v>
      </c>
      <c r="H454" s="1055"/>
      <c r="I454" s="1055"/>
      <c r="J454" s="1055"/>
    </row>
    <row r="455" spans="1:10" ht="14">
      <c r="A455" s="2">
        <f>A454+1</f>
        <v>281</v>
      </c>
      <c r="C455" s="1058" t="s">
        <v>1347</v>
      </c>
      <c r="D455" s="1055"/>
      <c r="E455" s="1055"/>
      <c r="F455" s="1060">
        <v>0</v>
      </c>
      <c r="G455" s="1062" t="s">
        <v>391</v>
      </c>
      <c r="H455" s="1055"/>
      <c r="I455" s="1055"/>
      <c r="J455" s="1055"/>
    </row>
    <row r="456" spans="1:10" ht="14">
      <c r="A456" s="2">
        <f>A455+1</f>
        <v>282</v>
      </c>
      <c r="C456" s="1058" t="s">
        <v>1349</v>
      </c>
      <c r="D456" s="1055"/>
      <c r="E456" s="1055"/>
      <c r="F456" s="448" t="s">
        <v>1035</v>
      </c>
      <c r="G456" s="1062" t="s">
        <v>391</v>
      </c>
      <c r="H456" s="1055"/>
      <c r="I456" s="1055"/>
      <c r="J456" s="1055"/>
    </row>
    <row r="457" spans="1:10" ht="14">
      <c r="A457" s="233"/>
      <c r="C457" s="1055"/>
      <c r="D457" s="1055"/>
      <c r="E457" s="1055"/>
      <c r="F457" s="1055"/>
      <c r="G457" s="1055"/>
      <c r="H457" s="1055"/>
      <c r="I457" s="1055"/>
      <c r="J457" s="1055"/>
    </row>
    <row r="458" spans="1:10" ht="14">
      <c r="A458" s="233"/>
      <c r="C458" s="1063" t="s">
        <v>1372</v>
      </c>
      <c r="D458" s="1055"/>
      <c r="E458" s="1055"/>
      <c r="F458" s="1055"/>
      <c r="G458" s="1047" t="s">
        <v>1343</v>
      </c>
      <c r="H458" s="1055"/>
      <c r="I458" s="1055"/>
      <c r="J458" s="1055"/>
    </row>
    <row r="459" spans="1:10" ht="14">
      <c r="A459" s="2">
        <f>A456+1</f>
        <v>283</v>
      </c>
      <c r="C459" s="1048" t="s">
        <v>1344</v>
      </c>
      <c r="D459" s="1055"/>
      <c r="E459" s="1055"/>
      <c r="F459" s="448" t="s">
        <v>1345</v>
      </c>
      <c r="G459" s="448" t="s">
        <v>1371</v>
      </c>
      <c r="H459" s="1055"/>
      <c r="I459" s="1055"/>
      <c r="J459" s="1055"/>
    </row>
    <row r="460" spans="1:10" ht="14">
      <c r="A460" s="2">
        <f>A459+1</f>
        <v>284</v>
      </c>
      <c r="C460" s="1058" t="s">
        <v>1347</v>
      </c>
      <c r="D460" s="1055"/>
      <c r="E460" s="1055"/>
      <c r="F460" s="1060">
        <v>0</v>
      </c>
      <c r="G460" s="1062" t="s">
        <v>391</v>
      </c>
      <c r="H460" s="1055"/>
      <c r="I460" s="1055"/>
      <c r="J460" s="1055"/>
    </row>
    <row r="461" spans="1:10" ht="14">
      <c r="A461" s="2">
        <f>A460+1</f>
        <v>285</v>
      </c>
      <c r="C461" s="1058" t="s">
        <v>1349</v>
      </c>
      <c r="D461" s="1055"/>
      <c r="E461" s="1055"/>
      <c r="F461" s="448" t="s">
        <v>1345</v>
      </c>
      <c r="G461" s="448" t="s">
        <v>1373</v>
      </c>
      <c r="H461" s="1055"/>
      <c r="I461" s="1055"/>
      <c r="J461" s="1055"/>
    </row>
    <row r="462" spans="1:10" ht="14">
      <c r="A462" s="233"/>
      <c r="C462" s="1055"/>
      <c r="D462" s="1055"/>
      <c r="E462" s="1055"/>
      <c r="F462" s="1055"/>
      <c r="G462" s="1055"/>
      <c r="H462" s="1055"/>
      <c r="I462" s="1055"/>
      <c r="J462" s="1055"/>
    </row>
    <row r="463" spans="1:10" ht="14">
      <c r="A463" s="233"/>
      <c r="C463" s="1063" t="s">
        <v>1374</v>
      </c>
      <c r="D463" s="1055"/>
      <c r="E463" s="1055"/>
      <c r="F463" s="1055"/>
      <c r="G463" s="1047" t="s">
        <v>1343</v>
      </c>
      <c r="H463" s="1055"/>
      <c r="I463" s="1055"/>
      <c r="J463" s="1055"/>
    </row>
    <row r="464" spans="1:10" ht="14">
      <c r="A464" s="2">
        <f>A461+1</f>
        <v>286</v>
      </c>
      <c r="C464" s="1048" t="s">
        <v>1344</v>
      </c>
      <c r="D464" s="1055"/>
      <c r="E464" s="1055"/>
      <c r="F464" s="448" t="s">
        <v>1345</v>
      </c>
      <c r="G464" s="448" t="s">
        <v>1371</v>
      </c>
      <c r="H464" s="1055"/>
      <c r="I464" s="1055"/>
      <c r="J464" s="1055"/>
    </row>
    <row r="465" spans="1:10" ht="14">
      <c r="A465" s="2">
        <f>A464+1</f>
        <v>287</v>
      </c>
      <c r="C465" s="1058" t="s">
        <v>1347</v>
      </c>
      <c r="D465" s="1055"/>
      <c r="E465" s="1055"/>
      <c r="F465" s="1060">
        <v>0</v>
      </c>
      <c r="G465" s="1062" t="s">
        <v>391</v>
      </c>
      <c r="H465" s="1055"/>
      <c r="I465" s="1055"/>
      <c r="J465" s="1055"/>
    </row>
    <row r="466" spans="1:10" ht="14">
      <c r="A466" s="2">
        <f>A465+1</f>
        <v>288</v>
      </c>
      <c r="C466" s="1058" t="s">
        <v>1349</v>
      </c>
      <c r="D466" s="1055"/>
      <c r="E466" s="1055"/>
      <c r="F466" s="448" t="s">
        <v>1345</v>
      </c>
      <c r="G466" s="448" t="s">
        <v>1373</v>
      </c>
      <c r="H466" s="1055"/>
      <c r="I466" s="1055"/>
      <c r="J466" s="1055"/>
    </row>
    <row r="467" spans="1:10" ht="13">
      <c r="A467" s="2"/>
      <c r="C467" s="1064"/>
      <c r="D467" s="1064"/>
      <c r="E467" s="1064"/>
      <c r="F467" s="1064"/>
      <c r="G467" s="1064"/>
      <c r="H467" s="1064"/>
      <c r="I467" s="1064"/>
      <c r="J467" s="1064"/>
    </row>
    <row r="468" spans="1:10" ht="14">
      <c r="A468" s="2"/>
      <c r="C468" s="1063" t="s">
        <v>1375</v>
      </c>
      <c r="D468" s="1055"/>
      <c r="E468" s="1055"/>
      <c r="F468" s="1055"/>
      <c r="G468" s="1047" t="s">
        <v>1343</v>
      </c>
      <c r="H468" s="1055"/>
      <c r="I468" s="1055"/>
      <c r="J468" s="1055"/>
    </row>
    <row r="469" spans="1:10" ht="14">
      <c r="A469" s="2">
        <f>A466+1</f>
        <v>289</v>
      </c>
      <c r="C469" s="1048" t="s">
        <v>1344</v>
      </c>
      <c r="D469" s="1055"/>
      <c r="E469" s="1055"/>
      <c r="F469" s="448" t="s">
        <v>1345</v>
      </c>
      <c r="G469" s="448" t="s">
        <v>1376</v>
      </c>
      <c r="H469" s="1055"/>
      <c r="I469" s="1055"/>
      <c r="J469" s="1055"/>
    </row>
    <row r="470" spans="1:10" ht="14">
      <c r="A470" s="2">
        <f t="shared" ref="A470:A471" si="55">A469+1</f>
        <v>290</v>
      </c>
      <c r="C470" s="1058" t="s">
        <v>1347</v>
      </c>
      <c r="D470" s="1055"/>
      <c r="E470" s="1055"/>
      <c r="F470" s="1060">
        <v>0</v>
      </c>
      <c r="G470" s="1062"/>
      <c r="H470" s="1055"/>
      <c r="I470" s="1055"/>
      <c r="J470" s="1055"/>
    </row>
    <row r="471" spans="1:10" ht="14">
      <c r="A471" s="2">
        <f t="shared" si="55"/>
        <v>291</v>
      </c>
      <c r="C471" s="1058" t="s">
        <v>1349</v>
      </c>
      <c r="D471" s="1055"/>
      <c r="E471" s="1055"/>
      <c r="F471" s="448" t="s">
        <v>1345</v>
      </c>
      <c r="G471" s="448" t="s">
        <v>1377</v>
      </c>
      <c r="H471" s="1055"/>
      <c r="I471" s="1055"/>
      <c r="J471" s="1055"/>
    </row>
    <row r="472" spans="1:10" ht="13">
      <c r="A472" s="2"/>
      <c r="C472" s="1064"/>
      <c r="D472" s="1064"/>
      <c r="E472" s="1064"/>
      <c r="F472" s="1064"/>
      <c r="G472" s="1064"/>
      <c r="H472" s="1064"/>
      <c r="I472" s="1064"/>
      <c r="J472" s="1064"/>
    </row>
    <row r="473" spans="1:10" ht="13">
      <c r="A473" s="2"/>
      <c r="B473" s="590"/>
      <c r="C473" s="1086" t="s">
        <v>1378</v>
      </c>
      <c r="D473" s="392"/>
      <c r="E473" s="392"/>
      <c r="F473" s="392"/>
      <c r="G473" s="105" t="s">
        <v>1343</v>
      </c>
      <c r="H473" s="392"/>
      <c r="I473" s="392"/>
      <c r="J473" s="392"/>
    </row>
    <row r="474" spans="1:10" ht="13">
      <c r="A474" s="2">
        <f>A471+1</f>
        <v>292</v>
      </c>
      <c r="B474" s="590"/>
      <c r="C474" s="264" t="s">
        <v>1344</v>
      </c>
      <c r="D474" s="240"/>
      <c r="E474" s="240"/>
      <c r="F474" s="448" t="s">
        <v>1345</v>
      </c>
      <c r="G474" s="240" t="s">
        <v>1379</v>
      </c>
      <c r="H474" s="240"/>
      <c r="I474" s="392"/>
      <c r="J474" s="392"/>
    </row>
    <row r="475" spans="1:10" ht="14">
      <c r="A475" s="2">
        <f t="shared" ref="A475:A476" si="56">A474+1</f>
        <v>293</v>
      </c>
      <c r="B475" s="590"/>
      <c r="C475" s="264" t="s">
        <v>1347</v>
      </c>
      <c r="D475" s="240"/>
      <c r="E475" s="240"/>
      <c r="F475" s="1087">
        <v>0</v>
      </c>
      <c r="G475" s="240"/>
      <c r="H475" s="240"/>
      <c r="I475" s="392"/>
      <c r="J475" s="392"/>
    </row>
    <row r="476" spans="1:10" ht="13">
      <c r="A476" s="2">
        <f t="shared" si="56"/>
        <v>294</v>
      </c>
      <c r="B476" s="590"/>
      <c r="C476" s="264" t="s">
        <v>1349</v>
      </c>
      <c r="D476" s="240"/>
      <c r="E476" s="240"/>
      <c r="F476" s="448" t="s">
        <v>1345</v>
      </c>
      <c r="G476" s="240" t="s">
        <v>1380</v>
      </c>
      <c r="H476" s="240"/>
      <c r="I476" s="392"/>
      <c r="J476" s="392"/>
    </row>
    <row r="477" spans="1:10" ht="13">
      <c r="A477" s="2"/>
      <c r="B477" s="590"/>
      <c r="C477" s="1067"/>
      <c r="D477" s="392"/>
      <c r="E477" s="392"/>
      <c r="F477" s="392"/>
      <c r="G477" s="392"/>
      <c r="H477" s="392"/>
      <c r="I477" s="392"/>
      <c r="J477" s="392"/>
    </row>
    <row r="478" spans="1:10" ht="13">
      <c r="A478" s="2"/>
      <c r="B478" s="590"/>
      <c r="C478" s="1086" t="s">
        <v>1381</v>
      </c>
      <c r="D478" s="240"/>
      <c r="E478" s="240"/>
      <c r="F478" s="240"/>
      <c r="G478" s="105" t="s">
        <v>1343</v>
      </c>
      <c r="H478" s="240"/>
      <c r="I478" s="392"/>
      <c r="J478" s="392"/>
    </row>
    <row r="479" spans="1:10" ht="13">
      <c r="A479" s="2">
        <f>A476+1</f>
        <v>295</v>
      </c>
      <c r="B479" s="590"/>
      <c r="C479" s="264" t="s">
        <v>1344</v>
      </c>
      <c r="D479" s="240"/>
      <c r="E479" s="240"/>
      <c r="F479" s="448" t="s">
        <v>1345</v>
      </c>
      <c r="G479" s="240" t="s">
        <v>1379</v>
      </c>
      <c r="H479" s="240"/>
      <c r="I479" s="392"/>
      <c r="J479" s="392"/>
    </row>
    <row r="480" spans="1:10" ht="14">
      <c r="A480" s="2">
        <f t="shared" ref="A480:A481" si="57">A479+1</f>
        <v>296</v>
      </c>
      <c r="B480" s="590"/>
      <c r="C480" s="264" t="s">
        <v>1347</v>
      </c>
      <c r="D480" s="240"/>
      <c r="E480" s="240"/>
      <c r="F480" s="1087">
        <v>0</v>
      </c>
      <c r="G480" s="240"/>
      <c r="H480" s="240"/>
      <c r="I480" s="392"/>
      <c r="J480" s="392"/>
    </row>
    <row r="481" spans="1:10" ht="13">
      <c r="A481" s="2">
        <f t="shared" si="57"/>
        <v>297</v>
      </c>
      <c r="B481" s="590"/>
      <c r="C481" s="264" t="s">
        <v>1349</v>
      </c>
      <c r="D481" s="240"/>
      <c r="E481" s="240"/>
      <c r="F481" s="448" t="s">
        <v>1345</v>
      </c>
      <c r="G481" s="240" t="s">
        <v>1380</v>
      </c>
      <c r="H481" s="240"/>
      <c r="I481" s="392"/>
      <c r="J481" s="392"/>
    </row>
    <row r="482" spans="1:10" ht="13">
      <c r="A482" s="2"/>
      <c r="B482" s="590"/>
      <c r="C482" s="1064"/>
      <c r="D482" s="1064"/>
      <c r="E482" s="1064"/>
      <c r="F482" s="1064"/>
      <c r="G482" s="1064"/>
      <c r="H482" s="1064"/>
      <c r="I482" s="1068"/>
      <c r="J482" s="1068"/>
    </row>
    <row r="483" spans="1:10" ht="13">
      <c r="A483" s="2"/>
      <c r="B483" s="590"/>
      <c r="C483" s="1086" t="s">
        <v>1382</v>
      </c>
      <c r="D483" s="240"/>
      <c r="E483" s="240"/>
      <c r="F483" s="240"/>
      <c r="G483" s="105" t="s">
        <v>1343</v>
      </c>
      <c r="H483" s="240"/>
      <c r="I483" s="392"/>
      <c r="J483" s="392"/>
    </row>
    <row r="484" spans="1:10" ht="13">
      <c r="A484" s="2">
        <f>A481+1</f>
        <v>298</v>
      </c>
      <c r="B484" s="590"/>
      <c r="C484" s="264" t="s">
        <v>1344</v>
      </c>
      <c r="D484" s="240"/>
      <c r="E484" s="240"/>
      <c r="F484" s="240"/>
      <c r="G484" s="240"/>
      <c r="H484" s="240"/>
      <c r="I484" s="392"/>
      <c r="J484" s="392"/>
    </row>
    <row r="485" spans="1:10" ht="13">
      <c r="A485" s="2">
        <f t="shared" ref="A485:A486" si="58">A484+1</f>
        <v>299</v>
      </c>
      <c r="B485" s="590"/>
      <c r="C485" s="264" t="s">
        <v>1347</v>
      </c>
      <c r="D485" s="240"/>
      <c r="E485" s="240"/>
      <c r="F485" s="240"/>
      <c r="G485" s="240"/>
      <c r="H485" s="240"/>
      <c r="I485" s="392"/>
      <c r="J485" s="392"/>
    </row>
    <row r="486" spans="1:10" ht="13">
      <c r="A486" s="2">
        <f t="shared" si="58"/>
        <v>300</v>
      </c>
      <c r="B486" s="590"/>
      <c r="C486" s="264" t="s">
        <v>1349</v>
      </c>
      <c r="D486" s="240"/>
      <c r="E486" s="240"/>
      <c r="F486" s="240"/>
      <c r="G486" s="240"/>
      <c r="H486" s="240"/>
      <c r="I486" s="392"/>
      <c r="J486" s="392"/>
    </row>
    <row r="487" spans="1:10">
      <c r="A487" s="54"/>
      <c r="B487" s="54"/>
      <c r="C487" s="54"/>
      <c r="D487" s="54"/>
      <c r="E487" s="54"/>
      <c r="F487" s="54"/>
      <c r="G487" s="54"/>
      <c r="H487" s="54"/>
      <c r="I487" s="54"/>
      <c r="J487" s="54"/>
    </row>
    <row r="488" spans="1:10">
      <c r="A488" s="54"/>
      <c r="B488" s="54"/>
      <c r="C488" s="54"/>
      <c r="D488" s="54"/>
      <c r="E488" s="54"/>
      <c r="F488" s="54"/>
      <c r="G488" s="54"/>
      <c r="H488" s="54"/>
      <c r="I488" s="54"/>
      <c r="J488" s="54"/>
    </row>
    <row r="489" spans="1:10">
      <c r="A489" s="54"/>
      <c r="B489" s="54"/>
      <c r="C489" s="1076" t="s">
        <v>641</v>
      </c>
      <c r="D489" s="54"/>
      <c r="E489" s="54"/>
      <c r="F489" s="54"/>
      <c r="G489" s="54"/>
      <c r="H489" s="54"/>
      <c r="I489" s="54"/>
      <c r="J489" s="54"/>
    </row>
    <row r="490" spans="1:10" ht="13">
      <c r="B490" s="47" t="s">
        <v>444</v>
      </c>
    </row>
    <row r="491" spans="1:10">
      <c r="C491" s="233" t="s">
        <v>1383</v>
      </c>
    </row>
    <row r="492" spans="1:10">
      <c r="C492" t="s">
        <v>1384</v>
      </c>
    </row>
  </sheetData>
  <phoneticPr fontId="24" type="noConversion"/>
  <pageMargins left="0.75" right="0.75" top="1" bottom="0.75" header="0.5" footer="0.5"/>
  <pageSetup scale="54" orientation="portrait" cellComments="asDisplayed" r:id="rId1"/>
  <headerFooter alignWithMargins="0">
    <oddHeader xml:space="preserve">&amp;CSchedule 14
Incentive Plant
</oddHeader>
    <oddFooter>&amp;R&amp;A</oddFooter>
  </headerFooter>
  <rowBreaks count="6" manualBreakCount="6">
    <brk id="69" max="9" man="1"/>
    <brk id="134" max="9" man="1"/>
    <brk id="192" max="9" man="1"/>
    <brk id="249" max="9" man="1"/>
    <brk id="306" max="9" man="1"/>
    <brk id="402"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12"/>
  <sheetViews>
    <sheetView zoomScaleNormal="100" workbookViewId="0">
      <selection activeCell="L41" sqref="L41"/>
    </sheetView>
  </sheetViews>
  <sheetFormatPr defaultRowHeight="12.5"/>
  <cols>
    <col min="1" max="2" width="4.54296875" customWidth="1"/>
    <col min="3" max="4" width="10.54296875" customWidth="1"/>
    <col min="5" max="9" width="15.54296875" customWidth="1"/>
  </cols>
  <sheetData>
    <row r="1" spans="1:9" ht="13">
      <c r="A1" s="1" t="s">
        <v>1385</v>
      </c>
      <c r="B1" s="1"/>
    </row>
    <row r="2" spans="1:9" ht="13">
      <c r="A2" s="1"/>
      <c r="B2" s="1"/>
      <c r="G2" s="264" t="s">
        <v>1183</v>
      </c>
      <c r="H2" s="264"/>
    </row>
    <row r="3" spans="1:9" ht="13">
      <c r="A3" s="1"/>
      <c r="B3" s="233" t="s">
        <v>1386</v>
      </c>
    </row>
    <row r="4" spans="1:9" ht="13">
      <c r="A4" s="1"/>
      <c r="B4" s="232" t="s">
        <v>1387</v>
      </c>
    </row>
    <row r="5" spans="1:9" ht="13">
      <c r="A5" s="1"/>
      <c r="B5" s="232" t="s">
        <v>1388</v>
      </c>
    </row>
    <row r="7" spans="1:9" ht="13.5" customHeight="1">
      <c r="B7" s="1" t="s">
        <v>1389</v>
      </c>
    </row>
    <row r="8" spans="1:9" ht="13">
      <c r="A8" s="1"/>
      <c r="B8" s="1"/>
    </row>
    <row r="9" spans="1:9" ht="13">
      <c r="A9" s="1"/>
      <c r="B9" s="1"/>
      <c r="C9" s="233" t="s">
        <v>1390</v>
      </c>
    </row>
    <row r="10" spans="1:9" ht="13">
      <c r="A10" s="1"/>
      <c r="B10" s="1"/>
      <c r="C10" s="233" t="s">
        <v>1391</v>
      </c>
    </row>
    <row r="11" spans="1:9" ht="13">
      <c r="A11" s="1"/>
      <c r="B11" s="1"/>
      <c r="C11" s="233"/>
    </row>
    <row r="12" spans="1:9" ht="13">
      <c r="A12" s="1"/>
      <c r="B12" s="1"/>
      <c r="C12" s="233" t="s">
        <v>1392</v>
      </c>
    </row>
    <row r="13" spans="1:9" ht="13">
      <c r="A13" s="1"/>
      <c r="B13" s="1"/>
    </row>
    <row r="14" spans="1:9" ht="13">
      <c r="A14" s="30" t="s">
        <v>284</v>
      </c>
      <c r="B14" s="1"/>
      <c r="C14" s="233" t="s">
        <v>289</v>
      </c>
      <c r="G14" s="62" t="s">
        <v>105</v>
      </c>
      <c r="I14" s="3" t="s">
        <v>686</v>
      </c>
    </row>
    <row r="15" spans="1:9" ht="13">
      <c r="A15" s="2">
        <v>1</v>
      </c>
      <c r="B15" s="1"/>
      <c r="C15" s="232" t="s">
        <v>1393</v>
      </c>
      <c r="G15" s="7" t="e">
        <f>'1-BaseTRR'!K82</f>
        <v>#DIV/0!</v>
      </c>
      <c r="I15" s="233" t="str">
        <f>"1-BaseTRR, L "&amp;'1-BaseTRR'!A82&amp;""</f>
        <v>1-BaseTRR, L 47</v>
      </c>
    </row>
    <row r="16" spans="1:9" ht="13">
      <c r="A16" s="2">
        <v>2</v>
      </c>
      <c r="B16" s="1"/>
      <c r="C16" s="232" t="s">
        <v>197</v>
      </c>
      <c r="G16" s="7">
        <f>'1-BaseTRR'!K104</f>
        <v>0</v>
      </c>
      <c r="I16" s="233" t="str">
        <f>"1-BaseTRR, L "&amp;'1-BaseTRR'!A104&amp;""</f>
        <v>1-BaseTRR, L 59</v>
      </c>
    </row>
    <row r="17" spans="1:9" ht="13">
      <c r="A17" s="2">
        <v>3</v>
      </c>
      <c r="B17" s="1"/>
      <c r="F17" s="231" t="s">
        <v>1394</v>
      </c>
      <c r="G17" s="6" t="e">
        <f>G15*(1/(1-G16))* 10000</f>
        <v>#DIV/0!</v>
      </c>
      <c r="I17" s="233" t="s">
        <v>1395</v>
      </c>
    </row>
    <row r="19" spans="1:9" ht="13">
      <c r="B19" s="1" t="s">
        <v>1396</v>
      </c>
    </row>
    <row r="20" spans="1:9" ht="13">
      <c r="A20" s="1"/>
      <c r="B20" s="1"/>
      <c r="C20" s="233" t="s">
        <v>1397</v>
      </c>
    </row>
    <row r="21" spans="1:9" ht="13">
      <c r="A21" s="1"/>
      <c r="B21" s="1"/>
      <c r="C21" s="233" t="s">
        <v>1398</v>
      </c>
    </row>
    <row r="22" spans="1:9" ht="13">
      <c r="A22" s="1"/>
      <c r="B22" s="1"/>
    </row>
    <row r="23" spans="1:9" ht="13">
      <c r="A23" s="1"/>
      <c r="B23" s="1"/>
      <c r="F23" s="2" t="s">
        <v>1399</v>
      </c>
    </row>
    <row r="24" spans="1:9" ht="13">
      <c r="A24" s="30" t="s">
        <v>284</v>
      </c>
      <c r="B24" s="30"/>
      <c r="E24" s="3" t="s">
        <v>1400</v>
      </c>
      <c r="F24" s="3" t="s">
        <v>1401</v>
      </c>
      <c r="G24" s="3" t="s">
        <v>686</v>
      </c>
    </row>
    <row r="25" spans="1:9" ht="13">
      <c r="A25" s="2">
        <f>A17+1</f>
        <v>4</v>
      </c>
      <c r="B25" s="2"/>
      <c r="C25" t="s">
        <v>1292</v>
      </c>
      <c r="E25" s="26">
        <f>'14-IncentivePlant'!F407</f>
        <v>7.4999999999999997E-3</v>
      </c>
      <c r="F25" s="55">
        <f>E25/0.01</f>
        <v>0.75</v>
      </c>
      <c r="G25" s="232" t="str">
        <f>"14-IncentivePlant, L "&amp;'14-IncentivePlant'!A407&amp;""</f>
        <v>14-IncentivePlant, L 251</v>
      </c>
    </row>
    <row r="26" spans="1:9" ht="13">
      <c r="A26" s="2">
        <f>A25+1</f>
        <v>5</v>
      </c>
      <c r="B26" s="2"/>
      <c r="C26" t="s">
        <v>1293</v>
      </c>
      <c r="E26" s="26">
        <f>'14-IncentivePlant'!F412</f>
        <v>1.2500000000000001E-2</v>
      </c>
      <c r="F26" s="55">
        <f>E26/0.01</f>
        <v>1.25</v>
      </c>
      <c r="G26" s="232" t="str">
        <f>"14-IncentivePlant, L "&amp;'14-IncentivePlant'!A412&amp;""</f>
        <v>14-IncentivePlant, L 254</v>
      </c>
    </row>
    <row r="27" spans="1:9" ht="13">
      <c r="A27" s="2">
        <f>A26+1</f>
        <v>6</v>
      </c>
      <c r="B27" s="2"/>
      <c r="C27" s="233" t="s">
        <v>1402</v>
      </c>
      <c r="E27" s="26">
        <f>'14-IncentivePlant'!F417</f>
        <v>0.01</v>
      </c>
      <c r="F27" s="55">
        <f>E27/0.01</f>
        <v>1</v>
      </c>
      <c r="G27" s="232" t="str">
        <f>"14-IncentivePlant, L "&amp;'14-IncentivePlant'!A417&amp;""</f>
        <v>14-IncentivePlant, L 257</v>
      </c>
    </row>
    <row r="28" spans="1:9" ht="13">
      <c r="A28" s="2">
        <f>A27+1</f>
        <v>7</v>
      </c>
      <c r="B28" s="2"/>
      <c r="C28" s="240"/>
      <c r="D28" s="54"/>
      <c r="E28" s="26"/>
      <c r="F28" s="55"/>
    </row>
    <row r="29" spans="1:9" ht="13">
      <c r="A29" s="2">
        <f>A28+1</f>
        <v>8</v>
      </c>
      <c r="B29" s="2"/>
      <c r="C29" s="248" t="s">
        <v>641</v>
      </c>
      <c r="E29" s="26"/>
      <c r="F29" s="55"/>
    </row>
    <row r="31" spans="1:9" ht="13">
      <c r="B31" s="1" t="s">
        <v>1403</v>
      </c>
    </row>
    <row r="32" spans="1:9" ht="13">
      <c r="A32" s="1"/>
      <c r="B32" s="1"/>
      <c r="C32" s="233" t="s">
        <v>1404</v>
      </c>
    </row>
    <row r="33" spans="1:9" ht="13">
      <c r="A33" s="1"/>
      <c r="B33" s="1"/>
      <c r="C33" s="233" t="s">
        <v>1405</v>
      </c>
    </row>
    <row r="34" spans="1:9" ht="13">
      <c r="A34" s="1"/>
      <c r="B34" s="1"/>
      <c r="C34" s="233" t="s">
        <v>1406</v>
      </c>
    </row>
    <row r="35" spans="1:9" ht="13">
      <c r="E35" s="2"/>
      <c r="G35" s="2"/>
    </row>
    <row r="36" spans="1:9" ht="13">
      <c r="E36" s="2" t="s">
        <v>933</v>
      </c>
      <c r="G36" s="2" t="s">
        <v>933</v>
      </c>
    </row>
    <row r="37" spans="1:9" ht="13">
      <c r="E37" s="2" t="s">
        <v>1272</v>
      </c>
      <c r="F37" s="2" t="s">
        <v>1399</v>
      </c>
      <c r="G37" s="2" t="s">
        <v>1272</v>
      </c>
    </row>
    <row r="38" spans="1:9" ht="13">
      <c r="A38" s="30" t="s">
        <v>284</v>
      </c>
      <c r="B38" s="30"/>
      <c r="E38" s="3" t="s">
        <v>126</v>
      </c>
      <c r="F38" s="3" t="s">
        <v>1401</v>
      </c>
      <c r="G38" s="3" t="s">
        <v>1407</v>
      </c>
      <c r="H38" s="3" t="s">
        <v>686</v>
      </c>
    </row>
    <row r="39" spans="1:9" ht="13">
      <c r="A39" s="2">
        <f>A29+1</f>
        <v>9</v>
      </c>
      <c r="B39" s="2"/>
      <c r="C39" t="s">
        <v>1292</v>
      </c>
      <c r="E39" s="6">
        <f>'14-IncentivePlant'!E49</f>
        <v>0</v>
      </c>
      <c r="F39" s="55">
        <f>F25</f>
        <v>0.75</v>
      </c>
      <c r="G39" s="6" t="e">
        <f>(E39/1000000)*(F39*$G$17)</f>
        <v>#DIV/0!</v>
      </c>
      <c r="H39" s="232" t="str">
        <f>"14-IncentivePlant, L "&amp;'14-IncentivePlant'!A49&amp;", Col. 1"</f>
        <v>14-IncentivePlant, L 16, Col. 1</v>
      </c>
    </row>
    <row r="40" spans="1:9" ht="13">
      <c r="A40" s="2">
        <f>A39+1</f>
        <v>10</v>
      </c>
      <c r="B40" s="2"/>
      <c r="C40" t="s">
        <v>1293</v>
      </c>
      <c r="E40" s="6">
        <f>'14-IncentivePlant'!E50</f>
        <v>0</v>
      </c>
      <c r="F40" s="55">
        <f>F26</f>
        <v>1.25</v>
      </c>
      <c r="G40" s="6" t="e">
        <f>(E40/1000000)*(F40*$G$17)</f>
        <v>#DIV/0!</v>
      </c>
      <c r="H40" s="232" t="str">
        <f>"14-IncentivePlant, L "&amp;'14-IncentivePlant'!A50&amp;", Col. 1"</f>
        <v>14-IncentivePlant, L 17, Col. 1</v>
      </c>
    </row>
    <row r="41" spans="1:9" ht="13">
      <c r="A41" s="2">
        <f>A40+1</f>
        <v>11</v>
      </c>
      <c r="B41" s="2"/>
      <c r="C41" s="233" t="s">
        <v>1402</v>
      </c>
      <c r="E41" s="6">
        <f>'14-IncentivePlant'!E51</f>
        <v>0</v>
      </c>
      <c r="F41" s="55">
        <f>F27</f>
        <v>1</v>
      </c>
      <c r="G41" s="6" t="e">
        <f>(E41/1000000)*(F41*$G$17)</f>
        <v>#DIV/0!</v>
      </c>
      <c r="H41" s="232" t="str">
        <f>"14-IncentivePlant, L "&amp;'14-IncentivePlant'!A51&amp;", Col. 1"</f>
        <v>14-IncentivePlant, L 18, Col. 1</v>
      </c>
    </row>
    <row r="42" spans="1:9" ht="13">
      <c r="A42" s="2">
        <f>A41+1</f>
        <v>12</v>
      </c>
      <c r="B42" s="2"/>
      <c r="C42" s="240"/>
      <c r="D42" s="54"/>
    </row>
    <row r="43" spans="1:9" ht="13">
      <c r="A43" s="2">
        <f>A42+1</f>
        <v>13</v>
      </c>
      <c r="B43" s="2"/>
      <c r="C43" s="248" t="s">
        <v>641</v>
      </c>
    </row>
    <row r="44" spans="1:9" ht="13">
      <c r="A44" s="2">
        <f>A43+1</f>
        <v>14</v>
      </c>
      <c r="F44" s="25" t="s">
        <v>1408</v>
      </c>
      <c r="G44" s="6" t="e">
        <f>SUM(G39:G42)</f>
        <v>#DIV/0!</v>
      </c>
      <c r="H44" s="232" t="s">
        <v>1409</v>
      </c>
    </row>
    <row r="45" spans="1:9">
      <c r="H45" s="232" t="s">
        <v>1410</v>
      </c>
      <c r="I45" s="6"/>
    </row>
    <row r="46" spans="1:9" ht="13">
      <c r="B46" s="1" t="s">
        <v>1411</v>
      </c>
    </row>
    <row r="47" spans="1:9" ht="13">
      <c r="A47" s="1"/>
      <c r="B47" s="1"/>
      <c r="C47" s="233" t="s">
        <v>1412</v>
      </c>
    </row>
    <row r="48" spans="1:9" ht="13">
      <c r="A48" s="1"/>
      <c r="B48" s="1"/>
      <c r="C48" s="233" t="s">
        <v>1413</v>
      </c>
    </row>
    <row r="49" spans="1:9" ht="13">
      <c r="A49" s="1"/>
      <c r="B49" s="1"/>
      <c r="C49" s="233" t="s">
        <v>1414</v>
      </c>
    </row>
    <row r="51" spans="1:9" ht="13">
      <c r="E51" s="2" t="s">
        <v>1415</v>
      </c>
      <c r="G51" s="2" t="s">
        <v>1415</v>
      </c>
    </row>
    <row r="52" spans="1:9" ht="13">
      <c r="E52" s="2" t="s">
        <v>1272</v>
      </c>
      <c r="F52" s="2" t="s">
        <v>1399</v>
      </c>
      <c r="G52" s="2" t="s">
        <v>1272</v>
      </c>
    </row>
    <row r="53" spans="1:9" ht="13">
      <c r="A53" s="30" t="s">
        <v>284</v>
      </c>
      <c r="B53" s="30"/>
      <c r="E53" s="3" t="s">
        <v>1324</v>
      </c>
      <c r="F53" s="3" t="s">
        <v>1401</v>
      </c>
      <c r="G53" s="3" t="s">
        <v>1407</v>
      </c>
      <c r="H53" s="3" t="s">
        <v>686</v>
      </c>
    </row>
    <row r="54" spans="1:9" ht="13">
      <c r="A54" s="2">
        <f>A44+1</f>
        <v>15</v>
      </c>
      <c r="B54" s="2"/>
      <c r="C54" t="s">
        <v>1292</v>
      </c>
      <c r="E54" s="6">
        <f>'14-IncentivePlant'!E63</f>
        <v>0</v>
      </c>
      <c r="F54" s="55">
        <f>F25</f>
        <v>0.75</v>
      </c>
      <c r="G54" s="6" t="e">
        <f>(E54/1000000)*(F54*$G$17)</f>
        <v>#DIV/0!</v>
      </c>
      <c r="H54" s="232" t="str">
        <f>"14-IncentivePlant, L "&amp;'14-IncentivePlant'!A63&amp;", Col. 1"</f>
        <v>14-IncentivePlant, L 22, Col. 1</v>
      </c>
    </row>
    <row r="55" spans="1:9" ht="13">
      <c r="A55" s="2">
        <f>A54+1</f>
        <v>16</v>
      </c>
      <c r="B55" s="2"/>
      <c r="C55" t="s">
        <v>1293</v>
      </c>
      <c r="E55" s="6">
        <f>'14-IncentivePlant'!E64</f>
        <v>0</v>
      </c>
      <c r="F55" s="55">
        <f>F26</f>
        <v>1.25</v>
      </c>
      <c r="G55" s="6" t="e">
        <f>(E55/1000000)*(F55*$G$17)</f>
        <v>#DIV/0!</v>
      </c>
      <c r="H55" s="232" t="str">
        <f>"14-IncentivePlant, L "&amp;'14-IncentivePlant'!A64&amp;", Col. 1"</f>
        <v>14-IncentivePlant, L 23, Col. 1</v>
      </c>
    </row>
    <row r="56" spans="1:9" ht="13">
      <c r="A56" s="2">
        <f>A55+1</f>
        <v>17</v>
      </c>
      <c r="B56" s="2"/>
      <c r="C56" s="233" t="s">
        <v>1402</v>
      </c>
      <c r="E56" s="6">
        <f>'14-IncentivePlant'!E65</f>
        <v>0</v>
      </c>
      <c r="F56" s="55">
        <f>F27</f>
        <v>1</v>
      </c>
      <c r="G56" s="6" t="e">
        <f>(E56/1000000)*(F56*$G$17)</f>
        <v>#DIV/0!</v>
      </c>
      <c r="H56" s="232" t="str">
        <f>"14-IncentivePlant, L "&amp;'14-IncentivePlant'!A65&amp;", Col. 1"</f>
        <v>14-IncentivePlant, L 24, Col. 1</v>
      </c>
    </row>
    <row r="57" spans="1:9" ht="13">
      <c r="A57" s="2">
        <f>A56+1</f>
        <v>18</v>
      </c>
      <c r="B57" s="2"/>
      <c r="C57" s="240"/>
      <c r="D57" s="54"/>
    </row>
    <row r="58" spans="1:9" ht="13">
      <c r="A58" s="2">
        <f>A57+1</f>
        <v>19</v>
      </c>
      <c r="B58" s="2"/>
      <c r="C58" s="248" t="s">
        <v>641</v>
      </c>
    </row>
    <row r="59" spans="1:9" ht="13">
      <c r="A59" s="2">
        <f>A58+1</f>
        <v>20</v>
      </c>
      <c r="F59" s="231" t="s">
        <v>1416</v>
      </c>
      <c r="G59" s="6" t="e">
        <f>SUM(G54:G57)</f>
        <v>#DIV/0!</v>
      </c>
      <c r="H59" s="232" t="s">
        <v>1409</v>
      </c>
    </row>
    <row r="60" spans="1:9">
      <c r="H60" s="232" t="s">
        <v>1410</v>
      </c>
      <c r="I60" s="6"/>
    </row>
    <row r="61" spans="1:9" ht="13">
      <c r="B61" s="1" t="s">
        <v>1417</v>
      </c>
    </row>
    <row r="63" spans="1:9" ht="13">
      <c r="C63" s="1" t="s">
        <v>1418</v>
      </c>
    </row>
    <row r="65" spans="1:7" ht="13">
      <c r="E65" s="2" t="s">
        <v>483</v>
      </c>
    </row>
    <row r="66" spans="1:7" ht="13">
      <c r="C66" s="2" t="s">
        <v>1272</v>
      </c>
      <c r="E66" s="2" t="s">
        <v>1289</v>
      </c>
    </row>
    <row r="67" spans="1:7" ht="13">
      <c r="A67" s="30" t="s">
        <v>284</v>
      </c>
      <c r="C67" s="3" t="s">
        <v>1187</v>
      </c>
      <c r="E67" s="3" t="s">
        <v>1291</v>
      </c>
      <c r="F67" s="3" t="s">
        <v>686</v>
      </c>
    </row>
    <row r="68" spans="1:7" ht="13">
      <c r="A68" s="2">
        <f>A59+1</f>
        <v>21</v>
      </c>
      <c r="C68" t="s">
        <v>1292</v>
      </c>
      <c r="E68" s="6">
        <f>'14-IncentivePlant'!G63</f>
        <v>0</v>
      </c>
      <c r="F68" s="232" t="str">
        <f>"14-IncentivePlant, L "&amp;'14-IncentivePlant'!A63&amp;", Col. 3"</f>
        <v>14-IncentivePlant, L 22, Col. 3</v>
      </c>
    </row>
    <row r="69" spans="1:7" ht="13">
      <c r="A69" s="2">
        <f t="shared" ref="A69:A71" si="0">A68+1</f>
        <v>22</v>
      </c>
      <c r="C69" t="s">
        <v>1293</v>
      </c>
      <c r="E69" s="6">
        <f>'14-IncentivePlant'!G64</f>
        <v>0</v>
      </c>
      <c r="F69" s="232" t="str">
        <f>"14-IncentivePlant, L "&amp;'14-IncentivePlant'!A64&amp;", Col. 3"</f>
        <v>14-IncentivePlant, L 23, Col. 3</v>
      </c>
    </row>
    <row r="70" spans="1:7" ht="13">
      <c r="A70" s="2">
        <f t="shared" si="0"/>
        <v>23</v>
      </c>
      <c r="C70" s="233" t="s">
        <v>1402</v>
      </c>
      <c r="E70" s="6">
        <f>'14-IncentivePlant'!G65</f>
        <v>0</v>
      </c>
      <c r="F70" s="232" t="str">
        <f>"14-IncentivePlant, L "&amp;'14-IncentivePlant'!A65&amp;", Col. 3"</f>
        <v>14-IncentivePlant, L 24, Col. 3</v>
      </c>
    </row>
    <row r="71" spans="1:7" ht="13">
      <c r="A71" s="2">
        <f t="shared" si="0"/>
        <v>24</v>
      </c>
      <c r="C71" s="240"/>
      <c r="F71" s="232"/>
    </row>
    <row r="72" spans="1:7">
      <c r="C72" s="248" t="s">
        <v>641</v>
      </c>
    </row>
    <row r="73" spans="1:7">
      <c r="C73" s="248"/>
    </row>
    <row r="74" spans="1:7" ht="13">
      <c r="C74" s="1" t="s">
        <v>1419</v>
      </c>
    </row>
    <row r="75" spans="1:7" ht="13">
      <c r="C75" s="1"/>
    </row>
    <row r="76" spans="1:7" ht="13">
      <c r="E76" s="3" t="s">
        <v>347</v>
      </c>
      <c r="F76" s="3" t="s">
        <v>348</v>
      </c>
    </row>
    <row r="77" spans="1:7" ht="13">
      <c r="E77" s="3"/>
      <c r="F77" s="2" t="s">
        <v>1420</v>
      </c>
    </row>
    <row r="78" spans="1:7" ht="13">
      <c r="E78" s="2" t="s">
        <v>377</v>
      </c>
      <c r="F78" s="2" t="s">
        <v>377</v>
      </c>
    </row>
    <row r="79" spans="1:7" ht="13">
      <c r="C79" s="2" t="s">
        <v>1272</v>
      </c>
      <c r="E79" s="2" t="s">
        <v>1272</v>
      </c>
      <c r="F79" s="2" t="s">
        <v>1272</v>
      </c>
    </row>
    <row r="80" spans="1:7" ht="13">
      <c r="A80" s="30" t="s">
        <v>284</v>
      </c>
      <c r="C80" s="3" t="s">
        <v>1187</v>
      </c>
      <c r="E80" s="3" t="s">
        <v>1407</v>
      </c>
      <c r="F80" s="3" t="s">
        <v>1407</v>
      </c>
      <c r="G80" s="3" t="s">
        <v>686</v>
      </c>
    </row>
    <row r="81" spans="1:7" ht="13">
      <c r="A81" s="2">
        <f>A71+1</f>
        <v>25</v>
      </c>
      <c r="C81" t="s">
        <v>1292</v>
      </c>
      <c r="E81" s="6" t="e">
        <f>(E68/1000000)*(F54*$G$17)</f>
        <v>#DIV/0!</v>
      </c>
      <c r="F81" s="6" t="e">
        <f>E81*(1-$G$16)</f>
        <v>#DIV/0!</v>
      </c>
      <c r="G81" s="232" t="s">
        <v>592</v>
      </c>
    </row>
    <row r="82" spans="1:7" ht="13">
      <c r="A82" s="2">
        <f t="shared" ref="A82:A86" si="1">A81+1</f>
        <v>26</v>
      </c>
      <c r="C82" t="s">
        <v>1293</v>
      </c>
      <c r="E82" s="6" t="e">
        <f>(E69/1000000)*(F55*$G$17)</f>
        <v>#DIV/0!</v>
      </c>
      <c r="F82" s="6" t="e">
        <f>E82*(1-$G$16)</f>
        <v>#DIV/0!</v>
      </c>
      <c r="G82" s="232" t="s">
        <v>592</v>
      </c>
    </row>
    <row r="83" spans="1:7" ht="13">
      <c r="A83" s="2">
        <f t="shared" si="1"/>
        <v>27</v>
      </c>
      <c r="C83" s="233" t="s">
        <v>1402</v>
      </c>
      <c r="E83" s="6" t="e">
        <f>(E70/1000000)*(F56*$G$17)</f>
        <v>#DIV/0!</v>
      </c>
      <c r="F83" s="6" t="e">
        <f>E83*(1-$G$16)</f>
        <v>#DIV/0!</v>
      </c>
      <c r="G83" s="232" t="s">
        <v>592</v>
      </c>
    </row>
    <row r="84" spans="1:7" ht="13">
      <c r="A84" s="2">
        <f t="shared" si="1"/>
        <v>28</v>
      </c>
      <c r="C84" s="240"/>
      <c r="E84" s="6"/>
      <c r="F84" s="6"/>
      <c r="G84" s="232" t="s">
        <v>592</v>
      </c>
    </row>
    <row r="85" spans="1:7" ht="13">
      <c r="A85" s="2">
        <f t="shared" si="1"/>
        <v>29</v>
      </c>
      <c r="C85" s="248" t="s">
        <v>641</v>
      </c>
      <c r="E85" s="6"/>
      <c r="F85" s="6"/>
    </row>
    <row r="86" spans="1:7" ht="13">
      <c r="A86" s="2">
        <f t="shared" si="1"/>
        <v>30</v>
      </c>
      <c r="E86" s="231" t="s">
        <v>420</v>
      </c>
      <c r="F86" s="6" t="e">
        <f>SUM(F81:F85)</f>
        <v>#DIV/0!</v>
      </c>
    </row>
    <row r="88" spans="1:7" ht="13">
      <c r="C88" s="1" t="s">
        <v>1421</v>
      </c>
    </row>
    <row r="89" spans="1:7" ht="13">
      <c r="A89" s="30" t="s">
        <v>284</v>
      </c>
      <c r="F89" s="3" t="s">
        <v>81</v>
      </c>
      <c r="G89" s="3" t="s">
        <v>686</v>
      </c>
    </row>
    <row r="90" spans="1:7" ht="13">
      <c r="A90" s="2">
        <f>A86+1</f>
        <v>31</v>
      </c>
      <c r="E90" s="231" t="s">
        <v>1422</v>
      </c>
      <c r="F90" s="6" t="e">
        <f>'4-TUTRR'!J29</f>
        <v>#DIV/0!</v>
      </c>
      <c r="G90" s="232" t="str">
        <f>"4-TUTRR, Line "&amp;'4-TUTRR'!A29&amp;""</f>
        <v>4-TUTRR, Line 18</v>
      </c>
    </row>
    <row r="91" spans="1:7" ht="13">
      <c r="A91" s="2">
        <f t="shared" ref="A91:A94" si="2">A90+1</f>
        <v>32</v>
      </c>
      <c r="E91" s="231" t="s">
        <v>1423</v>
      </c>
      <c r="F91" s="53">
        <f>'4-TUTRR'!J24</f>
        <v>0</v>
      </c>
      <c r="G91" s="232" t="str">
        <f>"4-TUTRR, Line "&amp;'4-TUTRR'!A24&amp;""</f>
        <v>4-TUTRR, Line 14</v>
      </c>
    </row>
    <row r="92" spans="1:7" ht="13">
      <c r="A92" s="2">
        <f t="shared" si="2"/>
        <v>33</v>
      </c>
      <c r="E92" s="231" t="s">
        <v>1424</v>
      </c>
      <c r="F92" s="6" t="e">
        <f>F90-F91</f>
        <v>#DIV/0!</v>
      </c>
      <c r="G92" s="12" t="str">
        <f>"Line "&amp;A90&amp;" - Line "&amp;A91&amp;""</f>
        <v>Line 31 - Line 32</v>
      </c>
    </row>
    <row r="93" spans="1:7" ht="13">
      <c r="A93" s="2">
        <f t="shared" si="2"/>
        <v>34</v>
      </c>
      <c r="E93" s="231" t="s">
        <v>1425</v>
      </c>
      <c r="F93" s="7" t="e">
        <f>'1-BaseTRR'!K82</f>
        <v>#DIV/0!</v>
      </c>
      <c r="G93" s="232" t="str">
        <f>"1-BaseTRR, Line "&amp;'1-BaseTRR'!A82&amp;""</f>
        <v>1-BaseTRR, Line 47</v>
      </c>
    </row>
    <row r="94" spans="1:7" ht="13">
      <c r="A94" s="2">
        <f t="shared" si="2"/>
        <v>35</v>
      </c>
      <c r="E94" s="231" t="s">
        <v>1426</v>
      </c>
      <c r="F94" s="6" t="e">
        <f>F92*F93</f>
        <v>#DIV/0!</v>
      </c>
      <c r="G94" s="12" t="str">
        <f>"Line "&amp;A92&amp;" * Line "&amp;A93&amp;""</f>
        <v>Line 33 * Line 34</v>
      </c>
    </row>
    <row r="96" spans="1:7" ht="13">
      <c r="C96" s="1" t="s">
        <v>1427</v>
      </c>
    </row>
    <row r="97" spans="1:7" ht="13">
      <c r="A97" s="30" t="s">
        <v>284</v>
      </c>
    </row>
    <row r="98" spans="1:7" ht="13">
      <c r="A98" s="2">
        <f>A94+1</f>
        <v>36</v>
      </c>
      <c r="E98" s="231" t="s">
        <v>1428</v>
      </c>
      <c r="F98" s="26" t="e">
        <f>F86/F94</f>
        <v>#DIV/0!</v>
      </c>
      <c r="G98" s="12" t="str">
        <f>"Line "&amp;A86&amp;" / Line "&amp;A94&amp;""</f>
        <v>Line 30 / Line 35</v>
      </c>
    </row>
    <row r="99" spans="1:7" ht="13">
      <c r="A99" s="2">
        <f t="shared" ref="A99:A101" si="3">A98+1</f>
        <v>37</v>
      </c>
      <c r="E99" s="231" t="s">
        <v>1429</v>
      </c>
    </row>
    <row r="100" spans="1:7" ht="13">
      <c r="A100" s="2">
        <f t="shared" si="3"/>
        <v>38</v>
      </c>
      <c r="E100" s="231" t="s">
        <v>1430</v>
      </c>
      <c r="F100" s="249">
        <f>'1-BaseTRR'!K87</f>
        <v>0.10299999999999999</v>
      </c>
      <c r="G100" s="232" t="str">
        <f>"1-BaseTRR, Line "&amp;'1-BaseTRR'!A87&amp;""</f>
        <v>1-BaseTRR, Line 50</v>
      </c>
    </row>
    <row r="101" spans="1:7" ht="13">
      <c r="A101" s="2">
        <f t="shared" si="3"/>
        <v>39</v>
      </c>
      <c r="E101" s="231" t="s">
        <v>1431</v>
      </c>
      <c r="F101" s="26" t="e">
        <f>F98+F100</f>
        <v>#DIV/0!</v>
      </c>
      <c r="G101" s="12" t="str">
        <f>"Line "&amp;A98&amp;" + Line "&amp;A100&amp;""</f>
        <v>Line 36 + Line 38</v>
      </c>
    </row>
    <row r="103" spans="1:7" ht="13">
      <c r="B103" s="1" t="s">
        <v>444</v>
      </c>
    </row>
    <row r="104" spans="1:7">
      <c r="B104" s="233" t="s">
        <v>1432</v>
      </c>
    </row>
    <row r="105" spans="1:7">
      <c r="B105" s="233" t="s">
        <v>1433</v>
      </c>
    </row>
    <row r="107" spans="1:7" ht="13">
      <c r="B107" s="1" t="s">
        <v>233</v>
      </c>
    </row>
    <row r="108" spans="1:7">
      <c r="B108" s="233" t="str">
        <f>"1) Column 1: The True Up Incentive Adder for each Incentive Project equals the IREF on Line "&amp;A17&amp;","</f>
        <v>1) Column 1: The True Up Incentive Adder for each Incentive Project equals the IREF on Line 3,</v>
      </c>
    </row>
    <row r="109" spans="1:7">
      <c r="B109" s="233" t="str">
        <f>"times the applicable Multiplicative Factor on Lines "&amp;A54&amp;" to "&amp;A57&amp;", times the million $ of"</f>
        <v>times the applicable Multiplicative Factor on Lines 15 to 18, times the million $ of</v>
      </c>
    </row>
    <row r="110" spans="1:7">
      <c r="B110" s="233" t="str">
        <f>"TIP Net Plant In Service on Lines "&amp;A68&amp;" to "&amp;A71&amp;"."</f>
        <v>TIP Net Plant In Service on Lines 21 to 24.</v>
      </c>
    </row>
    <row r="111" spans="1:7">
      <c r="B111" s="233" t="s">
        <v>1434</v>
      </c>
    </row>
    <row r="112" spans="1:7">
      <c r="B112" s="233" t="str">
        <f>"Column 1 by (1 - CTR) (Where the CTR is on Line "&amp;A16&amp;")."</f>
        <v>Column 1 by (1 - CTR) (Where the CTR is on Line 2).</v>
      </c>
    </row>
  </sheetData>
  <phoneticPr fontId="24" type="noConversion"/>
  <pageMargins left="0.75" right="0.75" top="1" bottom="1" header="0.5" footer="0.5"/>
  <pageSetup scale="75" orientation="portrait" cellComments="asDisplayed" r:id="rId1"/>
  <headerFooter alignWithMargins="0">
    <oddHeader xml:space="preserve">&amp;CSchedule 15
Incentive Adders
</oddHeader>
    <oddFooter>&amp;R&amp;A</oddFooter>
  </headerFooter>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CC"/>
  </sheetPr>
  <dimension ref="A1:AN210"/>
  <sheetViews>
    <sheetView topLeftCell="H1" zoomScaleNormal="100" workbookViewId="0">
      <selection activeCell="L41" sqref="L41"/>
    </sheetView>
  </sheetViews>
  <sheetFormatPr defaultColWidth="9.453125" defaultRowHeight="12.5"/>
  <cols>
    <col min="1" max="1" width="4.54296875" style="303" customWidth="1"/>
    <col min="2" max="2" width="6" style="303" customWidth="1"/>
    <col min="3" max="3" width="15.54296875" style="303" customWidth="1"/>
    <col min="4" max="4" width="9.453125" style="303" customWidth="1"/>
    <col min="5" max="5" width="16" style="303" customWidth="1"/>
    <col min="6" max="6" width="14.54296875" style="303" customWidth="1"/>
    <col min="7" max="7" width="16" style="303" bestFit="1" customWidth="1"/>
    <col min="8" max="8" width="18.453125" style="303" customWidth="1"/>
    <col min="9" max="10" width="15.54296875" style="303" customWidth="1"/>
    <col min="11" max="11" width="16.54296875" style="303" customWidth="1"/>
    <col min="12" max="13" width="15.54296875" style="303" customWidth="1"/>
    <col min="14" max="14" width="17" style="303" customWidth="1"/>
    <col min="15" max="16" width="15.54296875" style="303" customWidth="1"/>
    <col min="17" max="17" width="2.54296875" style="303" customWidth="1"/>
    <col min="18" max="21" width="18.54296875" style="303" customWidth="1"/>
    <col min="22" max="22" width="15.54296875" style="303" customWidth="1"/>
    <col min="23" max="23" width="20.54296875" style="303" bestFit="1" customWidth="1"/>
    <col min="24" max="40" width="15.54296875" style="303" customWidth="1"/>
    <col min="41" max="16384" width="9.453125" style="303"/>
  </cols>
  <sheetData>
    <row r="1" spans="1:40" ht="13">
      <c r="A1" s="307" t="s">
        <v>1435</v>
      </c>
    </row>
    <row r="2" spans="1:40">
      <c r="F2" s="314" t="s">
        <v>1436</v>
      </c>
      <c r="G2" s="314"/>
    </row>
    <row r="3" spans="1:40">
      <c r="B3" s="303" t="s">
        <v>1437</v>
      </c>
    </row>
    <row r="4" spans="1:40">
      <c r="B4" s="303" t="s">
        <v>1438</v>
      </c>
    </row>
    <row r="5" spans="1:40">
      <c r="B5" s="303" t="s">
        <v>1439</v>
      </c>
    </row>
    <row r="7" spans="1:40" ht="13">
      <c r="B7" s="307" t="s">
        <v>1440</v>
      </c>
    </row>
    <row r="8" spans="1:40" ht="13">
      <c r="E8" s="335" t="s">
        <v>347</v>
      </c>
      <c r="F8" s="335" t="s">
        <v>348</v>
      </c>
      <c r="G8" s="335" t="s">
        <v>349</v>
      </c>
      <c r="H8" s="335" t="s">
        <v>350</v>
      </c>
      <c r="I8" s="335" t="s">
        <v>351</v>
      </c>
      <c r="J8" s="335" t="s">
        <v>352</v>
      </c>
      <c r="K8" s="335" t="s">
        <v>353</v>
      </c>
      <c r="L8" s="335" t="s">
        <v>354</v>
      </c>
      <c r="M8" s="335" t="s">
        <v>355</v>
      </c>
      <c r="N8" s="335" t="s">
        <v>605</v>
      </c>
      <c r="O8" s="335" t="s">
        <v>606</v>
      </c>
      <c r="P8" s="335" t="s">
        <v>607</v>
      </c>
      <c r="T8" s="335"/>
      <c r="U8" s="335"/>
      <c r="X8" s="328"/>
      <c r="Y8" s="328"/>
      <c r="Z8" s="328"/>
      <c r="AA8" s="328"/>
      <c r="AB8" s="328"/>
      <c r="AC8" s="328"/>
      <c r="AD8" s="328"/>
      <c r="AE8" s="328"/>
      <c r="AF8" s="328"/>
      <c r="AG8" s="328"/>
      <c r="AH8" s="328"/>
      <c r="AI8" s="328"/>
      <c r="AJ8" s="328"/>
      <c r="AK8" s="328"/>
      <c r="AL8" s="328"/>
      <c r="AM8" s="328"/>
      <c r="AN8" s="328"/>
    </row>
    <row r="9" spans="1:40">
      <c r="E9" s="336" t="s">
        <v>357</v>
      </c>
      <c r="F9" s="336" t="s">
        <v>357</v>
      </c>
      <c r="G9" s="336" t="s">
        <v>357</v>
      </c>
      <c r="H9" s="336" t="s">
        <v>357</v>
      </c>
      <c r="I9" s="336" t="s">
        <v>357</v>
      </c>
      <c r="J9" s="336" t="s">
        <v>357</v>
      </c>
      <c r="K9" s="336" t="s">
        <v>357</v>
      </c>
      <c r="L9" s="336" t="s">
        <v>357</v>
      </c>
      <c r="M9" s="336" t="s">
        <v>357</v>
      </c>
      <c r="N9" s="336" t="s">
        <v>357</v>
      </c>
      <c r="O9" s="336" t="s">
        <v>357</v>
      </c>
      <c r="P9" s="336" t="s">
        <v>357</v>
      </c>
      <c r="Q9" s="337"/>
    </row>
    <row r="10" spans="1:40" ht="13">
      <c r="C10" s="310" t="s">
        <v>1093</v>
      </c>
      <c r="E10" s="310" t="s">
        <v>1092</v>
      </c>
      <c r="F10" s="310"/>
      <c r="G10" s="310"/>
      <c r="H10" s="310"/>
      <c r="I10" s="310" t="s">
        <v>1441</v>
      </c>
      <c r="J10" s="310"/>
      <c r="K10" s="310"/>
      <c r="L10" s="310"/>
      <c r="M10" s="310"/>
      <c r="O10" s="310" t="s">
        <v>1092</v>
      </c>
      <c r="P10" s="310" t="s">
        <v>1442</v>
      </c>
      <c r="T10" s="310"/>
      <c r="U10" s="310"/>
      <c r="X10" s="310"/>
      <c r="Y10" s="310"/>
      <c r="Z10" s="310"/>
      <c r="AA10" s="310"/>
      <c r="AB10" s="310"/>
      <c r="AC10" s="310"/>
      <c r="AD10" s="310"/>
      <c r="AE10" s="310"/>
      <c r="AF10" s="310"/>
      <c r="AG10" s="310"/>
      <c r="AH10" s="310"/>
      <c r="AI10" s="310"/>
      <c r="AJ10" s="310"/>
      <c r="AK10" s="310"/>
      <c r="AL10" s="310"/>
      <c r="AM10" s="310"/>
      <c r="AN10" s="310"/>
    </row>
    <row r="11" spans="1:40" ht="13">
      <c r="B11" s="307"/>
      <c r="C11" s="310" t="s">
        <v>635</v>
      </c>
      <c r="E11" s="310" t="s">
        <v>252</v>
      </c>
      <c r="F11" s="310" t="s">
        <v>1096</v>
      </c>
      <c r="G11" s="310" t="s">
        <v>1097</v>
      </c>
      <c r="H11" s="310" t="s">
        <v>1443</v>
      </c>
      <c r="I11" s="310" t="s">
        <v>1444</v>
      </c>
      <c r="J11" s="310"/>
      <c r="K11" s="310" t="s">
        <v>1270</v>
      </c>
      <c r="L11" s="310" t="s">
        <v>40</v>
      </c>
      <c r="M11" s="310" t="s">
        <v>1270</v>
      </c>
      <c r="O11" s="310" t="s">
        <v>1445</v>
      </c>
      <c r="P11" s="310" t="s">
        <v>1445</v>
      </c>
      <c r="T11" s="310"/>
      <c r="U11" s="310"/>
      <c r="X11" s="310"/>
      <c r="Y11" s="310"/>
      <c r="Z11" s="310"/>
      <c r="AA11" s="310"/>
      <c r="AB11" s="310"/>
      <c r="AC11" s="310"/>
      <c r="AD11" s="310"/>
      <c r="AE11" s="310"/>
      <c r="AF11" s="310"/>
      <c r="AG11" s="310"/>
      <c r="AH11" s="310"/>
      <c r="AI11" s="310"/>
      <c r="AJ11" s="310"/>
      <c r="AK11" s="310"/>
      <c r="AL11" s="310"/>
      <c r="AM11" s="310"/>
      <c r="AN11" s="310"/>
    </row>
    <row r="12" spans="1:40" ht="13">
      <c r="A12" s="338" t="s">
        <v>284</v>
      </c>
      <c r="C12" s="328" t="s">
        <v>382</v>
      </c>
      <c r="D12" s="328" t="s">
        <v>383</v>
      </c>
      <c r="E12" s="328" t="s">
        <v>1102</v>
      </c>
      <c r="F12" s="328" t="s">
        <v>1103</v>
      </c>
      <c r="G12" s="328" t="s">
        <v>1104</v>
      </c>
      <c r="H12" s="328" t="s">
        <v>1446</v>
      </c>
      <c r="I12" s="328" t="s">
        <v>1447</v>
      </c>
      <c r="J12" s="328" t="s">
        <v>1441</v>
      </c>
      <c r="K12" s="328" t="s">
        <v>1448</v>
      </c>
      <c r="L12" s="328" t="s">
        <v>1449</v>
      </c>
      <c r="M12" s="328" t="s">
        <v>828</v>
      </c>
      <c r="N12" s="328" t="s">
        <v>1324</v>
      </c>
      <c r="O12" s="328" t="s">
        <v>1447</v>
      </c>
      <c r="P12" s="328" t="s">
        <v>1447</v>
      </c>
      <c r="T12" s="328"/>
      <c r="U12" s="328"/>
      <c r="V12" s="328"/>
      <c r="W12" s="328"/>
      <c r="X12" s="328"/>
      <c r="Y12" s="328"/>
      <c r="Z12" s="328"/>
      <c r="AA12" s="328"/>
      <c r="AB12" s="328"/>
      <c r="AC12" s="328"/>
      <c r="AD12" s="328"/>
      <c r="AE12" s="328"/>
      <c r="AF12" s="328"/>
      <c r="AG12" s="328"/>
      <c r="AH12" s="328"/>
      <c r="AI12" s="328"/>
      <c r="AJ12" s="328"/>
      <c r="AK12" s="328"/>
      <c r="AL12" s="328"/>
      <c r="AM12" s="328"/>
      <c r="AN12" s="328"/>
    </row>
    <row r="13" spans="1:40" ht="13">
      <c r="A13" s="310">
        <v>1</v>
      </c>
      <c r="C13" s="303" t="str">
        <f>C45</f>
        <v>January</v>
      </c>
      <c r="D13" s="479"/>
      <c r="E13" s="305">
        <f t="shared" ref="E13:P13" si="0">E45+E76</f>
        <v>0</v>
      </c>
      <c r="F13" s="305">
        <f t="shared" si="0"/>
        <v>0</v>
      </c>
      <c r="G13" s="305">
        <f t="shared" si="0"/>
        <v>0</v>
      </c>
      <c r="H13" s="305">
        <f t="shared" si="0"/>
        <v>0</v>
      </c>
      <c r="I13" s="305">
        <f t="shared" si="0"/>
        <v>0</v>
      </c>
      <c r="J13" s="305">
        <f t="shared" si="0"/>
        <v>0</v>
      </c>
      <c r="K13" s="305">
        <f t="shared" si="0"/>
        <v>0</v>
      </c>
      <c r="L13" s="305">
        <f t="shared" si="0"/>
        <v>0</v>
      </c>
      <c r="M13" s="305">
        <f>M45+M76</f>
        <v>0</v>
      </c>
      <c r="N13" s="305">
        <f t="shared" ref="N13:N36" si="1">N45+N76</f>
        <v>0</v>
      </c>
      <c r="O13" s="305">
        <f t="shared" si="0"/>
        <v>0</v>
      </c>
      <c r="P13" s="305">
        <f t="shared" si="0"/>
        <v>0</v>
      </c>
      <c r="T13" s="305"/>
      <c r="U13" s="305"/>
      <c r="V13" s="339"/>
      <c r="W13" s="305"/>
      <c r="X13" s="340"/>
      <c r="Y13" s="242"/>
      <c r="Z13" s="305"/>
      <c r="AA13" s="305"/>
      <c r="AB13" s="305"/>
      <c r="AC13" s="305"/>
      <c r="AD13" s="305"/>
      <c r="AE13" s="305"/>
      <c r="AF13" s="305"/>
      <c r="AG13" s="305"/>
      <c r="AH13" s="305"/>
      <c r="AI13" s="305"/>
      <c r="AJ13" s="305"/>
      <c r="AK13" s="305"/>
      <c r="AL13" s="305"/>
      <c r="AM13" s="305"/>
      <c r="AN13" s="305"/>
    </row>
    <row r="14" spans="1:40" ht="13">
      <c r="A14" s="310">
        <f>A13+1</f>
        <v>2</v>
      </c>
      <c r="C14" s="303" t="str">
        <f t="shared" ref="C14:C29" si="2">C46</f>
        <v>February</v>
      </c>
      <c r="D14" s="479"/>
      <c r="E14" s="305">
        <f t="shared" ref="E14" si="3">E46+E77</f>
        <v>0</v>
      </c>
      <c r="F14" s="305">
        <f t="shared" ref="F14:P14" si="4">F46+F77</f>
        <v>0</v>
      </c>
      <c r="G14" s="305">
        <f t="shared" si="4"/>
        <v>0</v>
      </c>
      <c r="H14" s="305">
        <f t="shared" si="4"/>
        <v>0</v>
      </c>
      <c r="I14" s="305">
        <f t="shared" si="4"/>
        <v>0</v>
      </c>
      <c r="J14" s="305">
        <f t="shared" si="4"/>
        <v>0</v>
      </c>
      <c r="K14" s="305">
        <f t="shared" si="4"/>
        <v>0</v>
      </c>
      <c r="L14" s="305" t="e">
        <f t="shared" si="4"/>
        <v>#DIV/0!</v>
      </c>
      <c r="M14" s="305" t="e">
        <f t="shared" si="4"/>
        <v>#DIV/0!</v>
      </c>
      <c r="N14" s="305" t="e">
        <f t="shared" si="1"/>
        <v>#DIV/0!</v>
      </c>
      <c r="O14" s="305">
        <f t="shared" si="4"/>
        <v>0</v>
      </c>
      <c r="P14" s="305">
        <f t="shared" si="4"/>
        <v>0</v>
      </c>
      <c r="T14" s="305"/>
      <c r="U14" s="305"/>
      <c r="V14" s="339"/>
      <c r="W14" s="305"/>
      <c r="X14" s="340"/>
      <c r="Y14" s="242"/>
      <c r="Z14" s="305"/>
      <c r="AA14" s="305"/>
      <c r="AB14" s="305"/>
      <c r="AC14" s="305"/>
      <c r="AD14" s="305"/>
      <c r="AE14" s="305"/>
      <c r="AF14" s="305"/>
      <c r="AG14" s="305"/>
      <c r="AH14" s="305"/>
      <c r="AI14" s="305"/>
      <c r="AJ14" s="305"/>
      <c r="AK14" s="305"/>
      <c r="AL14" s="305"/>
      <c r="AM14" s="305"/>
      <c r="AN14" s="305"/>
    </row>
    <row r="15" spans="1:40" ht="13">
      <c r="A15" s="310">
        <f t="shared" ref="A15:A37" si="5">A14+1</f>
        <v>3</v>
      </c>
      <c r="C15" s="303" t="str">
        <f t="shared" si="2"/>
        <v>March</v>
      </c>
      <c r="D15" s="479"/>
      <c r="E15" s="305">
        <f t="shared" ref="E15" si="6">E47+E78</f>
        <v>0</v>
      </c>
      <c r="F15" s="305">
        <f t="shared" ref="F15:P15" si="7">F47+F78</f>
        <v>0</v>
      </c>
      <c r="G15" s="305">
        <f t="shared" si="7"/>
        <v>0</v>
      </c>
      <c r="H15" s="305">
        <f t="shared" si="7"/>
        <v>0</v>
      </c>
      <c r="I15" s="305">
        <f t="shared" si="7"/>
        <v>0</v>
      </c>
      <c r="J15" s="305">
        <f t="shared" si="7"/>
        <v>0</v>
      </c>
      <c r="K15" s="305">
        <f t="shared" si="7"/>
        <v>0</v>
      </c>
      <c r="L15" s="305" t="e">
        <f t="shared" si="7"/>
        <v>#DIV/0!</v>
      </c>
      <c r="M15" s="305" t="e">
        <f t="shared" si="7"/>
        <v>#DIV/0!</v>
      </c>
      <c r="N15" s="305" t="e">
        <f t="shared" si="1"/>
        <v>#DIV/0!</v>
      </c>
      <c r="O15" s="305">
        <f t="shared" si="7"/>
        <v>0</v>
      </c>
      <c r="P15" s="305">
        <f t="shared" si="7"/>
        <v>0</v>
      </c>
      <c r="T15" s="305"/>
      <c r="U15" s="305"/>
      <c r="V15" s="339"/>
      <c r="W15" s="305"/>
      <c r="X15" s="340"/>
      <c r="Y15" s="242"/>
      <c r="Z15" s="305"/>
      <c r="AA15" s="305"/>
      <c r="AB15" s="305"/>
      <c r="AC15" s="305"/>
      <c r="AD15" s="305"/>
      <c r="AE15" s="305"/>
      <c r="AF15" s="305"/>
      <c r="AG15" s="305"/>
      <c r="AH15" s="305"/>
      <c r="AI15" s="305"/>
      <c r="AJ15" s="305"/>
      <c r="AK15" s="305"/>
      <c r="AL15" s="305"/>
      <c r="AM15" s="305"/>
      <c r="AN15" s="305"/>
    </row>
    <row r="16" spans="1:40" ht="13">
      <c r="A16" s="310">
        <f t="shared" si="5"/>
        <v>4</v>
      </c>
      <c r="C16" s="303" t="str">
        <f t="shared" si="2"/>
        <v>April</v>
      </c>
      <c r="D16" s="479"/>
      <c r="E16" s="305">
        <f t="shared" ref="E16" si="8">E48+E79</f>
        <v>0</v>
      </c>
      <c r="F16" s="305">
        <f t="shared" ref="F16:P16" si="9">F48+F79</f>
        <v>0</v>
      </c>
      <c r="G16" s="305">
        <f t="shared" si="9"/>
        <v>0</v>
      </c>
      <c r="H16" s="305">
        <f t="shared" si="9"/>
        <v>0</v>
      </c>
      <c r="I16" s="305">
        <f t="shared" si="9"/>
        <v>0</v>
      </c>
      <c r="J16" s="305">
        <f t="shared" si="9"/>
        <v>0</v>
      </c>
      <c r="K16" s="305">
        <f t="shared" si="9"/>
        <v>0</v>
      </c>
      <c r="L16" s="305" t="e">
        <f t="shared" si="9"/>
        <v>#DIV/0!</v>
      </c>
      <c r="M16" s="305" t="e">
        <f t="shared" si="9"/>
        <v>#DIV/0!</v>
      </c>
      <c r="N16" s="305" t="e">
        <f t="shared" si="1"/>
        <v>#DIV/0!</v>
      </c>
      <c r="O16" s="305">
        <f t="shared" si="9"/>
        <v>0</v>
      </c>
      <c r="P16" s="305">
        <f t="shared" si="9"/>
        <v>0</v>
      </c>
      <c r="T16" s="305"/>
      <c r="U16" s="305"/>
      <c r="V16" s="339"/>
      <c r="W16" s="305"/>
      <c r="X16" s="340"/>
      <c r="Y16" s="242"/>
      <c r="Z16" s="305"/>
      <c r="AA16" s="305"/>
      <c r="AB16" s="305"/>
      <c r="AC16" s="305"/>
      <c r="AD16" s="305"/>
      <c r="AE16" s="305"/>
      <c r="AF16" s="305"/>
      <c r="AG16" s="305"/>
      <c r="AH16" s="305"/>
      <c r="AI16" s="305"/>
      <c r="AJ16" s="305"/>
      <c r="AK16" s="305"/>
      <c r="AL16" s="305"/>
      <c r="AM16" s="305"/>
      <c r="AN16" s="305"/>
    </row>
    <row r="17" spans="1:40" ht="13">
      <c r="A17" s="310">
        <f t="shared" si="5"/>
        <v>5</v>
      </c>
      <c r="C17" s="303" t="str">
        <f t="shared" si="2"/>
        <v>May</v>
      </c>
      <c r="D17" s="479"/>
      <c r="E17" s="305">
        <f t="shared" ref="E17" si="10">E49+E80</f>
        <v>0</v>
      </c>
      <c r="F17" s="305">
        <f t="shared" ref="F17:P17" si="11">F49+F80</f>
        <v>0</v>
      </c>
      <c r="G17" s="305">
        <f t="shared" si="11"/>
        <v>0</v>
      </c>
      <c r="H17" s="305">
        <f t="shared" si="11"/>
        <v>0</v>
      </c>
      <c r="I17" s="305">
        <f t="shared" si="11"/>
        <v>0</v>
      </c>
      <c r="J17" s="305">
        <f t="shared" si="11"/>
        <v>0</v>
      </c>
      <c r="K17" s="305">
        <f t="shared" si="11"/>
        <v>0</v>
      </c>
      <c r="L17" s="305" t="e">
        <f t="shared" si="11"/>
        <v>#DIV/0!</v>
      </c>
      <c r="M17" s="305" t="e">
        <f t="shared" si="11"/>
        <v>#DIV/0!</v>
      </c>
      <c r="N17" s="305" t="e">
        <f t="shared" si="1"/>
        <v>#DIV/0!</v>
      </c>
      <c r="O17" s="305">
        <f t="shared" si="11"/>
        <v>0</v>
      </c>
      <c r="P17" s="305">
        <f t="shared" si="11"/>
        <v>0</v>
      </c>
      <c r="T17" s="305"/>
      <c r="U17" s="305"/>
      <c r="V17" s="339"/>
      <c r="W17" s="305"/>
      <c r="X17" s="340"/>
      <c r="Y17" s="242"/>
      <c r="Z17" s="305"/>
      <c r="AA17" s="305"/>
      <c r="AB17" s="305"/>
      <c r="AC17" s="305"/>
      <c r="AD17" s="305"/>
      <c r="AE17" s="305"/>
      <c r="AF17" s="305"/>
      <c r="AG17" s="305"/>
      <c r="AH17" s="305"/>
      <c r="AI17" s="305"/>
      <c r="AJ17" s="305"/>
      <c r="AK17" s="305"/>
      <c r="AL17" s="305"/>
      <c r="AM17" s="305"/>
      <c r="AN17" s="305"/>
    </row>
    <row r="18" spans="1:40" ht="13">
      <c r="A18" s="310">
        <f t="shared" si="5"/>
        <v>6</v>
      </c>
      <c r="C18" s="303" t="str">
        <f t="shared" si="2"/>
        <v xml:space="preserve">June </v>
      </c>
      <c r="D18" s="479"/>
      <c r="E18" s="305">
        <f t="shared" ref="E18" si="12">E50+E81</f>
        <v>0</v>
      </c>
      <c r="F18" s="305">
        <f t="shared" ref="F18:P18" si="13">F50+F81</f>
        <v>0</v>
      </c>
      <c r="G18" s="305">
        <f t="shared" si="13"/>
        <v>0</v>
      </c>
      <c r="H18" s="305">
        <f t="shared" si="13"/>
        <v>0</v>
      </c>
      <c r="I18" s="305">
        <f t="shared" si="13"/>
        <v>0</v>
      </c>
      <c r="J18" s="305">
        <f t="shared" si="13"/>
        <v>0</v>
      </c>
      <c r="K18" s="305">
        <f t="shared" si="13"/>
        <v>0</v>
      </c>
      <c r="L18" s="305" t="e">
        <f t="shared" si="13"/>
        <v>#DIV/0!</v>
      </c>
      <c r="M18" s="305" t="e">
        <f t="shared" si="13"/>
        <v>#DIV/0!</v>
      </c>
      <c r="N18" s="305" t="e">
        <f t="shared" si="1"/>
        <v>#DIV/0!</v>
      </c>
      <c r="O18" s="305">
        <f t="shared" si="13"/>
        <v>0</v>
      </c>
      <c r="P18" s="305">
        <f t="shared" si="13"/>
        <v>0</v>
      </c>
      <c r="T18" s="305"/>
      <c r="U18" s="305"/>
      <c r="V18" s="339"/>
      <c r="W18" s="305"/>
      <c r="X18" s="340"/>
      <c r="Y18" s="242"/>
      <c r="Z18" s="305"/>
      <c r="AA18" s="305"/>
      <c r="AB18" s="305"/>
      <c r="AC18" s="305"/>
      <c r="AD18" s="305"/>
      <c r="AE18" s="305"/>
      <c r="AF18" s="305"/>
      <c r="AG18" s="305"/>
      <c r="AH18" s="305"/>
      <c r="AI18" s="305"/>
      <c r="AJ18" s="305"/>
      <c r="AK18" s="305"/>
      <c r="AL18" s="305"/>
      <c r="AM18" s="305"/>
      <c r="AN18" s="305"/>
    </row>
    <row r="19" spans="1:40" ht="13">
      <c r="A19" s="310">
        <f t="shared" si="5"/>
        <v>7</v>
      </c>
      <c r="C19" s="303" t="str">
        <f t="shared" si="2"/>
        <v>July</v>
      </c>
      <c r="D19" s="479"/>
      <c r="E19" s="305">
        <f t="shared" ref="E19" si="14">E51+E82</f>
        <v>0</v>
      </c>
      <c r="F19" s="305">
        <f t="shared" ref="F19:P19" si="15">F51+F82</f>
        <v>0</v>
      </c>
      <c r="G19" s="305">
        <f t="shared" si="15"/>
        <v>0</v>
      </c>
      <c r="H19" s="305">
        <f t="shared" si="15"/>
        <v>0</v>
      </c>
      <c r="I19" s="305">
        <f t="shared" si="15"/>
        <v>0</v>
      </c>
      <c r="J19" s="305">
        <f t="shared" si="15"/>
        <v>0</v>
      </c>
      <c r="K19" s="305">
        <f t="shared" si="15"/>
        <v>0</v>
      </c>
      <c r="L19" s="305" t="e">
        <f t="shared" si="15"/>
        <v>#DIV/0!</v>
      </c>
      <c r="M19" s="305" t="e">
        <f t="shared" si="15"/>
        <v>#DIV/0!</v>
      </c>
      <c r="N19" s="305" t="e">
        <f t="shared" si="1"/>
        <v>#DIV/0!</v>
      </c>
      <c r="O19" s="305">
        <f t="shared" si="15"/>
        <v>0</v>
      </c>
      <c r="P19" s="305">
        <f t="shared" si="15"/>
        <v>0</v>
      </c>
      <c r="T19" s="305"/>
      <c r="U19" s="305"/>
      <c r="V19" s="339"/>
      <c r="W19" s="305"/>
      <c r="X19" s="340"/>
      <c r="Y19" s="242"/>
      <c r="Z19" s="305"/>
      <c r="AA19" s="305"/>
      <c r="AB19" s="305"/>
      <c r="AC19" s="305"/>
      <c r="AD19" s="305"/>
      <c r="AE19" s="305"/>
      <c r="AF19" s="305"/>
      <c r="AG19" s="305"/>
      <c r="AH19" s="305"/>
      <c r="AI19" s="305"/>
      <c r="AJ19" s="305"/>
      <c r="AK19" s="305"/>
      <c r="AL19" s="305"/>
      <c r="AM19" s="305"/>
      <c r="AN19" s="305"/>
    </row>
    <row r="20" spans="1:40" ht="13">
      <c r="A20" s="310">
        <f t="shared" si="5"/>
        <v>8</v>
      </c>
      <c r="C20" s="303" t="str">
        <f t="shared" si="2"/>
        <v>August</v>
      </c>
      <c r="D20" s="479"/>
      <c r="E20" s="305">
        <f t="shared" ref="E20" si="16">E52+E83</f>
        <v>0</v>
      </c>
      <c r="F20" s="305">
        <f t="shared" ref="F20:P20" si="17">F52+F83</f>
        <v>0</v>
      </c>
      <c r="G20" s="305">
        <f t="shared" si="17"/>
        <v>0</v>
      </c>
      <c r="H20" s="305">
        <f t="shared" si="17"/>
        <v>0</v>
      </c>
      <c r="I20" s="305">
        <f t="shared" si="17"/>
        <v>0</v>
      </c>
      <c r="J20" s="305">
        <f t="shared" si="17"/>
        <v>0</v>
      </c>
      <c r="K20" s="305">
        <f t="shared" si="17"/>
        <v>0</v>
      </c>
      <c r="L20" s="305" t="e">
        <f t="shared" si="17"/>
        <v>#DIV/0!</v>
      </c>
      <c r="M20" s="305" t="e">
        <f t="shared" si="17"/>
        <v>#DIV/0!</v>
      </c>
      <c r="N20" s="305" t="e">
        <f t="shared" si="1"/>
        <v>#DIV/0!</v>
      </c>
      <c r="O20" s="305">
        <f t="shared" si="17"/>
        <v>0</v>
      </c>
      <c r="P20" s="305">
        <f t="shared" si="17"/>
        <v>0</v>
      </c>
      <c r="T20" s="305"/>
      <c r="U20" s="305"/>
      <c r="V20" s="339"/>
      <c r="W20" s="305"/>
      <c r="X20" s="340"/>
      <c r="Y20" s="242"/>
      <c r="Z20" s="305"/>
      <c r="AA20" s="305"/>
      <c r="AB20" s="305"/>
      <c r="AC20" s="305"/>
      <c r="AD20" s="305"/>
      <c r="AE20" s="305"/>
      <c r="AF20" s="305"/>
      <c r="AG20" s="305"/>
      <c r="AH20" s="305"/>
      <c r="AI20" s="305"/>
      <c r="AJ20" s="305"/>
      <c r="AK20" s="305"/>
      <c r="AL20" s="305"/>
      <c r="AM20" s="305"/>
      <c r="AN20" s="305"/>
    </row>
    <row r="21" spans="1:40" ht="13">
      <c r="A21" s="310">
        <f t="shared" si="5"/>
        <v>9</v>
      </c>
      <c r="C21" s="303" t="str">
        <f t="shared" si="2"/>
        <v>September</v>
      </c>
      <c r="D21" s="479"/>
      <c r="E21" s="305">
        <f t="shared" ref="E21" si="18">E53+E84</f>
        <v>0</v>
      </c>
      <c r="F21" s="305">
        <f t="shared" ref="F21:P21" si="19">F53+F84</f>
        <v>0</v>
      </c>
      <c r="G21" s="305">
        <f t="shared" si="19"/>
        <v>0</v>
      </c>
      <c r="H21" s="305">
        <f t="shared" si="19"/>
        <v>0</v>
      </c>
      <c r="I21" s="305">
        <f t="shared" si="19"/>
        <v>0</v>
      </c>
      <c r="J21" s="305">
        <f t="shared" si="19"/>
        <v>0</v>
      </c>
      <c r="K21" s="305">
        <f t="shared" si="19"/>
        <v>0</v>
      </c>
      <c r="L21" s="305" t="e">
        <f t="shared" si="19"/>
        <v>#DIV/0!</v>
      </c>
      <c r="M21" s="305" t="e">
        <f t="shared" si="19"/>
        <v>#DIV/0!</v>
      </c>
      <c r="N21" s="305" t="e">
        <f t="shared" si="1"/>
        <v>#DIV/0!</v>
      </c>
      <c r="O21" s="305">
        <f t="shared" si="19"/>
        <v>0</v>
      </c>
      <c r="P21" s="305">
        <f t="shared" si="19"/>
        <v>0</v>
      </c>
      <c r="T21" s="305"/>
      <c r="U21" s="305"/>
      <c r="V21" s="339"/>
      <c r="W21" s="305"/>
      <c r="X21" s="340"/>
      <c r="Y21" s="242"/>
      <c r="Z21" s="305"/>
      <c r="AA21" s="305"/>
      <c r="AB21" s="305"/>
      <c r="AC21" s="305"/>
      <c r="AD21" s="305"/>
      <c r="AE21" s="305"/>
      <c r="AF21" s="305"/>
      <c r="AG21" s="305"/>
      <c r="AH21" s="305"/>
      <c r="AI21" s="305"/>
      <c r="AJ21" s="305"/>
      <c r="AK21" s="305"/>
      <c r="AL21" s="305"/>
      <c r="AM21" s="305"/>
      <c r="AN21" s="305"/>
    </row>
    <row r="22" spans="1:40" ht="13">
      <c r="A22" s="310">
        <f t="shared" si="5"/>
        <v>10</v>
      </c>
      <c r="C22" s="303" t="str">
        <f t="shared" si="2"/>
        <v xml:space="preserve">October </v>
      </c>
      <c r="D22" s="479"/>
      <c r="E22" s="305">
        <f t="shared" ref="E22" si="20">E54+E85</f>
        <v>0</v>
      </c>
      <c r="F22" s="305">
        <f t="shared" ref="F22:P22" si="21">F54+F85</f>
        <v>0</v>
      </c>
      <c r="G22" s="305">
        <f t="shared" si="21"/>
        <v>0</v>
      </c>
      <c r="H22" s="305">
        <f t="shared" si="21"/>
        <v>0</v>
      </c>
      <c r="I22" s="305">
        <f t="shared" si="21"/>
        <v>0</v>
      </c>
      <c r="J22" s="305">
        <f t="shared" si="21"/>
        <v>0</v>
      </c>
      <c r="K22" s="305">
        <f t="shared" si="21"/>
        <v>0</v>
      </c>
      <c r="L22" s="305" t="e">
        <f t="shared" si="21"/>
        <v>#DIV/0!</v>
      </c>
      <c r="M22" s="305" t="e">
        <f t="shared" si="21"/>
        <v>#DIV/0!</v>
      </c>
      <c r="N22" s="305" t="e">
        <f t="shared" si="1"/>
        <v>#DIV/0!</v>
      </c>
      <c r="O22" s="305">
        <f t="shared" si="21"/>
        <v>0</v>
      </c>
      <c r="P22" s="305">
        <f t="shared" si="21"/>
        <v>0</v>
      </c>
      <c r="T22" s="305"/>
      <c r="U22" s="305"/>
      <c r="V22" s="339"/>
      <c r="W22" s="305"/>
      <c r="X22" s="340"/>
      <c r="Y22" s="242"/>
      <c r="Z22" s="305"/>
      <c r="AA22" s="305"/>
      <c r="AB22" s="305"/>
      <c r="AC22" s="305"/>
      <c r="AD22" s="305"/>
      <c r="AE22" s="305"/>
      <c r="AF22" s="305"/>
      <c r="AG22" s="305"/>
      <c r="AH22" s="305"/>
      <c r="AI22" s="305"/>
      <c r="AJ22" s="305"/>
      <c r="AK22" s="305"/>
      <c r="AL22" s="305"/>
      <c r="AM22" s="305"/>
      <c r="AN22" s="305"/>
    </row>
    <row r="23" spans="1:40" ht="13">
      <c r="A23" s="310">
        <f t="shared" si="5"/>
        <v>11</v>
      </c>
      <c r="C23" s="303" t="str">
        <f t="shared" si="2"/>
        <v>November</v>
      </c>
      <c r="D23" s="479"/>
      <c r="E23" s="305">
        <f t="shared" ref="E23" si="22">E55+E86</f>
        <v>0</v>
      </c>
      <c r="F23" s="305">
        <f t="shared" ref="F23:P23" si="23">F55+F86</f>
        <v>0</v>
      </c>
      <c r="G23" s="305">
        <f t="shared" si="23"/>
        <v>0</v>
      </c>
      <c r="H23" s="305">
        <f t="shared" si="23"/>
        <v>0</v>
      </c>
      <c r="I23" s="305">
        <f t="shared" si="23"/>
        <v>0</v>
      </c>
      <c r="J23" s="305">
        <f t="shared" si="23"/>
        <v>0</v>
      </c>
      <c r="K23" s="305">
        <f t="shared" si="23"/>
        <v>0</v>
      </c>
      <c r="L23" s="305" t="e">
        <f t="shared" si="23"/>
        <v>#DIV/0!</v>
      </c>
      <c r="M23" s="305" t="e">
        <f t="shared" si="23"/>
        <v>#DIV/0!</v>
      </c>
      <c r="N23" s="305" t="e">
        <f t="shared" si="1"/>
        <v>#DIV/0!</v>
      </c>
      <c r="O23" s="305">
        <f t="shared" si="23"/>
        <v>0</v>
      </c>
      <c r="P23" s="305">
        <f t="shared" si="23"/>
        <v>0</v>
      </c>
      <c r="T23" s="305"/>
      <c r="U23" s="305"/>
      <c r="V23" s="339"/>
      <c r="W23" s="305"/>
      <c r="X23" s="340"/>
      <c r="Y23" s="242"/>
      <c r="Z23" s="305"/>
      <c r="AA23" s="305"/>
      <c r="AB23" s="305"/>
      <c r="AC23" s="305"/>
      <c r="AD23" s="305"/>
      <c r="AE23" s="305"/>
      <c r="AF23" s="305"/>
      <c r="AG23" s="305"/>
      <c r="AH23" s="305"/>
      <c r="AI23" s="305"/>
      <c r="AJ23" s="305"/>
      <c r="AK23" s="305"/>
      <c r="AL23" s="305"/>
      <c r="AM23" s="305"/>
      <c r="AN23" s="305"/>
    </row>
    <row r="24" spans="1:40" ht="13">
      <c r="A24" s="310">
        <f t="shared" si="5"/>
        <v>12</v>
      </c>
      <c r="C24" s="303" t="str">
        <f t="shared" si="2"/>
        <v>December</v>
      </c>
      <c r="D24" s="479"/>
      <c r="E24" s="305">
        <f t="shared" ref="E24" si="24">E56+E87</f>
        <v>0</v>
      </c>
      <c r="F24" s="305">
        <f t="shared" ref="F24:P24" si="25">F56+F87</f>
        <v>0</v>
      </c>
      <c r="G24" s="305">
        <f t="shared" si="25"/>
        <v>0</v>
      </c>
      <c r="H24" s="305">
        <f t="shared" si="25"/>
        <v>0</v>
      </c>
      <c r="I24" s="305">
        <f t="shared" si="25"/>
        <v>0</v>
      </c>
      <c r="J24" s="305">
        <f t="shared" si="25"/>
        <v>0</v>
      </c>
      <c r="K24" s="305">
        <f t="shared" si="25"/>
        <v>0</v>
      </c>
      <c r="L24" s="305" t="e">
        <f t="shared" si="25"/>
        <v>#DIV/0!</v>
      </c>
      <c r="M24" s="305" t="e">
        <f t="shared" si="25"/>
        <v>#DIV/0!</v>
      </c>
      <c r="N24" s="305" t="e">
        <f t="shared" si="1"/>
        <v>#DIV/0!</v>
      </c>
      <c r="O24" s="305">
        <f t="shared" si="25"/>
        <v>0</v>
      </c>
      <c r="P24" s="305">
        <f t="shared" si="25"/>
        <v>0</v>
      </c>
      <c r="T24" s="305"/>
      <c r="U24" s="305"/>
      <c r="V24" s="339"/>
      <c r="W24" s="305"/>
      <c r="X24" s="340"/>
      <c r="Y24" s="242"/>
      <c r="Z24" s="305"/>
      <c r="AA24" s="305"/>
      <c r="AB24" s="305"/>
      <c r="AC24" s="305"/>
      <c r="AD24" s="305"/>
      <c r="AE24" s="305"/>
      <c r="AF24" s="305"/>
      <c r="AG24" s="305"/>
      <c r="AH24" s="305"/>
      <c r="AI24" s="305"/>
      <c r="AJ24" s="305"/>
      <c r="AK24" s="305"/>
      <c r="AL24" s="305"/>
      <c r="AM24" s="305"/>
      <c r="AN24" s="305"/>
    </row>
    <row r="25" spans="1:40" ht="13">
      <c r="A25" s="310">
        <f t="shared" si="5"/>
        <v>13</v>
      </c>
      <c r="C25" s="303" t="str">
        <f t="shared" si="2"/>
        <v>January</v>
      </c>
      <c r="D25" s="479"/>
      <c r="E25" s="305">
        <f t="shared" ref="E25" si="26">E57+E88</f>
        <v>0</v>
      </c>
      <c r="F25" s="305">
        <f t="shared" ref="F25:P25" si="27">F57+F88</f>
        <v>0</v>
      </c>
      <c r="G25" s="305">
        <f t="shared" si="27"/>
        <v>0</v>
      </c>
      <c r="H25" s="305">
        <f t="shared" si="27"/>
        <v>0</v>
      </c>
      <c r="I25" s="305">
        <f t="shared" si="27"/>
        <v>0</v>
      </c>
      <c r="J25" s="305">
        <f t="shared" si="27"/>
        <v>0</v>
      </c>
      <c r="K25" s="305">
        <f t="shared" si="27"/>
        <v>0</v>
      </c>
      <c r="L25" s="305" t="e">
        <f t="shared" si="27"/>
        <v>#DIV/0!</v>
      </c>
      <c r="M25" s="305" t="e">
        <f t="shared" si="27"/>
        <v>#DIV/0!</v>
      </c>
      <c r="N25" s="305" t="e">
        <f t="shared" si="1"/>
        <v>#DIV/0!</v>
      </c>
      <c r="O25" s="305">
        <f t="shared" si="27"/>
        <v>0</v>
      </c>
      <c r="P25" s="305">
        <f t="shared" si="27"/>
        <v>0</v>
      </c>
      <c r="T25" s="305"/>
      <c r="U25" s="305"/>
      <c r="V25" s="339"/>
      <c r="W25" s="305"/>
      <c r="X25" s="340"/>
      <c r="Y25" s="242"/>
      <c r="Z25" s="305"/>
      <c r="AA25" s="305"/>
      <c r="AB25" s="305"/>
      <c r="AC25" s="305"/>
      <c r="AD25" s="305"/>
      <c r="AE25" s="305"/>
      <c r="AF25" s="305"/>
      <c r="AG25" s="305"/>
      <c r="AH25" s="305"/>
      <c r="AI25" s="305"/>
      <c r="AJ25" s="305"/>
      <c r="AK25" s="305"/>
      <c r="AL25" s="305"/>
      <c r="AM25" s="305"/>
      <c r="AN25" s="305"/>
    </row>
    <row r="26" spans="1:40" ht="13">
      <c r="A26" s="310">
        <f t="shared" si="5"/>
        <v>14</v>
      </c>
      <c r="C26" s="303" t="str">
        <f t="shared" si="2"/>
        <v>February</v>
      </c>
      <c r="D26" s="479"/>
      <c r="E26" s="305">
        <f t="shared" ref="E26" si="28">E58+E89</f>
        <v>0</v>
      </c>
      <c r="F26" s="305">
        <f t="shared" ref="F26:P26" si="29">F58+F89</f>
        <v>0</v>
      </c>
      <c r="G26" s="305">
        <f t="shared" si="29"/>
        <v>0</v>
      </c>
      <c r="H26" s="305">
        <f t="shared" si="29"/>
        <v>0</v>
      </c>
      <c r="I26" s="305">
        <f t="shared" si="29"/>
        <v>0</v>
      </c>
      <c r="J26" s="305">
        <f t="shared" si="29"/>
        <v>0</v>
      </c>
      <c r="K26" s="305">
        <f t="shared" si="29"/>
        <v>0</v>
      </c>
      <c r="L26" s="305" t="e">
        <f t="shared" si="29"/>
        <v>#DIV/0!</v>
      </c>
      <c r="M26" s="305" t="e">
        <f t="shared" si="29"/>
        <v>#DIV/0!</v>
      </c>
      <c r="N26" s="305" t="e">
        <f t="shared" si="1"/>
        <v>#DIV/0!</v>
      </c>
      <c r="O26" s="305">
        <f t="shared" si="29"/>
        <v>0</v>
      </c>
      <c r="P26" s="305">
        <f t="shared" si="29"/>
        <v>0</v>
      </c>
      <c r="T26" s="305"/>
      <c r="U26" s="305"/>
      <c r="V26" s="339"/>
      <c r="W26" s="305"/>
      <c r="X26" s="340"/>
      <c r="Y26" s="242"/>
      <c r="Z26" s="305"/>
      <c r="AA26" s="305"/>
      <c r="AB26" s="305"/>
      <c r="AC26" s="305"/>
      <c r="AD26" s="305"/>
      <c r="AE26" s="305"/>
      <c r="AF26" s="305"/>
      <c r="AG26" s="305"/>
      <c r="AH26" s="305"/>
      <c r="AI26" s="305"/>
      <c r="AJ26" s="305"/>
      <c r="AK26" s="305"/>
      <c r="AL26" s="305"/>
      <c r="AM26" s="305"/>
      <c r="AN26" s="305"/>
    </row>
    <row r="27" spans="1:40" ht="13">
      <c r="A27" s="310">
        <f t="shared" si="5"/>
        <v>15</v>
      </c>
      <c r="C27" s="303" t="str">
        <f t="shared" si="2"/>
        <v>March</v>
      </c>
      <c r="D27" s="479"/>
      <c r="E27" s="305">
        <f t="shared" ref="E27" si="30">E59+E90</f>
        <v>0</v>
      </c>
      <c r="F27" s="305">
        <f t="shared" ref="F27:P27" si="31">F59+F90</f>
        <v>0</v>
      </c>
      <c r="G27" s="305">
        <f t="shared" si="31"/>
        <v>0</v>
      </c>
      <c r="H27" s="305">
        <f t="shared" si="31"/>
        <v>0</v>
      </c>
      <c r="I27" s="305">
        <f t="shared" si="31"/>
        <v>0</v>
      </c>
      <c r="J27" s="305">
        <f t="shared" si="31"/>
        <v>0</v>
      </c>
      <c r="K27" s="305">
        <f t="shared" si="31"/>
        <v>0</v>
      </c>
      <c r="L27" s="305" t="e">
        <f t="shared" si="31"/>
        <v>#DIV/0!</v>
      </c>
      <c r="M27" s="305" t="e">
        <f t="shared" si="31"/>
        <v>#DIV/0!</v>
      </c>
      <c r="N27" s="305" t="e">
        <f t="shared" si="1"/>
        <v>#DIV/0!</v>
      </c>
      <c r="O27" s="305">
        <f t="shared" si="31"/>
        <v>0</v>
      </c>
      <c r="P27" s="305">
        <f t="shared" si="31"/>
        <v>0</v>
      </c>
      <c r="T27" s="305"/>
      <c r="U27" s="305"/>
      <c r="V27" s="339"/>
      <c r="W27" s="305"/>
      <c r="X27" s="340"/>
      <c r="Y27" s="242"/>
      <c r="Z27" s="305"/>
      <c r="AA27" s="305"/>
      <c r="AB27" s="305"/>
      <c r="AC27" s="305"/>
      <c r="AD27" s="305"/>
      <c r="AE27" s="305"/>
      <c r="AF27" s="305"/>
      <c r="AG27" s="305"/>
      <c r="AH27" s="305"/>
      <c r="AI27" s="305"/>
      <c r="AJ27" s="305"/>
      <c r="AK27" s="305"/>
      <c r="AL27" s="305"/>
      <c r="AM27" s="305"/>
      <c r="AN27" s="305"/>
    </row>
    <row r="28" spans="1:40" ht="13">
      <c r="A28" s="310">
        <f t="shared" si="5"/>
        <v>16</v>
      </c>
      <c r="C28" s="303" t="str">
        <f t="shared" si="2"/>
        <v>April</v>
      </c>
      <c r="D28" s="479"/>
      <c r="E28" s="305">
        <f t="shared" ref="E28" si="32">E60+E91</f>
        <v>0</v>
      </c>
      <c r="F28" s="305">
        <f t="shared" ref="F28:P28" si="33">F60+F91</f>
        <v>0</v>
      </c>
      <c r="G28" s="305">
        <f t="shared" si="33"/>
        <v>0</v>
      </c>
      <c r="H28" s="305">
        <f t="shared" si="33"/>
        <v>0</v>
      </c>
      <c r="I28" s="305">
        <f t="shared" si="33"/>
        <v>0</v>
      </c>
      <c r="J28" s="305">
        <f t="shared" si="33"/>
        <v>0</v>
      </c>
      <c r="K28" s="305">
        <f t="shared" si="33"/>
        <v>0</v>
      </c>
      <c r="L28" s="305" t="e">
        <f t="shared" si="33"/>
        <v>#DIV/0!</v>
      </c>
      <c r="M28" s="305" t="e">
        <f t="shared" si="33"/>
        <v>#DIV/0!</v>
      </c>
      <c r="N28" s="305" t="e">
        <f t="shared" si="1"/>
        <v>#DIV/0!</v>
      </c>
      <c r="O28" s="305">
        <f t="shared" si="33"/>
        <v>0</v>
      </c>
      <c r="P28" s="305">
        <f t="shared" si="33"/>
        <v>0</v>
      </c>
      <c r="T28" s="305"/>
      <c r="U28" s="305"/>
      <c r="V28" s="339"/>
      <c r="W28" s="305"/>
      <c r="X28" s="340"/>
      <c r="Y28" s="242"/>
      <c r="Z28" s="305"/>
      <c r="AA28" s="305"/>
      <c r="AB28" s="305"/>
      <c r="AC28" s="305"/>
      <c r="AD28" s="305"/>
      <c r="AE28" s="305"/>
      <c r="AF28" s="305"/>
      <c r="AG28" s="305"/>
      <c r="AH28" s="305"/>
      <c r="AI28" s="305"/>
      <c r="AJ28" s="305"/>
      <c r="AK28" s="305"/>
      <c r="AL28" s="305"/>
      <c r="AM28" s="305"/>
      <c r="AN28" s="305"/>
    </row>
    <row r="29" spans="1:40" ht="13">
      <c r="A29" s="310">
        <f t="shared" si="5"/>
        <v>17</v>
      </c>
      <c r="C29" s="303" t="str">
        <f t="shared" si="2"/>
        <v>May</v>
      </c>
      <c r="D29" s="479"/>
      <c r="E29" s="305">
        <f t="shared" ref="E29" si="34">E61+E92</f>
        <v>0</v>
      </c>
      <c r="F29" s="305">
        <f t="shared" ref="F29:P29" si="35">F61+F92</f>
        <v>0</v>
      </c>
      <c r="G29" s="305">
        <f t="shared" si="35"/>
        <v>0</v>
      </c>
      <c r="H29" s="305">
        <f t="shared" si="35"/>
        <v>0</v>
      </c>
      <c r="I29" s="305">
        <f t="shared" si="35"/>
        <v>0</v>
      </c>
      <c r="J29" s="305">
        <f t="shared" si="35"/>
        <v>0</v>
      </c>
      <c r="K29" s="305">
        <f t="shared" si="35"/>
        <v>0</v>
      </c>
      <c r="L29" s="305" t="e">
        <f t="shared" si="35"/>
        <v>#DIV/0!</v>
      </c>
      <c r="M29" s="305" t="e">
        <f t="shared" si="35"/>
        <v>#DIV/0!</v>
      </c>
      <c r="N29" s="305" t="e">
        <f t="shared" si="1"/>
        <v>#DIV/0!</v>
      </c>
      <c r="O29" s="305">
        <f t="shared" si="35"/>
        <v>0</v>
      </c>
      <c r="P29" s="305">
        <f t="shared" si="35"/>
        <v>0</v>
      </c>
      <c r="T29" s="305"/>
      <c r="U29" s="305"/>
      <c r="V29" s="339"/>
      <c r="W29" s="305"/>
      <c r="X29" s="340"/>
      <c r="Y29" s="242"/>
      <c r="Z29" s="305"/>
      <c r="AA29" s="305"/>
      <c r="AB29" s="305"/>
      <c r="AC29" s="305"/>
      <c r="AD29" s="305"/>
      <c r="AE29" s="305"/>
      <c r="AF29" s="305"/>
      <c r="AG29" s="305"/>
      <c r="AH29" s="305"/>
      <c r="AI29" s="305"/>
      <c r="AJ29" s="305"/>
      <c r="AK29" s="305"/>
      <c r="AL29" s="305"/>
      <c r="AM29" s="305"/>
      <c r="AN29" s="305"/>
    </row>
    <row r="30" spans="1:40" ht="13">
      <c r="A30" s="310">
        <f t="shared" si="5"/>
        <v>18</v>
      </c>
      <c r="C30" s="303" t="str">
        <f t="shared" ref="C30:C33" si="36">C62</f>
        <v xml:space="preserve">June </v>
      </c>
      <c r="D30" s="479"/>
      <c r="E30" s="305">
        <f t="shared" ref="E30" si="37">E62+E93</f>
        <v>0</v>
      </c>
      <c r="F30" s="305">
        <f t="shared" ref="F30:P30" si="38">F62+F93</f>
        <v>0</v>
      </c>
      <c r="G30" s="305">
        <f t="shared" si="38"/>
        <v>0</v>
      </c>
      <c r="H30" s="305">
        <f t="shared" si="38"/>
        <v>0</v>
      </c>
      <c r="I30" s="305">
        <f t="shared" si="38"/>
        <v>0</v>
      </c>
      <c r="J30" s="305">
        <f t="shared" si="38"/>
        <v>0</v>
      </c>
      <c r="K30" s="305">
        <f t="shared" si="38"/>
        <v>0</v>
      </c>
      <c r="L30" s="305" t="e">
        <f t="shared" si="38"/>
        <v>#DIV/0!</v>
      </c>
      <c r="M30" s="305" t="e">
        <f t="shared" si="38"/>
        <v>#DIV/0!</v>
      </c>
      <c r="N30" s="305" t="e">
        <f t="shared" si="1"/>
        <v>#DIV/0!</v>
      </c>
      <c r="O30" s="305">
        <f t="shared" si="38"/>
        <v>0</v>
      </c>
      <c r="P30" s="305">
        <f t="shared" si="38"/>
        <v>0</v>
      </c>
      <c r="T30" s="305"/>
      <c r="U30" s="305"/>
      <c r="V30" s="339"/>
      <c r="W30" s="305"/>
      <c r="X30" s="340"/>
      <c r="Y30" s="242"/>
      <c r="Z30" s="305"/>
      <c r="AA30" s="305"/>
      <c r="AB30" s="305"/>
      <c r="AC30" s="305"/>
      <c r="AD30" s="305"/>
      <c r="AE30" s="305"/>
      <c r="AF30" s="305"/>
      <c r="AG30" s="305"/>
      <c r="AH30" s="305"/>
      <c r="AI30" s="305"/>
      <c r="AJ30" s="305"/>
      <c r="AK30" s="305"/>
      <c r="AL30" s="305"/>
      <c r="AM30" s="305"/>
      <c r="AN30" s="305"/>
    </row>
    <row r="31" spans="1:40" ht="13">
      <c r="A31" s="310">
        <f t="shared" si="5"/>
        <v>19</v>
      </c>
      <c r="C31" s="303" t="str">
        <f t="shared" si="36"/>
        <v>July</v>
      </c>
      <c r="D31" s="479"/>
      <c r="E31" s="305">
        <f t="shared" ref="E31" si="39">E63+E94</f>
        <v>0</v>
      </c>
      <c r="F31" s="305">
        <f t="shared" ref="F31:P31" si="40">F63+F94</f>
        <v>0</v>
      </c>
      <c r="G31" s="305">
        <f t="shared" si="40"/>
        <v>0</v>
      </c>
      <c r="H31" s="305">
        <f t="shared" si="40"/>
        <v>0</v>
      </c>
      <c r="I31" s="305">
        <f t="shared" si="40"/>
        <v>0</v>
      </c>
      <c r="J31" s="305">
        <f t="shared" si="40"/>
        <v>0</v>
      </c>
      <c r="K31" s="305">
        <f t="shared" si="40"/>
        <v>0</v>
      </c>
      <c r="L31" s="305" t="e">
        <f t="shared" si="40"/>
        <v>#DIV/0!</v>
      </c>
      <c r="M31" s="305" t="e">
        <f t="shared" si="40"/>
        <v>#DIV/0!</v>
      </c>
      <c r="N31" s="305" t="e">
        <f t="shared" si="1"/>
        <v>#DIV/0!</v>
      </c>
      <c r="O31" s="305">
        <f t="shared" si="40"/>
        <v>0</v>
      </c>
      <c r="P31" s="305">
        <f t="shared" si="40"/>
        <v>0</v>
      </c>
      <c r="T31" s="305"/>
      <c r="U31" s="305"/>
      <c r="V31" s="339"/>
      <c r="W31" s="305"/>
      <c r="X31" s="340"/>
      <c r="Y31" s="242"/>
      <c r="Z31" s="305"/>
      <c r="AA31" s="305"/>
      <c r="AB31" s="305"/>
      <c r="AC31" s="305"/>
      <c r="AD31" s="305"/>
      <c r="AE31" s="305"/>
      <c r="AF31" s="305"/>
      <c r="AG31" s="305"/>
      <c r="AH31" s="305"/>
      <c r="AI31" s="305"/>
      <c r="AJ31" s="305"/>
      <c r="AK31" s="305"/>
      <c r="AL31" s="305"/>
      <c r="AM31" s="305"/>
      <c r="AN31" s="305"/>
    </row>
    <row r="32" spans="1:40" ht="13">
      <c r="A32" s="310">
        <f t="shared" si="5"/>
        <v>20</v>
      </c>
      <c r="C32" s="303" t="str">
        <f t="shared" si="36"/>
        <v>August</v>
      </c>
      <c r="D32" s="479"/>
      <c r="E32" s="305">
        <f t="shared" ref="E32" si="41">E64+E95</f>
        <v>0</v>
      </c>
      <c r="F32" s="305">
        <f t="shared" ref="F32:P32" si="42">F64+F95</f>
        <v>0</v>
      </c>
      <c r="G32" s="305">
        <f t="shared" si="42"/>
        <v>0</v>
      </c>
      <c r="H32" s="305">
        <f t="shared" si="42"/>
        <v>0</v>
      </c>
      <c r="I32" s="305">
        <f t="shared" si="42"/>
        <v>0</v>
      </c>
      <c r="J32" s="305">
        <f t="shared" si="42"/>
        <v>0</v>
      </c>
      <c r="K32" s="305">
        <f t="shared" si="42"/>
        <v>0</v>
      </c>
      <c r="L32" s="305" t="e">
        <f t="shared" si="42"/>
        <v>#DIV/0!</v>
      </c>
      <c r="M32" s="305" t="e">
        <f t="shared" si="42"/>
        <v>#DIV/0!</v>
      </c>
      <c r="N32" s="305" t="e">
        <f t="shared" si="1"/>
        <v>#DIV/0!</v>
      </c>
      <c r="O32" s="305">
        <f t="shared" si="42"/>
        <v>0</v>
      </c>
      <c r="P32" s="305">
        <f t="shared" si="42"/>
        <v>0</v>
      </c>
      <c r="T32" s="305"/>
      <c r="U32" s="305"/>
      <c r="V32" s="339"/>
      <c r="W32" s="305"/>
      <c r="X32" s="340"/>
      <c r="Y32" s="242"/>
      <c r="Z32" s="305"/>
      <c r="AA32" s="305"/>
      <c r="AB32" s="305"/>
      <c r="AC32" s="305"/>
      <c r="AD32" s="305"/>
      <c r="AE32" s="305"/>
      <c r="AF32" s="305"/>
      <c r="AG32" s="305"/>
      <c r="AH32" s="305"/>
      <c r="AI32" s="305"/>
      <c r="AJ32" s="305"/>
      <c r="AK32" s="305"/>
      <c r="AL32" s="305"/>
      <c r="AM32" s="305"/>
      <c r="AN32" s="305"/>
    </row>
    <row r="33" spans="1:40" ht="13">
      <c r="A33" s="310">
        <f t="shared" si="5"/>
        <v>21</v>
      </c>
      <c r="C33" s="303" t="str">
        <f t="shared" si="36"/>
        <v>September</v>
      </c>
      <c r="D33" s="479"/>
      <c r="E33" s="305">
        <f t="shared" ref="E33" si="43">E65+E96</f>
        <v>0</v>
      </c>
      <c r="F33" s="305">
        <f t="shared" ref="F33:P33" si="44">F65+F96</f>
        <v>0</v>
      </c>
      <c r="G33" s="305">
        <f t="shared" si="44"/>
        <v>0</v>
      </c>
      <c r="H33" s="305">
        <f t="shared" si="44"/>
        <v>0</v>
      </c>
      <c r="I33" s="305">
        <f t="shared" si="44"/>
        <v>0</v>
      </c>
      <c r="J33" s="305">
        <f t="shared" si="44"/>
        <v>0</v>
      </c>
      <c r="K33" s="305">
        <f t="shared" si="44"/>
        <v>0</v>
      </c>
      <c r="L33" s="305" t="e">
        <f t="shared" si="44"/>
        <v>#DIV/0!</v>
      </c>
      <c r="M33" s="305" t="e">
        <f t="shared" si="44"/>
        <v>#DIV/0!</v>
      </c>
      <c r="N33" s="305" t="e">
        <f t="shared" si="1"/>
        <v>#DIV/0!</v>
      </c>
      <c r="O33" s="305">
        <f t="shared" si="44"/>
        <v>0</v>
      </c>
      <c r="P33" s="305">
        <f t="shared" si="44"/>
        <v>0</v>
      </c>
      <c r="T33" s="305"/>
      <c r="U33" s="305"/>
      <c r="V33" s="339"/>
      <c r="W33" s="305"/>
      <c r="X33" s="340"/>
      <c r="Y33" s="242"/>
      <c r="Z33" s="305"/>
      <c r="AA33" s="305"/>
      <c r="AB33" s="305"/>
      <c r="AC33" s="305"/>
      <c r="AD33" s="305"/>
      <c r="AE33" s="305"/>
      <c r="AF33" s="305"/>
      <c r="AG33" s="305"/>
      <c r="AH33" s="305"/>
      <c r="AI33" s="305"/>
      <c r="AJ33" s="305"/>
      <c r="AK33" s="305"/>
      <c r="AL33" s="305"/>
      <c r="AM33" s="305"/>
      <c r="AN33" s="305"/>
    </row>
    <row r="34" spans="1:40" ht="13">
      <c r="A34" s="310">
        <f t="shared" si="5"/>
        <v>22</v>
      </c>
      <c r="C34" s="303" t="str">
        <f t="shared" ref="C34" si="45">C66</f>
        <v>October</v>
      </c>
      <c r="D34" s="479"/>
      <c r="E34" s="305">
        <f t="shared" ref="E34" si="46">E66+E97</f>
        <v>0</v>
      </c>
      <c r="F34" s="305">
        <f t="shared" ref="F34:P34" si="47">F66+F97</f>
        <v>0</v>
      </c>
      <c r="G34" s="305">
        <f t="shared" si="47"/>
        <v>0</v>
      </c>
      <c r="H34" s="305">
        <f t="shared" si="47"/>
        <v>0</v>
      </c>
      <c r="I34" s="305">
        <f t="shared" si="47"/>
        <v>0</v>
      </c>
      <c r="J34" s="305">
        <f t="shared" si="47"/>
        <v>0</v>
      </c>
      <c r="K34" s="305">
        <f t="shared" si="47"/>
        <v>0</v>
      </c>
      <c r="L34" s="305" t="e">
        <f t="shared" si="47"/>
        <v>#DIV/0!</v>
      </c>
      <c r="M34" s="305" t="e">
        <f t="shared" si="47"/>
        <v>#DIV/0!</v>
      </c>
      <c r="N34" s="305" t="e">
        <f t="shared" si="1"/>
        <v>#DIV/0!</v>
      </c>
      <c r="O34" s="305">
        <f t="shared" si="47"/>
        <v>0</v>
      </c>
      <c r="P34" s="305">
        <f t="shared" si="47"/>
        <v>0</v>
      </c>
      <c r="T34" s="305"/>
      <c r="U34" s="305"/>
      <c r="V34" s="339"/>
      <c r="W34" s="305"/>
      <c r="X34" s="340"/>
      <c r="Y34" s="242"/>
      <c r="Z34" s="305"/>
      <c r="AA34" s="305"/>
      <c r="AB34" s="305"/>
      <c r="AC34" s="305"/>
      <c r="AD34" s="305"/>
      <c r="AE34" s="305"/>
      <c r="AF34" s="305"/>
      <c r="AG34" s="305"/>
      <c r="AH34" s="305"/>
      <c r="AI34" s="305"/>
      <c r="AJ34" s="305"/>
      <c r="AK34" s="305"/>
      <c r="AL34" s="305"/>
      <c r="AM34" s="305"/>
      <c r="AN34" s="305"/>
    </row>
    <row r="35" spans="1:40" ht="13">
      <c r="A35" s="310">
        <f t="shared" si="5"/>
        <v>23</v>
      </c>
      <c r="C35" s="303" t="str">
        <f t="shared" ref="C35" si="48">C67</f>
        <v>November</v>
      </c>
      <c r="D35" s="479"/>
      <c r="E35" s="305">
        <f t="shared" ref="E35" si="49">E67+E98</f>
        <v>0</v>
      </c>
      <c r="F35" s="305">
        <f t="shared" ref="F35:P35" si="50">F67+F98</f>
        <v>0</v>
      </c>
      <c r="G35" s="305">
        <f t="shared" si="50"/>
        <v>0</v>
      </c>
      <c r="H35" s="305">
        <f t="shared" si="50"/>
        <v>0</v>
      </c>
      <c r="I35" s="305">
        <f t="shared" si="50"/>
        <v>0</v>
      </c>
      <c r="J35" s="305">
        <f t="shared" si="50"/>
        <v>0</v>
      </c>
      <c r="K35" s="305">
        <f t="shared" si="50"/>
        <v>0</v>
      </c>
      <c r="L35" s="305" t="e">
        <f t="shared" si="50"/>
        <v>#DIV/0!</v>
      </c>
      <c r="M35" s="305" t="e">
        <f t="shared" si="50"/>
        <v>#DIV/0!</v>
      </c>
      <c r="N35" s="305" t="e">
        <f t="shared" si="1"/>
        <v>#DIV/0!</v>
      </c>
      <c r="O35" s="305">
        <f t="shared" si="50"/>
        <v>0</v>
      </c>
      <c r="P35" s="305">
        <f t="shared" si="50"/>
        <v>0</v>
      </c>
      <c r="T35" s="305"/>
      <c r="U35" s="305"/>
      <c r="V35" s="339"/>
      <c r="W35" s="305"/>
      <c r="X35" s="340"/>
      <c r="Y35" s="242"/>
      <c r="Z35" s="305"/>
      <c r="AA35" s="305"/>
      <c r="AB35" s="305"/>
      <c r="AC35" s="305"/>
      <c r="AD35" s="305"/>
      <c r="AE35" s="305"/>
      <c r="AF35" s="305"/>
      <c r="AG35" s="305"/>
      <c r="AH35" s="305"/>
      <c r="AI35" s="305"/>
      <c r="AJ35" s="305"/>
      <c r="AK35" s="305"/>
      <c r="AL35" s="305"/>
      <c r="AM35" s="305"/>
      <c r="AN35" s="305"/>
    </row>
    <row r="36" spans="1:40" ht="13">
      <c r="A36" s="310">
        <f t="shared" si="5"/>
        <v>24</v>
      </c>
      <c r="C36" s="303" t="str">
        <f t="shared" ref="C36" si="51">C68</f>
        <v>December</v>
      </c>
      <c r="D36" s="479"/>
      <c r="E36" s="305">
        <f t="shared" ref="E36" si="52">E68+E99</f>
        <v>0</v>
      </c>
      <c r="F36" s="305">
        <f t="shared" ref="F36:P36" si="53">F68+F99</f>
        <v>0</v>
      </c>
      <c r="G36" s="305">
        <f t="shared" si="53"/>
        <v>0</v>
      </c>
      <c r="H36" s="305">
        <f t="shared" si="53"/>
        <v>0</v>
      </c>
      <c r="I36" s="305">
        <f t="shared" si="53"/>
        <v>0</v>
      </c>
      <c r="J36" s="305">
        <f t="shared" si="53"/>
        <v>0</v>
      </c>
      <c r="K36" s="341">
        <f t="shared" si="53"/>
        <v>0</v>
      </c>
      <c r="L36" s="305" t="e">
        <f t="shared" si="53"/>
        <v>#DIV/0!</v>
      </c>
      <c r="M36" s="305" t="e">
        <f t="shared" si="53"/>
        <v>#DIV/0!</v>
      </c>
      <c r="N36" s="341" t="e">
        <f t="shared" si="1"/>
        <v>#DIV/0!</v>
      </c>
      <c r="O36" s="305">
        <f t="shared" si="53"/>
        <v>0</v>
      </c>
      <c r="P36" s="341">
        <f t="shared" si="53"/>
        <v>0</v>
      </c>
      <c r="T36" s="305"/>
      <c r="U36" s="305"/>
      <c r="V36" s="339"/>
      <c r="W36" s="305"/>
      <c r="X36" s="340"/>
      <c r="Y36" s="242"/>
      <c r="Z36" s="305"/>
      <c r="AA36" s="305"/>
      <c r="AB36" s="305"/>
      <c r="AC36" s="305"/>
      <c r="AD36" s="305"/>
      <c r="AE36" s="305"/>
      <c r="AF36" s="305"/>
      <c r="AG36" s="305"/>
      <c r="AH36" s="305"/>
      <c r="AI36" s="305"/>
      <c r="AJ36" s="305"/>
      <c r="AK36" s="305"/>
      <c r="AL36" s="305"/>
      <c r="AM36" s="305"/>
      <c r="AN36" s="305"/>
    </row>
    <row r="37" spans="1:40" s="307" customFormat="1" ht="13">
      <c r="A37" s="310">
        <f t="shared" si="5"/>
        <v>25</v>
      </c>
      <c r="D37" s="312" t="s">
        <v>1107</v>
      </c>
      <c r="K37" s="355">
        <f>AVERAGE(K24:K36)</f>
        <v>0</v>
      </c>
      <c r="M37" s="355"/>
      <c r="N37" s="355" t="e">
        <f>AVERAGE(N24:N36)</f>
        <v>#DIV/0!</v>
      </c>
      <c r="O37" s="355"/>
      <c r="P37" s="355">
        <f>AVERAGE(P24:P36)</f>
        <v>0</v>
      </c>
      <c r="Q37" s="356"/>
    </row>
    <row r="38" spans="1:40" ht="13">
      <c r="A38" s="310"/>
      <c r="T38" s="305"/>
      <c r="U38" s="305"/>
      <c r="Z38" s="305"/>
    </row>
    <row r="39" spans="1:40" ht="13">
      <c r="A39" s="310"/>
      <c r="B39" s="307" t="s">
        <v>1450</v>
      </c>
      <c r="G39" s="310"/>
      <c r="K39" s="242"/>
      <c r="M39" s="242"/>
      <c r="N39" s="242"/>
      <c r="O39" s="242"/>
      <c r="P39" s="242"/>
    </row>
    <row r="40" spans="1:40" ht="13">
      <c r="A40" s="310"/>
      <c r="B40" s="307"/>
      <c r="E40" s="328" t="s">
        <v>347</v>
      </c>
      <c r="F40" s="328" t="s">
        <v>348</v>
      </c>
      <c r="G40" s="328" t="s">
        <v>349</v>
      </c>
      <c r="H40" s="328" t="s">
        <v>350</v>
      </c>
      <c r="I40" s="328" t="s">
        <v>351</v>
      </c>
      <c r="J40" s="328" t="s">
        <v>352</v>
      </c>
      <c r="K40" s="357" t="s">
        <v>353</v>
      </c>
      <c r="L40" s="328" t="s">
        <v>354</v>
      </c>
      <c r="M40" s="357" t="s">
        <v>355</v>
      </c>
      <c r="N40" s="357" t="s">
        <v>605</v>
      </c>
      <c r="O40" s="357" t="s">
        <v>606</v>
      </c>
      <c r="P40" s="357" t="s">
        <v>607</v>
      </c>
    </row>
    <row r="41" spans="1:40" ht="25.5">
      <c r="A41" s="310"/>
      <c r="B41" s="307"/>
      <c r="E41" s="623" t="s">
        <v>1451</v>
      </c>
      <c r="F41" s="623" t="s">
        <v>1452</v>
      </c>
      <c r="G41" s="623" t="s">
        <v>1453</v>
      </c>
      <c r="H41" s="624" t="s">
        <v>455</v>
      </c>
      <c r="I41" s="624" t="s">
        <v>455</v>
      </c>
      <c r="J41" s="337" t="s">
        <v>455</v>
      </c>
      <c r="K41" s="621" t="s">
        <v>1454</v>
      </c>
      <c r="L41" s="621" t="s">
        <v>1455</v>
      </c>
      <c r="M41" s="622" t="s">
        <v>1456</v>
      </c>
      <c r="N41" s="625" t="s">
        <v>1457</v>
      </c>
      <c r="O41" s="625"/>
      <c r="P41" s="622" t="s">
        <v>1458</v>
      </c>
    </row>
    <row r="42" spans="1:40" ht="13">
      <c r="A42" s="310"/>
      <c r="C42" s="310" t="str">
        <f>C10</f>
        <v>Forecast</v>
      </c>
      <c r="E42" s="310" t="str">
        <f>E10</f>
        <v>Unloaded</v>
      </c>
      <c r="F42" s="310"/>
      <c r="G42" s="310"/>
      <c r="I42" s="310" t="str">
        <f>I10</f>
        <v>AFUDC</v>
      </c>
      <c r="J42" s="310"/>
      <c r="K42" s="310"/>
      <c r="L42" s="310"/>
      <c r="M42" s="310"/>
      <c r="N42" s="310"/>
      <c r="O42" s="310" t="str">
        <f t="shared" ref="O42:P44" si="54">O10</f>
        <v>Unloaded</v>
      </c>
      <c r="P42" s="310" t="str">
        <f t="shared" si="54"/>
        <v>Loaded</v>
      </c>
    </row>
    <row r="43" spans="1:40" ht="13">
      <c r="A43" s="310"/>
      <c r="B43" s="307"/>
      <c r="C43" s="310" t="str">
        <f>C11</f>
        <v>Period</v>
      </c>
      <c r="E43" s="310" t="str">
        <f>E11</f>
        <v>Total</v>
      </c>
      <c r="F43" s="310" t="str">
        <f t="shared" ref="F43:H44" si="55">F11</f>
        <v>Prior Period</v>
      </c>
      <c r="G43" s="310" t="str">
        <f t="shared" si="55"/>
        <v>Over Heads</v>
      </c>
      <c r="H43" s="310" t="str">
        <f t="shared" si="55"/>
        <v xml:space="preserve">Cost of </v>
      </c>
      <c r="I43" s="310" t="str">
        <f>I11</f>
        <v>Eligible Plant</v>
      </c>
      <c r="J43" s="310"/>
      <c r="K43" s="310" t="str">
        <f>K11</f>
        <v>Incremental</v>
      </c>
      <c r="L43" s="310" t="str">
        <f>L11</f>
        <v>Depreciation</v>
      </c>
      <c r="M43" s="310"/>
      <c r="N43" s="310"/>
      <c r="O43" s="310" t="str">
        <f t="shared" si="54"/>
        <v>Low Voltage</v>
      </c>
      <c r="P43" s="310" t="str">
        <f t="shared" si="54"/>
        <v>Low Voltage</v>
      </c>
    </row>
    <row r="44" spans="1:40" ht="13">
      <c r="A44" s="338" t="s">
        <v>284</v>
      </c>
      <c r="C44" s="328" t="str">
        <f t="shared" ref="C44:D44" si="56">C12</f>
        <v>Month</v>
      </c>
      <c r="D44" s="328" t="str">
        <f t="shared" si="56"/>
        <v>Year</v>
      </c>
      <c r="E44" s="328" t="str">
        <f>E12</f>
        <v>Plant Adds</v>
      </c>
      <c r="F44" s="328" t="str">
        <f t="shared" si="55"/>
        <v>CWIP Closed</v>
      </c>
      <c r="G44" s="328" t="str">
        <f t="shared" si="55"/>
        <v>Closed to PIS</v>
      </c>
      <c r="H44" s="328" t="str">
        <f t="shared" si="55"/>
        <v>Removal</v>
      </c>
      <c r="I44" s="328" t="str">
        <f>I12</f>
        <v>Additions</v>
      </c>
      <c r="J44" s="328" t="str">
        <f>J12</f>
        <v>AFUDC</v>
      </c>
      <c r="K44" s="328" t="str">
        <f>K12</f>
        <v>Gross Plant</v>
      </c>
      <c r="L44" s="328" t="str">
        <f>L12</f>
        <v>Accrual</v>
      </c>
      <c r="M44" s="328" t="str">
        <f>M12</f>
        <v>Reserve</v>
      </c>
      <c r="N44" s="328" t="str">
        <f>N12</f>
        <v>Net Plant</v>
      </c>
      <c r="O44" s="328" t="str">
        <f t="shared" si="54"/>
        <v>Additions</v>
      </c>
      <c r="P44" s="328" t="str">
        <f t="shared" si="54"/>
        <v>Additions</v>
      </c>
      <c r="T44" s="328"/>
      <c r="U44" s="328"/>
      <c r="V44" s="328"/>
      <c r="W44" s="328"/>
      <c r="X44" s="328"/>
      <c r="Y44" s="328"/>
    </row>
    <row r="45" spans="1:40" ht="13">
      <c r="A45" s="310">
        <f>A37+1</f>
        <v>26</v>
      </c>
      <c r="C45" s="329" t="s">
        <v>392</v>
      </c>
      <c r="D45" s="479"/>
      <c r="E45" s="344">
        <f>'10-CWIP'!G55</f>
        <v>0</v>
      </c>
      <c r="F45" s="344">
        <f>'10-CWIP'!H55</f>
        <v>0</v>
      </c>
      <c r="G45" s="344">
        <f>'10-CWIP'!I55</f>
        <v>0</v>
      </c>
      <c r="H45" s="358">
        <v>0</v>
      </c>
      <c r="I45" s="305">
        <v>0</v>
      </c>
      <c r="J45" s="359">
        <v>0</v>
      </c>
      <c r="K45" s="305">
        <f>0+E45+G45</f>
        <v>0</v>
      </c>
      <c r="L45" s="305">
        <v>0</v>
      </c>
      <c r="M45" s="305">
        <f>L45- H45</f>
        <v>0</v>
      </c>
      <c r="N45" s="305">
        <f>K45-M45</f>
        <v>0</v>
      </c>
      <c r="O45" s="360"/>
      <c r="P45" s="359">
        <f t="shared" ref="P45:P68" si="57">O45*(1-$E$107)*(1+$E$103+$E$111)</f>
        <v>0</v>
      </c>
      <c r="S45" s="305"/>
      <c r="T45" s="343"/>
      <c r="U45" s="340"/>
      <c r="V45" s="242"/>
      <c r="W45" s="343"/>
      <c r="X45" s="340"/>
      <c r="Y45" s="242"/>
    </row>
    <row r="46" spans="1:40" ht="13">
      <c r="A46" s="310">
        <f t="shared" ref="A46:A99" si="58">A45+1</f>
        <v>27</v>
      </c>
      <c r="C46" s="329" t="s">
        <v>393</v>
      </c>
      <c r="D46" s="479"/>
      <c r="E46" s="344">
        <f>'10-CWIP'!G56</f>
        <v>0</v>
      </c>
      <c r="F46" s="344">
        <f>'10-CWIP'!H56</f>
        <v>0</v>
      </c>
      <c r="G46" s="344">
        <f>'10-CWIP'!I56</f>
        <v>0</v>
      </c>
      <c r="H46" s="358">
        <v>0</v>
      </c>
      <c r="I46" s="305">
        <v>0</v>
      </c>
      <c r="J46" s="359">
        <v>0</v>
      </c>
      <c r="K46" s="305">
        <f>K45+E46+G46</f>
        <v>0</v>
      </c>
      <c r="L46" s="305" t="e">
        <f t="shared" ref="L46:L68" si="59">K45*$E$139/12</f>
        <v>#DIV/0!</v>
      </c>
      <c r="M46" s="305" t="e">
        <f>(M45+L46)-H46</f>
        <v>#DIV/0!</v>
      </c>
      <c r="N46" s="305" t="e">
        <f t="shared" ref="N46:N68" si="60">K46-M46</f>
        <v>#DIV/0!</v>
      </c>
      <c r="O46" s="360"/>
      <c r="P46" s="359">
        <f t="shared" si="57"/>
        <v>0</v>
      </c>
      <c r="S46" s="305"/>
      <c r="T46" s="343"/>
      <c r="U46" s="340"/>
      <c r="V46" s="242"/>
      <c r="W46" s="343"/>
      <c r="X46" s="340"/>
      <c r="Y46" s="242"/>
    </row>
    <row r="47" spans="1:40" ht="13">
      <c r="A47" s="310">
        <f t="shared" si="58"/>
        <v>28</v>
      </c>
      <c r="C47" s="329" t="s">
        <v>394</v>
      </c>
      <c r="D47" s="479"/>
      <c r="E47" s="344">
        <f>'10-CWIP'!G57</f>
        <v>0</v>
      </c>
      <c r="F47" s="344">
        <f>'10-CWIP'!H57</f>
        <v>0</v>
      </c>
      <c r="G47" s="344">
        <f>'10-CWIP'!I57</f>
        <v>0</v>
      </c>
      <c r="H47" s="358">
        <v>0</v>
      </c>
      <c r="I47" s="305">
        <v>0</v>
      </c>
      <c r="J47" s="359">
        <v>0</v>
      </c>
      <c r="K47" s="305">
        <f t="shared" ref="K47:K68" si="61">K46+E47+G47</f>
        <v>0</v>
      </c>
      <c r="L47" s="305" t="e">
        <f t="shared" si="59"/>
        <v>#DIV/0!</v>
      </c>
      <c r="M47" s="305" t="e">
        <f>(M46+L47)-H47</f>
        <v>#DIV/0!</v>
      </c>
      <c r="N47" s="305" t="e">
        <f t="shared" si="60"/>
        <v>#DIV/0!</v>
      </c>
      <c r="O47" s="360"/>
      <c r="P47" s="359">
        <f t="shared" si="57"/>
        <v>0</v>
      </c>
      <c r="S47" s="305"/>
      <c r="T47" s="343"/>
      <c r="U47" s="340"/>
      <c r="V47" s="242"/>
      <c r="W47" s="343"/>
      <c r="X47" s="340"/>
      <c r="Y47" s="242"/>
    </row>
    <row r="48" spans="1:40" ht="13">
      <c r="A48" s="310">
        <f t="shared" si="58"/>
        <v>29</v>
      </c>
      <c r="C48" s="329" t="s">
        <v>395</v>
      </c>
      <c r="D48" s="479"/>
      <c r="E48" s="344">
        <f>'10-CWIP'!G58</f>
        <v>0</v>
      </c>
      <c r="F48" s="344">
        <f>'10-CWIP'!H58</f>
        <v>0</v>
      </c>
      <c r="G48" s="344">
        <f>'10-CWIP'!I58</f>
        <v>0</v>
      </c>
      <c r="H48" s="358">
        <v>0</v>
      </c>
      <c r="I48" s="305">
        <v>0</v>
      </c>
      <c r="J48" s="359">
        <v>0</v>
      </c>
      <c r="K48" s="305">
        <f t="shared" si="61"/>
        <v>0</v>
      </c>
      <c r="L48" s="305" t="e">
        <f t="shared" si="59"/>
        <v>#DIV/0!</v>
      </c>
      <c r="M48" s="305" t="e">
        <f t="shared" ref="M48:M67" si="62">(M47+L48)-H48</f>
        <v>#DIV/0!</v>
      </c>
      <c r="N48" s="305" t="e">
        <f t="shared" si="60"/>
        <v>#DIV/0!</v>
      </c>
      <c r="O48" s="360"/>
      <c r="P48" s="359">
        <f t="shared" si="57"/>
        <v>0</v>
      </c>
      <c r="S48" s="305"/>
      <c r="T48" s="343"/>
      <c r="U48" s="340"/>
      <c r="V48" s="242"/>
      <c r="W48" s="343"/>
      <c r="X48" s="340"/>
      <c r="Y48" s="242"/>
    </row>
    <row r="49" spans="1:25" ht="13">
      <c r="A49" s="310">
        <f t="shared" si="58"/>
        <v>30</v>
      </c>
      <c r="C49" s="329" t="s">
        <v>396</v>
      </c>
      <c r="D49" s="479"/>
      <c r="E49" s="344">
        <f>'10-CWIP'!G59</f>
        <v>0</v>
      </c>
      <c r="F49" s="344">
        <f>'10-CWIP'!H59</f>
        <v>0</v>
      </c>
      <c r="G49" s="344">
        <f>'10-CWIP'!I59</f>
        <v>0</v>
      </c>
      <c r="H49" s="358">
        <v>0</v>
      </c>
      <c r="I49" s="305">
        <v>0</v>
      </c>
      <c r="J49" s="359">
        <v>0</v>
      </c>
      <c r="K49" s="305">
        <f t="shared" si="61"/>
        <v>0</v>
      </c>
      <c r="L49" s="305" t="e">
        <f t="shared" si="59"/>
        <v>#DIV/0!</v>
      </c>
      <c r="M49" s="305" t="e">
        <f t="shared" si="62"/>
        <v>#DIV/0!</v>
      </c>
      <c r="N49" s="305" t="e">
        <f t="shared" si="60"/>
        <v>#DIV/0!</v>
      </c>
      <c r="O49" s="360"/>
      <c r="P49" s="359">
        <f t="shared" si="57"/>
        <v>0</v>
      </c>
      <c r="S49" s="305"/>
      <c r="T49" s="343"/>
      <c r="U49" s="340"/>
      <c r="V49" s="242"/>
      <c r="W49" s="343"/>
      <c r="X49" s="340"/>
      <c r="Y49" s="242"/>
    </row>
    <row r="50" spans="1:25" ht="13">
      <c r="A50" s="310">
        <f t="shared" si="58"/>
        <v>31</v>
      </c>
      <c r="C50" s="329" t="s">
        <v>397</v>
      </c>
      <c r="D50" s="479"/>
      <c r="E50" s="344">
        <f>'10-CWIP'!G60</f>
        <v>0</v>
      </c>
      <c r="F50" s="344">
        <f>'10-CWIP'!H60</f>
        <v>0</v>
      </c>
      <c r="G50" s="344">
        <f>'10-CWIP'!I60</f>
        <v>0</v>
      </c>
      <c r="H50" s="358">
        <v>0</v>
      </c>
      <c r="I50" s="305">
        <v>0</v>
      </c>
      <c r="J50" s="359">
        <v>0</v>
      </c>
      <c r="K50" s="305">
        <f t="shared" si="61"/>
        <v>0</v>
      </c>
      <c r="L50" s="305" t="e">
        <f t="shared" si="59"/>
        <v>#DIV/0!</v>
      </c>
      <c r="M50" s="305" t="e">
        <f t="shared" si="62"/>
        <v>#DIV/0!</v>
      </c>
      <c r="N50" s="305" t="e">
        <f t="shared" si="60"/>
        <v>#DIV/0!</v>
      </c>
      <c r="O50" s="360"/>
      <c r="P50" s="359">
        <f t="shared" si="57"/>
        <v>0</v>
      </c>
      <c r="S50" s="305"/>
      <c r="T50" s="343"/>
      <c r="U50" s="340"/>
      <c r="V50" s="242"/>
      <c r="W50" s="343"/>
      <c r="X50" s="340"/>
      <c r="Y50" s="242"/>
    </row>
    <row r="51" spans="1:25" ht="13">
      <c r="A51" s="310">
        <f t="shared" si="58"/>
        <v>32</v>
      </c>
      <c r="C51" s="329" t="s">
        <v>398</v>
      </c>
      <c r="D51" s="479"/>
      <c r="E51" s="344">
        <f>'10-CWIP'!G61</f>
        <v>0</v>
      </c>
      <c r="F51" s="344">
        <f>'10-CWIP'!H61</f>
        <v>0</v>
      </c>
      <c r="G51" s="344">
        <f>'10-CWIP'!I61</f>
        <v>0</v>
      </c>
      <c r="H51" s="358">
        <v>0</v>
      </c>
      <c r="I51" s="305">
        <v>0</v>
      </c>
      <c r="J51" s="359">
        <v>0</v>
      </c>
      <c r="K51" s="305">
        <f t="shared" si="61"/>
        <v>0</v>
      </c>
      <c r="L51" s="305" t="e">
        <f t="shared" si="59"/>
        <v>#DIV/0!</v>
      </c>
      <c r="M51" s="305" t="e">
        <f t="shared" si="62"/>
        <v>#DIV/0!</v>
      </c>
      <c r="N51" s="305" t="e">
        <f t="shared" si="60"/>
        <v>#DIV/0!</v>
      </c>
      <c r="O51" s="360"/>
      <c r="P51" s="359">
        <f t="shared" si="57"/>
        <v>0</v>
      </c>
      <c r="S51" s="305"/>
      <c r="T51" s="343"/>
      <c r="U51" s="340"/>
      <c r="V51" s="242"/>
      <c r="W51" s="343"/>
      <c r="X51" s="340"/>
      <c r="Y51" s="242"/>
    </row>
    <row r="52" spans="1:25" ht="13">
      <c r="A52" s="310">
        <f t="shared" si="58"/>
        <v>33</v>
      </c>
      <c r="C52" s="329" t="s">
        <v>399</v>
      </c>
      <c r="D52" s="479"/>
      <c r="E52" s="344">
        <f>'10-CWIP'!G62</f>
        <v>0</v>
      </c>
      <c r="F52" s="344">
        <f>'10-CWIP'!H62</f>
        <v>0</v>
      </c>
      <c r="G52" s="344">
        <f>'10-CWIP'!I62</f>
        <v>0</v>
      </c>
      <c r="H52" s="358">
        <v>0</v>
      </c>
      <c r="I52" s="305">
        <v>0</v>
      </c>
      <c r="J52" s="359">
        <v>0</v>
      </c>
      <c r="K52" s="305">
        <f t="shared" si="61"/>
        <v>0</v>
      </c>
      <c r="L52" s="305" t="e">
        <f t="shared" si="59"/>
        <v>#DIV/0!</v>
      </c>
      <c r="M52" s="305" t="e">
        <f t="shared" si="62"/>
        <v>#DIV/0!</v>
      </c>
      <c r="N52" s="305" t="e">
        <f t="shared" si="60"/>
        <v>#DIV/0!</v>
      </c>
      <c r="O52" s="360"/>
      <c r="P52" s="359">
        <f t="shared" si="57"/>
        <v>0</v>
      </c>
      <c r="S52" s="305"/>
      <c r="T52" s="343"/>
      <c r="U52" s="340"/>
      <c r="V52" s="242"/>
      <c r="W52" s="343"/>
      <c r="X52" s="340"/>
      <c r="Y52" s="242"/>
    </row>
    <row r="53" spans="1:25" ht="13">
      <c r="A53" s="310">
        <f t="shared" si="58"/>
        <v>34</v>
      </c>
      <c r="C53" s="329" t="s">
        <v>400</v>
      </c>
      <c r="D53" s="479"/>
      <c r="E53" s="344">
        <f>'10-CWIP'!G63</f>
        <v>0</v>
      </c>
      <c r="F53" s="344">
        <f>'10-CWIP'!H63</f>
        <v>0</v>
      </c>
      <c r="G53" s="344">
        <f>'10-CWIP'!I63</f>
        <v>0</v>
      </c>
      <c r="H53" s="358">
        <v>0</v>
      </c>
      <c r="I53" s="305">
        <v>0</v>
      </c>
      <c r="J53" s="359">
        <v>0</v>
      </c>
      <c r="K53" s="305">
        <f t="shared" si="61"/>
        <v>0</v>
      </c>
      <c r="L53" s="305" t="e">
        <f t="shared" si="59"/>
        <v>#DIV/0!</v>
      </c>
      <c r="M53" s="305" t="e">
        <f t="shared" si="62"/>
        <v>#DIV/0!</v>
      </c>
      <c r="N53" s="305" t="e">
        <f t="shared" si="60"/>
        <v>#DIV/0!</v>
      </c>
      <c r="O53" s="360"/>
      <c r="P53" s="359">
        <f t="shared" si="57"/>
        <v>0</v>
      </c>
      <c r="S53" s="305"/>
      <c r="T53" s="343"/>
      <c r="U53" s="340"/>
      <c r="V53" s="242"/>
      <c r="W53" s="343"/>
      <c r="X53" s="340"/>
      <c r="Y53" s="242"/>
    </row>
    <row r="54" spans="1:25" ht="13">
      <c r="A54" s="310">
        <f t="shared" si="58"/>
        <v>35</v>
      </c>
      <c r="C54" s="329" t="s">
        <v>1077</v>
      </c>
      <c r="D54" s="479"/>
      <c r="E54" s="344">
        <f>'10-CWIP'!G64</f>
        <v>0</v>
      </c>
      <c r="F54" s="344">
        <f>'10-CWIP'!H64</f>
        <v>0</v>
      </c>
      <c r="G54" s="344">
        <f>'10-CWIP'!I64</f>
        <v>0</v>
      </c>
      <c r="H54" s="358">
        <v>0</v>
      </c>
      <c r="I54" s="305">
        <v>0</v>
      </c>
      <c r="J54" s="359">
        <v>0</v>
      </c>
      <c r="K54" s="305">
        <f t="shared" si="61"/>
        <v>0</v>
      </c>
      <c r="L54" s="305" t="e">
        <f t="shared" si="59"/>
        <v>#DIV/0!</v>
      </c>
      <c r="M54" s="305" t="e">
        <f t="shared" si="62"/>
        <v>#DIV/0!</v>
      </c>
      <c r="N54" s="305" t="e">
        <f t="shared" si="60"/>
        <v>#DIV/0!</v>
      </c>
      <c r="O54" s="360"/>
      <c r="P54" s="359">
        <f t="shared" si="57"/>
        <v>0</v>
      </c>
      <c r="S54" s="305"/>
      <c r="T54" s="343"/>
      <c r="U54" s="340"/>
      <c r="V54" s="242"/>
      <c r="W54" s="343"/>
      <c r="X54" s="340"/>
      <c r="Y54" s="242"/>
    </row>
    <row r="55" spans="1:25" ht="13">
      <c r="A55" s="310">
        <f t="shared" si="58"/>
        <v>36</v>
      </c>
      <c r="C55" s="329" t="s">
        <v>402</v>
      </c>
      <c r="D55" s="479"/>
      <c r="E55" s="344">
        <f>'10-CWIP'!G65</f>
        <v>0</v>
      </c>
      <c r="F55" s="344">
        <f>'10-CWIP'!H65</f>
        <v>0</v>
      </c>
      <c r="G55" s="344">
        <f>'10-CWIP'!I65</f>
        <v>0</v>
      </c>
      <c r="H55" s="358">
        <v>0</v>
      </c>
      <c r="I55" s="305">
        <v>0</v>
      </c>
      <c r="J55" s="359">
        <v>0</v>
      </c>
      <c r="K55" s="305">
        <f t="shared" si="61"/>
        <v>0</v>
      </c>
      <c r="L55" s="305" t="e">
        <f t="shared" si="59"/>
        <v>#DIV/0!</v>
      </c>
      <c r="M55" s="305" t="e">
        <f t="shared" si="62"/>
        <v>#DIV/0!</v>
      </c>
      <c r="N55" s="305" t="e">
        <f t="shared" si="60"/>
        <v>#DIV/0!</v>
      </c>
      <c r="O55" s="360"/>
      <c r="P55" s="359">
        <f>O55*(1-$E$107)*(1+$E$103+$E$111)</f>
        <v>0</v>
      </c>
      <c r="S55" s="305"/>
      <c r="T55" s="343"/>
      <c r="U55" s="340"/>
      <c r="V55" s="242"/>
      <c r="W55" s="343"/>
      <c r="X55" s="340"/>
      <c r="Y55" s="242"/>
    </row>
    <row r="56" spans="1:25" ht="13">
      <c r="A56" s="310">
        <f t="shared" si="58"/>
        <v>37</v>
      </c>
      <c r="C56" s="329" t="s">
        <v>390</v>
      </c>
      <c r="D56" s="479"/>
      <c r="E56" s="344">
        <f>'10-CWIP'!G66</f>
        <v>0</v>
      </c>
      <c r="F56" s="344">
        <f>'10-CWIP'!H66</f>
        <v>0</v>
      </c>
      <c r="G56" s="344">
        <f>'10-CWIP'!I66</f>
        <v>0</v>
      </c>
      <c r="H56" s="358">
        <v>0</v>
      </c>
      <c r="I56" s="305">
        <v>0</v>
      </c>
      <c r="J56" s="359">
        <v>0</v>
      </c>
      <c r="K56" s="305">
        <f t="shared" si="61"/>
        <v>0</v>
      </c>
      <c r="L56" s="305" t="e">
        <f t="shared" si="59"/>
        <v>#DIV/0!</v>
      </c>
      <c r="M56" s="305" t="e">
        <f t="shared" si="62"/>
        <v>#DIV/0!</v>
      </c>
      <c r="N56" s="305" t="e">
        <f t="shared" si="60"/>
        <v>#DIV/0!</v>
      </c>
      <c r="O56" s="360"/>
      <c r="P56" s="359">
        <f t="shared" si="57"/>
        <v>0</v>
      </c>
      <c r="S56" s="305"/>
      <c r="T56" s="343"/>
      <c r="U56" s="340"/>
      <c r="V56" s="242"/>
      <c r="W56" s="343"/>
      <c r="X56" s="340"/>
      <c r="Y56" s="242"/>
    </row>
    <row r="57" spans="1:25" ht="13">
      <c r="A57" s="310">
        <f t="shared" si="58"/>
        <v>38</v>
      </c>
      <c r="C57" s="329" t="s">
        <v>392</v>
      </c>
      <c r="D57" s="479"/>
      <c r="E57" s="344">
        <f>'10-CWIP'!G67</f>
        <v>0</v>
      </c>
      <c r="F57" s="344">
        <f>'10-CWIP'!H67</f>
        <v>0</v>
      </c>
      <c r="G57" s="344">
        <f>'10-CWIP'!I67</f>
        <v>0</v>
      </c>
      <c r="H57" s="358">
        <v>0</v>
      </c>
      <c r="I57" s="305">
        <v>0</v>
      </c>
      <c r="J57" s="359">
        <v>0</v>
      </c>
      <c r="K57" s="305">
        <f t="shared" si="61"/>
        <v>0</v>
      </c>
      <c r="L57" s="305" t="e">
        <f t="shared" si="59"/>
        <v>#DIV/0!</v>
      </c>
      <c r="M57" s="305" t="e">
        <f t="shared" si="62"/>
        <v>#DIV/0!</v>
      </c>
      <c r="N57" s="305" t="e">
        <f t="shared" si="60"/>
        <v>#DIV/0!</v>
      </c>
      <c r="O57" s="360"/>
      <c r="P57" s="359">
        <f t="shared" si="57"/>
        <v>0</v>
      </c>
      <c r="S57" s="305"/>
      <c r="T57" s="343"/>
      <c r="U57" s="340"/>
      <c r="V57" s="242"/>
      <c r="W57" s="343"/>
      <c r="X57" s="340"/>
      <c r="Y57" s="242"/>
    </row>
    <row r="58" spans="1:25" ht="13">
      <c r="A58" s="310">
        <f t="shared" si="58"/>
        <v>39</v>
      </c>
      <c r="C58" s="329" t="s">
        <v>393</v>
      </c>
      <c r="D58" s="479"/>
      <c r="E58" s="344">
        <f>'10-CWIP'!G68</f>
        <v>0</v>
      </c>
      <c r="F58" s="344">
        <f>'10-CWIP'!H68</f>
        <v>0</v>
      </c>
      <c r="G58" s="344">
        <f>'10-CWIP'!I68</f>
        <v>0</v>
      </c>
      <c r="H58" s="358">
        <v>0</v>
      </c>
      <c r="I58" s="305">
        <v>0</v>
      </c>
      <c r="J58" s="359">
        <v>0</v>
      </c>
      <c r="K58" s="305">
        <f t="shared" si="61"/>
        <v>0</v>
      </c>
      <c r="L58" s="305" t="e">
        <f t="shared" si="59"/>
        <v>#DIV/0!</v>
      </c>
      <c r="M58" s="305" t="e">
        <f t="shared" si="62"/>
        <v>#DIV/0!</v>
      </c>
      <c r="N58" s="305" t="e">
        <f t="shared" si="60"/>
        <v>#DIV/0!</v>
      </c>
      <c r="O58" s="360"/>
      <c r="P58" s="359">
        <f t="shared" si="57"/>
        <v>0</v>
      </c>
      <c r="S58" s="305"/>
      <c r="T58" s="343"/>
      <c r="U58" s="340"/>
      <c r="V58" s="242"/>
      <c r="W58" s="343"/>
      <c r="X58" s="340"/>
      <c r="Y58" s="242"/>
    </row>
    <row r="59" spans="1:25" ht="13">
      <c r="A59" s="310">
        <f t="shared" si="58"/>
        <v>40</v>
      </c>
      <c r="C59" s="329" t="s">
        <v>394</v>
      </c>
      <c r="D59" s="479"/>
      <c r="E59" s="344">
        <f>'10-CWIP'!G69</f>
        <v>0</v>
      </c>
      <c r="F59" s="344">
        <f>'10-CWIP'!H69</f>
        <v>0</v>
      </c>
      <c r="G59" s="344">
        <f>'10-CWIP'!I69</f>
        <v>0</v>
      </c>
      <c r="H59" s="358">
        <v>0</v>
      </c>
      <c r="I59" s="305">
        <v>0</v>
      </c>
      <c r="J59" s="359">
        <v>0</v>
      </c>
      <c r="K59" s="305">
        <f t="shared" si="61"/>
        <v>0</v>
      </c>
      <c r="L59" s="305" t="e">
        <f t="shared" si="59"/>
        <v>#DIV/0!</v>
      </c>
      <c r="M59" s="305" t="e">
        <f t="shared" si="62"/>
        <v>#DIV/0!</v>
      </c>
      <c r="N59" s="305" t="e">
        <f t="shared" si="60"/>
        <v>#DIV/0!</v>
      </c>
      <c r="O59" s="360"/>
      <c r="P59" s="359">
        <f t="shared" si="57"/>
        <v>0</v>
      </c>
      <c r="S59" s="305"/>
      <c r="T59" s="343"/>
      <c r="U59" s="340"/>
      <c r="V59" s="242"/>
      <c r="W59" s="343"/>
      <c r="X59" s="340"/>
      <c r="Y59" s="242"/>
    </row>
    <row r="60" spans="1:25" ht="13">
      <c r="A60" s="310">
        <f t="shared" si="58"/>
        <v>41</v>
      </c>
      <c r="C60" s="329" t="s">
        <v>395</v>
      </c>
      <c r="D60" s="479"/>
      <c r="E60" s="344">
        <f>'10-CWIP'!G70</f>
        <v>0</v>
      </c>
      <c r="F60" s="344">
        <f>'10-CWIP'!H70</f>
        <v>0</v>
      </c>
      <c r="G60" s="344">
        <f>'10-CWIP'!I70</f>
        <v>0</v>
      </c>
      <c r="H60" s="358">
        <v>0</v>
      </c>
      <c r="I60" s="305">
        <v>0</v>
      </c>
      <c r="J60" s="359">
        <v>0</v>
      </c>
      <c r="K60" s="305">
        <f t="shared" si="61"/>
        <v>0</v>
      </c>
      <c r="L60" s="305" t="e">
        <f t="shared" si="59"/>
        <v>#DIV/0!</v>
      </c>
      <c r="M60" s="305" t="e">
        <f t="shared" si="62"/>
        <v>#DIV/0!</v>
      </c>
      <c r="N60" s="305" t="e">
        <f t="shared" si="60"/>
        <v>#DIV/0!</v>
      </c>
      <c r="O60" s="360"/>
      <c r="P60" s="359">
        <f t="shared" si="57"/>
        <v>0</v>
      </c>
      <c r="S60" s="305"/>
      <c r="T60" s="343"/>
      <c r="U60" s="340"/>
      <c r="V60" s="242"/>
      <c r="W60" s="343"/>
      <c r="X60" s="340"/>
      <c r="Y60" s="242"/>
    </row>
    <row r="61" spans="1:25" ht="13">
      <c r="A61" s="310">
        <f t="shared" si="58"/>
        <v>42</v>
      </c>
      <c r="C61" s="329" t="s">
        <v>396</v>
      </c>
      <c r="D61" s="479"/>
      <c r="E61" s="344">
        <f>'10-CWIP'!G71</f>
        <v>0</v>
      </c>
      <c r="F61" s="344">
        <f>'10-CWIP'!H71</f>
        <v>0</v>
      </c>
      <c r="G61" s="344">
        <f>'10-CWIP'!I71</f>
        <v>0</v>
      </c>
      <c r="H61" s="358">
        <v>0</v>
      </c>
      <c r="I61" s="305">
        <v>0</v>
      </c>
      <c r="J61" s="359">
        <v>0</v>
      </c>
      <c r="K61" s="305">
        <f t="shared" si="61"/>
        <v>0</v>
      </c>
      <c r="L61" s="305" t="e">
        <f t="shared" si="59"/>
        <v>#DIV/0!</v>
      </c>
      <c r="M61" s="305" t="e">
        <f t="shared" si="62"/>
        <v>#DIV/0!</v>
      </c>
      <c r="N61" s="305" t="e">
        <f t="shared" si="60"/>
        <v>#DIV/0!</v>
      </c>
      <c r="O61" s="360"/>
      <c r="P61" s="359">
        <f t="shared" si="57"/>
        <v>0</v>
      </c>
      <c r="S61" s="305"/>
      <c r="T61" s="343"/>
      <c r="U61" s="340"/>
      <c r="V61" s="242"/>
      <c r="W61" s="343"/>
      <c r="X61" s="340"/>
      <c r="Y61" s="242"/>
    </row>
    <row r="62" spans="1:25" ht="13">
      <c r="A62" s="310">
        <f t="shared" si="58"/>
        <v>43</v>
      </c>
      <c r="C62" s="329" t="s">
        <v>397</v>
      </c>
      <c r="D62" s="479"/>
      <c r="E62" s="344">
        <f>'10-CWIP'!G72</f>
        <v>0</v>
      </c>
      <c r="F62" s="344">
        <f>'10-CWIP'!H72</f>
        <v>0</v>
      </c>
      <c r="G62" s="344">
        <f>'10-CWIP'!I72</f>
        <v>0</v>
      </c>
      <c r="H62" s="358">
        <v>0</v>
      </c>
      <c r="I62" s="305">
        <v>0</v>
      </c>
      <c r="J62" s="359">
        <v>0</v>
      </c>
      <c r="K62" s="305">
        <f t="shared" si="61"/>
        <v>0</v>
      </c>
      <c r="L62" s="305" t="e">
        <f t="shared" si="59"/>
        <v>#DIV/0!</v>
      </c>
      <c r="M62" s="305" t="e">
        <f t="shared" si="62"/>
        <v>#DIV/0!</v>
      </c>
      <c r="N62" s="305" t="e">
        <f t="shared" si="60"/>
        <v>#DIV/0!</v>
      </c>
      <c r="O62" s="360"/>
      <c r="P62" s="359">
        <f t="shared" si="57"/>
        <v>0</v>
      </c>
      <c r="S62" s="305"/>
      <c r="T62" s="343"/>
      <c r="U62" s="340"/>
      <c r="V62" s="242"/>
      <c r="W62" s="343"/>
      <c r="X62" s="340"/>
      <c r="Y62" s="242"/>
    </row>
    <row r="63" spans="1:25" ht="13">
      <c r="A63" s="310">
        <f t="shared" si="58"/>
        <v>44</v>
      </c>
      <c r="C63" s="329" t="s">
        <v>398</v>
      </c>
      <c r="D63" s="479"/>
      <c r="E63" s="344">
        <f>'10-CWIP'!G73</f>
        <v>0</v>
      </c>
      <c r="F63" s="344">
        <f>'10-CWIP'!H73</f>
        <v>0</v>
      </c>
      <c r="G63" s="344">
        <f>'10-CWIP'!I73</f>
        <v>0</v>
      </c>
      <c r="H63" s="358">
        <v>0</v>
      </c>
      <c r="I63" s="305">
        <v>0</v>
      </c>
      <c r="J63" s="359">
        <v>0</v>
      </c>
      <c r="K63" s="305">
        <f t="shared" si="61"/>
        <v>0</v>
      </c>
      <c r="L63" s="305" t="e">
        <f t="shared" si="59"/>
        <v>#DIV/0!</v>
      </c>
      <c r="M63" s="305" t="e">
        <f t="shared" si="62"/>
        <v>#DIV/0!</v>
      </c>
      <c r="N63" s="305" t="e">
        <f t="shared" si="60"/>
        <v>#DIV/0!</v>
      </c>
      <c r="O63" s="360"/>
      <c r="P63" s="359">
        <f t="shared" si="57"/>
        <v>0</v>
      </c>
      <c r="S63" s="305"/>
      <c r="T63" s="343"/>
      <c r="U63" s="340"/>
      <c r="V63" s="242"/>
      <c r="W63" s="343"/>
      <c r="X63" s="340"/>
      <c r="Y63" s="242"/>
    </row>
    <row r="64" spans="1:25" ht="13">
      <c r="A64" s="310">
        <f t="shared" si="58"/>
        <v>45</v>
      </c>
      <c r="C64" s="329" t="s">
        <v>399</v>
      </c>
      <c r="D64" s="479"/>
      <c r="E64" s="344">
        <f>'10-CWIP'!G74</f>
        <v>0</v>
      </c>
      <c r="F64" s="344">
        <f>'10-CWIP'!H74</f>
        <v>0</v>
      </c>
      <c r="G64" s="344">
        <f>'10-CWIP'!I74</f>
        <v>0</v>
      </c>
      <c r="H64" s="358">
        <v>0</v>
      </c>
      <c r="I64" s="305">
        <v>0</v>
      </c>
      <c r="J64" s="359">
        <v>0</v>
      </c>
      <c r="K64" s="305">
        <f t="shared" si="61"/>
        <v>0</v>
      </c>
      <c r="L64" s="305" t="e">
        <f t="shared" si="59"/>
        <v>#DIV/0!</v>
      </c>
      <c r="M64" s="305" t="e">
        <f t="shared" si="62"/>
        <v>#DIV/0!</v>
      </c>
      <c r="N64" s="305" t="e">
        <f t="shared" si="60"/>
        <v>#DIV/0!</v>
      </c>
      <c r="O64" s="360"/>
      <c r="P64" s="359">
        <f t="shared" si="57"/>
        <v>0</v>
      </c>
      <c r="S64" s="305"/>
      <c r="T64" s="343"/>
      <c r="U64" s="340"/>
      <c r="V64" s="242"/>
      <c r="W64" s="343"/>
      <c r="X64" s="340"/>
      <c r="Y64" s="242"/>
    </row>
    <row r="65" spans="1:25" ht="13">
      <c r="A65" s="310">
        <f t="shared" si="58"/>
        <v>46</v>
      </c>
      <c r="C65" s="329" t="s">
        <v>400</v>
      </c>
      <c r="D65" s="479"/>
      <c r="E65" s="344">
        <f>'10-CWIP'!G75</f>
        <v>0</v>
      </c>
      <c r="F65" s="344">
        <f>'10-CWIP'!H75</f>
        <v>0</v>
      </c>
      <c r="G65" s="344">
        <f>'10-CWIP'!I75</f>
        <v>0</v>
      </c>
      <c r="H65" s="358">
        <v>0</v>
      </c>
      <c r="I65" s="305">
        <v>0</v>
      </c>
      <c r="J65" s="359">
        <v>0</v>
      </c>
      <c r="K65" s="305">
        <f t="shared" si="61"/>
        <v>0</v>
      </c>
      <c r="L65" s="305" t="e">
        <f t="shared" si="59"/>
        <v>#DIV/0!</v>
      </c>
      <c r="M65" s="305" t="e">
        <f t="shared" si="62"/>
        <v>#DIV/0!</v>
      </c>
      <c r="N65" s="305" t="e">
        <f t="shared" si="60"/>
        <v>#DIV/0!</v>
      </c>
      <c r="O65" s="360"/>
      <c r="P65" s="359">
        <f t="shared" si="57"/>
        <v>0</v>
      </c>
      <c r="S65" s="305"/>
      <c r="T65" s="343"/>
      <c r="U65" s="340"/>
      <c r="V65" s="242"/>
      <c r="W65" s="343"/>
      <c r="X65" s="340"/>
      <c r="Y65" s="242"/>
    </row>
    <row r="66" spans="1:25" ht="13">
      <c r="A66" s="310">
        <f t="shared" si="58"/>
        <v>47</v>
      </c>
      <c r="C66" s="329" t="s">
        <v>401</v>
      </c>
      <c r="D66" s="479"/>
      <c r="E66" s="344">
        <f>'10-CWIP'!G76</f>
        <v>0</v>
      </c>
      <c r="F66" s="344">
        <f>'10-CWIP'!H76</f>
        <v>0</v>
      </c>
      <c r="G66" s="344">
        <f>'10-CWIP'!I76</f>
        <v>0</v>
      </c>
      <c r="H66" s="358">
        <v>0</v>
      </c>
      <c r="I66" s="305">
        <v>0</v>
      </c>
      <c r="J66" s="359">
        <v>0</v>
      </c>
      <c r="K66" s="305">
        <f t="shared" si="61"/>
        <v>0</v>
      </c>
      <c r="L66" s="305" t="e">
        <f t="shared" si="59"/>
        <v>#DIV/0!</v>
      </c>
      <c r="M66" s="305" t="e">
        <f t="shared" si="62"/>
        <v>#DIV/0!</v>
      </c>
      <c r="N66" s="305" t="e">
        <f t="shared" si="60"/>
        <v>#DIV/0!</v>
      </c>
      <c r="O66" s="360"/>
      <c r="P66" s="359">
        <f t="shared" si="57"/>
        <v>0</v>
      </c>
      <c r="S66" s="305"/>
      <c r="T66" s="343"/>
      <c r="U66" s="340"/>
      <c r="V66" s="242"/>
      <c r="W66" s="343"/>
      <c r="X66" s="340"/>
      <c r="Y66" s="242"/>
    </row>
    <row r="67" spans="1:25" ht="13">
      <c r="A67" s="310">
        <f t="shared" si="58"/>
        <v>48</v>
      </c>
      <c r="C67" s="329" t="s">
        <v>402</v>
      </c>
      <c r="D67" s="479"/>
      <c r="E67" s="344">
        <f>'10-CWIP'!G77</f>
        <v>0</v>
      </c>
      <c r="F67" s="344">
        <f>'10-CWIP'!H77</f>
        <v>0</v>
      </c>
      <c r="G67" s="344">
        <f>'10-CWIP'!I77</f>
        <v>0</v>
      </c>
      <c r="H67" s="358">
        <v>0</v>
      </c>
      <c r="I67" s="305">
        <v>0</v>
      </c>
      <c r="J67" s="359">
        <v>0</v>
      </c>
      <c r="K67" s="305">
        <f t="shared" si="61"/>
        <v>0</v>
      </c>
      <c r="L67" s="305" t="e">
        <f t="shared" si="59"/>
        <v>#DIV/0!</v>
      </c>
      <c r="M67" s="305" t="e">
        <f t="shared" si="62"/>
        <v>#DIV/0!</v>
      </c>
      <c r="N67" s="305" t="e">
        <f t="shared" si="60"/>
        <v>#DIV/0!</v>
      </c>
      <c r="O67" s="360"/>
      <c r="P67" s="359">
        <f t="shared" si="57"/>
        <v>0</v>
      </c>
      <c r="S67" s="305"/>
      <c r="T67" s="343"/>
      <c r="U67" s="340"/>
      <c r="V67" s="242"/>
      <c r="W67" s="343"/>
      <c r="X67" s="340"/>
      <c r="Y67" s="242"/>
    </row>
    <row r="68" spans="1:25" ht="13">
      <c r="A68" s="310">
        <f t="shared" si="58"/>
        <v>49</v>
      </c>
      <c r="C68" s="329" t="s">
        <v>390</v>
      </c>
      <c r="D68" s="479"/>
      <c r="E68" s="344">
        <f>'10-CWIP'!G78</f>
        <v>0</v>
      </c>
      <c r="F68" s="344">
        <f>'10-CWIP'!H78</f>
        <v>0</v>
      </c>
      <c r="G68" s="344">
        <f>'10-CWIP'!I78</f>
        <v>0</v>
      </c>
      <c r="H68" s="358">
        <v>0</v>
      </c>
      <c r="I68" s="305">
        <v>0</v>
      </c>
      <c r="J68" s="359">
        <v>0</v>
      </c>
      <c r="K68" s="305">
        <f t="shared" si="61"/>
        <v>0</v>
      </c>
      <c r="L68" s="305" t="e">
        <f t="shared" si="59"/>
        <v>#DIV/0!</v>
      </c>
      <c r="M68" s="305" t="e">
        <f>(M67+L68)-H68</f>
        <v>#DIV/0!</v>
      </c>
      <c r="N68" s="305" t="e">
        <f t="shared" si="60"/>
        <v>#DIV/0!</v>
      </c>
      <c r="O68" s="360"/>
      <c r="P68" s="359">
        <f t="shared" si="57"/>
        <v>0</v>
      </c>
      <c r="S68" s="305"/>
      <c r="T68" s="343"/>
      <c r="U68" s="340"/>
      <c r="V68" s="242"/>
      <c r="W68" s="343"/>
      <c r="X68" s="340"/>
      <c r="Y68" s="242"/>
    </row>
    <row r="69" spans="1:25" ht="13">
      <c r="A69" s="310"/>
      <c r="D69" s="342"/>
      <c r="G69" s="305"/>
      <c r="N69" s="305"/>
    </row>
    <row r="70" spans="1:25" ht="13">
      <c r="A70" s="310"/>
      <c r="B70" s="307" t="s">
        <v>1459</v>
      </c>
      <c r="D70" s="342"/>
      <c r="F70" s="39" t="s">
        <v>200</v>
      </c>
      <c r="G70" s="240" t="s">
        <v>1109</v>
      </c>
      <c r="H70" s="314"/>
      <c r="N70" s="305"/>
    </row>
    <row r="71" spans="1:25" ht="13">
      <c r="A71" s="310"/>
      <c r="E71" s="335" t="s">
        <v>347</v>
      </c>
      <c r="F71" s="335" t="s">
        <v>348</v>
      </c>
      <c r="G71" s="335" t="s">
        <v>349</v>
      </c>
      <c r="H71" s="335" t="s">
        <v>350</v>
      </c>
      <c r="I71" s="335" t="s">
        <v>351</v>
      </c>
      <c r="J71" s="335" t="s">
        <v>352</v>
      </c>
      <c r="K71" s="335" t="s">
        <v>353</v>
      </c>
      <c r="L71" s="335" t="s">
        <v>354</v>
      </c>
      <c r="M71" s="335" t="s">
        <v>355</v>
      </c>
      <c r="N71" s="335" t="s">
        <v>605</v>
      </c>
      <c r="O71" s="335" t="s">
        <v>606</v>
      </c>
      <c r="P71" s="335" t="s">
        <v>607</v>
      </c>
    </row>
    <row r="72" spans="1:25" ht="25.5">
      <c r="A72" s="310"/>
      <c r="E72" s="336"/>
      <c r="F72" s="336"/>
      <c r="G72" s="336" t="str">
        <f>"=(C"&amp;RIGHT(E71)&amp;"-C"&amp;RIGHT(F71)&amp;")*L"&amp;$A$103</f>
        <v>=(C1-C2)*L74</v>
      </c>
      <c r="H72" s="336" t="str">
        <f>"=(C"&amp;RIGHT(E71)&amp;"-C"&amp;RIGHT(F71)&amp;"+C"&amp;RIGHT(G71)&amp;")*L"&amp;$A$107</f>
        <v>=(C1-C2+C3)*L75</v>
      </c>
      <c r="I72" s="336" t="str">
        <f>"=C"&amp;RIGHT(E71)&amp;"-C"&amp;RIGHT(F71)&amp;"+C"&amp;RIGHT(G71)&amp;"-C"&amp;RIGHT(H71)</f>
        <v>=C1-C2+C3-C4</v>
      </c>
      <c r="J72" s="336" t="str">
        <f>"=C"&amp;RIGHT(I71)&amp;"*L"&amp;$A$111</f>
        <v>=C5*L76</v>
      </c>
      <c r="K72" s="621" t="s">
        <v>1460</v>
      </c>
      <c r="L72" s="621" t="s">
        <v>1455</v>
      </c>
      <c r="M72" s="622" t="s">
        <v>1456</v>
      </c>
      <c r="N72" s="336" t="str">
        <f>"=C"&amp;RIGHT(K71)&amp;"-C"&amp;RIGHT(M71)</f>
        <v>=C7-C9</v>
      </c>
      <c r="P72" s="622" t="s">
        <v>1458</v>
      </c>
    </row>
    <row r="73" spans="1:25" ht="13">
      <c r="A73" s="310"/>
      <c r="C73" s="310" t="str">
        <f>C10</f>
        <v>Forecast</v>
      </c>
      <c r="E73" s="310" t="str">
        <f>E10</f>
        <v>Unloaded</v>
      </c>
      <c r="F73" s="310"/>
      <c r="G73" s="310"/>
      <c r="H73" s="310"/>
      <c r="I73" s="310" t="str">
        <f>I10</f>
        <v>AFUDC</v>
      </c>
      <c r="J73" s="310"/>
      <c r="K73" s="310"/>
      <c r="L73" s="310"/>
      <c r="M73" s="310"/>
      <c r="O73" s="310" t="str">
        <f>O10</f>
        <v>Unloaded</v>
      </c>
      <c r="P73" s="310" t="str">
        <f>P10</f>
        <v>Loaded</v>
      </c>
    </row>
    <row r="74" spans="1:25" ht="13">
      <c r="A74" s="310"/>
      <c r="C74" s="310" t="str">
        <f>C11</f>
        <v>Period</v>
      </c>
      <c r="E74" s="310" t="str">
        <f>E11</f>
        <v>Total</v>
      </c>
      <c r="F74" s="310" t="str">
        <f t="shared" ref="F74:H75" si="63">F11</f>
        <v>Prior Period</v>
      </c>
      <c r="G74" s="310" t="str">
        <f t="shared" si="63"/>
        <v>Over Heads</v>
      </c>
      <c r="H74" s="310" t="str">
        <f t="shared" si="63"/>
        <v xml:space="preserve">Cost of </v>
      </c>
      <c r="I74" s="310" t="str">
        <f>I11</f>
        <v>Eligible Plant</v>
      </c>
      <c r="J74" s="310"/>
      <c r="K74" s="310" t="str">
        <f t="shared" ref="K74:M74" si="64">K11</f>
        <v>Incremental</v>
      </c>
      <c r="L74" s="310" t="str">
        <f t="shared" si="64"/>
        <v>Depreciation</v>
      </c>
      <c r="M74" s="310" t="str">
        <f t="shared" si="64"/>
        <v>Incremental</v>
      </c>
      <c r="O74" s="310" t="str">
        <f>O11</f>
        <v>Low Voltage</v>
      </c>
      <c r="P74" s="310" t="str">
        <f>P11</f>
        <v>Low Voltage</v>
      </c>
      <c r="Q74" s="310"/>
    </row>
    <row r="75" spans="1:25" ht="13">
      <c r="A75" s="338" t="s">
        <v>284</v>
      </c>
      <c r="C75" s="328" t="str">
        <f>C12</f>
        <v>Month</v>
      </c>
      <c r="D75" s="328" t="str">
        <f>D12</f>
        <v>Year</v>
      </c>
      <c r="E75" s="328" t="str">
        <f>E12</f>
        <v>Plant Adds</v>
      </c>
      <c r="F75" s="328" t="str">
        <f t="shared" si="63"/>
        <v>CWIP Closed</v>
      </c>
      <c r="G75" s="328" t="str">
        <f t="shared" si="63"/>
        <v>Closed to PIS</v>
      </c>
      <c r="H75" s="328" t="str">
        <f t="shared" si="63"/>
        <v>Removal</v>
      </c>
      <c r="I75" s="328" t="str">
        <f>I12</f>
        <v>Additions</v>
      </c>
      <c r="J75" s="328" t="str">
        <f t="shared" ref="J75:P75" si="65">J12</f>
        <v>AFUDC</v>
      </c>
      <c r="K75" s="328" t="str">
        <f t="shared" si="65"/>
        <v>Gross Plant</v>
      </c>
      <c r="L75" s="328" t="str">
        <f t="shared" si="65"/>
        <v>Accrual</v>
      </c>
      <c r="M75" s="328" t="str">
        <f t="shared" si="65"/>
        <v>Reserve</v>
      </c>
      <c r="N75" s="328" t="str">
        <f t="shared" si="65"/>
        <v>Net Plant</v>
      </c>
      <c r="O75" s="328" t="str">
        <f t="shared" si="65"/>
        <v>Additions</v>
      </c>
      <c r="P75" s="328" t="str">
        <f t="shared" si="65"/>
        <v>Additions</v>
      </c>
      <c r="Q75" s="328"/>
      <c r="S75" s="362"/>
      <c r="T75" s="328"/>
      <c r="U75" s="328"/>
      <c r="V75" s="328"/>
      <c r="W75" s="328"/>
      <c r="X75" s="328"/>
      <c r="Y75" s="328"/>
    </row>
    <row r="76" spans="1:25" ht="13">
      <c r="A76" s="310">
        <f>A68+1</f>
        <v>50</v>
      </c>
      <c r="C76" s="329" t="str">
        <f t="shared" ref="C76:C96" si="66">C45</f>
        <v>January</v>
      </c>
      <c r="D76" s="479"/>
      <c r="E76" s="345"/>
      <c r="F76" s="345"/>
      <c r="G76" s="305">
        <f>(E76-F76)*$E$103</f>
        <v>0</v>
      </c>
      <c r="H76" s="305">
        <f>(E76-F76+G76)*$E$107</f>
        <v>0</v>
      </c>
      <c r="I76" s="305">
        <f>E76-F76+G76-H76</f>
        <v>0</v>
      </c>
      <c r="J76" s="305">
        <f t="shared" ref="J76:J99" si="67">I76*$E$111</f>
        <v>0</v>
      </c>
      <c r="K76" s="305">
        <f>F76+I76+J76</f>
        <v>0</v>
      </c>
      <c r="L76" s="305">
        <v>0</v>
      </c>
      <c r="M76" s="305">
        <f>L76</f>
        <v>0</v>
      </c>
      <c r="N76" s="305">
        <f t="shared" ref="N76:N99" si="68">K76-M76</f>
        <v>0</v>
      </c>
      <c r="O76" s="360"/>
      <c r="P76" s="305">
        <f t="shared" ref="P76:P96" si="69">O76*(1-$E$107)*(1+$E$103+$E$111)</f>
        <v>0</v>
      </c>
      <c r="Q76" s="343"/>
      <c r="R76" s="340"/>
      <c r="S76" s="343"/>
      <c r="T76" s="343"/>
      <c r="U76" s="340"/>
      <c r="V76" s="242"/>
      <c r="W76" s="343"/>
      <c r="X76" s="340"/>
      <c r="Y76" s="242"/>
    </row>
    <row r="77" spans="1:25" ht="13">
      <c r="A77" s="310">
        <f t="shared" si="58"/>
        <v>51</v>
      </c>
      <c r="C77" s="329" t="str">
        <f t="shared" si="66"/>
        <v>February</v>
      </c>
      <c r="D77" s="479"/>
      <c r="E77" s="345"/>
      <c r="F77" s="345"/>
      <c r="G77" s="305">
        <f t="shared" ref="G77:G99" si="70">(E77-F77)*$E$103</f>
        <v>0</v>
      </c>
      <c r="H77" s="305">
        <f t="shared" ref="H77:H99" si="71">(E77-F77+G77)*$E$107</f>
        <v>0</v>
      </c>
      <c r="I77" s="305">
        <f t="shared" ref="I77:I99" si="72">E77-F77+G77-H77</f>
        <v>0</v>
      </c>
      <c r="J77" s="305">
        <f t="shared" si="67"/>
        <v>0</v>
      </c>
      <c r="K77" s="305">
        <f>K76+J77+I77+F77</f>
        <v>0</v>
      </c>
      <c r="L77" s="305" t="e">
        <f t="shared" ref="L77:L99" si="73">K76*$E$139/12</f>
        <v>#DIV/0!</v>
      </c>
      <c r="M77" s="305" t="e">
        <f>M76-H77+L77</f>
        <v>#DIV/0!</v>
      </c>
      <c r="N77" s="305" t="e">
        <f t="shared" si="68"/>
        <v>#DIV/0!</v>
      </c>
      <c r="O77" s="360"/>
      <c r="P77" s="305">
        <f t="shared" si="69"/>
        <v>0</v>
      </c>
      <c r="Q77" s="343"/>
      <c r="R77" s="340"/>
      <c r="S77" s="343"/>
      <c r="T77" s="343"/>
      <c r="U77" s="340"/>
      <c r="V77" s="242"/>
      <c r="W77" s="343"/>
      <c r="X77" s="340"/>
      <c r="Y77" s="242"/>
    </row>
    <row r="78" spans="1:25" ht="13">
      <c r="A78" s="310">
        <f t="shared" si="58"/>
        <v>52</v>
      </c>
      <c r="C78" s="329" t="str">
        <f t="shared" si="66"/>
        <v>March</v>
      </c>
      <c r="D78" s="479"/>
      <c r="E78" s="345"/>
      <c r="F78" s="345"/>
      <c r="G78" s="305">
        <f t="shared" si="70"/>
        <v>0</v>
      </c>
      <c r="H78" s="305">
        <f t="shared" si="71"/>
        <v>0</v>
      </c>
      <c r="I78" s="305">
        <f t="shared" si="72"/>
        <v>0</v>
      </c>
      <c r="J78" s="305">
        <f t="shared" si="67"/>
        <v>0</v>
      </c>
      <c r="K78" s="305">
        <f t="shared" ref="K78:K99" si="74">K77+J78+I78+F78</f>
        <v>0</v>
      </c>
      <c r="L78" s="305" t="e">
        <f t="shared" si="73"/>
        <v>#DIV/0!</v>
      </c>
      <c r="M78" s="305" t="e">
        <f t="shared" ref="M78:M98" si="75">M77-H78+L78</f>
        <v>#DIV/0!</v>
      </c>
      <c r="N78" s="305" t="e">
        <f t="shared" si="68"/>
        <v>#DIV/0!</v>
      </c>
      <c r="O78" s="360"/>
      <c r="P78" s="305">
        <f t="shared" si="69"/>
        <v>0</v>
      </c>
      <c r="Q78" s="343"/>
      <c r="R78" s="340"/>
      <c r="S78" s="343"/>
      <c r="T78" s="343"/>
      <c r="U78" s="340"/>
      <c r="V78" s="242"/>
      <c r="W78" s="343"/>
      <c r="X78" s="340"/>
      <c r="Y78" s="242"/>
    </row>
    <row r="79" spans="1:25" ht="13">
      <c r="A79" s="310">
        <f t="shared" si="58"/>
        <v>53</v>
      </c>
      <c r="C79" s="329" t="str">
        <f t="shared" si="66"/>
        <v>April</v>
      </c>
      <c r="D79" s="479"/>
      <c r="E79" s="345"/>
      <c r="F79" s="345"/>
      <c r="G79" s="305">
        <f t="shared" si="70"/>
        <v>0</v>
      </c>
      <c r="H79" s="305">
        <f t="shared" si="71"/>
        <v>0</v>
      </c>
      <c r="I79" s="305">
        <f t="shared" si="72"/>
        <v>0</v>
      </c>
      <c r="J79" s="305">
        <f t="shared" si="67"/>
        <v>0</v>
      </c>
      <c r="K79" s="305">
        <f t="shared" si="74"/>
        <v>0</v>
      </c>
      <c r="L79" s="305" t="e">
        <f t="shared" si="73"/>
        <v>#DIV/0!</v>
      </c>
      <c r="M79" s="305" t="e">
        <f t="shared" si="75"/>
        <v>#DIV/0!</v>
      </c>
      <c r="N79" s="305" t="e">
        <f t="shared" si="68"/>
        <v>#DIV/0!</v>
      </c>
      <c r="O79" s="360"/>
      <c r="P79" s="305">
        <f t="shared" si="69"/>
        <v>0</v>
      </c>
      <c r="Q79" s="343"/>
      <c r="R79" s="340"/>
      <c r="S79" s="343"/>
      <c r="T79" s="343"/>
      <c r="U79" s="340"/>
      <c r="V79" s="242"/>
      <c r="W79" s="343"/>
      <c r="X79" s="340"/>
      <c r="Y79" s="242"/>
    </row>
    <row r="80" spans="1:25" ht="13">
      <c r="A80" s="310">
        <f t="shared" si="58"/>
        <v>54</v>
      </c>
      <c r="C80" s="329" t="str">
        <f t="shared" si="66"/>
        <v>May</v>
      </c>
      <c r="D80" s="479"/>
      <c r="E80" s="345"/>
      <c r="F80" s="345"/>
      <c r="G80" s="305">
        <f t="shared" si="70"/>
        <v>0</v>
      </c>
      <c r="H80" s="305">
        <f t="shared" si="71"/>
        <v>0</v>
      </c>
      <c r="I80" s="305">
        <f t="shared" si="72"/>
        <v>0</v>
      </c>
      <c r="J80" s="305">
        <f t="shared" si="67"/>
        <v>0</v>
      </c>
      <c r="K80" s="305">
        <f t="shared" si="74"/>
        <v>0</v>
      </c>
      <c r="L80" s="305" t="e">
        <f t="shared" si="73"/>
        <v>#DIV/0!</v>
      </c>
      <c r="M80" s="305" t="e">
        <f t="shared" si="75"/>
        <v>#DIV/0!</v>
      </c>
      <c r="N80" s="305" t="e">
        <f t="shared" si="68"/>
        <v>#DIV/0!</v>
      </c>
      <c r="O80" s="360"/>
      <c r="P80" s="305">
        <f t="shared" si="69"/>
        <v>0</v>
      </c>
      <c r="Q80" s="343"/>
      <c r="R80" s="340"/>
      <c r="S80" s="343"/>
      <c r="T80" s="343"/>
      <c r="U80" s="340"/>
      <c r="V80" s="242"/>
      <c r="W80" s="343"/>
      <c r="X80" s="340"/>
      <c r="Y80" s="242"/>
    </row>
    <row r="81" spans="1:25" ht="13">
      <c r="A81" s="310">
        <f t="shared" si="58"/>
        <v>55</v>
      </c>
      <c r="C81" s="329" t="str">
        <f t="shared" si="66"/>
        <v xml:space="preserve">June </v>
      </c>
      <c r="D81" s="479"/>
      <c r="E81" s="345"/>
      <c r="F81" s="345"/>
      <c r="G81" s="305">
        <f t="shared" si="70"/>
        <v>0</v>
      </c>
      <c r="H81" s="305">
        <f t="shared" si="71"/>
        <v>0</v>
      </c>
      <c r="I81" s="305">
        <f t="shared" si="72"/>
        <v>0</v>
      </c>
      <c r="J81" s="305">
        <f t="shared" si="67"/>
        <v>0</v>
      </c>
      <c r="K81" s="305">
        <f t="shared" si="74"/>
        <v>0</v>
      </c>
      <c r="L81" s="305" t="e">
        <f t="shared" si="73"/>
        <v>#DIV/0!</v>
      </c>
      <c r="M81" s="305" t="e">
        <f t="shared" si="75"/>
        <v>#DIV/0!</v>
      </c>
      <c r="N81" s="305" t="e">
        <f t="shared" si="68"/>
        <v>#DIV/0!</v>
      </c>
      <c r="O81" s="360"/>
      <c r="P81" s="305">
        <f t="shared" si="69"/>
        <v>0</v>
      </c>
      <c r="Q81" s="343"/>
      <c r="R81" s="340"/>
      <c r="S81" s="343"/>
      <c r="T81" s="343"/>
      <c r="U81" s="340"/>
      <c r="V81" s="242"/>
      <c r="W81" s="343"/>
      <c r="X81" s="340"/>
      <c r="Y81" s="242"/>
    </row>
    <row r="82" spans="1:25" ht="13">
      <c r="A82" s="310">
        <f t="shared" si="58"/>
        <v>56</v>
      </c>
      <c r="C82" s="329" t="str">
        <f t="shared" si="66"/>
        <v>July</v>
      </c>
      <c r="D82" s="479"/>
      <c r="E82" s="345"/>
      <c r="F82" s="345"/>
      <c r="G82" s="305">
        <f t="shared" si="70"/>
        <v>0</v>
      </c>
      <c r="H82" s="305">
        <f t="shared" si="71"/>
        <v>0</v>
      </c>
      <c r="I82" s="305">
        <f t="shared" si="72"/>
        <v>0</v>
      </c>
      <c r="J82" s="305">
        <f t="shared" si="67"/>
        <v>0</v>
      </c>
      <c r="K82" s="305">
        <f t="shared" si="74"/>
        <v>0</v>
      </c>
      <c r="L82" s="305" t="e">
        <f t="shared" si="73"/>
        <v>#DIV/0!</v>
      </c>
      <c r="M82" s="305" t="e">
        <f t="shared" si="75"/>
        <v>#DIV/0!</v>
      </c>
      <c r="N82" s="305" t="e">
        <f t="shared" si="68"/>
        <v>#DIV/0!</v>
      </c>
      <c r="O82" s="360"/>
      <c r="P82" s="305">
        <f t="shared" si="69"/>
        <v>0</v>
      </c>
      <c r="Q82" s="343"/>
      <c r="R82" s="340"/>
      <c r="S82" s="343"/>
      <c r="T82" s="343"/>
      <c r="U82" s="340"/>
      <c r="V82" s="242"/>
      <c r="W82" s="343"/>
      <c r="X82" s="340"/>
      <c r="Y82" s="242"/>
    </row>
    <row r="83" spans="1:25" ht="13">
      <c r="A83" s="310">
        <f t="shared" si="58"/>
        <v>57</v>
      </c>
      <c r="C83" s="329" t="str">
        <f t="shared" si="66"/>
        <v>August</v>
      </c>
      <c r="D83" s="479"/>
      <c r="E83" s="345"/>
      <c r="F83" s="345"/>
      <c r="G83" s="305">
        <f t="shared" si="70"/>
        <v>0</v>
      </c>
      <c r="H83" s="305">
        <f t="shared" si="71"/>
        <v>0</v>
      </c>
      <c r="I83" s="305">
        <f t="shared" si="72"/>
        <v>0</v>
      </c>
      <c r="J83" s="305">
        <f t="shared" si="67"/>
        <v>0</v>
      </c>
      <c r="K83" s="305">
        <f t="shared" si="74"/>
        <v>0</v>
      </c>
      <c r="L83" s="305" t="e">
        <f t="shared" si="73"/>
        <v>#DIV/0!</v>
      </c>
      <c r="M83" s="305" t="e">
        <f t="shared" si="75"/>
        <v>#DIV/0!</v>
      </c>
      <c r="N83" s="305" t="e">
        <f t="shared" si="68"/>
        <v>#DIV/0!</v>
      </c>
      <c r="O83" s="360"/>
      <c r="P83" s="305">
        <f t="shared" si="69"/>
        <v>0</v>
      </c>
      <c r="Q83" s="343"/>
      <c r="R83" s="340"/>
      <c r="S83" s="343"/>
      <c r="T83" s="343"/>
      <c r="U83" s="340"/>
      <c r="V83" s="242"/>
      <c r="W83" s="343"/>
      <c r="X83" s="340"/>
      <c r="Y83" s="242"/>
    </row>
    <row r="84" spans="1:25" ht="13">
      <c r="A84" s="310">
        <f t="shared" si="58"/>
        <v>58</v>
      </c>
      <c r="C84" s="329" t="str">
        <f t="shared" si="66"/>
        <v>September</v>
      </c>
      <c r="D84" s="479"/>
      <c r="E84" s="345"/>
      <c r="F84" s="345"/>
      <c r="G84" s="305">
        <f t="shared" si="70"/>
        <v>0</v>
      </c>
      <c r="H84" s="305">
        <f t="shared" si="71"/>
        <v>0</v>
      </c>
      <c r="I84" s="305">
        <f t="shared" si="72"/>
        <v>0</v>
      </c>
      <c r="J84" s="305">
        <f t="shared" si="67"/>
        <v>0</v>
      </c>
      <c r="K84" s="305">
        <f t="shared" si="74"/>
        <v>0</v>
      </c>
      <c r="L84" s="305" t="e">
        <f t="shared" si="73"/>
        <v>#DIV/0!</v>
      </c>
      <c r="M84" s="305" t="e">
        <f t="shared" si="75"/>
        <v>#DIV/0!</v>
      </c>
      <c r="N84" s="305" t="e">
        <f t="shared" si="68"/>
        <v>#DIV/0!</v>
      </c>
      <c r="O84" s="360"/>
      <c r="P84" s="305">
        <f t="shared" si="69"/>
        <v>0</v>
      </c>
      <c r="Q84" s="343"/>
      <c r="R84" s="340"/>
      <c r="S84" s="343"/>
      <c r="T84" s="343"/>
      <c r="U84" s="340"/>
      <c r="V84" s="242"/>
      <c r="W84" s="343"/>
      <c r="X84" s="340"/>
      <c r="Y84" s="242"/>
    </row>
    <row r="85" spans="1:25" ht="13">
      <c r="A85" s="310">
        <f t="shared" si="58"/>
        <v>59</v>
      </c>
      <c r="C85" s="329" t="str">
        <f t="shared" si="66"/>
        <v xml:space="preserve">October </v>
      </c>
      <c r="D85" s="479"/>
      <c r="E85" s="345"/>
      <c r="F85" s="345"/>
      <c r="G85" s="305">
        <f t="shared" si="70"/>
        <v>0</v>
      </c>
      <c r="H85" s="305">
        <f t="shared" si="71"/>
        <v>0</v>
      </c>
      <c r="I85" s="305">
        <f t="shared" si="72"/>
        <v>0</v>
      </c>
      <c r="J85" s="305">
        <f t="shared" si="67"/>
        <v>0</v>
      </c>
      <c r="K85" s="305">
        <f t="shared" si="74"/>
        <v>0</v>
      </c>
      <c r="L85" s="305" t="e">
        <f t="shared" si="73"/>
        <v>#DIV/0!</v>
      </c>
      <c r="M85" s="305" t="e">
        <f t="shared" si="75"/>
        <v>#DIV/0!</v>
      </c>
      <c r="N85" s="305" t="e">
        <f t="shared" si="68"/>
        <v>#DIV/0!</v>
      </c>
      <c r="O85" s="360"/>
      <c r="P85" s="305">
        <f t="shared" si="69"/>
        <v>0</v>
      </c>
      <c r="Q85" s="343"/>
      <c r="R85" s="340"/>
      <c r="S85" s="343"/>
      <c r="T85" s="343"/>
      <c r="U85" s="340"/>
      <c r="V85" s="242"/>
      <c r="W85" s="343"/>
      <c r="X85" s="340"/>
      <c r="Y85" s="242"/>
    </row>
    <row r="86" spans="1:25" ht="13">
      <c r="A86" s="310">
        <f t="shared" si="58"/>
        <v>60</v>
      </c>
      <c r="C86" s="329" t="str">
        <f t="shared" si="66"/>
        <v>November</v>
      </c>
      <c r="D86" s="479"/>
      <c r="E86" s="345"/>
      <c r="F86" s="345"/>
      <c r="G86" s="305">
        <f t="shared" si="70"/>
        <v>0</v>
      </c>
      <c r="H86" s="305">
        <f t="shared" si="71"/>
        <v>0</v>
      </c>
      <c r="I86" s="305">
        <f t="shared" si="72"/>
        <v>0</v>
      </c>
      <c r="J86" s="305">
        <f t="shared" si="67"/>
        <v>0</v>
      </c>
      <c r="K86" s="305">
        <f t="shared" si="74"/>
        <v>0</v>
      </c>
      <c r="L86" s="305" t="e">
        <f t="shared" si="73"/>
        <v>#DIV/0!</v>
      </c>
      <c r="M86" s="305" t="e">
        <f t="shared" si="75"/>
        <v>#DIV/0!</v>
      </c>
      <c r="N86" s="305" t="e">
        <f t="shared" si="68"/>
        <v>#DIV/0!</v>
      </c>
      <c r="O86" s="360"/>
      <c r="P86" s="305">
        <f t="shared" si="69"/>
        <v>0</v>
      </c>
      <c r="Q86" s="343"/>
      <c r="R86" s="340"/>
      <c r="S86" s="343"/>
      <c r="T86" s="343"/>
      <c r="U86" s="340"/>
      <c r="V86" s="242"/>
      <c r="W86" s="343"/>
      <c r="X86" s="340"/>
      <c r="Y86" s="242"/>
    </row>
    <row r="87" spans="1:25" ht="13">
      <c r="A87" s="310">
        <f t="shared" si="58"/>
        <v>61</v>
      </c>
      <c r="C87" s="329" t="str">
        <f t="shared" si="66"/>
        <v>December</v>
      </c>
      <c r="D87" s="479"/>
      <c r="E87" s="345"/>
      <c r="F87" s="345"/>
      <c r="G87" s="305">
        <f t="shared" si="70"/>
        <v>0</v>
      </c>
      <c r="H87" s="305">
        <f t="shared" si="71"/>
        <v>0</v>
      </c>
      <c r="I87" s="305">
        <f t="shared" si="72"/>
        <v>0</v>
      </c>
      <c r="J87" s="305">
        <f t="shared" si="67"/>
        <v>0</v>
      </c>
      <c r="K87" s="305">
        <f t="shared" si="74"/>
        <v>0</v>
      </c>
      <c r="L87" s="305" t="e">
        <f t="shared" si="73"/>
        <v>#DIV/0!</v>
      </c>
      <c r="M87" s="305" t="e">
        <f t="shared" si="75"/>
        <v>#DIV/0!</v>
      </c>
      <c r="N87" s="305" t="e">
        <f t="shared" si="68"/>
        <v>#DIV/0!</v>
      </c>
      <c r="O87" s="360"/>
      <c r="P87" s="305">
        <f t="shared" si="69"/>
        <v>0</v>
      </c>
      <c r="Q87" s="343"/>
      <c r="R87" s="340"/>
      <c r="S87" s="343"/>
      <c r="T87" s="343"/>
      <c r="U87" s="340"/>
      <c r="V87" s="242"/>
      <c r="W87" s="343"/>
      <c r="X87" s="340"/>
      <c r="Y87" s="242"/>
    </row>
    <row r="88" spans="1:25" ht="13">
      <c r="A88" s="310">
        <f t="shared" si="58"/>
        <v>62</v>
      </c>
      <c r="C88" s="329" t="str">
        <f t="shared" si="66"/>
        <v>January</v>
      </c>
      <c r="D88" s="479"/>
      <c r="E88" s="345"/>
      <c r="F88" s="345"/>
      <c r="G88" s="305">
        <f t="shared" si="70"/>
        <v>0</v>
      </c>
      <c r="H88" s="305">
        <f t="shared" si="71"/>
        <v>0</v>
      </c>
      <c r="I88" s="305">
        <f t="shared" si="72"/>
        <v>0</v>
      </c>
      <c r="J88" s="305">
        <f t="shared" si="67"/>
        <v>0</v>
      </c>
      <c r="K88" s="305">
        <f t="shared" si="74"/>
        <v>0</v>
      </c>
      <c r="L88" s="305" t="e">
        <f t="shared" si="73"/>
        <v>#DIV/0!</v>
      </c>
      <c r="M88" s="305" t="e">
        <f t="shared" si="75"/>
        <v>#DIV/0!</v>
      </c>
      <c r="N88" s="305" t="e">
        <f t="shared" si="68"/>
        <v>#DIV/0!</v>
      </c>
      <c r="O88" s="360"/>
      <c r="P88" s="305">
        <f t="shared" si="69"/>
        <v>0</v>
      </c>
      <c r="Q88" s="343"/>
      <c r="R88" s="340"/>
      <c r="S88" s="343"/>
      <c r="T88" s="343"/>
      <c r="U88" s="340"/>
      <c r="V88" s="242"/>
      <c r="W88" s="343"/>
      <c r="X88" s="340"/>
      <c r="Y88" s="242"/>
    </row>
    <row r="89" spans="1:25" ht="13">
      <c r="A89" s="310">
        <f t="shared" si="58"/>
        <v>63</v>
      </c>
      <c r="C89" s="329" t="str">
        <f t="shared" si="66"/>
        <v>February</v>
      </c>
      <c r="D89" s="479"/>
      <c r="E89" s="345"/>
      <c r="F89" s="345"/>
      <c r="G89" s="305">
        <f t="shared" si="70"/>
        <v>0</v>
      </c>
      <c r="H89" s="305">
        <f t="shared" si="71"/>
        <v>0</v>
      </c>
      <c r="I89" s="305">
        <f t="shared" si="72"/>
        <v>0</v>
      </c>
      <c r="J89" s="305">
        <f t="shared" si="67"/>
        <v>0</v>
      </c>
      <c r="K89" s="305">
        <f t="shared" si="74"/>
        <v>0</v>
      </c>
      <c r="L89" s="305" t="e">
        <f t="shared" si="73"/>
        <v>#DIV/0!</v>
      </c>
      <c r="M89" s="305" t="e">
        <f t="shared" si="75"/>
        <v>#DIV/0!</v>
      </c>
      <c r="N89" s="305" t="e">
        <f t="shared" si="68"/>
        <v>#DIV/0!</v>
      </c>
      <c r="O89" s="360"/>
      <c r="P89" s="305">
        <f t="shared" si="69"/>
        <v>0</v>
      </c>
      <c r="Q89" s="343"/>
      <c r="R89" s="340"/>
      <c r="S89" s="343"/>
      <c r="T89" s="343"/>
      <c r="U89" s="340"/>
      <c r="V89" s="242"/>
      <c r="W89" s="343"/>
      <c r="X89" s="340"/>
      <c r="Y89" s="242"/>
    </row>
    <row r="90" spans="1:25" ht="13">
      <c r="A90" s="310">
        <f t="shared" si="58"/>
        <v>64</v>
      </c>
      <c r="C90" s="329" t="str">
        <f t="shared" si="66"/>
        <v>March</v>
      </c>
      <c r="D90" s="479"/>
      <c r="E90" s="345"/>
      <c r="F90" s="345"/>
      <c r="G90" s="305">
        <f t="shared" si="70"/>
        <v>0</v>
      </c>
      <c r="H90" s="305">
        <f t="shared" si="71"/>
        <v>0</v>
      </c>
      <c r="I90" s="305">
        <f t="shared" si="72"/>
        <v>0</v>
      </c>
      <c r="J90" s="305">
        <f t="shared" si="67"/>
        <v>0</v>
      </c>
      <c r="K90" s="305">
        <f t="shared" si="74"/>
        <v>0</v>
      </c>
      <c r="L90" s="305" t="e">
        <f t="shared" si="73"/>
        <v>#DIV/0!</v>
      </c>
      <c r="M90" s="305" t="e">
        <f t="shared" si="75"/>
        <v>#DIV/0!</v>
      </c>
      <c r="N90" s="305" t="e">
        <f t="shared" si="68"/>
        <v>#DIV/0!</v>
      </c>
      <c r="O90" s="360"/>
      <c r="P90" s="305">
        <f t="shared" si="69"/>
        <v>0</v>
      </c>
      <c r="Q90" s="343"/>
      <c r="R90" s="340"/>
      <c r="S90" s="343"/>
      <c r="T90" s="343"/>
      <c r="U90" s="340"/>
      <c r="V90" s="242"/>
      <c r="W90" s="343"/>
      <c r="X90" s="340"/>
      <c r="Y90" s="242"/>
    </row>
    <row r="91" spans="1:25" ht="13">
      <c r="A91" s="310">
        <f t="shared" si="58"/>
        <v>65</v>
      </c>
      <c r="C91" s="329" t="str">
        <f t="shared" si="66"/>
        <v>April</v>
      </c>
      <c r="D91" s="479"/>
      <c r="E91" s="345"/>
      <c r="F91" s="345"/>
      <c r="G91" s="305">
        <f t="shared" si="70"/>
        <v>0</v>
      </c>
      <c r="H91" s="305">
        <f t="shared" si="71"/>
        <v>0</v>
      </c>
      <c r="I91" s="305">
        <f t="shared" si="72"/>
        <v>0</v>
      </c>
      <c r="J91" s="305">
        <f t="shared" si="67"/>
        <v>0</v>
      </c>
      <c r="K91" s="305">
        <f t="shared" si="74"/>
        <v>0</v>
      </c>
      <c r="L91" s="305" t="e">
        <f t="shared" si="73"/>
        <v>#DIV/0!</v>
      </c>
      <c r="M91" s="305" t="e">
        <f t="shared" si="75"/>
        <v>#DIV/0!</v>
      </c>
      <c r="N91" s="305" t="e">
        <f t="shared" si="68"/>
        <v>#DIV/0!</v>
      </c>
      <c r="O91" s="360"/>
      <c r="P91" s="305">
        <f t="shared" si="69"/>
        <v>0</v>
      </c>
      <c r="Q91" s="343"/>
      <c r="R91" s="340"/>
      <c r="S91" s="343"/>
      <c r="T91" s="343"/>
      <c r="U91" s="340"/>
      <c r="V91" s="242"/>
      <c r="W91" s="343"/>
      <c r="X91" s="340"/>
      <c r="Y91" s="242"/>
    </row>
    <row r="92" spans="1:25" ht="13">
      <c r="A92" s="310">
        <f t="shared" si="58"/>
        <v>66</v>
      </c>
      <c r="C92" s="329" t="str">
        <f t="shared" si="66"/>
        <v>May</v>
      </c>
      <c r="D92" s="479"/>
      <c r="E92" s="345"/>
      <c r="F92" s="345"/>
      <c r="G92" s="305">
        <f t="shared" si="70"/>
        <v>0</v>
      </c>
      <c r="H92" s="305">
        <f t="shared" si="71"/>
        <v>0</v>
      </c>
      <c r="I92" s="305">
        <f t="shared" si="72"/>
        <v>0</v>
      </c>
      <c r="J92" s="305">
        <f t="shared" si="67"/>
        <v>0</v>
      </c>
      <c r="K92" s="305">
        <f t="shared" si="74"/>
        <v>0</v>
      </c>
      <c r="L92" s="305" t="e">
        <f t="shared" si="73"/>
        <v>#DIV/0!</v>
      </c>
      <c r="M92" s="305" t="e">
        <f t="shared" si="75"/>
        <v>#DIV/0!</v>
      </c>
      <c r="N92" s="305" t="e">
        <f t="shared" si="68"/>
        <v>#DIV/0!</v>
      </c>
      <c r="O92" s="360"/>
      <c r="P92" s="305">
        <f t="shared" si="69"/>
        <v>0</v>
      </c>
      <c r="Q92" s="343"/>
      <c r="R92" s="340"/>
      <c r="S92" s="343"/>
      <c r="T92" s="343"/>
      <c r="U92" s="340"/>
      <c r="V92" s="242"/>
      <c r="W92" s="343"/>
      <c r="X92" s="340"/>
      <c r="Y92" s="242"/>
    </row>
    <row r="93" spans="1:25" ht="13">
      <c r="A93" s="310">
        <f t="shared" si="58"/>
        <v>67</v>
      </c>
      <c r="C93" s="329" t="str">
        <f t="shared" si="66"/>
        <v xml:space="preserve">June </v>
      </c>
      <c r="D93" s="479"/>
      <c r="E93" s="345"/>
      <c r="F93" s="345"/>
      <c r="G93" s="305">
        <f t="shared" si="70"/>
        <v>0</v>
      </c>
      <c r="H93" s="305">
        <f t="shared" si="71"/>
        <v>0</v>
      </c>
      <c r="I93" s="305">
        <f t="shared" si="72"/>
        <v>0</v>
      </c>
      <c r="J93" s="305">
        <f t="shared" si="67"/>
        <v>0</v>
      </c>
      <c r="K93" s="305">
        <f t="shared" si="74"/>
        <v>0</v>
      </c>
      <c r="L93" s="305" t="e">
        <f t="shared" si="73"/>
        <v>#DIV/0!</v>
      </c>
      <c r="M93" s="305" t="e">
        <f t="shared" si="75"/>
        <v>#DIV/0!</v>
      </c>
      <c r="N93" s="305" t="e">
        <f t="shared" si="68"/>
        <v>#DIV/0!</v>
      </c>
      <c r="O93" s="360"/>
      <c r="P93" s="305">
        <f t="shared" si="69"/>
        <v>0</v>
      </c>
      <c r="Q93" s="343"/>
      <c r="R93" s="340"/>
      <c r="S93" s="343"/>
      <c r="T93" s="343"/>
      <c r="U93" s="340"/>
      <c r="V93" s="242"/>
      <c r="W93" s="343"/>
      <c r="X93" s="340"/>
      <c r="Y93" s="242"/>
    </row>
    <row r="94" spans="1:25" ht="13">
      <c r="A94" s="310">
        <f t="shared" si="58"/>
        <v>68</v>
      </c>
      <c r="C94" s="329" t="str">
        <f t="shared" si="66"/>
        <v>July</v>
      </c>
      <c r="D94" s="479"/>
      <c r="E94" s="345"/>
      <c r="F94" s="345"/>
      <c r="G94" s="305">
        <f t="shared" si="70"/>
        <v>0</v>
      </c>
      <c r="H94" s="305">
        <f t="shared" si="71"/>
        <v>0</v>
      </c>
      <c r="I94" s="305">
        <f t="shared" si="72"/>
        <v>0</v>
      </c>
      <c r="J94" s="305">
        <f t="shared" si="67"/>
        <v>0</v>
      </c>
      <c r="K94" s="305">
        <f t="shared" si="74"/>
        <v>0</v>
      </c>
      <c r="L94" s="305" t="e">
        <f t="shared" si="73"/>
        <v>#DIV/0!</v>
      </c>
      <c r="M94" s="305" t="e">
        <f t="shared" si="75"/>
        <v>#DIV/0!</v>
      </c>
      <c r="N94" s="305" t="e">
        <f t="shared" si="68"/>
        <v>#DIV/0!</v>
      </c>
      <c r="O94" s="360"/>
      <c r="P94" s="305">
        <f t="shared" si="69"/>
        <v>0</v>
      </c>
      <c r="Q94" s="343"/>
      <c r="R94" s="340"/>
      <c r="S94" s="343"/>
      <c r="T94" s="343"/>
      <c r="U94" s="340"/>
      <c r="V94" s="242"/>
      <c r="W94" s="343"/>
      <c r="X94" s="340"/>
      <c r="Y94" s="242"/>
    </row>
    <row r="95" spans="1:25" ht="13">
      <c r="A95" s="310">
        <f t="shared" si="58"/>
        <v>69</v>
      </c>
      <c r="C95" s="329" t="str">
        <f t="shared" si="66"/>
        <v>August</v>
      </c>
      <c r="D95" s="479"/>
      <c r="E95" s="345"/>
      <c r="F95" s="345"/>
      <c r="G95" s="305">
        <f t="shared" si="70"/>
        <v>0</v>
      </c>
      <c r="H95" s="305">
        <f t="shared" si="71"/>
        <v>0</v>
      </c>
      <c r="I95" s="305">
        <f t="shared" si="72"/>
        <v>0</v>
      </c>
      <c r="J95" s="305">
        <f t="shared" si="67"/>
        <v>0</v>
      </c>
      <c r="K95" s="305">
        <f t="shared" si="74"/>
        <v>0</v>
      </c>
      <c r="L95" s="305" t="e">
        <f t="shared" si="73"/>
        <v>#DIV/0!</v>
      </c>
      <c r="M95" s="305" t="e">
        <f t="shared" si="75"/>
        <v>#DIV/0!</v>
      </c>
      <c r="N95" s="305" t="e">
        <f t="shared" si="68"/>
        <v>#DIV/0!</v>
      </c>
      <c r="O95" s="360"/>
      <c r="P95" s="305">
        <f t="shared" si="69"/>
        <v>0</v>
      </c>
      <c r="Q95" s="343"/>
      <c r="R95" s="340"/>
      <c r="S95" s="343"/>
      <c r="T95" s="343"/>
      <c r="U95" s="340"/>
      <c r="V95" s="242"/>
      <c r="W95" s="343"/>
      <c r="X95" s="340"/>
      <c r="Y95" s="242"/>
    </row>
    <row r="96" spans="1:25" ht="13">
      <c r="A96" s="310">
        <f t="shared" si="58"/>
        <v>70</v>
      </c>
      <c r="C96" s="329" t="str">
        <f t="shared" si="66"/>
        <v>September</v>
      </c>
      <c r="D96" s="479"/>
      <c r="E96" s="345"/>
      <c r="F96" s="345"/>
      <c r="G96" s="305">
        <f t="shared" si="70"/>
        <v>0</v>
      </c>
      <c r="H96" s="305">
        <f t="shared" si="71"/>
        <v>0</v>
      </c>
      <c r="I96" s="305">
        <f t="shared" si="72"/>
        <v>0</v>
      </c>
      <c r="J96" s="305">
        <f t="shared" si="67"/>
        <v>0</v>
      </c>
      <c r="K96" s="305">
        <f t="shared" si="74"/>
        <v>0</v>
      </c>
      <c r="L96" s="305" t="e">
        <f t="shared" si="73"/>
        <v>#DIV/0!</v>
      </c>
      <c r="M96" s="305" t="e">
        <f t="shared" si="75"/>
        <v>#DIV/0!</v>
      </c>
      <c r="N96" s="305" t="e">
        <f t="shared" si="68"/>
        <v>#DIV/0!</v>
      </c>
      <c r="O96" s="360"/>
      <c r="P96" s="305">
        <f t="shared" si="69"/>
        <v>0</v>
      </c>
      <c r="Q96" s="343"/>
      <c r="R96" s="340"/>
      <c r="S96" s="343"/>
      <c r="T96" s="343"/>
      <c r="U96" s="340"/>
      <c r="V96" s="242"/>
      <c r="W96" s="343"/>
      <c r="X96" s="340"/>
      <c r="Y96" s="242"/>
    </row>
    <row r="97" spans="1:25" ht="13">
      <c r="A97" s="310">
        <f t="shared" si="58"/>
        <v>71</v>
      </c>
      <c r="C97" s="329" t="str">
        <f t="shared" ref="C97:C99" si="76">C66</f>
        <v>October</v>
      </c>
      <c r="D97" s="479"/>
      <c r="E97" s="345"/>
      <c r="F97" s="345"/>
      <c r="G97" s="305">
        <f t="shared" si="70"/>
        <v>0</v>
      </c>
      <c r="H97" s="305">
        <f t="shared" si="71"/>
        <v>0</v>
      </c>
      <c r="I97" s="305">
        <f t="shared" si="72"/>
        <v>0</v>
      </c>
      <c r="J97" s="305">
        <f t="shared" si="67"/>
        <v>0</v>
      </c>
      <c r="K97" s="305">
        <f t="shared" si="74"/>
        <v>0</v>
      </c>
      <c r="L97" s="305" t="e">
        <f t="shared" si="73"/>
        <v>#DIV/0!</v>
      </c>
      <c r="M97" s="305" t="e">
        <f t="shared" si="75"/>
        <v>#DIV/0!</v>
      </c>
      <c r="N97" s="305" t="e">
        <f t="shared" si="68"/>
        <v>#DIV/0!</v>
      </c>
      <c r="O97" s="360"/>
      <c r="P97" s="305">
        <f t="shared" ref="P97:P99" si="77">O97*(1-$E$107)*(1+$E$103+$E$111)</f>
        <v>0</v>
      </c>
      <c r="Q97" s="343"/>
      <c r="R97" s="340"/>
      <c r="S97" s="343"/>
      <c r="T97" s="343"/>
      <c r="U97" s="340"/>
      <c r="V97" s="242"/>
      <c r="W97" s="343"/>
      <c r="X97" s="340"/>
      <c r="Y97" s="242"/>
    </row>
    <row r="98" spans="1:25" ht="13">
      <c r="A98" s="310">
        <f t="shared" si="58"/>
        <v>72</v>
      </c>
      <c r="C98" s="329" t="str">
        <f t="shared" si="76"/>
        <v>November</v>
      </c>
      <c r="D98" s="479"/>
      <c r="E98" s="345"/>
      <c r="F98" s="345"/>
      <c r="G98" s="305">
        <f t="shared" si="70"/>
        <v>0</v>
      </c>
      <c r="H98" s="305">
        <f t="shared" si="71"/>
        <v>0</v>
      </c>
      <c r="I98" s="305">
        <f t="shared" si="72"/>
        <v>0</v>
      </c>
      <c r="J98" s="305">
        <f t="shared" si="67"/>
        <v>0</v>
      </c>
      <c r="K98" s="305">
        <f t="shared" si="74"/>
        <v>0</v>
      </c>
      <c r="L98" s="305" t="e">
        <f t="shared" si="73"/>
        <v>#DIV/0!</v>
      </c>
      <c r="M98" s="305" t="e">
        <f t="shared" si="75"/>
        <v>#DIV/0!</v>
      </c>
      <c r="N98" s="305" t="e">
        <f t="shared" si="68"/>
        <v>#DIV/0!</v>
      </c>
      <c r="O98" s="360"/>
      <c r="P98" s="305">
        <f t="shared" si="77"/>
        <v>0</v>
      </c>
      <c r="Q98" s="343"/>
      <c r="R98" s="340"/>
      <c r="S98" s="343"/>
      <c r="T98" s="343"/>
      <c r="U98" s="340"/>
      <c r="V98" s="242"/>
      <c r="W98" s="343"/>
      <c r="X98" s="340"/>
      <c r="Y98" s="242"/>
    </row>
    <row r="99" spans="1:25" ht="13">
      <c r="A99" s="310">
        <f t="shared" si="58"/>
        <v>73</v>
      </c>
      <c r="C99" s="329" t="str">
        <f t="shared" si="76"/>
        <v>December</v>
      </c>
      <c r="D99" s="479"/>
      <c r="E99" s="345"/>
      <c r="F99" s="345"/>
      <c r="G99" s="305">
        <f t="shared" si="70"/>
        <v>0</v>
      </c>
      <c r="H99" s="305">
        <f t="shared" si="71"/>
        <v>0</v>
      </c>
      <c r="I99" s="305">
        <f t="shared" si="72"/>
        <v>0</v>
      </c>
      <c r="J99" s="305">
        <f t="shared" si="67"/>
        <v>0</v>
      </c>
      <c r="K99" s="305">
        <f t="shared" si="74"/>
        <v>0</v>
      </c>
      <c r="L99" s="305" t="e">
        <f t="shared" si="73"/>
        <v>#DIV/0!</v>
      </c>
      <c r="M99" s="305" t="e">
        <f>M98-H99+L99</f>
        <v>#DIV/0!</v>
      </c>
      <c r="N99" s="305" t="e">
        <f t="shared" si="68"/>
        <v>#DIV/0!</v>
      </c>
      <c r="O99" s="360"/>
      <c r="P99" s="305">
        <f t="shared" si="77"/>
        <v>0</v>
      </c>
      <c r="Q99" s="343"/>
      <c r="R99" s="340"/>
      <c r="S99" s="343"/>
      <c r="T99" s="343"/>
      <c r="U99" s="340"/>
      <c r="V99" s="242"/>
      <c r="W99" s="343"/>
      <c r="X99" s="340"/>
      <c r="Y99" s="242"/>
    </row>
    <row r="100" spans="1:25" ht="13">
      <c r="A100" s="310"/>
      <c r="E100" s="305"/>
      <c r="F100" s="305"/>
      <c r="O100" s="340"/>
    </row>
    <row r="101" spans="1:25" ht="13">
      <c r="A101" s="310"/>
      <c r="B101" s="307" t="s">
        <v>1461</v>
      </c>
    </row>
    <row r="102" spans="1:25" ht="13">
      <c r="A102" s="338" t="s">
        <v>284</v>
      </c>
      <c r="F102" s="363"/>
    </row>
    <row r="103" spans="1:25" ht="13">
      <c r="A103" s="310">
        <f>A99+1</f>
        <v>74</v>
      </c>
      <c r="C103" s="304" t="s">
        <v>1462</v>
      </c>
      <c r="E103" s="346">
        <v>7.4999999999999997E-2</v>
      </c>
    </row>
    <row r="105" spans="1:25" ht="13">
      <c r="A105" s="310"/>
      <c r="B105" s="307" t="s">
        <v>1463</v>
      </c>
    </row>
    <row r="106" spans="1:25" ht="13">
      <c r="A106" s="338" t="s">
        <v>284</v>
      </c>
      <c r="F106" s="363"/>
    </row>
    <row r="107" spans="1:25" ht="13">
      <c r="A107" s="310">
        <f>A103+1</f>
        <v>75</v>
      </c>
      <c r="B107" s="307"/>
      <c r="C107" s="304" t="s">
        <v>1464</v>
      </c>
      <c r="E107" s="346">
        <v>0.08</v>
      </c>
    </row>
    <row r="108" spans="1:25" ht="13">
      <c r="A108" s="310"/>
      <c r="C108" s="304"/>
    </row>
    <row r="109" spans="1:25" ht="13">
      <c r="B109" s="307" t="s">
        <v>1465</v>
      </c>
    </row>
    <row r="110" spans="1:25" ht="13">
      <c r="A110" s="338" t="s">
        <v>284</v>
      </c>
      <c r="F110" s="363"/>
    </row>
    <row r="111" spans="1:25" ht="13">
      <c r="A111" s="310">
        <f>A107+1</f>
        <v>76</v>
      </c>
      <c r="C111" s="304" t="s">
        <v>1466</v>
      </c>
      <c r="E111" s="346">
        <v>0.03</v>
      </c>
    </row>
    <row r="113" spans="1:9" ht="13">
      <c r="B113" s="307" t="s">
        <v>1467</v>
      </c>
    </row>
    <row r="114" spans="1:9" s="328" customFormat="1" ht="13">
      <c r="C114" s="329" t="s">
        <v>1468</v>
      </c>
      <c r="F114" s="347"/>
    </row>
    <row r="115" spans="1:9" s="310" customFormat="1" ht="13">
      <c r="B115" s="328" t="s">
        <v>347</v>
      </c>
      <c r="C115" s="328" t="s">
        <v>348</v>
      </c>
      <c r="D115" s="328" t="s">
        <v>349</v>
      </c>
      <c r="E115" s="328" t="s">
        <v>350</v>
      </c>
      <c r="F115" s="328"/>
    </row>
    <row r="116" spans="1:9" s="328" customFormat="1" ht="13">
      <c r="C116" s="310" t="s">
        <v>390</v>
      </c>
      <c r="E116" s="337" t="s">
        <v>1469</v>
      </c>
    </row>
    <row r="117" spans="1:9" ht="13">
      <c r="A117" s="310"/>
      <c r="B117" s="310"/>
      <c r="C117" s="310" t="str">
        <f>"Prior Year"</f>
        <v>Prior Year</v>
      </c>
      <c r="D117" s="310" t="s">
        <v>1449</v>
      </c>
      <c r="E117" s="310" t="s">
        <v>636</v>
      </c>
      <c r="F117" s="310" t="s">
        <v>1470</v>
      </c>
    </row>
    <row r="118" spans="1:9" ht="13">
      <c r="A118" s="328" t="s">
        <v>284</v>
      </c>
      <c r="B118" s="328" t="s">
        <v>1471</v>
      </c>
      <c r="C118" s="328" t="s">
        <v>1472</v>
      </c>
      <c r="D118" s="328" t="s">
        <v>387</v>
      </c>
      <c r="E118" s="328" t="s">
        <v>1449</v>
      </c>
      <c r="F118" s="3" t="s">
        <v>254</v>
      </c>
    </row>
    <row r="119" spans="1:9" ht="13">
      <c r="A119" s="310">
        <f>A111+1</f>
        <v>77</v>
      </c>
      <c r="B119" s="310">
        <v>350.1</v>
      </c>
      <c r="C119" s="364">
        <f>'17-Depreciation'!C24</f>
        <v>0</v>
      </c>
      <c r="D119" s="490">
        <f>'18-DepRates'!G6</f>
        <v>0</v>
      </c>
      <c r="E119" s="365">
        <f>C119*D119</f>
        <v>0</v>
      </c>
      <c r="F119" s="620" t="s">
        <v>1473</v>
      </c>
      <c r="H119" s="364"/>
      <c r="I119" s="362"/>
    </row>
    <row r="120" spans="1:9" ht="13">
      <c r="A120" s="310">
        <f>A119+1</f>
        <v>78</v>
      </c>
      <c r="B120" s="310">
        <v>350.2</v>
      </c>
      <c r="C120" s="364">
        <f>'17-Depreciation'!D24</f>
        <v>0</v>
      </c>
      <c r="D120" s="490">
        <f>'18-DepRates'!G7</f>
        <v>1.66E-2</v>
      </c>
      <c r="E120" s="365">
        <f>C120*D120</f>
        <v>0</v>
      </c>
      <c r="F120" s="620" t="s">
        <v>1474</v>
      </c>
      <c r="H120" s="364"/>
      <c r="I120" s="362"/>
    </row>
    <row r="121" spans="1:9" ht="13">
      <c r="A121" s="818" t="s">
        <v>3097</v>
      </c>
      <c r="B121" s="1095">
        <v>351.1</v>
      </c>
      <c r="C121" s="1192" t="e">
        <f>'17-Depreciation'!C41</f>
        <v>#DIV/0!</v>
      </c>
      <c r="D121" s="1193">
        <f>'18-DepRates'!G8</f>
        <v>0.19070000000000001</v>
      </c>
      <c r="E121" s="1194" t="e">
        <f t="shared" ref="E121:E126" si="78">C121*D121</f>
        <v>#DIV/0!</v>
      </c>
      <c r="F121" s="1195" t="s">
        <v>3103</v>
      </c>
      <c r="H121" s="364"/>
      <c r="I121" s="362"/>
    </row>
    <row r="122" spans="1:9" ht="13">
      <c r="A122" s="818" t="s">
        <v>3098</v>
      </c>
      <c r="B122" s="1095">
        <v>351.2</v>
      </c>
      <c r="C122" s="1192" t="e">
        <f>'17-Depreciation'!D41</f>
        <v>#DIV/0!</v>
      </c>
      <c r="D122" s="1193">
        <f>'18-DepRates'!G9</f>
        <v>0.21479999999999999</v>
      </c>
      <c r="E122" s="1194" t="e">
        <f t="shared" si="78"/>
        <v>#DIV/0!</v>
      </c>
      <c r="F122" s="1195" t="s">
        <v>3104</v>
      </c>
      <c r="H122" s="364"/>
      <c r="I122" s="362"/>
    </row>
    <row r="123" spans="1:9" ht="13">
      <c r="A123" s="818" t="s">
        <v>3099</v>
      </c>
      <c r="B123" s="1069">
        <v>351.2</v>
      </c>
      <c r="C123" s="1192" t="e">
        <f>'17-Depreciation'!E41</f>
        <v>#DIV/0!</v>
      </c>
      <c r="D123" s="1193">
        <f>'18-DepRates'!G10</f>
        <v>0.1429</v>
      </c>
      <c r="E123" s="1194" t="e">
        <f t="shared" si="78"/>
        <v>#DIV/0!</v>
      </c>
      <c r="F123" s="1195" t="s">
        <v>3105</v>
      </c>
      <c r="H123" s="364"/>
      <c r="I123" s="362"/>
    </row>
    <row r="124" spans="1:9" ht="13">
      <c r="A124" s="818" t="s">
        <v>3100</v>
      </c>
      <c r="B124" s="1069">
        <v>351.2</v>
      </c>
      <c r="C124" s="1192" t="e">
        <f>'17-Depreciation'!F41</f>
        <v>#DIV/0!</v>
      </c>
      <c r="D124" s="1193">
        <f>'18-DepRates'!G11</f>
        <v>0.1</v>
      </c>
      <c r="E124" s="1194" t="e">
        <f t="shared" si="78"/>
        <v>#DIV/0!</v>
      </c>
      <c r="F124" s="1195" t="s">
        <v>3106</v>
      </c>
      <c r="H124" s="364"/>
      <c r="I124" s="362"/>
    </row>
    <row r="125" spans="1:9" ht="13">
      <c r="A125" s="818" t="s">
        <v>3101</v>
      </c>
      <c r="B125" s="1069">
        <v>351.2</v>
      </c>
      <c r="C125" s="1192" t="e">
        <f>'17-Depreciation'!G41</f>
        <v>#DIV/0!</v>
      </c>
      <c r="D125" s="1193">
        <f>'18-DepRates'!G12</f>
        <v>6.6699999999999995E-2</v>
      </c>
      <c r="E125" s="1194" t="e">
        <f t="shared" si="78"/>
        <v>#DIV/0!</v>
      </c>
      <c r="F125" s="1195" t="s">
        <v>3107</v>
      </c>
      <c r="H125" s="364"/>
      <c r="I125" s="362"/>
    </row>
    <row r="126" spans="1:9" ht="13">
      <c r="A126" s="818" t="s">
        <v>3102</v>
      </c>
      <c r="B126" s="1069">
        <v>351.3</v>
      </c>
      <c r="C126" s="1192" t="e">
        <f>'17-Depreciation'!H41</f>
        <v>#DIV/0!</v>
      </c>
      <c r="D126" s="1193">
        <f>'18-DepRates'!G13</f>
        <v>0.1133</v>
      </c>
      <c r="E126" s="1194" t="e">
        <f t="shared" si="78"/>
        <v>#DIV/0!</v>
      </c>
      <c r="F126" s="1195" t="s">
        <v>3108</v>
      </c>
      <c r="H126" s="364"/>
      <c r="I126" s="362"/>
    </row>
    <row r="127" spans="1:9" ht="13">
      <c r="A127" s="310">
        <f>A120+1</f>
        <v>79</v>
      </c>
      <c r="B127" s="310">
        <v>352</v>
      </c>
      <c r="C127" s="364">
        <f>'17-Depreciation'!E24</f>
        <v>0</v>
      </c>
      <c r="D127" s="490">
        <f>'18-DepRates'!G14</f>
        <v>2.5700000000000001E-2</v>
      </c>
      <c r="E127" s="365">
        <f t="shared" ref="E127:E134" si="79">C127*D127</f>
        <v>0</v>
      </c>
      <c r="F127" s="620" t="s">
        <v>1475</v>
      </c>
      <c r="H127" s="364"/>
      <c r="I127" s="362"/>
    </row>
    <row r="128" spans="1:9" ht="13">
      <c r="A128" s="310">
        <f t="shared" ref="A128:A139" si="80">A127+1</f>
        <v>80</v>
      </c>
      <c r="B128" s="310">
        <v>353</v>
      </c>
      <c r="C128" s="364">
        <f>'17-Depreciation'!F24</f>
        <v>0</v>
      </c>
      <c r="D128" s="490">
        <f>'18-DepRates'!G15</f>
        <v>2.47E-2</v>
      </c>
      <c r="E128" s="365">
        <f t="shared" si="79"/>
        <v>0</v>
      </c>
      <c r="F128" s="620" t="s">
        <v>1476</v>
      </c>
      <c r="H128" s="364"/>
      <c r="I128" s="362"/>
    </row>
    <row r="129" spans="1:9" ht="13">
      <c r="A129" s="310">
        <f t="shared" si="80"/>
        <v>81</v>
      </c>
      <c r="B129" s="310">
        <v>354</v>
      </c>
      <c r="C129" s="364">
        <f>'17-Depreciation'!G24</f>
        <v>0</v>
      </c>
      <c r="D129" s="490">
        <f>'18-DepRates'!G16</f>
        <v>2.4400000000000002E-2</v>
      </c>
      <c r="E129" s="365">
        <f>C129*D129</f>
        <v>0</v>
      </c>
      <c r="F129" s="620" t="s">
        <v>1477</v>
      </c>
      <c r="H129" s="364"/>
      <c r="I129" s="362"/>
    </row>
    <row r="130" spans="1:9" ht="13">
      <c r="A130" s="310">
        <f t="shared" si="80"/>
        <v>82</v>
      </c>
      <c r="B130" s="310">
        <v>355</v>
      </c>
      <c r="C130" s="364">
        <f>'17-Depreciation'!H24</f>
        <v>0</v>
      </c>
      <c r="D130" s="490">
        <f>'18-DepRates'!G17</f>
        <v>3.6700000000000003E-2</v>
      </c>
      <c r="E130" s="365">
        <f t="shared" si="79"/>
        <v>0</v>
      </c>
      <c r="F130" s="620" t="s">
        <v>1478</v>
      </c>
      <c r="H130" s="364"/>
      <c r="I130" s="362"/>
    </row>
    <row r="131" spans="1:9" ht="13">
      <c r="A131" s="310">
        <f t="shared" si="80"/>
        <v>83</v>
      </c>
      <c r="B131" s="310">
        <v>356</v>
      </c>
      <c r="C131" s="364">
        <f>'17-Depreciation'!I24</f>
        <v>0</v>
      </c>
      <c r="D131" s="490">
        <f>'18-DepRates'!G18</f>
        <v>3.0499999999999999E-2</v>
      </c>
      <c r="E131" s="365">
        <f t="shared" si="79"/>
        <v>0</v>
      </c>
      <c r="F131" s="620" t="s">
        <v>1479</v>
      </c>
      <c r="H131" s="364"/>
      <c r="I131" s="362"/>
    </row>
    <row r="132" spans="1:9" ht="13">
      <c r="A132" s="310">
        <f t="shared" si="80"/>
        <v>84</v>
      </c>
      <c r="B132" s="310">
        <v>357</v>
      </c>
      <c r="C132" s="364">
        <f>'17-Depreciation'!J24</f>
        <v>0</v>
      </c>
      <c r="D132" s="490">
        <f>'18-DepRates'!G19</f>
        <v>1.6500000000000001E-2</v>
      </c>
      <c r="E132" s="365">
        <f t="shared" si="79"/>
        <v>0</v>
      </c>
      <c r="F132" s="620" t="s">
        <v>1480</v>
      </c>
      <c r="H132" s="364"/>
      <c r="I132" s="362"/>
    </row>
    <row r="133" spans="1:9" ht="13">
      <c r="A133" s="310">
        <f t="shared" si="80"/>
        <v>85</v>
      </c>
      <c r="B133" s="310">
        <v>358</v>
      </c>
      <c r="C133" s="364">
        <f>'17-Depreciation'!K24</f>
        <v>0</v>
      </c>
      <c r="D133" s="490">
        <f>'18-DepRates'!G20</f>
        <v>3.8699999999999998E-2</v>
      </c>
      <c r="E133" s="365">
        <f t="shared" si="79"/>
        <v>0</v>
      </c>
      <c r="F133" s="620" t="s">
        <v>1481</v>
      </c>
      <c r="H133" s="364"/>
      <c r="I133" s="362"/>
    </row>
    <row r="134" spans="1:9" ht="13">
      <c r="A134" s="310">
        <f t="shared" si="80"/>
        <v>86</v>
      </c>
      <c r="B134" s="310">
        <v>359</v>
      </c>
      <c r="C134" s="364">
        <f>'17-Depreciation'!L24</f>
        <v>0</v>
      </c>
      <c r="D134" s="490">
        <f>'18-DepRates'!G21</f>
        <v>1.5599999999999999E-2</v>
      </c>
      <c r="E134" s="365">
        <f t="shared" si="79"/>
        <v>0</v>
      </c>
      <c r="F134" s="620" t="s">
        <v>1482</v>
      </c>
      <c r="H134" s="364"/>
      <c r="I134" s="362"/>
    </row>
    <row r="135" spans="1:9" ht="13">
      <c r="A135" s="310">
        <f t="shared" si="80"/>
        <v>87</v>
      </c>
    </row>
    <row r="136" spans="1:9" ht="13">
      <c r="A136" s="310">
        <f t="shared" si="80"/>
        <v>88</v>
      </c>
      <c r="C136" s="303" t="s">
        <v>1483</v>
      </c>
      <c r="E136" s="365" t="e">
        <f>SUM(E119:E134)</f>
        <v>#DIV/0!</v>
      </c>
      <c r="F136" s="303" t="str">
        <f>"Sum of C"&amp;RIGHT(E115)&amp;" Lines "&amp;A119&amp;" to "&amp;A134</f>
        <v>Sum of C4 Lines 77 to 86</v>
      </c>
    </row>
    <row r="137" spans="1:9" ht="13">
      <c r="A137" s="310">
        <f t="shared" si="80"/>
        <v>89</v>
      </c>
      <c r="C137" s="303" t="str">
        <f>"Sum of Dec Prior Year Plant"</f>
        <v>Sum of Dec Prior Year Plant</v>
      </c>
      <c r="E137" s="365" t="e">
        <f>SUM(C119:C134)</f>
        <v>#DIV/0!</v>
      </c>
      <c r="F137" s="303" t="str">
        <f>"Sum of C"&amp;RIGHT(C115)&amp;" Lines "&amp;A119&amp;" to "&amp;A134</f>
        <v>Sum of C2 Lines 77 to 86</v>
      </c>
    </row>
    <row r="138" spans="1:9" ht="13">
      <c r="A138" s="310">
        <f t="shared" si="80"/>
        <v>90</v>
      </c>
    </row>
    <row r="139" spans="1:9" ht="13">
      <c r="A139" s="310">
        <f t="shared" si="80"/>
        <v>91</v>
      </c>
      <c r="C139" s="303" t="s">
        <v>1484</v>
      </c>
      <c r="E139" s="348" t="e">
        <f>E136/E137</f>
        <v>#DIV/0!</v>
      </c>
      <c r="F139" s="303" t="str">
        <f>"Line "&amp;A136&amp;" / Line "&amp;A137</f>
        <v>Line 88 / Line 89</v>
      </c>
    </row>
    <row r="140" spans="1:9" ht="13">
      <c r="A140" s="310"/>
    </row>
    <row r="141" spans="1:9" ht="13">
      <c r="A141" s="310"/>
      <c r="B141" s="334" t="s">
        <v>233</v>
      </c>
      <c r="C141"/>
      <c r="D141"/>
      <c r="E141"/>
      <c r="F141"/>
      <c r="G141"/>
      <c r="H141"/>
      <c r="I141"/>
    </row>
    <row r="142" spans="1:9" ht="13">
      <c r="A142" s="310"/>
      <c r="B142" s="329" t="s">
        <v>1138</v>
      </c>
      <c r="C142"/>
      <c r="D142"/>
      <c r="E142"/>
      <c r="F142"/>
      <c r="G142"/>
      <c r="H142"/>
      <c r="I142"/>
    </row>
    <row r="143" spans="1:9" ht="13">
      <c r="A143" s="310"/>
      <c r="B143" s="329" t="s">
        <v>1485</v>
      </c>
      <c r="C143"/>
      <c r="D143"/>
      <c r="E143"/>
      <c r="F143"/>
      <c r="G143"/>
      <c r="H143"/>
      <c r="I143"/>
    </row>
    <row r="144" spans="1:9" ht="13">
      <c r="A144" s="310"/>
    </row>
    <row r="145" spans="1:1" ht="13">
      <c r="A145" s="310"/>
    </row>
    <row r="146" spans="1:1" ht="13">
      <c r="A146" s="310"/>
    </row>
    <row r="147" spans="1:1" ht="13">
      <c r="A147" s="310"/>
    </row>
    <row r="148" spans="1:1" ht="13">
      <c r="A148" s="310"/>
    </row>
    <row r="149" spans="1:1" ht="13">
      <c r="A149" s="310"/>
    </row>
    <row r="150" spans="1:1" ht="13">
      <c r="A150" s="310"/>
    </row>
    <row r="151" spans="1:1" ht="13">
      <c r="A151" s="310"/>
    </row>
    <row r="152" spans="1:1" ht="13">
      <c r="A152" s="310"/>
    </row>
    <row r="153" spans="1:1" ht="13">
      <c r="A153" s="310"/>
    </row>
    <row r="154" spans="1:1" ht="13">
      <c r="A154" s="310"/>
    </row>
    <row r="155" spans="1:1" ht="13">
      <c r="A155" s="310"/>
    </row>
    <row r="156" spans="1:1" ht="13">
      <c r="A156" s="310"/>
    </row>
    <row r="157" spans="1:1" ht="13">
      <c r="A157" s="310"/>
    </row>
    <row r="158" spans="1:1" ht="13">
      <c r="A158" s="310"/>
    </row>
    <row r="159" spans="1:1" ht="13">
      <c r="A159" s="310"/>
    </row>
    <row r="160" spans="1:1" ht="13">
      <c r="A160" s="310"/>
    </row>
    <row r="161" spans="1:1" ht="13">
      <c r="A161" s="310"/>
    </row>
    <row r="162" spans="1:1" ht="13">
      <c r="A162" s="310"/>
    </row>
    <row r="163" spans="1:1" ht="13">
      <c r="A163" s="310"/>
    </row>
    <row r="164" spans="1:1" ht="13">
      <c r="A164" s="310"/>
    </row>
    <row r="165" spans="1:1" ht="13">
      <c r="A165" s="310"/>
    </row>
    <row r="166" spans="1:1" ht="13">
      <c r="A166" s="310"/>
    </row>
    <row r="167" spans="1:1" ht="13">
      <c r="A167" s="310"/>
    </row>
    <row r="168" spans="1:1" ht="13">
      <c r="A168" s="310"/>
    </row>
    <row r="169" spans="1:1" ht="13">
      <c r="A169" s="310"/>
    </row>
    <row r="170" spans="1:1" ht="13">
      <c r="A170" s="310"/>
    </row>
    <row r="171" spans="1:1" ht="13">
      <c r="A171" s="310"/>
    </row>
    <row r="172" spans="1:1" ht="13">
      <c r="A172" s="310"/>
    </row>
    <row r="173" spans="1:1" ht="13">
      <c r="A173" s="310"/>
    </row>
    <row r="174" spans="1:1" ht="13">
      <c r="A174" s="310"/>
    </row>
    <row r="175" spans="1:1" ht="13">
      <c r="A175" s="310"/>
    </row>
    <row r="176" spans="1:1" ht="13">
      <c r="A176" s="310"/>
    </row>
    <row r="177" spans="1:1" ht="13">
      <c r="A177" s="310"/>
    </row>
    <row r="178" spans="1:1" ht="13">
      <c r="A178" s="310"/>
    </row>
    <row r="179" spans="1:1" ht="13">
      <c r="A179" s="310"/>
    </row>
    <row r="180" spans="1:1" ht="13">
      <c r="A180" s="310"/>
    </row>
    <row r="181" spans="1:1" ht="13">
      <c r="A181" s="310"/>
    </row>
    <row r="182" spans="1:1" ht="13">
      <c r="A182" s="310"/>
    </row>
    <row r="183" spans="1:1" ht="13">
      <c r="A183" s="310"/>
    </row>
    <row r="184" spans="1:1" ht="13">
      <c r="A184" s="310"/>
    </row>
    <row r="185" spans="1:1" ht="13">
      <c r="A185" s="310"/>
    </row>
    <row r="186" spans="1:1" ht="13">
      <c r="A186" s="310"/>
    </row>
    <row r="187" spans="1:1" ht="13">
      <c r="A187" s="310"/>
    </row>
    <row r="188" spans="1:1" ht="13">
      <c r="A188" s="310"/>
    </row>
    <row r="189" spans="1:1" ht="13">
      <c r="A189" s="310"/>
    </row>
    <row r="190" spans="1:1" ht="13">
      <c r="A190" s="310"/>
    </row>
    <row r="191" spans="1:1" ht="13">
      <c r="A191" s="310"/>
    </row>
    <row r="192" spans="1:1" ht="13">
      <c r="A192" s="310"/>
    </row>
    <row r="193" spans="1:1" ht="13">
      <c r="A193" s="310"/>
    </row>
    <row r="194" spans="1:1" ht="13">
      <c r="A194" s="310"/>
    </row>
    <row r="195" spans="1:1" ht="13">
      <c r="A195" s="310"/>
    </row>
    <row r="196" spans="1:1" ht="13">
      <c r="A196" s="310"/>
    </row>
    <row r="197" spans="1:1" ht="13">
      <c r="A197" s="310"/>
    </row>
    <row r="198" spans="1:1" ht="13">
      <c r="A198" s="310"/>
    </row>
    <row r="199" spans="1:1" ht="13">
      <c r="A199" s="310"/>
    </row>
    <row r="200" spans="1:1" ht="13">
      <c r="A200" s="310"/>
    </row>
    <row r="201" spans="1:1" ht="13">
      <c r="A201" s="310"/>
    </row>
    <row r="202" spans="1:1" ht="13">
      <c r="A202" s="310"/>
    </row>
    <row r="203" spans="1:1" ht="13">
      <c r="A203" s="310"/>
    </row>
    <row r="204" spans="1:1" ht="13">
      <c r="A204" s="310"/>
    </row>
    <row r="205" spans="1:1" ht="13">
      <c r="A205" s="310"/>
    </row>
    <row r="206" spans="1:1" ht="13">
      <c r="A206" s="310"/>
    </row>
    <row r="207" spans="1:1" ht="13">
      <c r="A207" s="310"/>
    </row>
    <row r="208" spans="1:1" ht="13">
      <c r="A208" s="310"/>
    </row>
    <row r="209" spans="1:1" ht="13">
      <c r="A209" s="310"/>
    </row>
    <row r="210" spans="1:1" ht="13">
      <c r="A210" s="310"/>
    </row>
  </sheetData>
  <pageMargins left="0.7" right="0.7" top="0.75" bottom="0.75" header="0.3" footer="0.3"/>
  <pageSetup scale="52" orientation="landscape" cellComments="asDisplayed" r:id="rId1"/>
  <headerFooter>
    <oddHeader xml:space="preserve">&amp;CSchedule 16
Plant Additions
</oddHeader>
    <oddFooter>&amp;R&amp;A</oddFooter>
  </headerFooter>
  <rowBreaks count="1" manualBreakCount="1">
    <brk id="6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CC"/>
  </sheetPr>
  <dimension ref="A1:N155"/>
  <sheetViews>
    <sheetView zoomScaleNormal="100" workbookViewId="0">
      <selection activeCell="L41" sqref="L41"/>
    </sheetView>
  </sheetViews>
  <sheetFormatPr defaultRowHeight="12.5"/>
  <cols>
    <col min="1" max="1" width="5.54296875" customWidth="1"/>
    <col min="3" max="3" width="15.453125" customWidth="1"/>
    <col min="4" max="5" width="14.54296875" customWidth="1"/>
    <col min="6" max="6" width="15.54296875" customWidth="1"/>
    <col min="7" max="12" width="14.54296875" customWidth="1"/>
    <col min="13" max="13" width="16" bestFit="1" customWidth="1"/>
  </cols>
  <sheetData>
    <row r="1" spans="1:13" ht="13">
      <c r="A1" s="1" t="s">
        <v>206</v>
      </c>
      <c r="B1" s="112"/>
      <c r="C1" s="112"/>
      <c r="D1" s="112"/>
      <c r="E1" s="112"/>
      <c r="F1" s="112"/>
      <c r="G1" s="112"/>
      <c r="H1" s="112"/>
      <c r="I1" s="259" t="s">
        <v>748</v>
      </c>
      <c r="J1" s="103"/>
      <c r="K1" s="112"/>
      <c r="L1" s="112"/>
      <c r="M1" s="112"/>
    </row>
    <row r="2" spans="1:13">
      <c r="A2" s="112"/>
      <c r="B2" s="112"/>
      <c r="C2" s="112"/>
      <c r="D2" s="112"/>
      <c r="E2" s="112"/>
      <c r="F2" s="112"/>
      <c r="G2" s="112"/>
      <c r="H2" s="112"/>
      <c r="K2" s="112"/>
      <c r="L2" s="112"/>
      <c r="M2" s="112"/>
    </row>
    <row r="3" spans="1:13" ht="13">
      <c r="A3" s="112"/>
      <c r="B3" s="1" t="s">
        <v>1486</v>
      </c>
      <c r="C3" s="112"/>
      <c r="D3" s="112"/>
      <c r="E3" s="112"/>
      <c r="F3" s="112"/>
      <c r="G3" s="112"/>
      <c r="H3" s="112"/>
      <c r="I3" s="113" t="s">
        <v>657</v>
      </c>
      <c r="J3" s="810"/>
      <c r="K3" s="112"/>
      <c r="L3" s="112"/>
      <c r="M3" s="112"/>
    </row>
    <row r="4" spans="1:13">
      <c r="A4" s="112"/>
      <c r="B4" s="112"/>
      <c r="C4" s="112"/>
      <c r="D4" s="112"/>
      <c r="E4" s="112"/>
      <c r="F4" s="112"/>
      <c r="G4" s="112"/>
      <c r="H4" s="112"/>
      <c r="I4" s="112"/>
      <c r="J4" s="112"/>
      <c r="K4" s="112"/>
      <c r="L4" s="112"/>
      <c r="M4" s="112"/>
    </row>
    <row r="5" spans="1:13" ht="13">
      <c r="A5" s="112"/>
      <c r="B5" s="233" t="s">
        <v>1487</v>
      </c>
      <c r="C5" s="112"/>
      <c r="D5" s="112"/>
      <c r="E5" s="112"/>
      <c r="F5" s="112"/>
      <c r="G5" s="112"/>
      <c r="H5" s="233" t="s">
        <v>1488</v>
      </c>
      <c r="I5" s="112"/>
      <c r="J5" s="112"/>
      <c r="K5" s="112"/>
      <c r="L5" s="112"/>
      <c r="M5" s="112"/>
    </row>
    <row r="6" spans="1:13">
      <c r="A6" s="112"/>
      <c r="B6" s="112"/>
      <c r="C6" s="112"/>
      <c r="D6" s="112"/>
      <c r="E6" s="112"/>
      <c r="F6" s="112"/>
      <c r="G6" s="112"/>
      <c r="H6" s="112"/>
      <c r="I6" s="112"/>
      <c r="J6" s="112"/>
      <c r="K6" s="112"/>
      <c r="L6" s="112"/>
      <c r="M6" s="112"/>
    </row>
    <row r="7" spans="1:13" ht="13">
      <c r="A7" s="112"/>
      <c r="B7" s="48" t="s">
        <v>347</v>
      </c>
      <c r="C7" s="48" t="s">
        <v>348</v>
      </c>
      <c r="D7" s="48" t="s">
        <v>349</v>
      </c>
      <c r="E7" s="48" t="s">
        <v>350</v>
      </c>
      <c r="F7" s="48" t="s">
        <v>351</v>
      </c>
      <c r="G7" s="48" t="s">
        <v>352</v>
      </c>
      <c r="H7" s="48" t="s">
        <v>353</v>
      </c>
      <c r="I7" s="48" t="s">
        <v>354</v>
      </c>
      <c r="J7" s="48" t="s">
        <v>355</v>
      </c>
      <c r="K7" s="48" t="s">
        <v>605</v>
      </c>
      <c r="L7" s="48" t="s">
        <v>606</v>
      </c>
      <c r="M7" s="48"/>
    </row>
    <row r="8" spans="1:13">
      <c r="A8" s="112"/>
      <c r="B8" s="125"/>
      <c r="C8" s="112"/>
      <c r="D8" s="112"/>
      <c r="E8" s="112"/>
      <c r="F8" s="112"/>
      <c r="G8" s="112"/>
      <c r="H8" s="112"/>
      <c r="I8" s="112"/>
      <c r="J8" s="112"/>
      <c r="K8" s="112"/>
      <c r="L8" s="112"/>
      <c r="M8" s="1108"/>
    </row>
    <row r="9" spans="1:13" ht="13">
      <c r="A9" s="112"/>
      <c r="B9" s="2"/>
      <c r="C9" s="243" t="s">
        <v>247</v>
      </c>
      <c r="D9" s="112"/>
      <c r="E9" s="112"/>
      <c r="F9" s="112"/>
      <c r="G9" s="112"/>
      <c r="H9" s="112"/>
      <c r="I9" s="112"/>
      <c r="J9" s="112"/>
      <c r="K9" s="112"/>
      <c r="L9" s="112"/>
      <c r="M9" s="112"/>
    </row>
    <row r="10" spans="1:13" ht="13">
      <c r="A10" s="112"/>
      <c r="B10" s="2"/>
      <c r="C10" s="243" t="s">
        <v>799</v>
      </c>
      <c r="D10" s="112"/>
      <c r="E10" s="112"/>
      <c r="F10" s="112"/>
      <c r="G10" s="112"/>
      <c r="H10" s="112"/>
      <c r="I10" s="112"/>
      <c r="J10" s="112"/>
      <c r="K10" s="112"/>
      <c r="L10" s="112"/>
      <c r="M10" s="112"/>
    </row>
    <row r="11" spans="1:13" ht="13">
      <c r="A11" s="30" t="s">
        <v>284</v>
      </c>
      <c r="B11" s="3" t="s">
        <v>659</v>
      </c>
      <c r="C11" s="48">
        <v>350.1</v>
      </c>
      <c r="D11" s="48">
        <v>350.2</v>
      </c>
      <c r="E11" s="48">
        <v>352</v>
      </c>
      <c r="F11" s="48">
        <v>353</v>
      </c>
      <c r="G11" s="48">
        <v>354</v>
      </c>
      <c r="H11" s="48">
        <v>355</v>
      </c>
      <c r="I11" s="48">
        <v>356</v>
      </c>
      <c r="J11" s="48">
        <v>357</v>
      </c>
      <c r="K11" s="48">
        <v>358</v>
      </c>
      <c r="L11" s="48">
        <v>359</v>
      </c>
      <c r="M11" s="3"/>
    </row>
    <row r="12" spans="1:13" ht="13">
      <c r="A12" s="2">
        <v>1</v>
      </c>
      <c r="B12" s="508"/>
      <c r="C12" s="114">
        <f>'6-PlantInService'!C13</f>
        <v>0</v>
      </c>
      <c r="D12" s="114">
        <f>'6-PlantInService'!D13</f>
        <v>0</v>
      </c>
      <c r="E12" s="114">
        <f>'6-PlantInService'!E13</f>
        <v>0</v>
      </c>
      <c r="F12" s="114">
        <f>'6-PlantInService'!F13</f>
        <v>0</v>
      </c>
      <c r="G12" s="114">
        <f>'6-PlantInService'!G13</f>
        <v>0</v>
      </c>
      <c r="H12" s="114">
        <f>'6-PlantInService'!H13</f>
        <v>0</v>
      </c>
      <c r="I12" s="114">
        <f>'6-PlantInService'!I13</f>
        <v>0</v>
      </c>
      <c r="J12" s="114">
        <f>'6-PlantInService'!J13</f>
        <v>0</v>
      </c>
      <c r="K12" s="114">
        <f>'6-PlantInService'!K13</f>
        <v>0</v>
      </c>
      <c r="L12" s="114">
        <f>'6-PlantInService'!L13</f>
        <v>0</v>
      </c>
      <c r="M12" s="6"/>
    </row>
    <row r="13" spans="1:13" ht="13">
      <c r="A13" s="2">
        <f>A12+1</f>
        <v>2</v>
      </c>
      <c r="B13" s="508"/>
      <c r="C13" s="114" t="e">
        <f>'6-PlantInService'!C14</f>
        <v>#DIV/0!</v>
      </c>
      <c r="D13" s="114" t="e">
        <f>'6-PlantInService'!D14</f>
        <v>#DIV/0!</v>
      </c>
      <c r="E13" s="114" t="e">
        <f>'6-PlantInService'!E14</f>
        <v>#DIV/0!</v>
      </c>
      <c r="F13" s="114" t="e">
        <f>'6-PlantInService'!F14</f>
        <v>#DIV/0!</v>
      </c>
      <c r="G13" s="114" t="e">
        <f>'6-PlantInService'!G14</f>
        <v>#DIV/0!</v>
      </c>
      <c r="H13" s="114" t="e">
        <f>'6-PlantInService'!H14</f>
        <v>#DIV/0!</v>
      </c>
      <c r="I13" s="114" t="e">
        <f>'6-PlantInService'!I14</f>
        <v>#DIV/0!</v>
      </c>
      <c r="J13" s="114" t="e">
        <f>'6-PlantInService'!J14</f>
        <v>#DIV/0!</v>
      </c>
      <c r="K13" s="114" t="e">
        <f>'6-PlantInService'!K14</f>
        <v>#DIV/0!</v>
      </c>
      <c r="L13" s="114" t="e">
        <f>'6-PlantInService'!L14</f>
        <v>#DIV/0!</v>
      </c>
      <c r="M13" s="6"/>
    </row>
    <row r="14" spans="1:13" ht="13">
      <c r="A14" s="2">
        <f t="shared" ref="A14:A127" si="0">A13+1</f>
        <v>3</v>
      </c>
      <c r="B14" s="508"/>
      <c r="C14" s="114" t="e">
        <f>'6-PlantInService'!C15</f>
        <v>#DIV/0!</v>
      </c>
      <c r="D14" s="114" t="e">
        <f>'6-PlantInService'!D15</f>
        <v>#DIV/0!</v>
      </c>
      <c r="E14" s="114" t="e">
        <f>'6-PlantInService'!E15</f>
        <v>#DIV/0!</v>
      </c>
      <c r="F14" s="114" t="e">
        <f>'6-PlantInService'!F15</f>
        <v>#DIV/0!</v>
      </c>
      <c r="G14" s="114" t="e">
        <f>'6-PlantInService'!G15</f>
        <v>#DIV/0!</v>
      </c>
      <c r="H14" s="114" t="e">
        <f>'6-PlantInService'!H15</f>
        <v>#DIV/0!</v>
      </c>
      <c r="I14" s="114" t="e">
        <f>'6-PlantInService'!I15</f>
        <v>#DIV/0!</v>
      </c>
      <c r="J14" s="114" t="e">
        <f>'6-PlantInService'!J15</f>
        <v>#DIV/0!</v>
      </c>
      <c r="K14" s="114" t="e">
        <f>'6-PlantInService'!K15</f>
        <v>#DIV/0!</v>
      </c>
      <c r="L14" s="114" t="e">
        <f>'6-PlantInService'!L15</f>
        <v>#DIV/0!</v>
      </c>
      <c r="M14" s="6"/>
    </row>
    <row r="15" spans="1:13" ht="13">
      <c r="A15" s="2">
        <f t="shared" si="0"/>
        <v>4</v>
      </c>
      <c r="B15" s="508"/>
      <c r="C15" s="114" t="e">
        <f>'6-PlantInService'!C16</f>
        <v>#DIV/0!</v>
      </c>
      <c r="D15" s="114" t="e">
        <f>'6-PlantInService'!D16</f>
        <v>#DIV/0!</v>
      </c>
      <c r="E15" s="114" t="e">
        <f>'6-PlantInService'!E16</f>
        <v>#DIV/0!</v>
      </c>
      <c r="F15" s="114" t="e">
        <f>'6-PlantInService'!F16</f>
        <v>#DIV/0!</v>
      </c>
      <c r="G15" s="114" t="e">
        <f>'6-PlantInService'!G16</f>
        <v>#DIV/0!</v>
      </c>
      <c r="H15" s="114" t="e">
        <f>'6-PlantInService'!H16</f>
        <v>#DIV/0!</v>
      </c>
      <c r="I15" s="114" t="e">
        <f>'6-PlantInService'!I16</f>
        <v>#DIV/0!</v>
      </c>
      <c r="J15" s="114" t="e">
        <f>'6-PlantInService'!J16</f>
        <v>#DIV/0!</v>
      </c>
      <c r="K15" s="114" t="e">
        <f>'6-PlantInService'!K16</f>
        <v>#DIV/0!</v>
      </c>
      <c r="L15" s="114" t="e">
        <f>'6-PlantInService'!L16</f>
        <v>#DIV/0!</v>
      </c>
      <c r="M15" s="6"/>
    </row>
    <row r="16" spans="1:13" ht="13">
      <c r="A16" s="2">
        <f t="shared" si="0"/>
        <v>5</v>
      </c>
      <c r="B16" s="508"/>
      <c r="C16" s="114" t="e">
        <f>'6-PlantInService'!C17</f>
        <v>#DIV/0!</v>
      </c>
      <c r="D16" s="114" t="e">
        <f>'6-PlantInService'!D17</f>
        <v>#DIV/0!</v>
      </c>
      <c r="E16" s="114" t="e">
        <f>'6-PlantInService'!E17</f>
        <v>#DIV/0!</v>
      </c>
      <c r="F16" s="114" t="e">
        <f>'6-PlantInService'!F17</f>
        <v>#DIV/0!</v>
      </c>
      <c r="G16" s="114" t="e">
        <f>'6-PlantInService'!G17</f>
        <v>#DIV/0!</v>
      </c>
      <c r="H16" s="114" t="e">
        <f>'6-PlantInService'!H17</f>
        <v>#DIV/0!</v>
      </c>
      <c r="I16" s="114" t="e">
        <f>'6-PlantInService'!I17</f>
        <v>#DIV/0!</v>
      </c>
      <c r="J16" s="114" t="e">
        <f>'6-PlantInService'!J17</f>
        <v>#DIV/0!</v>
      </c>
      <c r="K16" s="114" t="e">
        <f>'6-PlantInService'!K17</f>
        <v>#DIV/0!</v>
      </c>
      <c r="L16" s="114" t="e">
        <f>'6-PlantInService'!L17</f>
        <v>#DIV/0!</v>
      </c>
      <c r="M16" s="6"/>
    </row>
    <row r="17" spans="1:13" ht="13">
      <c r="A17" s="2">
        <f t="shared" si="0"/>
        <v>6</v>
      </c>
      <c r="B17" s="508"/>
      <c r="C17" s="114" t="e">
        <f>'6-PlantInService'!C18</f>
        <v>#DIV/0!</v>
      </c>
      <c r="D17" s="114" t="e">
        <f>'6-PlantInService'!D18</f>
        <v>#DIV/0!</v>
      </c>
      <c r="E17" s="114" t="e">
        <f>'6-PlantInService'!E18</f>
        <v>#DIV/0!</v>
      </c>
      <c r="F17" s="114" t="e">
        <f>'6-PlantInService'!F18</f>
        <v>#DIV/0!</v>
      </c>
      <c r="G17" s="114" t="e">
        <f>'6-PlantInService'!G18</f>
        <v>#DIV/0!</v>
      </c>
      <c r="H17" s="114" t="e">
        <f>'6-PlantInService'!H18</f>
        <v>#DIV/0!</v>
      </c>
      <c r="I17" s="114" t="e">
        <f>'6-PlantInService'!I18</f>
        <v>#DIV/0!</v>
      </c>
      <c r="J17" s="114" t="e">
        <f>'6-PlantInService'!J18</f>
        <v>#DIV/0!</v>
      </c>
      <c r="K17" s="114" t="e">
        <f>'6-PlantInService'!K18</f>
        <v>#DIV/0!</v>
      </c>
      <c r="L17" s="114" t="e">
        <f>'6-PlantInService'!L18</f>
        <v>#DIV/0!</v>
      </c>
      <c r="M17" s="6"/>
    </row>
    <row r="18" spans="1:13" ht="13">
      <c r="A18" s="2">
        <f t="shared" si="0"/>
        <v>7</v>
      </c>
      <c r="B18" s="508"/>
      <c r="C18" s="114" t="e">
        <f>'6-PlantInService'!C19</f>
        <v>#DIV/0!</v>
      </c>
      <c r="D18" s="114" t="e">
        <f>'6-PlantInService'!D19</f>
        <v>#DIV/0!</v>
      </c>
      <c r="E18" s="114" t="e">
        <f>'6-PlantInService'!E19</f>
        <v>#DIV/0!</v>
      </c>
      <c r="F18" s="114" t="e">
        <f>'6-PlantInService'!F19</f>
        <v>#DIV/0!</v>
      </c>
      <c r="G18" s="114" t="e">
        <f>'6-PlantInService'!G19</f>
        <v>#DIV/0!</v>
      </c>
      <c r="H18" s="114" t="e">
        <f>'6-PlantInService'!H19</f>
        <v>#DIV/0!</v>
      </c>
      <c r="I18" s="114" t="e">
        <f>'6-PlantInService'!I19</f>
        <v>#DIV/0!</v>
      </c>
      <c r="J18" s="114" t="e">
        <f>'6-PlantInService'!J19</f>
        <v>#DIV/0!</v>
      </c>
      <c r="K18" s="114" t="e">
        <f>'6-PlantInService'!K19</f>
        <v>#DIV/0!</v>
      </c>
      <c r="L18" s="114" t="e">
        <f>'6-PlantInService'!L19</f>
        <v>#DIV/0!</v>
      </c>
      <c r="M18" s="6"/>
    </row>
    <row r="19" spans="1:13" ht="13">
      <c r="A19" s="2">
        <f t="shared" si="0"/>
        <v>8</v>
      </c>
      <c r="B19" s="508"/>
      <c r="C19" s="114" t="e">
        <f>'6-PlantInService'!C20</f>
        <v>#DIV/0!</v>
      </c>
      <c r="D19" s="114" t="e">
        <f>'6-PlantInService'!D20</f>
        <v>#DIV/0!</v>
      </c>
      <c r="E19" s="114" t="e">
        <f>'6-PlantInService'!E20</f>
        <v>#DIV/0!</v>
      </c>
      <c r="F19" s="114" t="e">
        <f>'6-PlantInService'!F20</f>
        <v>#DIV/0!</v>
      </c>
      <c r="G19" s="114" t="e">
        <f>'6-PlantInService'!G20</f>
        <v>#DIV/0!</v>
      </c>
      <c r="H19" s="114" t="e">
        <f>'6-PlantInService'!H20</f>
        <v>#DIV/0!</v>
      </c>
      <c r="I19" s="114" t="e">
        <f>'6-PlantInService'!I20</f>
        <v>#DIV/0!</v>
      </c>
      <c r="J19" s="114" t="e">
        <f>'6-PlantInService'!J20</f>
        <v>#DIV/0!</v>
      </c>
      <c r="K19" s="114" t="e">
        <f>'6-PlantInService'!K20</f>
        <v>#DIV/0!</v>
      </c>
      <c r="L19" s="114" t="e">
        <f>'6-PlantInService'!L20</f>
        <v>#DIV/0!</v>
      </c>
      <c r="M19" s="6"/>
    </row>
    <row r="20" spans="1:13" ht="13">
      <c r="A20" s="2">
        <f t="shared" si="0"/>
        <v>9</v>
      </c>
      <c r="B20" s="508"/>
      <c r="C20" s="114" t="e">
        <f>'6-PlantInService'!C21</f>
        <v>#DIV/0!</v>
      </c>
      <c r="D20" s="114" t="e">
        <f>'6-PlantInService'!D21</f>
        <v>#DIV/0!</v>
      </c>
      <c r="E20" s="114" t="e">
        <f>'6-PlantInService'!E21</f>
        <v>#DIV/0!</v>
      </c>
      <c r="F20" s="114" t="e">
        <f>'6-PlantInService'!F21</f>
        <v>#DIV/0!</v>
      </c>
      <c r="G20" s="114" t="e">
        <f>'6-PlantInService'!G21</f>
        <v>#DIV/0!</v>
      </c>
      <c r="H20" s="114" t="e">
        <f>'6-PlantInService'!H21</f>
        <v>#DIV/0!</v>
      </c>
      <c r="I20" s="114" t="e">
        <f>'6-PlantInService'!I21</f>
        <v>#DIV/0!</v>
      </c>
      <c r="J20" s="114" t="e">
        <f>'6-PlantInService'!J21</f>
        <v>#DIV/0!</v>
      </c>
      <c r="K20" s="114" t="e">
        <f>'6-PlantInService'!K21</f>
        <v>#DIV/0!</v>
      </c>
      <c r="L20" s="114" t="e">
        <f>'6-PlantInService'!L21</f>
        <v>#DIV/0!</v>
      </c>
      <c r="M20" s="6"/>
    </row>
    <row r="21" spans="1:13" ht="13">
      <c r="A21" s="2">
        <f t="shared" si="0"/>
        <v>10</v>
      </c>
      <c r="B21" s="508"/>
      <c r="C21" s="114" t="e">
        <f>'6-PlantInService'!C22</f>
        <v>#DIV/0!</v>
      </c>
      <c r="D21" s="114" t="e">
        <f>'6-PlantInService'!D22</f>
        <v>#DIV/0!</v>
      </c>
      <c r="E21" s="114" t="e">
        <f>'6-PlantInService'!E22</f>
        <v>#DIV/0!</v>
      </c>
      <c r="F21" s="114" t="e">
        <f>'6-PlantInService'!F22</f>
        <v>#DIV/0!</v>
      </c>
      <c r="G21" s="114" t="e">
        <f>'6-PlantInService'!G22</f>
        <v>#DIV/0!</v>
      </c>
      <c r="H21" s="114" t="e">
        <f>'6-PlantInService'!H22</f>
        <v>#DIV/0!</v>
      </c>
      <c r="I21" s="114" t="e">
        <f>'6-PlantInService'!I22</f>
        <v>#DIV/0!</v>
      </c>
      <c r="J21" s="114" t="e">
        <f>'6-PlantInService'!J22</f>
        <v>#DIV/0!</v>
      </c>
      <c r="K21" s="114" t="e">
        <f>'6-PlantInService'!K22</f>
        <v>#DIV/0!</v>
      </c>
      <c r="L21" s="114" t="e">
        <f>'6-PlantInService'!L22</f>
        <v>#DIV/0!</v>
      </c>
      <c r="M21" s="6"/>
    </row>
    <row r="22" spans="1:13" ht="13">
      <c r="A22" s="2">
        <f t="shared" si="0"/>
        <v>11</v>
      </c>
      <c r="B22" s="508"/>
      <c r="C22" s="114" t="e">
        <f>'6-PlantInService'!C23</f>
        <v>#DIV/0!</v>
      </c>
      <c r="D22" s="114" t="e">
        <f>'6-PlantInService'!D23</f>
        <v>#DIV/0!</v>
      </c>
      <c r="E22" s="114" t="e">
        <f>'6-PlantInService'!E23</f>
        <v>#DIV/0!</v>
      </c>
      <c r="F22" s="114" t="e">
        <f>'6-PlantInService'!F23</f>
        <v>#DIV/0!</v>
      </c>
      <c r="G22" s="114" t="e">
        <f>'6-PlantInService'!G23</f>
        <v>#DIV/0!</v>
      </c>
      <c r="H22" s="114" t="e">
        <f>'6-PlantInService'!H23</f>
        <v>#DIV/0!</v>
      </c>
      <c r="I22" s="114" t="e">
        <f>'6-PlantInService'!I23</f>
        <v>#DIV/0!</v>
      </c>
      <c r="J22" s="114" t="e">
        <f>'6-PlantInService'!J23</f>
        <v>#DIV/0!</v>
      </c>
      <c r="K22" s="114" t="e">
        <f>'6-PlantInService'!K23</f>
        <v>#DIV/0!</v>
      </c>
      <c r="L22" s="114" t="e">
        <f>'6-PlantInService'!L23</f>
        <v>#DIV/0!</v>
      </c>
      <c r="M22" s="6"/>
    </row>
    <row r="23" spans="1:13" ht="13">
      <c r="A23" s="2">
        <f t="shared" si="0"/>
        <v>12</v>
      </c>
      <c r="B23" s="508"/>
      <c r="C23" s="114" t="e">
        <f>'6-PlantInService'!C24</f>
        <v>#DIV/0!</v>
      </c>
      <c r="D23" s="114" t="e">
        <f>'6-PlantInService'!D24</f>
        <v>#DIV/0!</v>
      </c>
      <c r="E23" s="114" t="e">
        <f>'6-PlantInService'!E24</f>
        <v>#DIV/0!</v>
      </c>
      <c r="F23" s="114" t="e">
        <f>'6-PlantInService'!F24</f>
        <v>#DIV/0!</v>
      </c>
      <c r="G23" s="114" t="e">
        <f>'6-PlantInService'!G24</f>
        <v>#DIV/0!</v>
      </c>
      <c r="H23" s="114" t="e">
        <f>'6-PlantInService'!H24</f>
        <v>#DIV/0!</v>
      </c>
      <c r="I23" s="114" t="e">
        <f>'6-PlantInService'!I24</f>
        <v>#DIV/0!</v>
      </c>
      <c r="J23" s="114" t="e">
        <f>'6-PlantInService'!J24</f>
        <v>#DIV/0!</v>
      </c>
      <c r="K23" s="114" t="e">
        <f>'6-PlantInService'!K24</f>
        <v>#DIV/0!</v>
      </c>
      <c r="L23" s="114" t="e">
        <f>'6-PlantInService'!L24</f>
        <v>#DIV/0!</v>
      </c>
      <c r="M23" s="6"/>
    </row>
    <row r="24" spans="1:13" ht="13">
      <c r="A24" s="2">
        <f t="shared" si="0"/>
        <v>13</v>
      </c>
      <c r="B24" s="508"/>
      <c r="C24" s="114">
        <f>'6-PlantInService'!C25</f>
        <v>0</v>
      </c>
      <c r="D24" s="114">
        <f>'6-PlantInService'!D25</f>
        <v>0</v>
      </c>
      <c r="E24" s="114">
        <f>'6-PlantInService'!E25</f>
        <v>0</v>
      </c>
      <c r="F24" s="114">
        <f>'6-PlantInService'!F25</f>
        <v>0</v>
      </c>
      <c r="G24" s="114">
        <f>'6-PlantInService'!G25</f>
        <v>0</v>
      </c>
      <c r="H24" s="114">
        <f>'6-PlantInService'!H25</f>
        <v>0</v>
      </c>
      <c r="I24" s="114">
        <f>'6-PlantInService'!I25</f>
        <v>0</v>
      </c>
      <c r="J24" s="114">
        <f>'6-PlantInService'!J25</f>
        <v>0</v>
      </c>
      <c r="K24" s="114">
        <f>'6-PlantInService'!K25</f>
        <v>0</v>
      </c>
      <c r="L24" s="114">
        <f>'6-PlantInService'!L25</f>
        <v>0</v>
      </c>
      <c r="M24" s="6"/>
    </row>
    <row r="25" spans="1:13" ht="13">
      <c r="A25" s="2">
        <f>A24+1</f>
        <v>14</v>
      </c>
      <c r="B25" s="1098"/>
      <c r="C25" s="114"/>
      <c r="D25" s="114"/>
      <c r="E25" s="114"/>
      <c r="F25" s="114"/>
      <c r="G25" s="114"/>
      <c r="H25" s="114"/>
      <c r="I25" s="114"/>
      <c r="J25" s="114"/>
      <c r="K25" s="114"/>
      <c r="L25" s="114"/>
      <c r="M25" s="48"/>
    </row>
    <row r="26" spans="1:13" ht="13">
      <c r="B26" s="1095" t="s">
        <v>347</v>
      </c>
      <c r="C26" s="1095" t="s">
        <v>348</v>
      </c>
      <c r="D26" s="1095" t="s">
        <v>349</v>
      </c>
      <c r="E26" s="1095" t="s">
        <v>350</v>
      </c>
      <c r="F26" s="1095" t="s">
        <v>351</v>
      </c>
      <c r="G26" s="1095" t="s">
        <v>352</v>
      </c>
      <c r="H26" s="1095" t="s">
        <v>353</v>
      </c>
      <c r="I26" s="1095" t="s">
        <v>354</v>
      </c>
      <c r="J26" s="112"/>
      <c r="K26" s="112"/>
      <c r="L26" s="112"/>
      <c r="M26" s="1108"/>
    </row>
    <row r="27" spans="1:13" ht="13">
      <c r="A27" s="2"/>
      <c r="B27" s="112"/>
      <c r="C27" s="112"/>
      <c r="D27" s="112"/>
      <c r="G27" s="112"/>
      <c r="H27" s="112"/>
      <c r="I27" s="1108"/>
      <c r="J27" s="112"/>
      <c r="K27" s="112"/>
      <c r="L27" s="112"/>
      <c r="M27" s="1108"/>
    </row>
    <row r="28" spans="1:13" ht="13">
      <c r="A28" s="1069" t="s">
        <v>284</v>
      </c>
      <c r="B28" s="1069" t="s">
        <v>659</v>
      </c>
      <c r="C28" s="1095">
        <v>351.1</v>
      </c>
      <c r="D28" s="1095" t="s">
        <v>662</v>
      </c>
      <c r="E28" s="1095" t="s">
        <v>663</v>
      </c>
      <c r="F28" s="1095" t="s">
        <v>664</v>
      </c>
      <c r="G28" s="1095" t="s">
        <v>665</v>
      </c>
      <c r="H28" s="1095">
        <v>351.3</v>
      </c>
      <c r="I28" s="1095" t="s">
        <v>1489</v>
      </c>
      <c r="J28" s="1069" t="s">
        <v>686</v>
      </c>
      <c r="K28" s="112"/>
      <c r="L28" s="112"/>
      <c r="M28" s="3"/>
    </row>
    <row r="29" spans="1:13" ht="13">
      <c r="A29" s="1069" t="s">
        <v>666</v>
      </c>
      <c r="B29" s="508"/>
      <c r="C29" s="1097">
        <f>'6-PlantInService'!C34</f>
        <v>0</v>
      </c>
      <c r="D29" s="1097">
        <f>'6-PlantInService'!D34</f>
        <v>0</v>
      </c>
      <c r="E29" s="1097">
        <f>'6-PlantInService'!E34</f>
        <v>0</v>
      </c>
      <c r="F29" s="1097">
        <f>'6-PlantInService'!F34</f>
        <v>0</v>
      </c>
      <c r="G29" s="1097">
        <f>'6-PlantInService'!G34</f>
        <v>0</v>
      </c>
      <c r="H29" s="1097">
        <f>'6-PlantInService'!H34</f>
        <v>0</v>
      </c>
      <c r="I29" s="1115">
        <f>'6-PlantInService'!I34</f>
        <v>0</v>
      </c>
      <c r="J29" s="1032" t="s">
        <v>3047</v>
      </c>
      <c r="L29" s="112"/>
      <c r="M29" s="114"/>
    </row>
    <row r="30" spans="1:13" ht="13">
      <c r="A30" s="1069" t="s">
        <v>667</v>
      </c>
      <c r="B30" s="508"/>
      <c r="C30" s="1097" t="e">
        <f>'6-PlantInService'!C35</f>
        <v>#DIV/0!</v>
      </c>
      <c r="D30" s="1097" t="e">
        <f>'6-PlantInService'!D35</f>
        <v>#DIV/0!</v>
      </c>
      <c r="E30" s="1097" t="e">
        <f>'6-PlantInService'!E35</f>
        <v>#DIV/0!</v>
      </c>
      <c r="F30" s="1097" t="e">
        <f>'6-PlantInService'!F35</f>
        <v>#DIV/0!</v>
      </c>
      <c r="G30" s="1097" t="e">
        <f>'6-PlantInService'!G35</f>
        <v>#DIV/0!</v>
      </c>
      <c r="H30" s="1097" t="e">
        <f>'6-PlantInService'!H35</f>
        <v>#DIV/0!</v>
      </c>
      <c r="I30" s="1115" t="e">
        <f>'6-PlantInService'!I35</f>
        <v>#DIV/0!</v>
      </c>
      <c r="L30" s="112"/>
      <c r="M30" s="114"/>
    </row>
    <row r="31" spans="1:13" ht="13">
      <c r="A31" s="1069" t="s">
        <v>668</v>
      </c>
      <c r="B31" s="508"/>
      <c r="C31" s="1097" t="e">
        <f>'6-PlantInService'!C36</f>
        <v>#DIV/0!</v>
      </c>
      <c r="D31" s="1097" t="e">
        <f>'6-PlantInService'!D36</f>
        <v>#DIV/0!</v>
      </c>
      <c r="E31" s="1097" t="e">
        <f>'6-PlantInService'!E36</f>
        <v>#DIV/0!</v>
      </c>
      <c r="F31" s="1097" t="e">
        <f>'6-PlantInService'!F36</f>
        <v>#DIV/0!</v>
      </c>
      <c r="G31" s="1097" t="e">
        <f>'6-PlantInService'!G36</f>
        <v>#DIV/0!</v>
      </c>
      <c r="H31" s="1097" t="e">
        <f>'6-PlantInService'!H36</f>
        <v>#DIV/0!</v>
      </c>
      <c r="I31" s="1115" t="e">
        <f>'6-PlantInService'!I36</f>
        <v>#DIV/0!</v>
      </c>
      <c r="J31" s="664" t="s">
        <v>3043</v>
      </c>
      <c r="L31" s="112"/>
      <c r="M31" s="114"/>
    </row>
    <row r="32" spans="1:13" ht="13">
      <c r="A32" s="1069" t="s">
        <v>669</v>
      </c>
      <c r="B32" s="508"/>
      <c r="C32" s="1097" t="e">
        <f>'6-PlantInService'!C37</f>
        <v>#DIV/0!</v>
      </c>
      <c r="D32" s="1097" t="e">
        <f>'6-PlantInService'!D37</f>
        <v>#DIV/0!</v>
      </c>
      <c r="E32" s="1097" t="e">
        <f>'6-PlantInService'!E37</f>
        <v>#DIV/0!</v>
      </c>
      <c r="F32" s="1097" t="e">
        <f>'6-PlantInService'!F37</f>
        <v>#DIV/0!</v>
      </c>
      <c r="G32" s="1097" t="e">
        <f>'6-PlantInService'!G37</f>
        <v>#DIV/0!</v>
      </c>
      <c r="H32" s="1097" t="e">
        <f>'6-PlantInService'!H37</f>
        <v>#DIV/0!</v>
      </c>
      <c r="I32" s="1115" t="e">
        <f>'6-PlantInService'!I37</f>
        <v>#DIV/0!</v>
      </c>
      <c r="J32" s="664" t="s">
        <v>3042</v>
      </c>
      <c r="L32" s="112"/>
      <c r="M32" s="114"/>
    </row>
    <row r="33" spans="1:14" ht="13">
      <c r="A33" s="1069" t="s">
        <v>670</v>
      </c>
      <c r="B33" s="508"/>
      <c r="C33" s="1097" t="e">
        <f>'6-PlantInService'!C38</f>
        <v>#DIV/0!</v>
      </c>
      <c r="D33" s="1097" t="e">
        <f>'6-PlantInService'!D38</f>
        <v>#DIV/0!</v>
      </c>
      <c r="E33" s="1097" t="e">
        <f>'6-PlantInService'!E38</f>
        <v>#DIV/0!</v>
      </c>
      <c r="F33" s="1097" t="e">
        <f>'6-PlantInService'!F38</f>
        <v>#DIV/0!</v>
      </c>
      <c r="G33" s="1097" t="e">
        <f>'6-PlantInService'!G38</f>
        <v>#DIV/0!</v>
      </c>
      <c r="H33" s="1097" t="e">
        <f>'6-PlantInService'!H38</f>
        <v>#DIV/0!</v>
      </c>
      <c r="I33" s="1115" t="e">
        <f>'6-PlantInService'!I38</f>
        <v>#DIV/0!</v>
      </c>
      <c r="J33" s="1031" t="s">
        <v>3044</v>
      </c>
      <c r="L33" s="112"/>
      <c r="M33" s="114"/>
    </row>
    <row r="34" spans="1:14" ht="13">
      <c r="A34" s="1069" t="s">
        <v>671</v>
      </c>
      <c r="B34" s="508"/>
      <c r="C34" s="1097" t="e">
        <f>'6-PlantInService'!C39</f>
        <v>#DIV/0!</v>
      </c>
      <c r="D34" s="1097" t="e">
        <f>'6-PlantInService'!D39</f>
        <v>#DIV/0!</v>
      </c>
      <c r="E34" s="1097" t="e">
        <f>'6-PlantInService'!E39</f>
        <v>#DIV/0!</v>
      </c>
      <c r="F34" s="1097" t="e">
        <f>'6-PlantInService'!F39</f>
        <v>#DIV/0!</v>
      </c>
      <c r="G34" s="1097" t="e">
        <f>'6-PlantInService'!G39</f>
        <v>#DIV/0!</v>
      </c>
      <c r="H34" s="1097" t="e">
        <f>'6-PlantInService'!H39</f>
        <v>#DIV/0!</v>
      </c>
      <c r="I34" s="1115" t="e">
        <f>'6-PlantInService'!I39</f>
        <v>#DIV/0!</v>
      </c>
      <c r="J34" s="664" t="s">
        <v>3045</v>
      </c>
      <c r="L34" s="112"/>
      <c r="M34" s="114"/>
    </row>
    <row r="35" spans="1:14" ht="13">
      <c r="A35" s="1069" t="s">
        <v>672</v>
      </c>
      <c r="B35" s="508"/>
      <c r="C35" s="1097" t="e">
        <f>'6-PlantInService'!C40</f>
        <v>#DIV/0!</v>
      </c>
      <c r="D35" s="1097" t="e">
        <f>'6-PlantInService'!D40</f>
        <v>#DIV/0!</v>
      </c>
      <c r="E35" s="1097" t="e">
        <f>'6-PlantInService'!E40</f>
        <v>#DIV/0!</v>
      </c>
      <c r="F35" s="1097" t="e">
        <f>'6-PlantInService'!F40</f>
        <v>#DIV/0!</v>
      </c>
      <c r="G35" s="1097" t="e">
        <f>'6-PlantInService'!G40</f>
        <v>#DIV/0!</v>
      </c>
      <c r="H35" s="1097" t="e">
        <f>'6-PlantInService'!H40</f>
        <v>#DIV/0!</v>
      </c>
      <c r="I35" s="1115" t="e">
        <f>'6-PlantInService'!I40</f>
        <v>#DIV/0!</v>
      </c>
      <c r="J35" s="112"/>
      <c r="L35" s="112"/>
      <c r="M35" s="114"/>
    </row>
    <row r="36" spans="1:14" ht="13">
      <c r="A36" s="1069" t="s">
        <v>673</v>
      </c>
      <c r="B36" s="508"/>
      <c r="C36" s="1097" t="e">
        <f>'6-PlantInService'!C41</f>
        <v>#DIV/0!</v>
      </c>
      <c r="D36" s="1097" t="e">
        <f>'6-PlantInService'!D41</f>
        <v>#DIV/0!</v>
      </c>
      <c r="E36" s="1097" t="e">
        <f>'6-PlantInService'!E41</f>
        <v>#DIV/0!</v>
      </c>
      <c r="F36" s="1097" t="e">
        <f>'6-PlantInService'!F41</f>
        <v>#DIV/0!</v>
      </c>
      <c r="G36" s="1097" t="e">
        <f>'6-PlantInService'!G41</f>
        <v>#DIV/0!</v>
      </c>
      <c r="H36" s="1097" t="e">
        <f>'6-PlantInService'!H41</f>
        <v>#DIV/0!</v>
      </c>
      <c r="I36" s="1115" t="e">
        <f>'6-PlantInService'!I41</f>
        <v>#DIV/0!</v>
      </c>
      <c r="J36" s="112"/>
      <c r="L36" s="112"/>
      <c r="M36" s="114"/>
    </row>
    <row r="37" spans="1:14" ht="13">
      <c r="A37" s="1069" t="s">
        <v>674</v>
      </c>
      <c r="B37" s="508"/>
      <c r="C37" s="1097" t="e">
        <f>'6-PlantInService'!C42</f>
        <v>#DIV/0!</v>
      </c>
      <c r="D37" s="1097" t="e">
        <f>'6-PlantInService'!D42</f>
        <v>#DIV/0!</v>
      </c>
      <c r="E37" s="1097" t="e">
        <f>'6-PlantInService'!E42</f>
        <v>#DIV/0!</v>
      </c>
      <c r="F37" s="1097" t="e">
        <f>'6-PlantInService'!F42</f>
        <v>#DIV/0!</v>
      </c>
      <c r="G37" s="1097" t="e">
        <f>'6-PlantInService'!G42</f>
        <v>#DIV/0!</v>
      </c>
      <c r="H37" s="1097" t="e">
        <f>'6-PlantInService'!H42</f>
        <v>#DIV/0!</v>
      </c>
      <c r="I37" s="1115" t="e">
        <f>'6-PlantInService'!I42</f>
        <v>#DIV/0!</v>
      </c>
      <c r="J37" s="112"/>
      <c r="L37" s="112"/>
      <c r="M37" s="114"/>
    </row>
    <row r="38" spans="1:14" ht="13">
      <c r="A38" s="1069" t="s">
        <v>675</v>
      </c>
      <c r="B38" s="508"/>
      <c r="C38" s="1097" t="e">
        <f>'6-PlantInService'!C43</f>
        <v>#DIV/0!</v>
      </c>
      <c r="D38" s="1097" t="e">
        <f>'6-PlantInService'!D43</f>
        <v>#DIV/0!</v>
      </c>
      <c r="E38" s="1097" t="e">
        <f>'6-PlantInService'!E43</f>
        <v>#DIV/0!</v>
      </c>
      <c r="F38" s="1097" t="e">
        <f>'6-PlantInService'!F43</f>
        <v>#DIV/0!</v>
      </c>
      <c r="G38" s="1097" t="e">
        <f>'6-PlantInService'!G43</f>
        <v>#DIV/0!</v>
      </c>
      <c r="H38" s="1097" t="e">
        <f>'6-PlantInService'!H43</f>
        <v>#DIV/0!</v>
      </c>
      <c r="I38" s="1115" t="e">
        <f>'6-PlantInService'!I43</f>
        <v>#DIV/0!</v>
      </c>
      <c r="J38" s="112"/>
      <c r="L38" s="112"/>
      <c r="M38" s="114"/>
    </row>
    <row r="39" spans="1:14" ht="13">
      <c r="A39" s="1069" t="s">
        <v>676</v>
      </c>
      <c r="B39" s="508"/>
      <c r="C39" s="1097" t="e">
        <f>'6-PlantInService'!C44</f>
        <v>#DIV/0!</v>
      </c>
      <c r="D39" s="1097" t="e">
        <f>'6-PlantInService'!D44</f>
        <v>#DIV/0!</v>
      </c>
      <c r="E39" s="1097" t="e">
        <f>'6-PlantInService'!E44</f>
        <v>#DIV/0!</v>
      </c>
      <c r="F39" s="1097" t="e">
        <f>'6-PlantInService'!F44</f>
        <v>#DIV/0!</v>
      </c>
      <c r="G39" s="1097" t="e">
        <f>'6-PlantInService'!G44</f>
        <v>#DIV/0!</v>
      </c>
      <c r="H39" s="1097" t="e">
        <f>'6-PlantInService'!H44</f>
        <v>#DIV/0!</v>
      </c>
      <c r="I39" s="1115" t="e">
        <f>'6-PlantInService'!I44</f>
        <v>#DIV/0!</v>
      </c>
      <c r="J39" s="112"/>
      <c r="L39" s="112"/>
      <c r="M39" s="114"/>
    </row>
    <row r="40" spans="1:14" ht="13">
      <c r="A40" s="1069" t="s">
        <v>677</v>
      </c>
      <c r="B40" s="508"/>
      <c r="C40" s="1097" t="e">
        <f>'6-PlantInService'!C45</f>
        <v>#DIV/0!</v>
      </c>
      <c r="D40" s="1097" t="e">
        <f>'6-PlantInService'!D45</f>
        <v>#DIV/0!</v>
      </c>
      <c r="E40" s="1097" t="e">
        <f>'6-PlantInService'!E45</f>
        <v>#DIV/0!</v>
      </c>
      <c r="F40" s="1097" t="e">
        <f>'6-PlantInService'!F45</f>
        <v>#DIV/0!</v>
      </c>
      <c r="G40" s="1097" t="e">
        <f>'6-PlantInService'!G45</f>
        <v>#DIV/0!</v>
      </c>
      <c r="H40" s="1097" t="e">
        <f>'6-PlantInService'!H45</f>
        <v>#DIV/0!</v>
      </c>
      <c r="I40" s="1115" t="e">
        <f>'6-PlantInService'!I45</f>
        <v>#DIV/0!</v>
      </c>
      <c r="J40" s="112"/>
      <c r="L40" s="112"/>
      <c r="M40" s="114"/>
    </row>
    <row r="41" spans="1:14" ht="13">
      <c r="A41" s="1069" t="s">
        <v>678</v>
      </c>
      <c r="B41" s="508"/>
      <c r="C41" s="1097" t="e">
        <f>'6-PlantInService'!C46</f>
        <v>#DIV/0!</v>
      </c>
      <c r="D41" s="1097" t="e">
        <f>'6-PlantInService'!D46</f>
        <v>#DIV/0!</v>
      </c>
      <c r="E41" s="1097" t="e">
        <f>'6-PlantInService'!E46</f>
        <v>#DIV/0!</v>
      </c>
      <c r="F41" s="1097" t="e">
        <f>'6-PlantInService'!F46</f>
        <v>#DIV/0!</v>
      </c>
      <c r="G41" s="1097" t="e">
        <f>'6-PlantInService'!G46</f>
        <v>#DIV/0!</v>
      </c>
      <c r="H41" s="1097" t="e">
        <f>'6-PlantInService'!H46</f>
        <v>#DIV/0!</v>
      </c>
      <c r="I41" s="1115" t="e">
        <f>'6-PlantInService'!I46</f>
        <v>#DIV/0!</v>
      </c>
      <c r="J41" s="112"/>
      <c r="L41" s="112"/>
      <c r="M41" s="114"/>
    </row>
    <row r="42" spans="1:14" ht="13">
      <c r="A42" s="2"/>
      <c r="B42" s="112"/>
      <c r="C42" s="112"/>
      <c r="D42" s="112"/>
      <c r="E42" s="112"/>
      <c r="F42" s="112"/>
      <c r="G42" s="112"/>
      <c r="H42" s="112"/>
      <c r="I42" s="112"/>
      <c r="J42" s="112"/>
      <c r="K42" s="112"/>
      <c r="L42" s="112"/>
      <c r="M42" s="3"/>
    </row>
    <row r="43" spans="1:14" ht="13">
      <c r="A43" s="2">
        <f>A25+1</f>
        <v>15</v>
      </c>
      <c r="B43" s="329" t="s">
        <v>1490</v>
      </c>
      <c r="C43" s="112"/>
      <c r="D43" s="112"/>
      <c r="E43" s="112"/>
      <c r="F43" s="112"/>
      <c r="G43" s="112"/>
      <c r="H43" s="112"/>
      <c r="I43" s="112"/>
      <c r="J43" s="112"/>
      <c r="K43" s="112"/>
      <c r="L43" s="112"/>
      <c r="M43" s="112"/>
    </row>
    <row r="44" spans="1:14" ht="13">
      <c r="A44" s="2"/>
      <c r="B44" s="2"/>
      <c r="C44" s="112"/>
      <c r="D44" s="112"/>
      <c r="E44" s="112"/>
      <c r="F44" s="112"/>
      <c r="G44" s="112"/>
      <c r="H44" s="112"/>
      <c r="I44" s="112"/>
      <c r="J44" s="112"/>
      <c r="K44" s="112"/>
      <c r="L44" s="112"/>
      <c r="M44" s="112"/>
    </row>
    <row r="45" spans="1:14" ht="13">
      <c r="A45" s="2">
        <f>A43+1</f>
        <v>16</v>
      </c>
      <c r="B45" s="3" t="s">
        <v>659</v>
      </c>
      <c r="C45" s="48">
        <v>350.1</v>
      </c>
      <c r="D45" s="48">
        <v>350.2</v>
      </c>
      <c r="E45" s="48">
        <v>352</v>
      </c>
      <c r="F45" s="48">
        <v>353</v>
      </c>
      <c r="G45" s="48">
        <v>354</v>
      </c>
      <c r="H45" s="48">
        <v>355</v>
      </c>
      <c r="I45" s="48">
        <v>356</v>
      </c>
      <c r="J45" s="48">
        <v>357</v>
      </c>
      <c r="K45" s="48">
        <v>358</v>
      </c>
      <c r="L45" s="48">
        <v>359</v>
      </c>
      <c r="M45" s="112"/>
    </row>
    <row r="46" spans="1:14" ht="13">
      <c r="A46" s="2" t="s">
        <v>1491</v>
      </c>
      <c r="B46" s="508"/>
      <c r="C46" s="803"/>
      <c r="D46" s="803"/>
      <c r="E46" s="803"/>
      <c r="F46" s="803"/>
      <c r="G46" s="803"/>
      <c r="H46" s="803"/>
      <c r="I46" s="803"/>
      <c r="J46" s="803"/>
      <c r="K46" s="803"/>
      <c r="L46" s="803"/>
      <c r="M46" s="112"/>
      <c r="N46" s="258"/>
    </row>
    <row r="47" spans="1:14" ht="13">
      <c r="A47" s="2" t="s">
        <v>1492</v>
      </c>
      <c r="B47" s="508"/>
      <c r="C47" s="803"/>
      <c r="D47" s="803"/>
      <c r="E47" s="803"/>
      <c r="F47" s="803"/>
      <c r="G47" s="803"/>
      <c r="H47" s="803"/>
      <c r="I47" s="803"/>
      <c r="J47" s="803"/>
      <c r="K47" s="803"/>
      <c r="L47" s="803"/>
      <c r="M47" s="112"/>
      <c r="N47" s="258"/>
    </row>
    <row r="48" spans="1:14" ht="13">
      <c r="A48" s="2" t="s">
        <v>1493</v>
      </c>
      <c r="B48" s="508"/>
      <c r="C48" s="803"/>
      <c r="D48" s="803"/>
      <c r="E48" s="803"/>
      <c r="F48" s="803"/>
      <c r="G48" s="803"/>
      <c r="H48" s="803"/>
      <c r="I48" s="803"/>
      <c r="J48" s="803"/>
      <c r="K48" s="803"/>
      <c r="L48" s="803"/>
      <c r="M48" s="112"/>
      <c r="N48" s="258"/>
    </row>
    <row r="49" spans="1:14" ht="13">
      <c r="A49" s="2" t="s">
        <v>1494</v>
      </c>
      <c r="B49" s="508"/>
      <c r="C49" s="803"/>
      <c r="D49" s="803"/>
      <c r="E49" s="803"/>
      <c r="F49" s="803"/>
      <c r="G49" s="803"/>
      <c r="H49" s="803"/>
      <c r="I49" s="803"/>
      <c r="J49" s="803"/>
      <c r="K49" s="803"/>
      <c r="L49" s="803"/>
      <c r="M49" s="112"/>
      <c r="N49" s="258"/>
    </row>
    <row r="50" spans="1:14" ht="13">
      <c r="A50" s="2" t="s">
        <v>1495</v>
      </c>
      <c r="B50" s="508"/>
      <c r="C50" s="803"/>
      <c r="D50" s="803"/>
      <c r="E50" s="803"/>
      <c r="F50" s="803"/>
      <c r="G50" s="803"/>
      <c r="H50" s="803"/>
      <c r="I50" s="803"/>
      <c r="J50" s="803"/>
      <c r="K50" s="803"/>
      <c r="L50" s="803"/>
      <c r="M50" s="112"/>
      <c r="N50" s="258"/>
    </row>
    <row r="51" spans="1:14" ht="13">
      <c r="A51" s="2" t="s">
        <v>1496</v>
      </c>
      <c r="B51" s="508"/>
      <c r="C51" s="803"/>
      <c r="D51" s="803"/>
      <c r="E51" s="803"/>
      <c r="F51" s="803"/>
      <c r="G51" s="803"/>
      <c r="H51" s="803"/>
      <c r="I51" s="803"/>
      <c r="J51" s="803"/>
      <c r="K51" s="803"/>
      <c r="L51" s="803"/>
      <c r="M51" s="112"/>
      <c r="N51" s="258"/>
    </row>
    <row r="52" spans="1:14" ht="13">
      <c r="A52" s="2" t="s">
        <v>1497</v>
      </c>
      <c r="B52" s="508"/>
      <c r="C52" s="803"/>
      <c r="D52" s="803"/>
      <c r="E52" s="803"/>
      <c r="F52" s="803"/>
      <c r="G52" s="803"/>
      <c r="H52" s="803"/>
      <c r="I52" s="803"/>
      <c r="J52" s="803"/>
      <c r="K52" s="803"/>
      <c r="L52" s="803"/>
      <c r="M52" s="112"/>
      <c r="N52" s="258"/>
    </row>
    <row r="53" spans="1:14" ht="13">
      <c r="A53" s="2" t="s">
        <v>1498</v>
      </c>
      <c r="B53" s="508"/>
      <c r="C53" s="803"/>
      <c r="D53" s="803"/>
      <c r="E53" s="803"/>
      <c r="F53" s="803"/>
      <c r="G53" s="803"/>
      <c r="H53" s="803"/>
      <c r="I53" s="803"/>
      <c r="J53" s="803"/>
      <c r="K53" s="803"/>
      <c r="L53" s="803"/>
      <c r="M53" s="112"/>
      <c r="N53" s="258"/>
    </row>
    <row r="54" spans="1:14" ht="13">
      <c r="A54" s="2" t="s">
        <v>1499</v>
      </c>
      <c r="B54" s="508"/>
      <c r="C54" s="803"/>
      <c r="D54" s="803"/>
      <c r="E54" s="803"/>
      <c r="F54" s="803"/>
      <c r="G54" s="803"/>
      <c r="H54" s="803"/>
      <c r="I54" s="803"/>
      <c r="J54" s="803"/>
      <c r="K54" s="803"/>
      <c r="L54" s="803"/>
      <c r="M54" s="112"/>
      <c r="N54" s="258"/>
    </row>
    <row r="55" spans="1:14" ht="13">
      <c r="A55" s="2" t="s">
        <v>1500</v>
      </c>
      <c r="B55" s="508"/>
      <c r="C55" s="803"/>
      <c r="D55" s="803"/>
      <c r="E55" s="803"/>
      <c r="F55" s="803"/>
      <c r="G55" s="803"/>
      <c r="H55" s="803"/>
      <c r="I55" s="803"/>
      <c r="J55" s="803"/>
      <c r="K55" s="803"/>
      <c r="L55" s="803"/>
      <c r="M55" s="112"/>
      <c r="N55" s="258"/>
    </row>
    <row r="56" spans="1:14" ht="13">
      <c r="A56" s="2" t="s">
        <v>1501</v>
      </c>
      <c r="B56" s="508"/>
      <c r="C56" s="803"/>
      <c r="D56" s="803"/>
      <c r="E56" s="803"/>
      <c r="F56" s="803"/>
      <c r="G56" s="803"/>
      <c r="H56" s="803"/>
      <c r="I56" s="803"/>
      <c r="J56" s="803"/>
      <c r="K56" s="803"/>
      <c r="L56" s="803"/>
      <c r="M56" s="112"/>
    </row>
    <row r="57" spans="1:14" ht="13">
      <c r="A57" s="2" t="s">
        <v>1502</v>
      </c>
      <c r="B57" s="508"/>
      <c r="C57" s="803"/>
      <c r="D57" s="803"/>
      <c r="E57" s="803"/>
      <c r="F57" s="803"/>
      <c r="G57" s="803"/>
      <c r="H57" s="803"/>
      <c r="I57" s="803"/>
      <c r="J57" s="803"/>
      <c r="K57" s="803"/>
      <c r="L57" s="803"/>
      <c r="M57" s="3"/>
    </row>
    <row r="58" spans="1:14" ht="13">
      <c r="A58" s="2" t="s">
        <v>1503</v>
      </c>
      <c r="B58" s="508"/>
      <c r="C58" s="803"/>
      <c r="D58" s="803"/>
      <c r="E58" s="803"/>
      <c r="F58" s="803"/>
      <c r="G58" s="803"/>
      <c r="H58" s="803"/>
      <c r="I58" s="803"/>
      <c r="J58" s="803"/>
      <c r="K58" s="803"/>
      <c r="L58" s="803"/>
      <c r="M58" s="112"/>
    </row>
    <row r="59" spans="1:14" ht="13">
      <c r="A59" s="2"/>
      <c r="B59" s="1098"/>
      <c r="C59" s="1099"/>
      <c r="D59" s="1099"/>
      <c r="E59" s="1099"/>
      <c r="F59" s="1099"/>
      <c r="G59" s="1099"/>
      <c r="H59" s="1099"/>
      <c r="I59" s="1099"/>
      <c r="J59" s="1099"/>
      <c r="K59" s="1099"/>
      <c r="L59" s="1099"/>
      <c r="M59" s="112"/>
    </row>
    <row r="60" spans="1:14" ht="13">
      <c r="A60" s="1069" t="s">
        <v>1504</v>
      </c>
      <c r="B60" s="1069" t="s">
        <v>659</v>
      </c>
      <c r="C60" s="1095">
        <v>351.1</v>
      </c>
      <c r="D60" s="1095" t="s">
        <v>662</v>
      </c>
      <c r="E60" s="1095" t="s">
        <v>663</v>
      </c>
      <c r="F60" s="1095" t="s">
        <v>664</v>
      </c>
      <c r="G60" s="1095" t="s">
        <v>665</v>
      </c>
      <c r="H60" s="1095">
        <v>351.3</v>
      </c>
      <c r="I60" s="48"/>
      <c r="J60" s="48"/>
      <c r="K60" s="48"/>
      <c r="L60" s="48"/>
      <c r="M60" s="112"/>
    </row>
    <row r="61" spans="1:14" ht="13">
      <c r="A61" s="1069" t="s">
        <v>1505</v>
      </c>
      <c r="B61" s="508"/>
      <c r="C61" s="1111"/>
      <c r="D61" s="1111"/>
      <c r="E61" s="1137"/>
      <c r="F61" s="803"/>
      <c r="G61" s="803"/>
      <c r="H61" s="1111"/>
      <c r="I61" s="1099"/>
      <c r="J61" s="1099"/>
      <c r="K61" s="1099"/>
      <c r="M61" s="112"/>
      <c r="N61" s="258"/>
    </row>
    <row r="62" spans="1:14" ht="13">
      <c r="A62" s="1069" t="s">
        <v>1506</v>
      </c>
      <c r="B62" s="508"/>
      <c r="C62" s="1111"/>
      <c r="D62" s="1111"/>
      <c r="E62" s="1137"/>
      <c r="F62" s="803"/>
      <c r="G62" s="803"/>
      <c r="H62" s="1111"/>
      <c r="I62" s="1099"/>
      <c r="J62" s="1099"/>
      <c r="K62" s="1099"/>
      <c r="L62" s="1099"/>
      <c r="M62" s="112"/>
      <c r="N62" s="258"/>
    </row>
    <row r="63" spans="1:14" ht="13">
      <c r="A63" s="1069" t="s">
        <v>1507</v>
      </c>
      <c r="B63" s="508"/>
      <c r="C63" s="1111"/>
      <c r="D63" s="1111"/>
      <c r="E63" s="1137"/>
      <c r="F63" s="803"/>
      <c r="G63" s="803"/>
      <c r="H63" s="1111"/>
      <c r="I63" s="1099"/>
      <c r="J63" s="1110"/>
      <c r="K63" s="664"/>
      <c r="L63" s="1099"/>
      <c r="M63" s="112"/>
      <c r="N63" s="258"/>
    </row>
    <row r="64" spans="1:14" ht="13">
      <c r="A64" s="1069" t="s">
        <v>1508</v>
      </c>
      <c r="B64" s="508"/>
      <c r="C64" s="1111"/>
      <c r="D64" s="1111"/>
      <c r="E64" s="1137"/>
      <c r="F64" s="803"/>
      <c r="G64" s="803"/>
      <c r="H64" s="1111"/>
      <c r="I64" s="1099"/>
      <c r="J64" s="1110"/>
      <c r="K64" s="664"/>
      <c r="L64" s="1099"/>
      <c r="M64" s="112"/>
      <c r="N64" s="258"/>
    </row>
    <row r="65" spans="1:14" ht="13">
      <c r="A65" s="1069" t="s">
        <v>1509</v>
      </c>
      <c r="B65" s="508"/>
      <c r="C65" s="1111"/>
      <c r="D65" s="1111"/>
      <c r="E65" s="1137"/>
      <c r="F65" s="803"/>
      <c r="G65" s="803"/>
      <c r="H65" s="1111"/>
      <c r="I65" s="1099"/>
      <c r="J65" s="1110"/>
      <c r="K65" s="664"/>
      <c r="L65" s="1099"/>
      <c r="M65" s="112"/>
      <c r="N65" s="258"/>
    </row>
    <row r="66" spans="1:14" ht="13">
      <c r="A66" s="1069" t="s">
        <v>1510</v>
      </c>
      <c r="B66" s="508"/>
      <c r="C66" s="1111"/>
      <c r="D66" s="1111"/>
      <c r="E66" s="1137"/>
      <c r="F66" s="803"/>
      <c r="G66" s="803"/>
      <c r="H66" s="1111"/>
      <c r="I66" s="1099"/>
      <c r="J66" s="1110"/>
      <c r="K66" s="664"/>
      <c r="L66" s="1099"/>
      <c r="M66" s="112"/>
      <c r="N66" s="258"/>
    </row>
    <row r="67" spans="1:14" ht="13">
      <c r="A67" s="1069" t="s">
        <v>1511</v>
      </c>
      <c r="B67" s="508"/>
      <c r="C67" s="1111"/>
      <c r="D67" s="1111"/>
      <c r="E67" s="1137"/>
      <c r="F67" s="803"/>
      <c r="G67" s="803"/>
      <c r="H67" s="1111"/>
      <c r="I67" s="1099"/>
      <c r="J67" s="1099"/>
      <c r="K67" s="1099"/>
      <c r="L67" s="1099"/>
      <c r="M67" s="112"/>
      <c r="N67" s="258"/>
    </row>
    <row r="68" spans="1:14" ht="13">
      <c r="A68" s="1069" t="s">
        <v>1512</v>
      </c>
      <c r="B68" s="508"/>
      <c r="C68" s="1111"/>
      <c r="D68" s="1111"/>
      <c r="E68" s="1137"/>
      <c r="F68" s="803"/>
      <c r="G68" s="803"/>
      <c r="H68" s="1111"/>
      <c r="I68" s="1099"/>
      <c r="J68" s="1099"/>
      <c r="K68" s="1099"/>
      <c r="L68" s="1099"/>
      <c r="M68" s="112"/>
      <c r="N68" s="258"/>
    </row>
    <row r="69" spans="1:14" ht="13">
      <c r="A69" s="1069" t="s">
        <v>1513</v>
      </c>
      <c r="B69" s="508"/>
      <c r="C69" s="1111"/>
      <c r="D69" s="1111"/>
      <c r="E69" s="1137"/>
      <c r="F69" s="803"/>
      <c r="G69" s="803"/>
      <c r="H69" s="1111"/>
      <c r="I69" s="1099"/>
      <c r="J69" s="1099"/>
      <c r="K69" s="1099"/>
      <c r="L69" s="1099"/>
      <c r="M69" s="112"/>
      <c r="N69" s="258"/>
    </row>
    <row r="70" spans="1:14" ht="13">
      <c r="A70" s="1069" t="s">
        <v>1514</v>
      </c>
      <c r="B70" s="508"/>
      <c r="C70" s="1111"/>
      <c r="D70" s="1111"/>
      <c r="E70" s="1137"/>
      <c r="F70" s="803"/>
      <c r="G70" s="803"/>
      <c r="H70" s="1111"/>
      <c r="I70" s="1099"/>
      <c r="J70" s="1099"/>
      <c r="K70" s="1099"/>
      <c r="L70" s="1099"/>
      <c r="M70" s="112"/>
      <c r="N70" s="258"/>
    </row>
    <row r="71" spans="1:14" ht="13">
      <c r="A71" s="1069" t="s">
        <v>1515</v>
      </c>
      <c r="B71" s="508"/>
      <c r="C71" s="1111"/>
      <c r="D71" s="1111"/>
      <c r="E71" s="1137"/>
      <c r="F71" s="803"/>
      <c r="G71" s="803"/>
      <c r="H71" s="1111"/>
      <c r="I71" s="1099"/>
      <c r="J71" s="1099"/>
      <c r="K71" s="1099"/>
      <c r="L71" s="1099"/>
      <c r="M71" s="112"/>
    </row>
    <row r="72" spans="1:14" ht="13">
      <c r="A72" s="1069" t="s">
        <v>1516</v>
      </c>
      <c r="B72" s="508"/>
      <c r="C72" s="1111"/>
      <c r="D72" s="1111"/>
      <c r="E72" s="1137"/>
      <c r="F72" s="803"/>
      <c r="G72" s="803"/>
      <c r="H72" s="1111"/>
      <c r="I72" s="1099"/>
      <c r="J72" s="1099"/>
      <c r="K72" s="1099"/>
      <c r="L72" s="1099"/>
      <c r="M72" s="112"/>
    </row>
    <row r="73" spans="1:14" ht="13">
      <c r="A73" s="1069" t="s">
        <v>1517</v>
      </c>
      <c r="B73" s="508"/>
      <c r="C73" s="1111"/>
      <c r="D73" s="1111"/>
      <c r="E73" s="1137"/>
      <c r="F73" s="803"/>
      <c r="G73" s="803"/>
      <c r="H73" s="1111"/>
      <c r="I73" s="1099"/>
      <c r="J73" s="1099"/>
      <c r="K73" s="1099"/>
      <c r="L73" s="1099"/>
      <c r="M73" s="112"/>
    </row>
    <row r="74" spans="1:14" ht="13">
      <c r="A74" s="2">
        <v>18</v>
      </c>
      <c r="C74" s="119"/>
      <c r="D74" s="119"/>
      <c r="E74" s="119"/>
      <c r="F74" s="119"/>
      <c r="G74" s="119"/>
      <c r="H74" s="119"/>
      <c r="I74" s="119"/>
      <c r="J74" s="119"/>
      <c r="K74" s="119"/>
      <c r="L74" s="119"/>
      <c r="M74" s="112"/>
    </row>
    <row r="75" spans="1:14" ht="13">
      <c r="A75" s="2">
        <f t="shared" si="0"/>
        <v>19</v>
      </c>
      <c r="B75" s="233" t="s">
        <v>1518</v>
      </c>
      <c r="C75" s="119"/>
      <c r="D75" s="119"/>
      <c r="E75" s="119"/>
      <c r="F75" s="119"/>
      <c r="G75" s="258" t="s">
        <v>1519</v>
      </c>
      <c r="H75" s="119"/>
      <c r="I75" s="119"/>
      <c r="J75" s="119"/>
      <c r="K75" s="119"/>
      <c r="L75" s="119"/>
      <c r="M75" s="112"/>
    </row>
    <row r="76" spans="1:14" ht="13">
      <c r="A76" s="2">
        <f t="shared" si="0"/>
        <v>20</v>
      </c>
      <c r="B76" s="112"/>
      <c r="C76" s="112"/>
      <c r="D76" s="112"/>
      <c r="E76" s="112"/>
      <c r="F76" s="112"/>
      <c r="G76" s="112"/>
      <c r="H76" s="112"/>
      <c r="I76" s="112"/>
      <c r="J76" s="112"/>
      <c r="K76" s="112"/>
      <c r="L76" s="112"/>
      <c r="M76" s="112"/>
    </row>
    <row r="77" spans="1:14" ht="13">
      <c r="A77" s="2">
        <f t="shared" si="0"/>
        <v>21</v>
      </c>
      <c r="B77" s="2"/>
      <c r="C77" s="243" t="s">
        <v>247</v>
      </c>
      <c r="D77" s="112"/>
      <c r="E77" s="112"/>
      <c r="F77" s="112"/>
      <c r="G77" s="112"/>
      <c r="H77" s="112"/>
      <c r="I77" s="112"/>
      <c r="J77" s="112"/>
      <c r="K77" s="112"/>
      <c r="L77" s="112"/>
    </row>
    <row r="78" spans="1:14" ht="13">
      <c r="A78" s="2">
        <f t="shared" si="0"/>
        <v>22</v>
      </c>
      <c r="B78" s="2"/>
      <c r="C78" s="243" t="s">
        <v>799</v>
      </c>
      <c r="D78" s="112"/>
      <c r="E78" s="112"/>
      <c r="F78" s="112"/>
      <c r="G78" s="112"/>
      <c r="H78" s="112"/>
      <c r="I78" s="112"/>
      <c r="J78" s="112"/>
      <c r="K78" s="112"/>
      <c r="L78" s="112"/>
    </row>
    <row r="79" spans="1:14" ht="13">
      <c r="A79" s="2">
        <f t="shared" si="0"/>
        <v>23</v>
      </c>
      <c r="B79" s="3" t="s">
        <v>659</v>
      </c>
      <c r="C79" s="48">
        <v>350.1</v>
      </c>
      <c r="D79" s="48">
        <v>350.2</v>
      </c>
      <c r="E79" s="48">
        <v>352</v>
      </c>
      <c r="F79" s="48">
        <v>353</v>
      </c>
      <c r="G79" s="48">
        <v>354</v>
      </c>
      <c r="H79" s="48">
        <v>355</v>
      </c>
      <c r="I79" s="48">
        <v>356</v>
      </c>
      <c r="J79" s="48">
        <v>357</v>
      </c>
      <c r="K79" s="48">
        <v>358</v>
      </c>
      <c r="L79" s="48">
        <v>359</v>
      </c>
    </row>
    <row r="80" spans="1:14" ht="13">
      <c r="A80" s="2">
        <f t="shared" si="0"/>
        <v>24</v>
      </c>
      <c r="B80" s="508"/>
      <c r="C80" s="114">
        <f>C12*$C$47/12</f>
        <v>0</v>
      </c>
      <c r="D80" s="114">
        <f>D12*$D47/12</f>
        <v>0</v>
      </c>
      <c r="E80" s="114">
        <f t="shared" ref="E80:E91" si="1">E12*$E47/12</f>
        <v>0</v>
      </c>
      <c r="F80" s="114">
        <f t="shared" ref="F80:F91" si="2">F12*$F47/12</f>
        <v>0</v>
      </c>
      <c r="G80" s="114">
        <f t="shared" ref="G80:G91" si="3">G12*$G47/12</f>
        <v>0</v>
      </c>
      <c r="H80" s="114">
        <f t="shared" ref="H80:H91" si="4">H12*$H47/12</f>
        <v>0</v>
      </c>
      <c r="I80" s="114">
        <f t="shared" ref="I80:I91" si="5">I12*$I47/12</f>
        <v>0</v>
      </c>
      <c r="J80" s="114">
        <f t="shared" ref="J80:J91" si="6">J12*$J47/12</f>
        <v>0</v>
      </c>
      <c r="K80" s="114">
        <f t="shared" ref="K80:K91" si="7">K12*$K47/12</f>
        <v>0</v>
      </c>
      <c r="L80" s="114">
        <f t="shared" ref="L80:L91" si="8">L12*$L47/12</f>
        <v>0</v>
      </c>
    </row>
    <row r="81" spans="1:13" ht="13">
      <c r="A81" s="2">
        <f t="shared" si="0"/>
        <v>25</v>
      </c>
      <c r="B81" s="508"/>
      <c r="C81" s="114" t="e">
        <f>C13*$C$48/12</f>
        <v>#DIV/0!</v>
      </c>
      <c r="D81" s="114" t="e">
        <f t="shared" ref="D81:D91" si="9">D13*$D48/12</f>
        <v>#DIV/0!</v>
      </c>
      <c r="E81" s="114" t="e">
        <f t="shared" si="1"/>
        <v>#DIV/0!</v>
      </c>
      <c r="F81" s="114" t="e">
        <f t="shared" si="2"/>
        <v>#DIV/0!</v>
      </c>
      <c r="G81" s="114" t="e">
        <f t="shared" si="3"/>
        <v>#DIV/0!</v>
      </c>
      <c r="H81" s="114" t="e">
        <f t="shared" si="4"/>
        <v>#DIV/0!</v>
      </c>
      <c r="I81" s="114" t="e">
        <f t="shared" si="5"/>
        <v>#DIV/0!</v>
      </c>
      <c r="J81" s="114" t="e">
        <f t="shared" si="6"/>
        <v>#DIV/0!</v>
      </c>
      <c r="K81" s="114" t="e">
        <f t="shared" si="7"/>
        <v>#DIV/0!</v>
      </c>
      <c r="L81" s="114" t="e">
        <f t="shared" si="8"/>
        <v>#DIV/0!</v>
      </c>
    </row>
    <row r="82" spans="1:13" ht="13">
      <c r="A82" s="2">
        <f t="shared" si="0"/>
        <v>26</v>
      </c>
      <c r="B82" s="508"/>
      <c r="C82" s="114" t="e">
        <f>C14*$C$49/12</f>
        <v>#DIV/0!</v>
      </c>
      <c r="D82" s="114" t="e">
        <f t="shared" si="9"/>
        <v>#DIV/0!</v>
      </c>
      <c r="E82" s="114" t="e">
        <f t="shared" si="1"/>
        <v>#DIV/0!</v>
      </c>
      <c r="F82" s="114" t="e">
        <f t="shared" si="2"/>
        <v>#DIV/0!</v>
      </c>
      <c r="G82" s="114" t="e">
        <f t="shared" si="3"/>
        <v>#DIV/0!</v>
      </c>
      <c r="H82" s="114" t="e">
        <f t="shared" si="4"/>
        <v>#DIV/0!</v>
      </c>
      <c r="I82" s="114" t="e">
        <f t="shared" si="5"/>
        <v>#DIV/0!</v>
      </c>
      <c r="J82" s="114" t="e">
        <f t="shared" si="6"/>
        <v>#DIV/0!</v>
      </c>
      <c r="K82" s="114" t="e">
        <f t="shared" si="7"/>
        <v>#DIV/0!</v>
      </c>
      <c r="L82" s="114" t="e">
        <f t="shared" si="8"/>
        <v>#DIV/0!</v>
      </c>
    </row>
    <row r="83" spans="1:13" ht="13">
      <c r="A83" s="2">
        <f t="shared" si="0"/>
        <v>27</v>
      </c>
      <c r="B83" s="508"/>
      <c r="C83" s="114" t="e">
        <f>C15*$C$50/12</f>
        <v>#DIV/0!</v>
      </c>
      <c r="D83" s="114" t="e">
        <f t="shared" si="9"/>
        <v>#DIV/0!</v>
      </c>
      <c r="E83" s="114" t="e">
        <f t="shared" si="1"/>
        <v>#DIV/0!</v>
      </c>
      <c r="F83" s="114" t="e">
        <f t="shared" si="2"/>
        <v>#DIV/0!</v>
      </c>
      <c r="G83" s="114" t="e">
        <f t="shared" si="3"/>
        <v>#DIV/0!</v>
      </c>
      <c r="H83" s="114" t="e">
        <f t="shared" si="4"/>
        <v>#DIV/0!</v>
      </c>
      <c r="I83" s="114" t="e">
        <f t="shared" si="5"/>
        <v>#DIV/0!</v>
      </c>
      <c r="J83" s="114" t="e">
        <f t="shared" si="6"/>
        <v>#DIV/0!</v>
      </c>
      <c r="K83" s="114" t="e">
        <f t="shared" si="7"/>
        <v>#DIV/0!</v>
      </c>
      <c r="L83" s="114" t="e">
        <f t="shared" si="8"/>
        <v>#DIV/0!</v>
      </c>
    </row>
    <row r="84" spans="1:13" ht="13">
      <c r="A84" s="2">
        <f t="shared" si="0"/>
        <v>28</v>
      </c>
      <c r="B84" s="508"/>
      <c r="C84" s="114" t="e">
        <f>C16*$C$51/12</f>
        <v>#DIV/0!</v>
      </c>
      <c r="D84" s="114" t="e">
        <f t="shared" si="9"/>
        <v>#DIV/0!</v>
      </c>
      <c r="E84" s="114" t="e">
        <f t="shared" si="1"/>
        <v>#DIV/0!</v>
      </c>
      <c r="F84" s="114" t="e">
        <f t="shared" si="2"/>
        <v>#DIV/0!</v>
      </c>
      <c r="G84" s="114" t="e">
        <f t="shared" si="3"/>
        <v>#DIV/0!</v>
      </c>
      <c r="H84" s="114" t="e">
        <f t="shared" si="4"/>
        <v>#DIV/0!</v>
      </c>
      <c r="I84" s="114" t="e">
        <f t="shared" si="5"/>
        <v>#DIV/0!</v>
      </c>
      <c r="J84" s="114" t="e">
        <f t="shared" si="6"/>
        <v>#DIV/0!</v>
      </c>
      <c r="K84" s="114" t="e">
        <f t="shared" si="7"/>
        <v>#DIV/0!</v>
      </c>
      <c r="L84" s="114" t="e">
        <f t="shared" si="8"/>
        <v>#DIV/0!</v>
      </c>
    </row>
    <row r="85" spans="1:13" ht="13">
      <c r="A85" s="2">
        <f t="shared" si="0"/>
        <v>29</v>
      </c>
      <c r="B85" s="508"/>
      <c r="C85" s="114" t="e">
        <f>C17*$C$52/12</f>
        <v>#DIV/0!</v>
      </c>
      <c r="D85" s="114" t="e">
        <f t="shared" si="9"/>
        <v>#DIV/0!</v>
      </c>
      <c r="E85" s="114" t="e">
        <f t="shared" si="1"/>
        <v>#DIV/0!</v>
      </c>
      <c r="F85" s="114" t="e">
        <f t="shared" si="2"/>
        <v>#DIV/0!</v>
      </c>
      <c r="G85" s="114" t="e">
        <f t="shared" si="3"/>
        <v>#DIV/0!</v>
      </c>
      <c r="H85" s="114" t="e">
        <f t="shared" si="4"/>
        <v>#DIV/0!</v>
      </c>
      <c r="I85" s="114" t="e">
        <f t="shared" si="5"/>
        <v>#DIV/0!</v>
      </c>
      <c r="J85" s="114" t="e">
        <f t="shared" si="6"/>
        <v>#DIV/0!</v>
      </c>
      <c r="K85" s="114" t="e">
        <f t="shared" si="7"/>
        <v>#DIV/0!</v>
      </c>
      <c r="L85" s="114" t="e">
        <f t="shared" si="8"/>
        <v>#DIV/0!</v>
      </c>
    </row>
    <row r="86" spans="1:13" ht="13">
      <c r="A86" s="2">
        <f t="shared" si="0"/>
        <v>30</v>
      </c>
      <c r="B86" s="508"/>
      <c r="C86" s="114" t="e">
        <f>C18*$C$53/12</f>
        <v>#DIV/0!</v>
      </c>
      <c r="D86" s="114" t="e">
        <f t="shared" si="9"/>
        <v>#DIV/0!</v>
      </c>
      <c r="E86" s="114" t="e">
        <f t="shared" si="1"/>
        <v>#DIV/0!</v>
      </c>
      <c r="F86" s="114" t="e">
        <f t="shared" si="2"/>
        <v>#DIV/0!</v>
      </c>
      <c r="G86" s="114" t="e">
        <f t="shared" si="3"/>
        <v>#DIV/0!</v>
      </c>
      <c r="H86" s="114" t="e">
        <f t="shared" si="4"/>
        <v>#DIV/0!</v>
      </c>
      <c r="I86" s="114" t="e">
        <f t="shared" si="5"/>
        <v>#DIV/0!</v>
      </c>
      <c r="J86" s="114" t="e">
        <f t="shared" si="6"/>
        <v>#DIV/0!</v>
      </c>
      <c r="K86" s="114" t="e">
        <f t="shared" si="7"/>
        <v>#DIV/0!</v>
      </c>
      <c r="L86" s="114" t="e">
        <f t="shared" si="8"/>
        <v>#DIV/0!</v>
      </c>
    </row>
    <row r="87" spans="1:13" ht="13">
      <c r="A87" s="2">
        <f t="shared" si="0"/>
        <v>31</v>
      </c>
      <c r="B87" s="508"/>
      <c r="C87" s="114" t="e">
        <f>C19*$C$54/12</f>
        <v>#DIV/0!</v>
      </c>
      <c r="D87" s="114" t="e">
        <f t="shared" si="9"/>
        <v>#DIV/0!</v>
      </c>
      <c r="E87" s="114" t="e">
        <f t="shared" si="1"/>
        <v>#DIV/0!</v>
      </c>
      <c r="F87" s="114" t="e">
        <f t="shared" si="2"/>
        <v>#DIV/0!</v>
      </c>
      <c r="G87" s="114" t="e">
        <f t="shared" si="3"/>
        <v>#DIV/0!</v>
      </c>
      <c r="H87" s="114" t="e">
        <f t="shared" si="4"/>
        <v>#DIV/0!</v>
      </c>
      <c r="I87" s="114" t="e">
        <f t="shared" si="5"/>
        <v>#DIV/0!</v>
      </c>
      <c r="J87" s="114" t="e">
        <f t="shared" si="6"/>
        <v>#DIV/0!</v>
      </c>
      <c r="K87" s="114" t="e">
        <f t="shared" si="7"/>
        <v>#DIV/0!</v>
      </c>
      <c r="L87" s="114" t="e">
        <f t="shared" si="8"/>
        <v>#DIV/0!</v>
      </c>
    </row>
    <row r="88" spans="1:13" ht="13">
      <c r="A88" s="2">
        <f t="shared" si="0"/>
        <v>32</v>
      </c>
      <c r="B88" s="508"/>
      <c r="C88" s="114" t="e">
        <f>C20*$C$55/12</f>
        <v>#DIV/0!</v>
      </c>
      <c r="D88" s="114" t="e">
        <f t="shared" si="9"/>
        <v>#DIV/0!</v>
      </c>
      <c r="E88" s="114" t="e">
        <f t="shared" si="1"/>
        <v>#DIV/0!</v>
      </c>
      <c r="F88" s="114" t="e">
        <f t="shared" si="2"/>
        <v>#DIV/0!</v>
      </c>
      <c r="G88" s="114" t="e">
        <f t="shared" si="3"/>
        <v>#DIV/0!</v>
      </c>
      <c r="H88" s="114" t="e">
        <f t="shared" si="4"/>
        <v>#DIV/0!</v>
      </c>
      <c r="I88" s="114" t="e">
        <f t="shared" si="5"/>
        <v>#DIV/0!</v>
      </c>
      <c r="J88" s="114" t="e">
        <f t="shared" si="6"/>
        <v>#DIV/0!</v>
      </c>
      <c r="K88" s="114" t="e">
        <f t="shared" si="7"/>
        <v>#DIV/0!</v>
      </c>
      <c r="L88" s="114" t="e">
        <f t="shared" si="8"/>
        <v>#DIV/0!</v>
      </c>
    </row>
    <row r="89" spans="1:13" ht="13">
      <c r="A89" s="2">
        <f t="shared" si="0"/>
        <v>33</v>
      </c>
      <c r="B89" s="508"/>
      <c r="C89" s="114" t="e">
        <f>C21*$C$56/12</f>
        <v>#DIV/0!</v>
      </c>
      <c r="D89" s="114" t="e">
        <f t="shared" si="9"/>
        <v>#DIV/0!</v>
      </c>
      <c r="E89" s="114" t="e">
        <f t="shared" si="1"/>
        <v>#DIV/0!</v>
      </c>
      <c r="F89" s="114" t="e">
        <f t="shared" si="2"/>
        <v>#DIV/0!</v>
      </c>
      <c r="G89" s="114" t="e">
        <f t="shared" si="3"/>
        <v>#DIV/0!</v>
      </c>
      <c r="H89" s="114" t="e">
        <f t="shared" si="4"/>
        <v>#DIV/0!</v>
      </c>
      <c r="I89" s="114" t="e">
        <f t="shared" si="5"/>
        <v>#DIV/0!</v>
      </c>
      <c r="J89" s="114" t="e">
        <f t="shared" si="6"/>
        <v>#DIV/0!</v>
      </c>
      <c r="K89" s="114" t="e">
        <f t="shared" si="7"/>
        <v>#DIV/0!</v>
      </c>
      <c r="L89" s="114" t="e">
        <f t="shared" si="8"/>
        <v>#DIV/0!</v>
      </c>
    </row>
    <row r="90" spans="1:13" ht="13">
      <c r="A90" s="2">
        <f t="shared" si="0"/>
        <v>34</v>
      </c>
      <c r="B90" s="508"/>
      <c r="C90" s="114" t="e">
        <f>C22*$C$57/12</f>
        <v>#DIV/0!</v>
      </c>
      <c r="D90" s="114" t="e">
        <f t="shared" si="9"/>
        <v>#DIV/0!</v>
      </c>
      <c r="E90" s="114" t="e">
        <f t="shared" si="1"/>
        <v>#DIV/0!</v>
      </c>
      <c r="F90" s="114" t="e">
        <f t="shared" si="2"/>
        <v>#DIV/0!</v>
      </c>
      <c r="G90" s="114" t="e">
        <f t="shared" si="3"/>
        <v>#DIV/0!</v>
      </c>
      <c r="H90" s="114" t="e">
        <f t="shared" si="4"/>
        <v>#DIV/0!</v>
      </c>
      <c r="I90" s="114" t="e">
        <f t="shared" si="5"/>
        <v>#DIV/0!</v>
      </c>
      <c r="J90" s="114" t="e">
        <f t="shared" si="6"/>
        <v>#DIV/0!</v>
      </c>
      <c r="K90" s="114" t="e">
        <f t="shared" si="7"/>
        <v>#DIV/0!</v>
      </c>
      <c r="L90" s="114" t="e">
        <f t="shared" si="8"/>
        <v>#DIV/0!</v>
      </c>
    </row>
    <row r="91" spans="1:13" ht="13">
      <c r="A91" s="2">
        <f t="shared" si="0"/>
        <v>35</v>
      </c>
      <c r="B91" s="508"/>
      <c r="C91" s="183" t="e">
        <f>C23*$C$58/12</f>
        <v>#DIV/0!</v>
      </c>
      <c r="D91" s="183" t="e">
        <f t="shared" si="9"/>
        <v>#DIV/0!</v>
      </c>
      <c r="E91" s="183" t="e">
        <f t="shared" si="1"/>
        <v>#DIV/0!</v>
      </c>
      <c r="F91" s="183" t="e">
        <f t="shared" si="2"/>
        <v>#DIV/0!</v>
      </c>
      <c r="G91" s="183" t="e">
        <f t="shared" si="3"/>
        <v>#DIV/0!</v>
      </c>
      <c r="H91" s="183" t="e">
        <f t="shared" si="4"/>
        <v>#DIV/0!</v>
      </c>
      <c r="I91" s="183" t="e">
        <f t="shared" si="5"/>
        <v>#DIV/0!</v>
      </c>
      <c r="J91" s="183" t="e">
        <f t="shared" si="6"/>
        <v>#DIV/0!</v>
      </c>
      <c r="K91" s="183" t="e">
        <f t="shared" si="7"/>
        <v>#DIV/0!</v>
      </c>
      <c r="L91" s="183" t="e">
        <f t="shared" si="8"/>
        <v>#DIV/0!</v>
      </c>
    </row>
    <row r="92" spans="1:13" ht="13">
      <c r="A92" s="2">
        <f t="shared" si="0"/>
        <v>36</v>
      </c>
      <c r="B92" s="113" t="s">
        <v>442</v>
      </c>
      <c r="C92" s="114" t="e">
        <f>SUM(C80:C91)</f>
        <v>#DIV/0!</v>
      </c>
      <c r="D92" s="114" t="e">
        <f t="shared" ref="D92:K92" si="10">SUM(D80:D91)</f>
        <v>#DIV/0!</v>
      </c>
      <c r="E92" s="114" t="e">
        <f t="shared" si="10"/>
        <v>#DIV/0!</v>
      </c>
      <c r="F92" s="114" t="e">
        <f t="shared" si="10"/>
        <v>#DIV/0!</v>
      </c>
      <c r="G92" s="114" t="e">
        <f t="shared" si="10"/>
        <v>#DIV/0!</v>
      </c>
      <c r="H92" s="114" t="e">
        <f>SUM(H80:H91)</f>
        <v>#DIV/0!</v>
      </c>
      <c r="I92" s="114" t="e">
        <f t="shared" si="10"/>
        <v>#DIV/0!</v>
      </c>
      <c r="J92" s="114" t="e">
        <f t="shared" si="10"/>
        <v>#DIV/0!</v>
      </c>
      <c r="K92" s="114" t="e">
        <f t="shared" si="10"/>
        <v>#DIV/0!</v>
      </c>
      <c r="L92" s="114" t="e">
        <f>SUM(L80:L91)</f>
        <v>#DIV/0!</v>
      </c>
    </row>
    <row r="93" spans="1:13" ht="13">
      <c r="A93" s="2">
        <f t="shared" si="0"/>
        <v>37</v>
      </c>
      <c r="B93" s="112"/>
      <c r="C93" s="112"/>
      <c r="D93" s="112"/>
      <c r="E93" s="112"/>
      <c r="F93" s="112"/>
      <c r="G93" s="112"/>
      <c r="H93" s="112"/>
      <c r="I93" s="112"/>
      <c r="J93" s="112"/>
      <c r="K93" s="112"/>
      <c r="L93" s="231"/>
    </row>
    <row r="94" spans="1:13" ht="13">
      <c r="A94" s="2">
        <f t="shared" si="0"/>
        <v>38</v>
      </c>
      <c r="B94" s="112"/>
      <c r="C94" s="112"/>
      <c r="D94" s="112"/>
      <c r="E94" s="112"/>
      <c r="F94" s="112"/>
      <c r="G94" s="112"/>
      <c r="H94" s="112"/>
      <c r="I94" s="112"/>
      <c r="J94" s="112"/>
      <c r="K94" s="112"/>
      <c r="L94" s="388"/>
      <c r="M94" s="112"/>
    </row>
    <row r="95" spans="1:13" ht="13">
      <c r="A95" s="1069" t="s">
        <v>720</v>
      </c>
      <c r="B95" s="2"/>
      <c r="C95" s="1104" t="s">
        <v>247</v>
      </c>
      <c r="D95" s="590"/>
      <c r="E95" s="590"/>
      <c r="F95" s="112"/>
      <c r="G95" s="112"/>
      <c r="H95" s="112"/>
      <c r="I95" s="112"/>
      <c r="J95" s="112"/>
      <c r="K95" s="112"/>
      <c r="L95" s="112"/>
      <c r="M95" s="112"/>
    </row>
    <row r="96" spans="1:13" ht="13">
      <c r="A96" s="1069" t="s">
        <v>1520</v>
      </c>
      <c r="B96" s="2"/>
      <c r="C96" s="1104" t="s">
        <v>799</v>
      </c>
      <c r="D96" s="590"/>
      <c r="G96" s="112"/>
      <c r="H96" s="590"/>
      <c r="I96" s="1069" t="s">
        <v>382</v>
      </c>
      <c r="J96" s="112"/>
      <c r="K96" s="112"/>
      <c r="L96" s="112"/>
    </row>
    <row r="97" spans="1:10" ht="13">
      <c r="A97" s="1069" t="s">
        <v>1521</v>
      </c>
      <c r="B97" s="1069" t="s">
        <v>659</v>
      </c>
      <c r="C97" s="1095">
        <v>351.1</v>
      </c>
      <c r="D97" s="1095" t="s">
        <v>662</v>
      </c>
      <c r="E97" s="1095" t="s">
        <v>663</v>
      </c>
      <c r="F97" s="1095" t="s">
        <v>664</v>
      </c>
      <c r="G97" s="1095" t="s">
        <v>665</v>
      </c>
      <c r="H97" s="1095">
        <v>351.3</v>
      </c>
      <c r="I97" s="1069" t="s">
        <v>252</v>
      </c>
      <c r="J97" s="1162" t="s">
        <v>3048</v>
      </c>
    </row>
    <row r="98" spans="1:10" ht="13">
      <c r="A98" s="1069" t="s">
        <v>1522</v>
      </c>
      <c r="B98" s="1100"/>
      <c r="C98" s="836">
        <f>C29*$C$62/12</f>
        <v>0</v>
      </c>
      <c r="D98" s="836">
        <f>D29*$D$62/12</f>
        <v>0</v>
      </c>
      <c r="E98" s="836">
        <f>E29*$E$62/12</f>
        <v>0</v>
      </c>
      <c r="F98" s="836">
        <f>F29*$F$62/12</f>
        <v>0</v>
      </c>
      <c r="G98" s="836">
        <f>G29*$G$62/12</f>
        <v>0</v>
      </c>
      <c r="H98" s="836">
        <f>H29*$H$61/12</f>
        <v>0</v>
      </c>
      <c r="I98" s="836">
        <f t="shared" ref="I98:I109" si="11">SUM(C80:L80)+SUM(C98:H98)</f>
        <v>0</v>
      </c>
      <c r="J98" s="1031" t="s">
        <v>3049</v>
      </c>
    </row>
    <row r="99" spans="1:10" ht="13">
      <c r="A99" s="1069" t="s">
        <v>1523</v>
      </c>
      <c r="B99" s="1100"/>
      <c r="C99" s="836" t="e">
        <f>C30*$C$63/12</f>
        <v>#DIV/0!</v>
      </c>
      <c r="D99" s="836" t="e">
        <f>D30*$D$63/12</f>
        <v>#DIV/0!</v>
      </c>
      <c r="E99" s="836" t="e">
        <f>E30*$E$63/12</f>
        <v>#DIV/0!</v>
      </c>
      <c r="F99" s="836" t="e">
        <f>F30*$F$63/12</f>
        <v>#DIV/0!</v>
      </c>
      <c r="G99" s="836" t="e">
        <f>G30*$G$63/12</f>
        <v>#DIV/0!</v>
      </c>
      <c r="H99" s="836" t="e">
        <f>H30*$H$62/12</f>
        <v>#DIV/0!</v>
      </c>
      <c r="I99" s="836" t="e">
        <f t="shared" si="11"/>
        <v>#DIV/0!</v>
      </c>
      <c r="J99" s="664" t="s">
        <v>3050</v>
      </c>
    </row>
    <row r="100" spans="1:10" ht="13">
      <c r="A100" s="1069" t="s">
        <v>1524</v>
      </c>
      <c r="B100" s="1100"/>
      <c r="C100" s="836" t="e">
        <f>C31*$C$64/12</f>
        <v>#DIV/0!</v>
      </c>
      <c r="D100" s="836" t="e">
        <f>D31*$D$64/12</f>
        <v>#DIV/0!</v>
      </c>
      <c r="E100" s="836" t="e">
        <f>E31*$E$64/12</f>
        <v>#DIV/0!</v>
      </c>
      <c r="F100" s="836" t="e">
        <f>F31*$F$64/12</f>
        <v>#DIV/0!</v>
      </c>
      <c r="G100" s="836" t="e">
        <f>G31*$G$64/12</f>
        <v>#DIV/0!</v>
      </c>
      <c r="H100" s="836" t="e">
        <f>H31*$H$63/12</f>
        <v>#DIV/0!</v>
      </c>
      <c r="I100" s="836" t="e">
        <f t="shared" si="11"/>
        <v>#DIV/0!</v>
      </c>
    </row>
    <row r="101" spans="1:10" ht="13">
      <c r="A101" s="1069" t="s">
        <v>1525</v>
      </c>
      <c r="B101" s="1100"/>
      <c r="C101" s="836" t="e">
        <f>C32*$C$65/12</f>
        <v>#DIV/0!</v>
      </c>
      <c r="D101" s="836" t="e">
        <f>D32*$D$65/12</f>
        <v>#DIV/0!</v>
      </c>
      <c r="E101" s="836" t="e">
        <f>E32*$E$65/12</f>
        <v>#DIV/0!</v>
      </c>
      <c r="F101" s="836" t="e">
        <f>F32*$F$65/12</f>
        <v>#DIV/0!</v>
      </c>
      <c r="G101" s="836" t="e">
        <f>G32*$G$65/12</f>
        <v>#DIV/0!</v>
      </c>
      <c r="H101" s="836" t="e">
        <f>H32*$H$64/12</f>
        <v>#DIV/0!</v>
      </c>
      <c r="I101" s="836" t="e">
        <f t="shared" si="11"/>
        <v>#DIV/0!</v>
      </c>
    </row>
    <row r="102" spans="1:10" ht="13">
      <c r="A102" s="1069" t="s">
        <v>1526</v>
      </c>
      <c r="B102" s="1100"/>
      <c r="C102" s="836" t="e">
        <f>C33*$C$66/12</f>
        <v>#DIV/0!</v>
      </c>
      <c r="D102" s="836" t="e">
        <f>D33*$D$66/12</f>
        <v>#DIV/0!</v>
      </c>
      <c r="E102" s="836" t="e">
        <f>E33*$E$66/12</f>
        <v>#DIV/0!</v>
      </c>
      <c r="F102" s="836" t="e">
        <f>F33*$F$66/12</f>
        <v>#DIV/0!</v>
      </c>
      <c r="G102" s="836" t="e">
        <f>G33*$G$66/12</f>
        <v>#DIV/0!</v>
      </c>
      <c r="H102" s="836" t="e">
        <f>H33*$H$65/12</f>
        <v>#DIV/0!</v>
      </c>
      <c r="I102" s="836" t="e">
        <f t="shared" si="11"/>
        <v>#DIV/0!</v>
      </c>
    </row>
    <row r="103" spans="1:10" ht="13">
      <c r="A103" s="1069" t="s">
        <v>1527</v>
      </c>
      <c r="B103" s="1100"/>
      <c r="C103" s="836" t="e">
        <f>C34*$C$67/12</f>
        <v>#DIV/0!</v>
      </c>
      <c r="D103" s="836" t="e">
        <f>D34*$D$67/12</f>
        <v>#DIV/0!</v>
      </c>
      <c r="E103" s="836" t="e">
        <f>E34*$E$67/12</f>
        <v>#DIV/0!</v>
      </c>
      <c r="F103" s="836" t="e">
        <f>F34*$F$67/12</f>
        <v>#DIV/0!</v>
      </c>
      <c r="G103" s="836" t="e">
        <f>G34*$G$67/12</f>
        <v>#DIV/0!</v>
      </c>
      <c r="H103" s="836" t="e">
        <f>H34*$H$66/12</f>
        <v>#DIV/0!</v>
      </c>
      <c r="I103" s="836" t="e">
        <f t="shared" si="11"/>
        <v>#DIV/0!</v>
      </c>
    </row>
    <row r="104" spans="1:10" ht="13">
      <c r="A104" s="1069" t="s">
        <v>1528</v>
      </c>
      <c r="B104" s="1100"/>
      <c r="C104" s="836" t="e">
        <f>C35*$C$68/12</f>
        <v>#DIV/0!</v>
      </c>
      <c r="D104" s="836" t="e">
        <f>D35*$D$68/12</f>
        <v>#DIV/0!</v>
      </c>
      <c r="E104" s="836" t="e">
        <f>E35*$E$68/12</f>
        <v>#DIV/0!</v>
      </c>
      <c r="F104" s="836" t="e">
        <f>F35*$F$68/12</f>
        <v>#DIV/0!</v>
      </c>
      <c r="G104" s="836" t="e">
        <f>G35*$G$68/12</f>
        <v>#DIV/0!</v>
      </c>
      <c r="H104" s="836" t="e">
        <f>H35*$H$67/12</f>
        <v>#DIV/0!</v>
      </c>
      <c r="I104" s="836" t="e">
        <f t="shared" si="11"/>
        <v>#DIV/0!</v>
      </c>
    </row>
    <row r="105" spans="1:10" ht="13">
      <c r="A105" s="1069" t="s">
        <v>1529</v>
      </c>
      <c r="B105" s="1100"/>
      <c r="C105" s="836" t="e">
        <f>C36*$C$69/12</f>
        <v>#DIV/0!</v>
      </c>
      <c r="D105" s="836" t="e">
        <f>D36*$D$69/12</f>
        <v>#DIV/0!</v>
      </c>
      <c r="E105" s="836" t="e">
        <f>E36*$E$69/12</f>
        <v>#DIV/0!</v>
      </c>
      <c r="F105" s="836" t="e">
        <f>F36*$F$69/12</f>
        <v>#DIV/0!</v>
      </c>
      <c r="G105" s="836" t="e">
        <f>G36*$G$69/12</f>
        <v>#DIV/0!</v>
      </c>
      <c r="H105" s="836" t="e">
        <f>H36*$H$68/12</f>
        <v>#DIV/0!</v>
      </c>
      <c r="I105" s="836" t="e">
        <f t="shared" si="11"/>
        <v>#DIV/0!</v>
      </c>
    </row>
    <row r="106" spans="1:10" ht="13">
      <c r="A106" s="1069" t="s">
        <v>1530</v>
      </c>
      <c r="B106" s="1100"/>
      <c r="C106" s="836" t="e">
        <f>C37*$C$70/12</f>
        <v>#DIV/0!</v>
      </c>
      <c r="D106" s="836" t="e">
        <f>D37*$D$70/12</f>
        <v>#DIV/0!</v>
      </c>
      <c r="E106" s="836" t="e">
        <f>E37*$E$70/12</f>
        <v>#DIV/0!</v>
      </c>
      <c r="F106" s="836" t="e">
        <f>F37*$F$70/12</f>
        <v>#DIV/0!</v>
      </c>
      <c r="G106" s="836" t="e">
        <f>G37*$G$70/12</f>
        <v>#DIV/0!</v>
      </c>
      <c r="H106" s="836" t="e">
        <f>H37*$H$69/12</f>
        <v>#DIV/0!</v>
      </c>
      <c r="I106" s="836" t="e">
        <f t="shared" si="11"/>
        <v>#DIV/0!</v>
      </c>
    </row>
    <row r="107" spans="1:10" ht="13">
      <c r="A107" s="1069" t="s">
        <v>1531</v>
      </c>
      <c r="B107" s="1100"/>
      <c r="C107" s="836" t="e">
        <f>C38*$C$71/12</f>
        <v>#DIV/0!</v>
      </c>
      <c r="D107" s="836" t="e">
        <f>D38*$D$71/12</f>
        <v>#DIV/0!</v>
      </c>
      <c r="E107" s="836" t="e">
        <f>E38*$E$71/12</f>
        <v>#DIV/0!</v>
      </c>
      <c r="F107" s="836" t="e">
        <f>F38*$F$71/12</f>
        <v>#DIV/0!</v>
      </c>
      <c r="G107" s="836" t="e">
        <f>G38*$G$71/12</f>
        <v>#DIV/0!</v>
      </c>
      <c r="H107" s="836" t="e">
        <f>H38*$H$70/12</f>
        <v>#DIV/0!</v>
      </c>
      <c r="I107" s="836" t="e">
        <f t="shared" si="11"/>
        <v>#DIV/0!</v>
      </c>
    </row>
    <row r="108" spans="1:10" ht="13">
      <c r="A108" s="1069" t="s">
        <v>1532</v>
      </c>
      <c r="B108" s="1100"/>
      <c r="C108" s="836" t="e">
        <f>C39*$C$72/12</f>
        <v>#DIV/0!</v>
      </c>
      <c r="D108" s="836" t="e">
        <f>D39*$D$72/12</f>
        <v>#DIV/0!</v>
      </c>
      <c r="E108" s="836" t="e">
        <f>E39*$E$72/12</f>
        <v>#DIV/0!</v>
      </c>
      <c r="F108" s="836" t="e">
        <f>F39*$F$72/12</f>
        <v>#DIV/0!</v>
      </c>
      <c r="G108" s="836" t="e">
        <f>G39*$G$72/12</f>
        <v>#DIV/0!</v>
      </c>
      <c r="H108" s="836" t="e">
        <f>H39*$H$71/12</f>
        <v>#DIV/0!</v>
      </c>
      <c r="I108" s="836" t="e">
        <f t="shared" si="11"/>
        <v>#DIV/0!</v>
      </c>
    </row>
    <row r="109" spans="1:10" ht="13">
      <c r="A109" s="1069" t="s">
        <v>1533</v>
      </c>
      <c r="B109" s="1100"/>
      <c r="C109" s="836" t="e">
        <f>C40*$C$73/12</f>
        <v>#DIV/0!</v>
      </c>
      <c r="D109" s="836" t="e">
        <f>D40*$D$73/12</f>
        <v>#DIV/0!</v>
      </c>
      <c r="E109" s="836" t="e">
        <f>E40*$E$73/12</f>
        <v>#DIV/0!</v>
      </c>
      <c r="F109" s="836" t="e">
        <f>F40*$F$73/12</f>
        <v>#DIV/0!</v>
      </c>
      <c r="G109" s="836" t="e">
        <f>G40*$G$73/12</f>
        <v>#DIV/0!</v>
      </c>
      <c r="H109" s="836" t="e">
        <f>H40*$H$72/12</f>
        <v>#DIV/0!</v>
      </c>
      <c r="I109" s="836" t="e">
        <f t="shared" si="11"/>
        <v>#DIV/0!</v>
      </c>
    </row>
    <row r="110" spans="1:10" ht="13">
      <c r="A110" s="1069" t="s">
        <v>1534</v>
      </c>
      <c r="B110" s="1105" t="s">
        <v>442</v>
      </c>
      <c r="C110" s="836" t="e">
        <f>SUM(C98:C109)</f>
        <v>#DIV/0!</v>
      </c>
      <c r="D110" s="836" t="e">
        <f>SUM(D98:D109)</f>
        <v>#DIV/0!</v>
      </c>
      <c r="E110" s="836" t="e">
        <f t="shared" ref="E110:G110" si="12">SUM(E98:E109)</f>
        <v>#DIV/0!</v>
      </c>
      <c r="F110" s="836" t="e">
        <f t="shared" si="12"/>
        <v>#DIV/0!</v>
      </c>
      <c r="G110" s="836" t="e">
        <f t="shared" si="12"/>
        <v>#DIV/0!</v>
      </c>
      <c r="H110" s="836" t="e">
        <f>SUM(H98:H109)</f>
        <v>#DIV/0!</v>
      </c>
      <c r="I110" s="836"/>
    </row>
    <row r="111" spans="1:10" ht="13">
      <c r="A111" s="1069" t="s">
        <v>1535</v>
      </c>
      <c r="B111" s="112"/>
      <c r="C111" s="112"/>
      <c r="D111" s="112"/>
      <c r="E111" s="615"/>
      <c r="F111" s="615"/>
      <c r="G111" s="615"/>
      <c r="H111" s="1105" t="s">
        <v>1536</v>
      </c>
      <c r="I111" s="836" t="e">
        <f>SUM(I98:I109)</f>
        <v>#DIV/0!</v>
      </c>
    </row>
    <row r="112" spans="1:10" ht="13">
      <c r="A112" s="1069" t="s">
        <v>1537</v>
      </c>
      <c r="B112" s="112"/>
      <c r="C112" s="112"/>
      <c r="D112" s="112"/>
      <c r="E112" s="1179" t="s">
        <v>1538</v>
      </c>
      <c r="F112" s="615"/>
      <c r="G112" s="615"/>
      <c r="H112" s="615"/>
    </row>
    <row r="113" spans="1:13" ht="13">
      <c r="A113" s="1069" t="s">
        <v>1539</v>
      </c>
      <c r="B113" s="112"/>
      <c r="C113" s="112"/>
      <c r="D113" s="112"/>
      <c r="E113" s="388"/>
      <c r="F113" s="112"/>
    </row>
    <row r="114" spans="1:13" ht="13">
      <c r="A114" s="2">
        <f>A94+1</f>
        <v>39</v>
      </c>
      <c r="B114" s="1" t="s">
        <v>1540</v>
      </c>
      <c r="C114" s="112"/>
      <c r="D114" s="112"/>
      <c r="E114" s="112"/>
      <c r="F114" s="112"/>
      <c r="G114" s="112"/>
      <c r="H114" s="112"/>
      <c r="I114" s="112"/>
      <c r="J114" s="112"/>
      <c r="K114" s="112"/>
      <c r="L114" s="112"/>
      <c r="M114" s="112"/>
    </row>
    <row r="115" spans="1:13" ht="13">
      <c r="A115" s="2">
        <f t="shared" si="0"/>
        <v>40</v>
      </c>
      <c r="B115" s="112"/>
      <c r="C115" s="112"/>
      <c r="D115" s="112"/>
      <c r="E115" s="112"/>
      <c r="F115" s="112"/>
      <c r="G115" s="112"/>
      <c r="H115" s="112"/>
      <c r="I115" s="112"/>
      <c r="J115" s="112"/>
      <c r="K115" s="112"/>
      <c r="L115" s="112"/>
      <c r="M115" s="112"/>
    </row>
    <row r="116" spans="1:13" ht="13">
      <c r="A116" s="2">
        <f t="shared" si="0"/>
        <v>41</v>
      </c>
      <c r="B116" s="112"/>
      <c r="C116" s="112"/>
      <c r="D116" s="48">
        <v>360</v>
      </c>
      <c r="E116" s="48">
        <v>361</v>
      </c>
      <c r="F116" s="48">
        <v>362</v>
      </c>
      <c r="G116" s="112"/>
      <c r="H116" s="30" t="s">
        <v>686</v>
      </c>
      <c r="I116" s="3"/>
      <c r="J116" s="112"/>
      <c r="K116" s="112"/>
      <c r="L116" s="112"/>
      <c r="M116" s="112"/>
    </row>
    <row r="117" spans="1:13" ht="13">
      <c r="A117" s="2">
        <f t="shared" si="0"/>
        <v>42</v>
      </c>
      <c r="B117" s="233" t="s">
        <v>1541</v>
      </c>
      <c r="C117" s="112"/>
      <c r="D117" s="114">
        <f>'6-PlantInService'!C56</f>
        <v>0</v>
      </c>
      <c r="E117" s="114">
        <f>'6-PlantInService'!D56</f>
        <v>0</v>
      </c>
      <c r="F117" s="114">
        <f>'6-PlantInService'!E56</f>
        <v>0</v>
      </c>
      <c r="G117" s="112"/>
      <c r="H117" s="233" t="s">
        <v>1542</v>
      </c>
      <c r="I117" s="232"/>
      <c r="J117" s="112"/>
      <c r="K117" s="112"/>
      <c r="L117" s="112"/>
      <c r="M117" s="112"/>
    </row>
    <row r="118" spans="1:13" ht="13">
      <c r="A118" s="2">
        <f t="shared" si="0"/>
        <v>43</v>
      </c>
      <c r="B118" s="233" t="s">
        <v>1543</v>
      </c>
      <c r="C118" s="112"/>
      <c r="D118" s="183">
        <f>'6-PlantInService'!C57</f>
        <v>0</v>
      </c>
      <c r="E118" s="183">
        <f>'6-PlantInService'!D57</f>
        <v>0</v>
      </c>
      <c r="F118" s="183">
        <f>'6-PlantInService'!E57</f>
        <v>0</v>
      </c>
      <c r="G118" s="112"/>
      <c r="H118" s="233" t="s">
        <v>1544</v>
      </c>
      <c r="I118" s="112"/>
      <c r="J118" s="112"/>
      <c r="K118" s="112"/>
      <c r="M118" s="112"/>
    </row>
    <row r="119" spans="1:13" ht="13">
      <c r="A119" s="2">
        <f t="shared" si="0"/>
        <v>44</v>
      </c>
      <c r="B119" s="233" t="s">
        <v>1545</v>
      </c>
      <c r="C119" s="112"/>
      <c r="D119" s="114">
        <f>AVERAGE(D117:D118)</f>
        <v>0</v>
      </c>
      <c r="E119" s="114">
        <f>AVERAGE(E117:E118)</f>
        <v>0</v>
      </c>
      <c r="F119" s="114">
        <f>AVERAGE(F117:F118)</f>
        <v>0</v>
      </c>
      <c r="G119" s="112"/>
      <c r="H119" s="122"/>
      <c r="I119" s="232"/>
      <c r="J119" s="112"/>
      <c r="K119" s="112"/>
      <c r="M119" s="112"/>
    </row>
    <row r="120" spans="1:13" ht="13">
      <c r="A120" s="2">
        <f t="shared" si="0"/>
        <v>45</v>
      </c>
      <c r="J120" s="112"/>
      <c r="K120" s="112"/>
      <c r="M120" s="112"/>
    </row>
    <row r="121" spans="1:13" ht="13">
      <c r="A121" s="2">
        <f t="shared" si="0"/>
        <v>46</v>
      </c>
      <c r="B121" s="329" t="s">
        <v>1546</v>
      </c>
      <c r="C121" s="112"/>
      <c r="D121" s="112"/>
      <c r="E121" s="112"/>
      <c r="J121" s="112"/>
      <c r="K121" s="112"/>
      <c r="L121" s="114"/>
      <c r="M121" s="112"/>
    </row>
    <row r="122" spans="1:13" ht="13">
      <c r="A122" s="2">
        <f t="shared" si="0"/>
        <v>47</v>
      </c>
      <c r="B122" s="112"/>
      <c r="D122" s="48">
        <v>360</v>
      </c>
      <c r="E122" s="48">
        <v>361</v>
      </c>
      <c r="F122" s="48">
        <v>362</v>
      </c>
      <c r="J122" s="112"/>
      <c r="K122" s="112"/>
      <c r="L122" s="114"/>
      <c r="M122" s="112"/>
    </row>
    <row r="123" spans="1:13" ht="13">
      <c r="A123" s="2">
        <f t="shared" si="0"/>
        <v>48</v>
      </c>
      <c r="D123" s="119">
        <f>'18-DepRates'!$G26</f>
        <v>1.67E-2</v>
      </c>
      <c r="E123" s="119">
        <f>'18-DepRates'!$G27</f>
        <v>2.0500000000000001E-2</v>
      </c>
      <c r="F123" s="119">
        <f>'18-DepRates'!$G28</f>
        <v>1.8599999999999998E-2</v>
      </c>
      <c r="J123" s="112"/>
      <c r="K123" s="112"/>
      <c r="L123" s="114"/>
      <c r="M123" s="112"/>
    </row>
    <row r="124" spans="1:13" ht="13">
      <c r="A124" s="2">
        <f t="shared" si="0"/>
        <v>49</v>
      </c>
      <c r="J124" s="112"/>
      <c r="K124" s="112"/>
      <c r="L124" s="53"/>
      <c r="M124" s="112"/>
    </row>
    <row r="125" spans="1:13" ht="13">
      <c r="A125" s="2">
        <f t="shared" si="0"/>
        <v>50</v>
      </c>
      <c r="B125" t="s">
        <v>1547</v>
      </c>
      <c r="F125" s="233" t="s">
        <v>1548</v>
      </c>
      <c r="J125" s="112"/>
      <c r="K125" s="112"/>
      <c r="L125" s="119"/>
      <c r="M125" s="112"/>
    </row>
    <row r="126" spans="1:13" ht="13">
      <c r="A126" s="2">
        <f t="shared" si="0"/>
        <v>51</v>
      </c>
      <c r="J126" s="112"/>
      <c r="K126" s="112"/>
      <c r="L126" s="119"/>
      <c r="M126" s="112"/>
    </row>
    <row r="127" spans="1:13" ht="13">
      <c r="A127" s="2">
        <f t="shared" si="0"/>
        <v>52</v>
      </c>
      <c r="D127" s="48">
        <v>360</v>
      </c>
      <c r="E127" s="48">
        <v>361</v>
      </c>
      <c r="F127" s="48">
        <v>362</v>
      </c>
      <c r="G127" s="184" t="s">
        <v>252</v>
      </c>
      <c r="J127" s="112"/>
      <c r="K127" s="112"/>
      <c r="L127" s="119"/>
      <c r="M127" s="112"/>
    </row>
    <row r="128" spans="1:13" ht="13">
      <c r="A128" s="2">
        <f t="shared" ref="A128:A141" si="13">A127+1</f>
        <v>53</v>
      </c>
      <c r="D128" s="6">
        <f xml:space="preserve"> D119*D123</f>
        <v>0</v>
      </c>
      <c r="E128" s="6">
        <f xml:space="preserve"> E119*E123</f>
        <v>0</v>
      </c>
      <c r="F128" s="6">
        <f xml:space="preserve"> F119*F123</f>
        <v>0</v>
      </c>
      <c r="G128" s="6">
        <f>SUM(D128:F128)</f>
        <v>0</v>
      </c>
      <c r="H128" s="12" t="s">
        <v>1549</v>
      </c>
      <c r="J128" s="112"/>
      <c r="K128" s="112"/>
      <c r="L128" s="114"/>
      <c r="M128" s="112"/>
    </row>
    <row r="129" spans="1:13" ht="13">
      <c r="A129" s="2">
        <f t="shared" si="13"/>
        <v>54</v>
      </c>
      <c r="H129" s="12" t="s">
        <v>1550</v>
      </c>
      <c r="J129" s="112"/>
      <c r="K129" s="112"/>
      <c r="L129" s="112"/>
      <c r="M129" s="112"/>
    </row>
    <row r="130" spans="1:13" ht="13">
      <c r="A130" s="2">
        <f t="shared" si="13"/>
        <v>55</v>
      </c>
      <c r="J130" s="112"/>
      <c r="K130" s="112"/>
      <c r="L130" s="112"/>
      <c r="M130" s="112"/>
    </row>
    <row r="131" spans="1:13" ht="13">
      <c r="A131" s="2">
        <f t="shared" si="13"/>
        <v>56</v>
      </c>
      <c r="B131" s="1" t="s">
        <v>1551</v>
      </c>
      <c r="J131" s="112"/>
      <c r="K131" s="112"/>
      <c r="L131" s="112"/>
      <c r="M131" s="112"/>
    </row>
    <row r="132" spans="1:13" ht="13">
      <c r="A132" s="2">
        <f t="shared" si="13"/>
        <v>57</v>
      </c>
      <c r="B132" s="112"/>
      <c r="C132" s="112"/>
      <c r="D132" s="112"/>
      <c r="E132" s="112"/>
      <c r="F132" s="112"/>
      <c r="G132" s="112"/>
      <c r="H132" s="112"/>
      <c r="I132" s="112"/>
      <c r="J132" s="112"/>
      <c r="K132" s="112"/>
      <c r="L132" s="112"/>
      <c r="M132" s="112"/>
    </row>
    <row r="133" spans="1:13" ht="13">
      <c r="A133" s="2">
        <f t="shared" si="13"/>
        <v>58</v>
      </c>
      <c r="B133" s="276" t="s">
        <v>1552</v>
      </c>
      <c r="C133" s="112"/>
      <c r="D133" s="112"/>
      <c r="E133" s="112"/>
      <c r="F133" s="112"/>
      <c r="G133" s="112"/>
      <c r="H133" s="185"/>
      <c r="I133" s="232" t="s">
        <v>1553</v>
      </c>
      <c r="J133" s="112"/>
      <c r="K133" s="112"/>
      <c r="L133" s="112"/>
      <c r="M133" s="112"/>
    </row>
    <row r="134" spans="1:13" ht="13">
      <c r="A134" s="2">
        <f t="shared" si="13"/>
        <v>59</v>
      </c>
      <c r="B134" s="233" t="s">
        <v>1554</v>
      </c>
      <c r="C134" s="112"/>
      <c r="D134" s="112"/>
      <c r="E134" s="112"/>
      <c r="F134" s="112"/>
      <c r="G134" s="112"/>
      <c r="H134" s="57"/>
      <c r="I134" s="232" t="s">
        <v>1555</v>
      </c>
      <c r="J134" s="112"/>
      <c r="K134" s="112"/>
      <c r="L134" s="112"/>
      <c r="M134" s="112"/>
    </row>
    <row r="135" spans="1:13" ht="13">
      <c r="A135" s="2">
        <f t="shared" si="13"/>
        <v>60</v>
      </c>
      <c r="B135" s="276" t="s">
        <v>1556</v>
      </c>
      <c r="C135" s="112"/>
      <c r="D135" s="112"/>
      <c r="E135" s="112"/>
      <c r="F135" s="112"/>
      <c r="G135" s="112"/>
      <c r="H135" s="114">
        <f>SUM(H133:H134)</f>
        <v>0</v>
      </c>
      <c r="I135" s="232" t="str">
        <f>"Line "&amp;A133&amp;" + Line "&amp;A134&amp;""</f>
        <v>Line 58 + Line 59</v>
      </c>
      <c r="J135" s="112"/>
      <c r="K135" s="112"/>
      <c r="L135" s="112"/>
      <c r="M135" s="112"/>
    </row>
    <row r="136" spans="1:13" ht="13">
      <c r="A136" s="2">
        <f t="shared" si="13"/>
        <v>61</v>
      </c>
      <c r="B136" s="276" t="s">
        <v>145</v>
      </c>
      <c r="C136" s="112"/>
      <c r="D136" s="112"/>
      <c r="E136" s="112"/>
      <c r="F136" s="112"/>
      <c r="G136" s="112"/>
      <c r="H136" s="124" t="e">
        <f>'27-Allocators'!G15</f>
        <v>#DIV/0!</v>
      </c>
      <c r="I136" s="12" t="str">
        <f>"27-Allocators, Line "&amp;'27-Allocators'!A15&amp;""</f>
        <v>27-Allocators, Line 9</v>
      </c>
      <c r="J136" s="112"/>
      <c r="K136" s="112"/>
      <c r="L136" s="112"/>
      <c r="M136" s="112"/>
    </row>
    <row r="137" spans="1:13" ht="13">
      <c r="A137" s="2">
        <f t="shared" si="13"/>
        <v>62</v>
      </c>
      <c r="B137" s="276" t="s">
        <v>1557</v>
      </c>
      <c r="C137" s="112"/>
      <c r="D137" s="112"/>
      <c r="E137" s="112"/>
      <c r="F137" s="112"/>
      <c r="G137" s="112"/>
      <c r="H137" s="114" t="e">
        <f>H135*H136</f>
        <v>#DIV/0!</v>
      </c>
      <c r="I137" s="232" t="str">
        <f>"Line "&amp;A135&amp;" * Line "&amp;A136&amp;""</f>
        <v>Line 60 * Line 61</v>
      </c>
      <c r="J137" s="112"/>
      <c r="K137" s="112"/>
      <c r="L137" s="112"/>
      <c r="M137" s="112"/>
    </row>
    <row r="138" spans="1:13" ht="13">
      <c r="A138" s="2">
        <f t="shared" si="13"/>
        <v>63</v>
      </c>
      <c r="B138" s="276"/>
      <c r="C138" s="233"/>
      <c r="D138" s="112"/>
      <c r="E138" s="112"/>
      <c r="F138" s="112"/>
      <c r="G138" s="112"/>
      <c r="H138" s="112"/>
      <c r="I138" s="112"/>
      <c r="J138" s="112"/>
      <c r="K138" s="112"/>
      <c r="L138" s="112"/>
      <c r="M138" s="112"/>
    </row>
    <row r="139" spans="1:13" ht="13">
      <c r="A139" s="2">
        <f t="shared" si="13"/>
        <v>64</v>
      </c>
      <c r="B139" s="47" t="s">
        <v>1558</v>
      </c>
      <c r="C139" s="112"/>
      <c r="D139" s="112"/>
      <c r="E139" s="112"/>
      <c r="F139" s="112"/>
      <c r="G139" s="112"/>
      <c r="H139" s="112"/>
      <c r="I139" s="112"/>
      <c r="J139" s="112"/>
      <c r="K139" s="112"/>
      <c r="L139" s="112"/>
      <c r="M139" s="112"/>
    </row>
    <row r="140" spans="1:13" ht="13">
      <c r="A140" s="2">
        <f t="shared" si="13"/>
        <v>65</v>
      </c>
      <c r="B140" s="276"/>
      <c r="C140" s="233"/>
      <c r="D140" s="112"/>
      <c r="E140" s="112"/>
      <c r="F140" s="112"/>
      <c r="G140" s="112"/>
      <c r="H140" s="112"/>
      <c r="I140" s="112"/>
      <c r="J140" s="112"/>
      <c r="K140" s="112"/>
      <c r="L140" s="112"/>
      <c r="M140" s="112"/>
    </row>
    <row r="141" spans="1:13" ht="13">
      <c r="A141" s="2">
        <f t="shared" si="13"/>
        <v>66</v>
      </c>
      <c r="B141" s="276" t="s">
        <v>1559</v>
      </c>
      <c r="C141" s="112"/>
      <c r="D141" s="112"/>
      <c r="E141" s="112"/>
      <c r="F141" s="3" t="s">
        <v>81</v>
      </c>
      <c r="G141" s="3" t="s">
        <v>686</v>
      </c>
      <c r="H141" s="112"/>
      <c r="I141" s="112"/>
    </row>
    <row r="142" spans="1:13" ht="13">
      <c r="A142" s="2">
        <f>A141+1</f>
        <v>67</v>
      </c>
      <c r="B142" s="232" t="s">
        <v>1560</v>
      </c>
      <c r="C142" s="112"/>
      <c r="D142" s="112"/>
      <c r="E142" s="112"/>
      <c r="F142" s="114" t="e">
        <f>I111</f>
        <v>#DIV/0!</v>
      </c>
      <c r="G142" s="664" t="s">
        <v>3054</v>
      </c>
      <c r="H142" s="112"/>
      <c r="I142" s="112"/>
    </row>
    <row r="143" spans="1:13" ht="13">
      <c r="A143" s="2">
        <f>A142+1</f>
        <v>68</v>
      </c>
      <c r="B143" s="232" t="s">
        <v>1561</v>
      </c>
      <c r="C143" s="112"/>
      <c r="D143" s="112"/>
      <c r="E143" s="112"/>
      <c r="F143" s="114">
        <f>G128</f>
        <v>0</v>
      </c>
      <c r="G143" s="232" t="str">
        <f>"Line "&amp;A128&amp;""</f>
        <v>Line 53</v>
      </c>
      <c r="H143" s="112"/>
      <c r="I143" s="112"/>
    </row>
    <row r="144" spans="1:13" ht="13">
      <c r="A144" s="2">
        <f>A143+1</f>
        <v>69</v>
      </c>
      <c r="B144" s="232" t="s">
        <v>1562</v>
      </c>
      <c r="C144" s="112"/>
      <c r="D144" s="112"/>
      <c r="E144" s="112"/>
      <c r="F144" s="53" t="e">
        <f>H137</f>
        <v>#DIV/0!</v>
      </c>
      <c r="G144" s="232" t="str">
        <f>"Line "&amp;A137&amp;""</f>
        <v>Line 62</v>
      </c>
      <c r="H144" s="112"/>
      <c r="I144" s="112"/>
    </row>
    <row r="145" spans="1:9" ht="13">
      <c r="A145" s="2">
        <f>A144+1</f>
        <v>70</v>
      </c>
      <c r="B145" s="112"/>
      <c r="C145" s="112"/>
      <c r="D145" s="112"/>
      <c r="E145" s="113" t="s">
        <v>1563</v>
      </c>
      <c r="F145" s="114" t="e">
        <f>SUM(F142:F144)</f>
        <v>#DIV/0!</v>
      </c>
      <c r="G145" s="232" t="str">
        <f>"Line "&amp;A142&amp;" + Line "&amp;A143&amp;" + Line "&amp;A144&amp;""</f>
        <v>Line 67 + Line 68 + Line 69</v>
      </c>
      <c r="H145" s="112"/>
      <c r="I145" s="112"/>
    </row>
    <row r="146" spans="1:9" ht="13">
      <c r="A146" s="112"/>
      <c r="B146" s="1" t="s">
        <v>233</v>
      </c>
      <c r="C146" s="112"/>
      <c r="D146" s="112"/>
      <c r="E146" s="112"/>
      <c r="F146" s="112"/>
      <c r="G146" s="112"/>
      <c r="H146" s="112"/>
      <c r="I146" s="112"/>
    </row>
    <row r="147" spans="1:9">
      <c r="A147" s="112"/>
      <c r="B147" s="233" t="s">
        <v>1564</v>
      </c>
      <c r="C147" s="112"/>
      <c r="D147" s="112"/>
      <c r="E147" s="112"/>
      <c r="F147" s="112"/>
      <c r="G147" s="112"/>
      <c r="H147" s="112"/>
      <c r="I147" s="112"/>
    </row>
    <row r="148" spans="1:9">
      <c r="A148" s="112"/>
      <c r="B148" s="233" t="str">
        <f>"same account, times the Monthly Depreciation Rate for that account.  Monthly rate = annual rates on Line "&amp;A46&amp;" etc. divided by 12."</f>
        <v>same account, times the Monthly Depreciation Rate for that account.  Monthly rate = annual rates on Line 17a etc. divided by 12.</v>
      </c>
      <c r="C148" s="112"/>
      <c r="D148" s="112"/>
      <c r="E148" s="112"/>
      <c r="F148" s="112"/>
      <c r="G148" s="112"/>
      <c r="H148" s="112"/>
      <c r="I148" s="112"/>
    </row>
    <row r="149" spans="1:9">
      <c r="A149" s="112"/>
      <c r="B149" s="233" t="str">
        <f>"2) Depreciation Expense for each account is equal to the Average BOY/EOY value on Line "&amp;A119&amp;" times the"</f>
        <v>2) Depreciation Expense for each account is equal to the Average BOY/EOY value on Line 44 times the</v>
      </c>
      <c r="C149" s="112"/>
      <c r="D149" s="112"/>
      <c r="E149" s="112"/>
      <c r="F149" s="112"/>
      <c r="G149" s="112"/>
      <c r="H149" s="112"/>
      <c r="I149" s="112"/>
    </row>
    <row r="150" spans="1:9">
      <c r="B150" s="233" t="str">
        <f>"Depreciation Rate on Line "&amp;A123&amp;"."</f>
        <v>Depreciation Rate on Line 48.</v>
      </c>
    </row>
    <row r="151" spans="1:9" ht="13">
      <c r="B151" s="1" t="s">
        <v>444</v>
      </c>
    </row>
    <row r="152" spans="1:9">
      <c r="B152" s="233" t="s">
        <v>3090</v>
      </c>
    </row>
    <row r="153" spans="1:9">
      <c r="B153" s="233" t="s">
        <v>1565</v>
      </c>
    </row>
    <row r="154" spans="1:9">
      <c r="B154" s="233" t="s">
        <v>1566</v>
      </c>
    </row>
    <row r="155" spans="1:9">
      <c r="B155" s="233" t="str">
        <f>"for Distribution Plant - ISO on Line "&amp;A128&amp;" utilizing the weighted-average (by time) of the annual depreciation rates in effect in the Prior Year."</f>
        <v>for Distribution Plant - ISO on Line 53 utilizing the weighted-average (by time) of the annual depreciation rates in effect in the Prior Year.</v>
      </c>
    </row>
  </sheetData>
  <phoneticPr fontId="24" type="noConversion"/>
  <pageMargins left="0.7" right="0.7" top="0.75" bottom="0.75" header="0.3" footer="0.3"/>
  <pageSetup scale="61" orientation="landscape" cellComments="asDisplayed" r:id="rId1"/>
  <headerFooter>
    <oddHeader xml:space="preserve">&amp;CSchedule 17
Depreciation Expense
</oddHeader>
    <oddFooter>&amp;R&amp;A</oddFooter>
  </headerFooter>
  <rowBreaks count="2" manualBreakCount="2">
    <brk id="59" max="16383" man="1"/>
    <brk id="113"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CCC"/>
  </sheetPr>
  <dimension ref="A1:O85"/>
  <sheetViews>
    <sheetView zoomScaleNormal="100" workbookViewId="0">
      <selection activeCell="L41" sqref="L41"/>
    </sheetView>
  </sheetViews>
  <sheetFormatPr defaultColWidth="8.54296875" defaultRowHeight="12.5"/>
  <cols>
    <col min="1" max="1" width="4.54296875" customWidth="1"/>
    <col min="2" max="2" width="2.08984375" customWidth="1"/>
    <col min="4" max="4" width="38.54296875" customWidth="1"/>
    <col min="5" max="5" width="11.90625" style="233" customWidth="1"/>
    <col min="6" max="6" width="10.08984375" style="233" bestFit="1" customWidth="1"/>
    <col min="10" max="10" width="11.90625" customWidth="1"/>
    <col min="12" max="12" width="22.54296875" bestFit="1" customWidth="1"/>
    <col min="13" max="13" width="10.08984375" customWidth="1"/>
  </cols>
  <sheetData>
    <row r="1" spans="1:10" ht="13">
      <c r="A1" s="197" t="s">
        <v>1567</v>
      </c>
      <c r="B1" s="233"/>
      <c r="C1" s="233"/>
      <c r="D1" s="233"/>
      <c r="J1" t="s">
        <v>1568</v>
      </c>
    </row>
    <row r="2" spans="1:10">
      <c r="A2" s="233"/>
      <c r="B2" s="233"/>
      <c r="C2" s="233"/>
      <c r="D2" s="233"/>
    </row>
    <row r="3" spans="1:10" ht="13">
      <c r="A3" s="233"/>
      <c r="B3" s="197" t="s">
        <v>656</v>
      </c>
      <c r="C3" s="233"/>
      <c r="D3" s="233"/>
      <c r="E3" s="2" t="s">
        <v>694</v>
      </c>
      <c r="F3" s="2"/>
      <c r="G3" s="2"/>
    </row>
    <row r="4" spans="1:10" ht="13">
      <c r="A4" s="233"/>
      <c r="B4" s="233"/>
      <c r="C4" s="115" t="s">
        <v>247</v>
      </c>
      <c r="D4" s="233"/>
      <c r="E4" s="2" t="s">
        <v>1569</v>
      </c>
      <c r="F4" s="4" t="s">
        <v>1446</v>
      </c>
      <c r="G4" s="4"/>
    </row>
    <row r="5" spans="1:10" ht="13">
      <c r="A5" s="30" t="s">
        <v>284</v>
      </c>
      <c r="B5" s="233"/>
      <c r="C5" s="184" t="s">
        <v>753</v>
      </c>
      <c r="D5" s="184" t="s">
        <v>890</v>
      </c>
      <c r="E5" s="3" t="s">
        <v>1570</v>
      </c>
      <c r="F5" s="3" t="s">
        <v>1571</v>
      </c>
      <c r="G5" s="3" t="s">
        <v>252</v>
      </c>
    </row>
    <row r="6" spans="1:10" ht="15" customHeight="1">
      <c r="A6" s="2">
        <v>1</v>
      </c>
      <c r="B6" s="233"/>
      <c r="C6" s="388">
        <v>350.1</v>
      </c>
      <c r="D6" s="232" t="s">
        <v>1572</v>
      </c>
      <c r="E6" s="258">
        <v>0</v>
      </c>
      <c r="F6" s="258">
        <v>0</v>
      </c>
      <c r="G6" s="258">
        <v>0</v>
      </c>
    </row>
    <row r="7" spans="1:10" ht="15" customHeight="1">
      <c r="A7" s="2">
        <f>A6+1</f>
        <v>2</v>
      </c>
      <c r="B7" s="233"/>
      <c r="C7" s="388">
        <v>350.2</v>
      </c>
      <c r="D7" s="232" t="s">
        <v>1573</v>
      </c>
      <c r="E7" s="258">
        <v>1.66E-2</v>
      </c>
      <c r="F7" s="258">
        <v>0</v>
      </c>
      <c r="G7" s="258">
        <v>1.66E-2</v>
      </c>
    </row>
    <row r="8" spans="1:10" ht="15" customHeight="1">
      <c r="A8" s="1069" t="s">
        <v>565</v>
      </c>
      <c r="B8" s="233"/>
      <c r="C8" s="1106">
        <v>351.1</v>
      </c>
      <c r="D8" s="664" t="s">
        <v>1574</v>
      </c>
      <c r="E8" s="1110">
        <v>0.19070000000000001</v>
      </c>
      <c r="F8" s="1110">
        <v>0</v>
      </c>
      <c r="G8" s="1110">
        <v>0.19070000000000001</v>
      </c>
    </row>
    <row r="9" spans="1:10" ht="15" customHeight="1">
      <c r="A9" s="1069" t="s">
        <v>1154</v>
      </c>
      <c r="B9" s="233"/>
      <c r="C9" s="1106">
        <v>351.2</v>
      </c>
      <c r="D9" s="664" t="s">
        <v>1575</v>
      </c>
      <c r="E9" s="1110">
        <v>0.21479999999999999</v>
      </c>
      <c r="F9" s="1110">
        <v>0</v>
      </c>
      <c r="G9" s="1110">
        <v>0.21479999999999999</v>
      </c>
    </row>
    <row r="10" spans="1:10" ht="15" customHeight="1">
      <c r="A10" s="1069" t="s">
        <v>1155</v>
      </c>
      <c r="B10" s="233"/>
      <c r="C10" s="1105">
        <v>351.2</v>
      </c>
      <c r="D10" s="664" t="s">
        <v>1576</v>
      </c>
      <c r="E10" s="1110">
        <v>0.1429</v>
      </c>
      <c r="F10" s="1110">
        <v>0</v>
      </c>
      <c r="G10" s="1110">
        <v>0.1429</v>
      </c>
    </row>
    <row r="11" spans="1:10" ht="15" customHeight="1">
      <c r="A11" s="1069" t="s">
        <v>1156</v>
      </c>
      <c r="B11" s="233"/>
      <c r="C11" s="1105">
        <v>351.2</v>
      </c>
      <c r="D11" s="664" t="s">
        <v>1577</v>
      </c>
      <c r="E11" s="1110">
        <v>0.1</v>
      </c>
      <c r="F11" s="1110">
        <v>0</v>
      </c>
      <c r="G11" s="1110">
        <v>0.1</v>
      </c>
    </row>
    <row r="12" spans="1:10" ht="15" customHeight="1">
      <c r="A12" s="1069" t="s">
        <v>1157</v>
      </c>
      <c r="B12" s="233"/>
      <c r="C12" s="1105">
        <v>351.2</v>
      </c>
      <c r="D12" s="664" t="s">
        <v>1578</v>
      </c>
      <c r="E12" s="1110">
        <v>6.6699999999999995E-2</v>
      </c>
      <c r="F12" s="1110">
        <v>0</v>
      </c>
      <c r="G12" s="1110">
        <v>6.6699999999999995E-2</v>
      </c>
    </row>
    <row r="13" spans="1:10" ht="13">
      <c r="A13" s="1069" t="s">
        <v>1158</v>
      </c>
      <c r="B13" s="233"/>
      <c r="C13" s="1105">
        <v>351.3</v>
      </c>
      <c r="D13" s="664" t="s">
        <v>1579</v>
      </c>
      <c r="E13" s="1110">
        <v>0.1133</v>
      </c>
      <c r="F13" s="1110">
        <v>0</v>
      </c>
      <c r="G13" s="1110">
        <v>0.1133</v>
      </c>
    </row>
    <row r="14" spans="1:10" ht="13">
      <c r="A14" s="2">
        <f>A7+1</f>
        <v>3</v>
      </c>
      <c r="B14" s="233"/>
      <c r="C14" s="388">
        <v>352</v>
      </c>
      <c r="D14" s="232" t="s">
        <v>1580</v>
      </c>
      <c r="E14" s="258">
        <v>1.7999999999999999E-2</v>
      </c>
      <c r="F14" s="258">
        <v>7.7000000000000002E-3</v>
      </c>
      <c r="G14" s="258">
        <v>2.5700000000000001E-2</v>
      </c>
    </row>
    <row r="15" spans="1:10" ht="13">
      <c r="A15" s="2">
        <f t="shared" ref="A15:A22" si="0">A14+1</f>
        <v>4</v>
      </c>
      <c r="B15" s="233"/>
      <c r="C15" s="388">
        <v>353</v>
      </c>
      <c r="D15" s="232" t="s">
        <v>1581</v>
      </c>
      <c r="E15" s="258">
        <v>2.1999999999999999E-2</v>
      </c>
      <c r="F15" s="258">
        <v>2.7000000000000001E-3</v>
      </c>
      <c r="G15" s="258">
        <v>2.47E-2</v>
      </c>
    </row>
    <row r="16" spans="1:10" ht="13">
      <c r="A16" s="2">
        <f t="shared" si="0"/>
        <v>5</v>
      </c>
      <c r="B16" s="233"/>
      <c r="C16" s="388">
        <v>354</v>
      </c>
      <c r="D16" s="232" t="s">
        <v>1582</v>
      </c>
      <c r="E16" s="258">
        <v>1.35E-2</v>
      </c>
      <c r="F16" s="258">
        <v>1.09E-2</v>
      </c>
      <c r="G16" s="258">
        <v>2.4400000000000002E-2</v>
      </c>
    </row>
    <row r="17" spans="1:7" ht="13">
      <c r="A17" s="2">
        <f t="shared" si="0"/>
        <v>6</v>
      </c>
      <c r="B17" s="233"/>
      <c r="C17" s="388">
        <v>355</v>
      </c>
      <c r="D17" s="232" t="s">
        <v>1583</v>
      </c>
      <c r="E17" s="258">
        <v>0.02</v>
      </c>
      <c r="F17" s="258">
        <v>1.67E-2</v>
      </c>
      <c r="G17" s="258">
        <v>3.6700000000000003E-2</v>
      </c>
    </row>
    <row r="18" spans="1:7" ht="13">
      <c r="A18" s="2">
        <f t="shared" si="0"/>
        <v>7</v>
      </c>
      <c r="B18" s="233"/>
      <c r="C18" s="388">
        <v>356</v>
      </c>
      <c r="D18" s="232" t="s">
        <v>1584</v>
      </c>
      <c r="E18" s="258">
        <v>0.02</v>
      </c>
      <c r="F18" s="258">
        <v>1.0500000000000001E-2</v>
      </c>
      <c r="G18" s="258">
        <v>3.0499999999999999E-2</v>
      </c>
    </row>
    <row r="19" spans="1:7" ht="13">
      <c r="A19" s="2">
        <f t="shared" si="0"/>
        <v>8</v>
      </c>
      <c r="B19" s="233"/>
      <c r="C19" s="388">
        <v>357</v>
      </c>
      <c r="D19" s="232" t="s">
        <v>1585</v>
      </c>
      <c r="E19" s="258">
        <v>1.6500000000000001E-2</v>
      </c>
      <c r="F19" s="258">
        <v>0</v>
      </c>
      <c r="G19" s="258">
        <v>1.6500000000000001E-2</v>
      </c>
    </row>
    <row r="20" spans="1:7" ht="13">
      <c r="A20" s="2">
        <f t="shared" si="0"/>
        <v>9</v>
      </c>
      <c r="B20" s="233"/>
      <c r="C20" s="388">
        <v>358</v>
      </c>
      <c r="D20" s="232" t="s">
        <v>1586</v>
      </c>
      <c r="E20" s="258">
        <v>3.2599999999999997E-2</v>
      </c>
      <c r="F20" s="258">
        <v>6.1000000000000004E-3</v>
      </c>
      <c r="G20" s="258">
        <v>3.8699999999999998E-2</v>
      </c>
    </row>
    <row r="21" spans="1:7" ht="13">
      <c r="A21" s="2">
        <f t="shared" si="0"/>
        <v>10</v>
      </c>
      <c r="B21" s="233"/>
      <c r="C21" s="388">
        <v>359</v>
      </c>
      <c r="D21" s="232" t="s">
        <v>1587</v>
      </c>
      <c r="E21" s="258">
        <v>1.5599999999999999E-2</v>
      </c>
      <c r="F21" s="258">
        <v>0</v>
      </c>
      <c r="G21" s="258">
        <v>1.5599999999999999E-2</v>
      </c>
    </row>
    <row r="22" spans="1:7" ht="13">
      <c r="A22" s="2">
        <f t="shared" si="0"/>
        <v>11</v>
      </c>
      <c r="B22" s="233"/>
      <c r="C22" s="233"/>
      <c r="D22" s="233"/>
      <c r="G22" s="233"/>
    </row>
    <row r="23" spans="1:7" ht="13">
      <c r="A23" s="233"/>
      <c r="B23" s="197" t="s">
        <v>680</v>
      </c>
      <c r="C23" s="233"/>
      <c r="D23" s="233"/>
      <c r="E23" s="2" t="s">
        <v>694</v>
      </c>
      <c r="F23" s="2"/>
      <c r="G23" s="2"/>
    </row>
    <row r="24" spans="1:7" ht="13">
      <c r="A24" s="233"/>
      <c r="B24" s="233"/>
      <c r="C24" s="115" t="s">
        <v>247</v>
      </c>
      <c r="D24" s="233"/>
      <c r="E24" s="2" t="s">
        <v>1569</v>
      </c>
      <c r="F24" s="4" t="s">
        <v>1446</v>
      </c>
      <c r="G24" s="4"/>
    </row>
    <row r="25" spans="1:7" ht="13">
      <c r="A25" s="233"/>
      <c r="B25" s="233"/>
      <c r="C25" s="184" t="s">
        <v>753</v>
      </c>
      <c r="D25" s="184" t="s">
        <v>890</v>
      </c>
      <c r="E25" s="3" t="s">
        <v>1570</v>
      </c>
      <c r="F25" s="3" t="s">
        <v>1571</v>
      </c>
      <c r="G25" s="3" t="s">
        <v>252</v>
      </c>
    </row>
    <row r="26" spans="1:7" ht="13">
      <c r="A26" s="2">
        <f>A22+1</f>
        <v>12</v>
      </c>
      <c r="B26" s="233"/>
      <c r="C26" s="233">
        <v>360</v>
      </c>
      <c r="D26" s="232" t="s">
        <v>1588</v>
      </c>
      <c r="E26" s="258">
        <v>1.67E-2</v>
      </c>
      <c r="F26" s="258">
        <v>0</v>
      </c>
      <c r="G26" s="258">
        <v>1.67E-2</v>
      </c>
    </row>
    <row r="27" spans="1:7" ht="13">
      <c r="A27" s="2">
        <f>A26+1</f>
        <v>13</v>
      </c>
      <c r="B27" s="233"/>
      <c r="C27" s="233">
        <v>361</v>
      </c>
      <c r="D27" s="232" t="s">
        <v>1580</v>
      </c>
      <c r="E27" s="967">
        <v>1.4200000000000001E-2</v>
      </c>
      <c r="F27" s="483">
        <v>6.3E-3</v>
      </c>
      <c r="G27" s="483">
        <v>2.0500000000000001E-2</v>
      </c>
    </row>
    <row r="28" spans="1:7" ht="13">
      <c r="A28" s="2">
        <f>A27+1</f>
        <v>14</v>
      </c>
      <c r="B28" s="233"/>
      <c r="C28" s="233">
        <v>362</v>
      </c>
      <c r="D28" s="232" t="s">
        <v>1581</v>
      </c>
      <c r="E28" s="967">
        <v>1.3299999999999999E-2</v>
      </c>
      <c r="F28" s="483">
        <v>5.3E-3</v>
      </c>
      <c r="G28" s="483">
        <v>1.8599999999999998E-2</v>
      </c>
    </row>
    <row r="29" spans="1:7">
      <c r="A29" s="233"/>
      <c r="B29" s="233"/>
      <c r="C29" s="233"/>
      <c r="D29" s="233"/>
      <c r="G29" s="233"/>
    </row>
    <row r="30" spans="1:7" ht="13">
      <c r="A30" s="233"/>
      <c r="B30" s="197" t="s">
        <v>1589</v>
      </c>
      <c r="C30" s="233"/>
      <c r="D30" s="233"/>
      <c r="E30" s="2" t="s">
        <v>694</v>
      </c>
      <c r="G30" s="233"/>
    </row>
    <row r="31" spans="1:7" ht="13">
      <c r="A31" s="233"/>
      <c r="B31" s="233"/>
      <c r="C31" s="115" t="s">
        <v>247</v>
      </c>
      <c r="D31" s="233"/>
      <c r="E31" s="2" t="s">
        <v>1569</v>
      </c>
      <c r="F31" s="4" t="s">
        <v>1446</v>
      </c>
      <c r="G31" s="4"/>
    </row>
    <row r="32" spans="1:7" ht="13">
      <c r="A32" s="233"/>
      <c r="B32" s="233"/>
      <c r="C32" s="184" t="s">
        <v>753</v>
      </c>
      <c r="D32" s="184" t="s">
        <v>890</v>
      </c>
      <c r="E32" s="3" t="s">
        <v>1570</v>
      </c>
      <c r="F32" s="3" t="s">
        <v>1571</v>
      </c>
      <c r="G32" s="3" t="s">
        <v>252</v>
      </c>
    </row>
    <row r="33" spans="1:7" ht="13">
      <c r="A33" s="2">
        <f>A28+1</f>
        <v>15</v>
      </c>
      <c r="B33" s="233"/>
      <c r="C33" s="233">
        <v>389</v>
      </c>
      <c r="D33" s="232" t="s">
        <v>1588</v>
      </c>
      <c r="E33" s="258">
        <v>1.67E-2</v>
      </c>
      <c r="F33" s="258">
        <v>0</v>
      </c>
      <c r="G33" s="258">
        <v>1.67E-2</v>
      </c>
    </row>
    <row r="34" spans="1:7" ht="13">
      <c r="A34" s="2">
        <f t="shared" ref="A34:A48" si="1">A33+1</f>
        <v>16</v>
      </c>
      <c r="B34" s="233"/>
      <c r="C34" s="233">
        <v>390</v>
      </c>
      <c r="D34" s="232" t="s">
        <v>1580</v>
      </c>
      <c r="E34" s="967">
        <v>1.5900000000000001E-2</v>
      </c>
      <c r="F34" s="258">
        <v>2.3E-3</v>
      </c>
      <c r="G34" s="967">
        <v>1.8200000000000001E-2</v>
      </c>
    </row>
    <row r="35" spans="1:7" ht="13">
      <c r="A35" s="2">
        <f t="shared" si="1"/>
        <v>17</v>
      </c>
      <c r="B35" s="233"/>
      <c r="C35" s="233">
        <v>391.1</v>
      </c>
      <c r="D35" s="812" t="s">
        <v>1590</v>
      </c>
      <c r="E35" s="258">
        <v>0.05</v>
      </c>
      <c r="F35" s="258">
        <v>0</v>
      </c>
      <c r="G35" s="258">
        <v>0.05</v>
      </c>
    </row>
    <row r="36" spans="1:7" ht="13">
      <c r="A36" s="2">
        <f t="shared" si="1"/>
        <v>18</v>
      </c>
      <c r="B36" s="233"/>
      <c r="C36" s="233">
        <v>391.5</v>
      </c>
      <c r="D36" s="812" t="s">
        <v>1591</v>
      </c>
      <c r="E36" s="258">
        <v>0.2</v>
      </c>
      <c r="F36" s="258">
        <v>0</v>
      </c>
      <c r="G36" s="258">
        <v>0.2</v>
      </c>
    </row>
    <row r="37" spans="1:7" ht="13">
      <c r="A37" s="2">
        <f t="shared" si="1"/>
        <v>19</v>
      </c>
      <c r="B37" s="233"/>
      <c r="C37" s="233">
        <v>391.6</v>
      </c>
      <c r="D37" s="812" t="s">
        <v>1592</v>
      </c>
      <c r="E37" s="258">
        <v>0.2</v>
      </c>
      <c r="F37" s="258">
        <v>0</v>
      </c>
      <c r="G37" s="258">
        <v>0.2</v>
      </c>
    </row>
    <row r="38" spans="1:7" ht="13">
      <c r="A38" s="2">
        <f t="shared" si="1"/>
        <v>20</v>
      </c>
      <c r="B38" s="233"/>
      <c r="C38" s="233">
        <v>391.2</v>
      </c>
      <c r="D38" s="812" t="s">
        <v>1593</v>
      </c>
      <c r="E38" s="483">
        <v>0.19070000000000001</v>
      </c>
      <c r="F38" s="967">
        <v>0</v>
      </c>
      <c r="G38" s="483">
        <v>0.19070000000000001</v>
      </c>
    </row>
    <row r="39" spans="1:7" ht="13">
      <c r="A39" s="2">
        <f t="shared" si="1"/>
        <v>21</v>
      </c>
      <c r="B39" s="233"/>
      <c r="C39" s="233">
        <v>391.3</v>
      </c>
      <c r="D39" s="812" t="s">
        <v>1594</v>
      </c>
      <c r="E39" s="483">
        <v>0.19070000000000001</v>
      </c>
      <c r="F39" s="967">
        <v>0</v>
      </c>
      <c r="G39" s="483">
        <v>0.19070000000000001</v>
      </c>
    </row>
    <row r="40" spans="1:7" ht="13">
      <c r="A40" s="2">
        <f t="shared" si="1"/>
        <v>22</v>
      </c>
      <c r="B40" s="233"/>
      <c r="C40" s="231">
        <v>391.7</v>
      </c>
      <c r="D40" s="812" t="s">
        <v>1595</v>
      </c>
      <c r="E40" s="483">
        <v>0.19070000000000001</v>
      </c>
      <c r="F40" s="967">
        <v>0</v>
      </c>
      <c r="G40" s="483">
        <v>0.19070000000000001</v>
      </c>
    </row>
    <row r="41" spans="1:7" ht="13">
      <c r="A41" s="2">
        <f t="shared" si="1"/>
        <v>23</v>
      </c>
      <c r="B41" s="233"/>
      <c r="C41" s="231">
        <v>391.4</v>
      </c>
      <c r="D41" s="812" t="s">
        <v>1596</v>
      </c>
      <c r="E41" s="483">
        <v>0.11360000000000001</v>
      </c>
      <c r="F41" s="967">
        <v>0</v>
      </c>
      <c r="G41" s="483">
        <v>0.11360000000000001</v>
      </c>
    </row>
    <row r="42" spans="1:7" ht="13">
      <c r="A42" s="2">
        <f t="shared" si="1"/>
        <v>24</v>
      </c>
      <c r="B42" s="233"/>
      <c r="C42" s="233">
        <v>391.4</v>
      </c>
      <c r="D42" s="812" t="s">
        <v>1597</v>
      </c>
      <c r="E42" s="483">
        <v>0.11360000000000001</v>
      </c>
      <c r="F42" s="967">
        <v>0</v>
      </c>
      <c r="G42" s="483">
        <v>0.11360000000000001</v>
      </c>
    </row>
    <row r="43" spans="1:7" ht="13">
      <c r="A43" s="2">
        <f t="shared" si="1"/>
        <v>25</v>
      </c>
      <c r="B43" s="233"/>
      <c r="C43" s="231">
        <v>391.4</v>
      </c>
      <c r="D43" s="812" t="s">
        <v>1598</v>
      </c>
      <c r="E43" s="483">
        <v>0.11360000000000001</v>
      </c>
      <c r="F43" s="967">
        <v>0</v>
      </c>
      <c r="G43" s="483">
        <v>0.11360000000000001</v>
      </c>
    </row>
    <row r="44" spans="1:7" ht="13">
      <c r="A44" s="2">
        <f t="shared" si="1"/>
        <v>26</v>
      </c>
      <c r="B44" s="233"/>
      <c r="C44" s="231">
        <v>391.4</v>
      </c>
      <c r="D44" s="812" t="s">
        <v>1599</v>
      </c>
      <c r="E44" s="483">
        <v>0.11360000000000001</v>
      </c>
      <c r="F44" s="967">
        <v>0</v>
      </c>
      <c r="G44" s="483">
        <v>0.11360000000000001</v>
      </c>
    </row>
    <row r="45" spans="1:7" ht="13">
      <c r="A45" s="2">
        <f t="shared" si="1"/>
        <v>27</v>
      </c>
      <c r="B45" s="233"/>
      <c r="C45" s="231">
        <v>391.4</v>
      </c>
      <c r="D45" s="812" t="s">
        <v>1600</v>
      </c>
      <c r="E45" s="483">
        <v>0.11360000000000001</v>
      </c>
      <c r="F45" s="967">
        <v>0</v>
      </c>
      <c r="G45" s="483">
        <v>0.11360000000000001</v>
      </c>
    </row>
    <row r="46" spans="1:7" ht="13">
      <c r="A46" s="2">
        <f t="shared" si="1"/>
        <v>28</v>
      </c>
      <c r="B46" s="233"/>
      <c r="C46" s="231">
        <v>393</v>
      </c>
      <c r="D46" s="232" t="s">
        <v>1601</v>
      </c>
      <c r="E46" s="258">
        <v>0.05</v>
      </c>
      <c r="F46" s="258">
        <v>0</v>
      </c>
      <c r="G46" s="258">
        <v>0.05</v>
      </c>
    </row>
    <row r="47" spans="1:7" ht="13">
      <c r="A47" s="2">
        <f t="shared" si="1"/>
        <v>29</v>
      </c>
      <c r="B47" s="233"/>
      <c r="C47" s="231">
        <v>395</v>
      </c>
      <c r="D47" s="232" t="s">
        <v>1602</v>
      </c>
      <c r="E47" s="258">
        <v>6.6699999999999995E-2</v>
      </c>
      <c r="F47" s="258">
        <v>0</v>
      </c>
      <c r="G47" s="258">
        <v>6.6699999999999995E-2</v>
      </c>
    </row>
    <row r="48" spans="1:7" ht="13">
      <c r="A48" s="2">
        <f t="shared" si="1"/>
        <v>30</v>
      </c>
      <c r="B48" s="233"/>
      <c r="C48" s="231">
        <v>398</v>
      </c>
      <c r="D48" s="232" t="s">
        <v>1603</v>
      </c>
      <c r="E48" s="258">
        <v>0.05</v>
      </c>
      <c r="F48" s="258">
        <v>0</v>
      </c>
      <c r="G48" s="258">
        <v>0.05</v>
      </c>
    </row>
    <row r="49" spans="1:15" ht="13">
      <c r="A49" s="2">
        <f>A48+1</f>
        <v>31</v>
      </c>
      <c r="B49" s="233"/>
      <c r="C49" s="231">
        <v>397</v>
      </c>
      <c r="D49" s="232" t="s">
        <v>1604</v>
      </c>
      <c r="E49" s="258">
        <v>0.2</v>
      </c>
      <c r="F49" s="258">
        <v>0</v>
      </c>
      <c r="G49" s="258">
        <v>0.2</v>
      </c>
    </row>
    <row r="50" spans="1:15" ht="13">
      <c r="A50" s="2">
        <f t="shared" ref="A50:A65" si="2">A49+1</f>
        <v>32</v>
      </c>
      <c r="B50" s="233"/>
      <c r="C50" s="231">
        <v>397</v>
      </c>
      <c r="D50" s="232" t="s">
        <v>1605</v>
      </c>
      <c r="E50" s="258">
        <v>0.1429</v>
      </c>
      <c r="F50" s="258">
        <v>0</v>
      </c>
      <c r="G50" s="258">
        <v>0.1429</v>
      </c>
    </row>
    <row r="51" spans="1:15" ht="13">
      <c r="A51" s="2">
        <f t="shared" si="2"/>
        <v>33</v>
      </c>
      <c r="B51" s="233"/>
      <c r="C51" s="231">
        <v>397</v>
      </c>
      <c r="D51" s="232" t="s">
        <v>1606</v>
      </c>
      <c r="E51" s="258">
        <v>0.1</v>
      </c>
      <c r="F51" s="258">
        <v>0</v>
      </c>
      <c r="G51" s="258">
        <v>0.1</v>
      </c>
    </row>
    <row r="52" spans="1:15" ht="13">
      <c r="A52" s="2">
        <f t="shared" si="2"/>
        <v>34</v>
      </c>
      <c r="B52" s="233"/>
      <c r="C52" s="231">
        <v>397</v>
      </c>
      <c r="D52" s="232" t="s">
        <v>1607</v>
      </c>
      <c r="E52" s="258">
        <v>6.6699999999999995E-2</v>
      </c>
      <c r="F52" s="258">
        <v>0</v>
      </c>
      <c r="G52" s="258">
        <v>6.6699999999999995E-2</v>
      </c>
    </row>
    <row r="53" spans="1:15" ht="13">
      <c r="A53" s="2">
        <f t="shared" si="2"/>
        <v>35</v>
      </c>
      <c r="B53" s="233"/>
      <c r="C53" s="231">
        <v>397</v>
      </c>
      <c r="D53" s="232" t="s">
        <v>1608</v>
      </c>
      <c r="E53" s="533">
        <v>0.05</v>
      </c>
      <c r="F53" s="258">
        <v>0</v>
      </c>
      <c r="G53" s="533">
        <v>0.05</v>
      </c>
    </row>
    <row r="54" spans="1:15" ht="13">
      <c r="A54" s="2">
        <f t="shared" si="2"/>
        <v>36</v>
      </c>
      <c r="B54" s="233"/>
      <c r="C54" s="231">
        <v>397</v>
      </c>
      <c r="D54" s="232" t="s">
        <v>1609</v>
      </c>
      <c r="E54" s="258">
        <v>0.04</v>
      </c>
      <c r="F54" s="258">
        <v>0</v>
      </c>
      <c r="G54" s="258">
        <v>0.04</v>
      </c>
    </row>
    <row r="55" spans="1:15" ht="13">
      <c r="A55" s="2">
        <f t="shared" si="2"/>
        <v>37</v>
      </c>
      <c r="B55" s="233"/>
      <c r="C55" s="231">
        <v>397</v>
      </c>
      <c r="D55" s="232" t="s">
        <v>1610</v>
      </c>
      <c r="E55" s="258">
        <v>2.5000000000000001E-2</v>
      </c>
      <c r="F55" s="258">
        <v>0</v>
      </c>
      <c r="G55" s="258">
        <v>2.5000000000000001E-2</v>
      </c>
    </row>
    <row r="56" spans="1:15" ht="13">
      <c r="A56" s="1069" t="s">
        <v>719</v>
      </c>
      <c r="B56" s="233"/>
      <c r="C56" s="1105">
        <v>397.1</v>
      </c>
      <c r="D56" s="664" t="s">
        <v>1574</v>
      </c>
      <c r="E56" s="1110">
        <v>0.19070000000000001</v>
      </c>
      <c r="F56" s="1110">
        <v>0</v>
      </c>
      <c r="G56" s="1110">
        <v>0.19070000000000001</v>
      </c>
    </row>
    <row r="57" spans="1:15" ht="13">
      <c r="A57" s="1069" t="s">
        <v>1611</v>
      </c>
      <c r="B57" s="233"/>
      <c r="C57" s="1105">
        <v>397.2</v>
      </c>
      <c r="D57" s="664" t="s">
        <v>1575</v>
      </c>
      <c r="E57" s="1110">
        <v>0.21479999999999999</v>
      </c>
      <c r="F57" s="1110">
        <v>0</v>
      </c>
      <c r="G57" s="1110">
        <v>0.21479999999999999</v>
      </c>
    </row>
    <row r="58" spans="1:15" ht="13">
      <c r="A58" s="1069" t="s">
        <v>1612</v>
      </c>
      <c r="B58" s="233"/>
      <c r="C58" s="1105">
        <v>397.2</v>
      </c>
      <c r="D58" s="664" t="s">
        <v>1576</v>
      </c>
      <c r="E58" s="1110">
        <v>0.1429</v>
      </c>
      <c r="F58" s="1110">
        <v>0</v>
      </c>
      <c r="G58" s="1110">
        <v>0.1429</v>
      </c>
      <c r="L58" s="12"/>
      <c r="M58" s="1125"/>
      <c r="N58" s="26"/>
      <c r="O58" s="1125"/>
    </row>
    <row r="59" spans="1:15" ht="13">
      <c r="A59" s="1069" t="s">
        <v>1613</v>
      </c>
      <c r="B59" s="233"/>
      <c r="C59" s="1105">
        <v>397.2</v>
      </c>
      <c r="D59" s="664" t="s">
        <v>1577</v>
      </c>
      <c r="E59" s="1110">
        <v>0.1</v>
      </c>
      <c r="F59" s="1110">
        <v>0</v>
      </c>
      <c r="G59" s="1110">
        <v>0.1</v>
      </c>
      <c r="L59" s="12"/>
      <c r="M59" s="1125"/>
      <c r="N59" s="26"/>
      <c r="O59" s="26"/>
    </row>
    <row r="60" spans="1:15" ht="13">
      <c r="A60" s="1069" t="s">
        <v>1614</v>
      </c>
      <c r="B60" s="233"/>
      <c r="C60" s="1105">
        <v>397.2</v>
      </c>
      <c r="D60" s="664" t="s">
        <v>1578</v>
      </c>
      <c r="E60" s="1110">
        <v>6.6699999999999995E-2</v>
      </c>
      <c r="F60" s="1110">
        <v>0</v>
      </c>
      <c r="G60" s="1110">
        <v>6.6699999999999995E-2</v>
      </c>
      <c r="L60" s="12"/>
      <c r="M60" s="1125"/>
      <c r="N60" s="26"/>
      <c r="O60" s="1125"/>
    </row>
    <row r="61" spans="1:15" ht="13">
      <c r="A61" s="1069" t="s">
        <v>1615</v>
      </c>
      <c r="B61" s="233"/>
      <c r="C61" s="1105">
        <v>397.3</v>
      </c>
      <c r="D61" s="664" t="s">
        <v>1579</v>
      </c>
      <c r="E61" s="1110">
        <v>0.1133</v>
      </c>
      <c r="F61" s="1110">
        <v>0</v>
      </c>
      <c r="G61" s="1110">
        <v>0.1133</v>
      </c>
    </row>
    <row r="62" spans="1:15" ht="13">
      <c r="A62" s="2">
        <f>A55+1</f>
        <v>38</v>
      </c>
      <c r="B62" s="233"/>
      <c r="C62" s="25">
        <v>392</v>
      </c>
      <c r="D62" s="12" t="s">
        <v>1616</v>
      </c>
      <c r="E62" s="26">
        <v>0.1429</v>
      </c>
      <c r="F62" s="26">
        <v>0</v>
      </c>
      <c r="G62" s="26">
        <v>0.1429</v>
      </c>
    </row>
    <row r="63" spans="1:15" ht="13">
      <c r="A63" s="2">
        <f t="shared" si="2"/>
        <v>39</v>
      </c>
      <c r="B63" s="233"/>
      <c r="C63" s="231">
        <v>394.4</v>
      </c>
      <c r="D63" s="232" t="s">
        <v>1617</v>
      </c>
      <c r="E63" s="258">
        <v>0.1</v>
      </c>
      <c r="F63" s="258">
        <v>0</v>
      </c>
      <c r="G63" s="258">
        <v>0.1</v>
      </c>
    </row>
    <row r="64" spans="1:15" ht="13">
      <c r="A64" s="2">
        <f t="shared" si="2"/>
        <v>40</v>
      </c>
      <c r="B64" s="233"/>
      <c r="C64" s="231">
        <v>394.5</v>
      </c>
      <c r="D64" s="232" t="s">
        <v>1618</v>
      </c>
      <c r="E64" s="258">
        <v>0.1</v>
      </c>
      <c r="F64" s="258">
        <v>0</v>
      </c>
      <c r="G64" s="258">
        <v>0.1</v>
      </c>
    </row>
    <row r="65" spans="1:7" ht="13">
      <c r="A65" s="2">
        <f t="shared" si="2"/>
        <v>41</v>
      </c>
      <c r="B65" s="233"/>
      <c r="C65" s="231">
        <v>396</v>
      </c>
      <c r="D65" s="232" t="s">
        <v>1619</v>
      </c>
      <c r="E65" s="258">
        <v>6.6699999999999995E-2</v>
      </c>
      <c r="F65" s="258">
        <v>0</v>
      </c>
      <c r="G65" s="258">
        <v>6.6699999999999995E-2</v>
      </c>
    </row>
    <row r="66" spans="1:7">
      <c r="A66" s="233"/>
      <c r="B66" s="233"/>
      <c r="C66" s="233"/>
      <c r="D66" s="233"/>
      <c r="G66" s="233"/>
    </row>
    <row r="67" spans="1:7" ht="13">
      <c r="A67" s="233"/>
      <c r="B67" s="197" t="s">
        <v>1620</v>
      </c>
      <c r="C67" s="233"/>
      <c r="D67" s="233"/>
      <c r="E67" s="2" t="s">
        <v>694</v>
      </c>
      <c r="G67" s="233"/>
    </row>
    <row r="68" spans="1:7" ht="13">
      <c r="A68" s="233"/>
      <c r="B68" s="233"/>
      <c r="C68" s="115" t="s">
        <v>247</v>
      </c>
      <c r="D68" s="233"/>
      <c r="E68" s="2" t="s">
        <v>1569</v>
      </c>
      <c r="F68" s="4" t="s">
        <v>1446</v>
      </c>
      <c r="G68" s="4"/>
    </row>
    <row r="69" spans="1:7" ht="13">
      <c r="A69" s="233"/>
      <c r="B69" s="233"/>
      <c r="C69" s="184" t="s">
        <v>753</v>
      </c>
      <c r="D69" s="184" t="s">
        <v>890</v>
      </c>
      <c r="E69" s="3" t="s">
        <v>1570</v>
      </c>
      <c r="F69" s="3" t="s">
        <v>1571</v>
      </c>
      <c r="G69" s="3" t="s">
        <v>252</v>
      </c>
    </row>
    <row r="70" spans="1:7" ht="13">
      <c r="A70" s="2">
        <f>A65+1</f>
        <v>42</v>
      </c>
      <c r="B70" s="233"/>
      <c r="C70" s="231">
        <v>302</v>
      </c>
      <c r="D70" s="232" t="s">
        <v>1621</v>
      </c>
      <c r="E70" s="483">
        <v>2.06E-2</v>
      </c>
      <c r="F70" s="258">
        <v>0</v>
      </c>
      <c r="G70" s="483">
        <v>2.06E-2</v>
      </c>
    </row>
    <row r="71" spans="1:7" ht="13">
      <c r="A71" s="2">
        <f t="shared" ref="A71:A76" si="3">A70+1</f>
        <v>43</v>
      </c>
      <c r="B71" s="233"/>
      <c r="C71" s="231">
        <v>303</v>
      </c>
      <c r="D71" s="232" t="s">
        <v>1622</v>
      </c>
      <c r="E71" s="258">
        <v>2.5000000000000001E-2</v>
      </c>
      <c r="F71" s="258">
        <v>0</v>
      </c>
      <c r="G71" s="258">
        <v>2.5000000000000001E-2</v>
      </c>
    </row>
    <row r="72" spans="1:7" ht="13">
      <c r="A72" s="2">
        <f t="shared" si="3"/>
        <v>44</v>
      </c>
      <c r="B72" s="233"/>
      <c r="C72" s="231">
        <v>301</v>
      </c>
      <c r="D72" s="232" t="s">
        <v>1623</v>
      </c>
      <c r="E72" s="258">
        <v>0.05</v>
      </c>
      <c r="F72" s="258">
        <v>0</v>
      </c>
      <c r="G72" s="258">
        <v>0.05</v>
      </c>
    </row>
    <row r="73" spans="1:7" ht="13">
      <c r="A73" s="2">
        <f t="shared" si="3"/>
        <v>45</v>
      </c>
      <c r="B73" s="233"/>
      <c r="C73" s="231">
        <v>303</v>
      </c>
      <c r="D73" s="232" t="s">
        <v>1624</v>
      </c>
      <c r="E73" s="483">
        <v>0.21479999999999999</v>
      </c>
      <c r="F73" s="258">
        <v>0</v>
      </c>
      <c r="G73" s="483">
        <v>0.21479999999999999</v>
      </c>
    </row>
    <row r="74" spans="1:7" ht="13">
      <c r="A74" s="2">
        <f t="shared" si="3"/>
        <v>46</v>
      </c>
      <c r="B74" s="233"/>
      <c r="C74" s="231">
        <v>303</v>
      </c>
      <c r="D74" s="232" t="s">
        <v>1625</v>
      </c>
      <c r="E74" s="967">
        <v>0.1429</v>
      </c>
      <c r="F74" s="258">
        <v>0</v>
      </c>
      <c r="G74" s="258">
        <v>0.1429</v>
      </c>
    </row>
    <row r="75" spans="1:7" ht="13">
      <c r="A75" s="2">
        <f t="shared" si="3"/>
        <v>47</v>
      </c>
      <c r="B75" s="233"/>
      <c r="C75" s="231">
        <v>303</v>
      </c>
      <c r="D75" s="232" t="s">
        <v>1626</v>
      </c>
      <c r="E75" s="483">
        <v>0.1</v>
      </c>
      <c r="F75" s="258">
        <v>0</v>
      </c>
      <c r="G75" s="483">
        <v>0.1</v>
      </c>
    </row>
    <row r="76" spans="1:7" ht="13">
      <c r="A76" s="2">
        <f t="shared" si="3"/>
        <v>48</v>
      </c>
      <c r="B76" s="233"/>
      <c r="C76" s="231">
        <v>303</v>
      </c>
      <c r="D76" s="232" t="s">
        <v>1627</v>
      </c>
      <c r="E76" s="483">
        <v>6.6699999999999995E-2</v>
      </c>
      <c r="F76" s="258">
        <v>0</v>
      </c>
      <c r="G76" s="483">
        <v>6.6699999999999995E-2</v>
      </c>
    </row>
    <row r="77" spans="1:7" ht="13">
      <c r="A77" s="2"/>
      <c r="B77" s="233"/>
      <c r="C77" s="231"/>
      <c r="D77" s="232"/>
      <c r="E77" s="258"/>
      <c r="F77" s="483"/>
    </row>
    <row r="79" spans="1:7" ht="13">
      <c r="B79" s="233" t="s">
        <v>1628</v>
      </c>
      <c r="C79" s="233"/>
    </row>
    <row r="80" spans="1:7">
      <c r="B80" s="233" t="s">
        <v>1629</v>
      </c>
      <c r="C80" s="233"/>
    </row>
    <row r="81" spans="2:7">
      <c r="B81" s="615" t="s">
        <v>3066</v>
      </c>
      <c r="G81" s="54"/>
    </row>
    <row r="82" spans="2:7">
      <c r="B82" s="615" t="s">
        <v>3065</v>
      </c>
      <c r="G82" s="54"/>
    </row>
    <row r="84" spans="2:7">
      <c r="E84"/>
      <c r="F84"/>
    </row>
    <row r="85" spans="2:7">
      <c r="E85"/>
      <c r="F85"/>
    </row>
  </sheetData>
  <phoneticPr fontId="185" type="noConversion"/>
  <pageMargins left="0.7" right="0.7" top="0.75" bottom="0.75" header="0.3" footer="0.3"/>
  <pageSetup scale="75" orientation="portrait" cellComments="asDisplayed" r:id="rId1"/>
  <headerFooter>
    <oddHeader xml:space="preserve">&amp;CSchedule 18
Depreciation Rates
</oddHeader>
    <oddFooter>&amp;R&amp;A</oddFooter>
  </headerFooter>
  <rowBreaks count="1" manualBreakCount="1">
    <brk id="66"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CCC"/>
  </sheetPr>
  <dimension ref="A1:M155"/>
  <sheetViews>
    <sheetView topLeftCell="C38" zoomScaleNormal="100" workbookViewId="0">
      <selection activeCell="L41" sqref="L41"/>
    </sheetView>
  </sheetViews>
  <sheetFormatPr defaultColWidth="9.453125" defaultRowHeight="12.5"/>
  <cols>
    <col min="1" max="1" width="5.54296875" style="241" customWidth="1"/>
    <col min="2" max="2" width="50.54296875" style="241" customWidth="1"/>
    <col min="3" max="3" width="18.08984375" style="241" customWidth="1"/>
    <col min="4" max="4" width="13.90625" style="241" customWidth="1"/>
    <col min="5" max="5" width="15.08984375" style="241" customWidth="1"/>
    <col min="6" max="6" width="8.90625" style="241" customWidth="1"/>
    <col min="7" max="7" width="13.90625" style="444" customWidth="1"/>
    <col min="8" max="9" width="13.90625" style="445" customWidth="1"/>
    <col min="10" max="10" width="15" style="241" customWidth="1"/>
    <col min="11" max="12" width="14.54296875" style="241" customWidth="1"/>
    <col min="13" max="13" width="14.90625" style="233" customWidth="1"/>
    <col min="14" max="14" width="10.54296875" style="233" bestFit="1" customWidth="1"/>
    <col min="15" max="16384" width="9.453125" style="233"/>
  </cols>
  <sheetData>
    <row r="1" spans="1:13" ht="12.75" customHeight="1">
      <c r="A1" s="129" t="s">
        <v>1630</v>
      </c>
      <c r="C1" s="207"/>
      <c r="D1" s="208"/>
      <c r="E1" s="208"/>
      <c r="F1" s="208"/>
      <c r="G1" s="208"/>
      <c r="H1" s="208"/>
      <c r="I1" s="208"/>
      <c r="J1" s="208"/>
      <c r="K1" s="233"/>
      <c r="L1" s="233"/>
    </row>
    <row r="2" spans="1:13" ht="12.75" customHeight="1">
      <c r="A2" s="15"/>
      <c r="B2" s="671" t="s">
        <v>200</v>
      </c>
      <c r="C2" s="265" t="s">
        <v>1631</v>
      </c>
      <c r="D2" s="209"/>
      <c r="E2" s="208"/>
      <c r="F2" s="209"/>
      <c r="G2" s="367" t="s">
        <v>99</v>
      </c>
      <c r="H2" s="240"/>
      <c r="I2" s="208"/>
      <c r="J2" s="208"/>
      <c r="K2" s="208"/>
      <c r="L2" s="208"/>
    </row>
    <row r="3" spans="1:13" ht="12.75" customHeight="1">
      <c r="A3" s="210"/>
      <c r="B3" s="211" t="s">
        <v>1632</v>
      </c>
      <c r="C3" s="212"/>
      <c r="D3" s="212"/>
      <c r="E3" s="212"/>
      <c r="F3" s="212"/>
      <c r="G3" s="212"/>
      <c r="H3" s="212"/>
      <c r="I3" s="212"/>
      <c r="J3" s="212"/>
      <c r="K3" s="212"/>
      <c r="L3" s="213"/>
    </row>
    <row r="4" spans="1:13" ht="12.75" customHeight="1">
      <c r="A4" s="127"/>
      <c r="B4" s="15"/>
      <c r="C4" s="19"/>
      <c r="D4" s="19"/>
      <c r="E4" s="19"/>
      <c r="F4" s="19"/>
      <c r="G4" s="19"/>
      <c r="H4" s="19"/>
      <c r="I4" s="19"/>
      <c r="J4" s="19"/>
      <c r="K4" s="19"/>
      <c r="L4" s="208"/>
    </row>
    <row r="5" spans="1:13" ht="12.75" customHeight="1">
      <c r="A5" s="212"/>
      <c r="B5" s="214" t="s">
        <v>347</v>
      </c>
      <c r="C5" s="214" t="s">
        <v>348</v>
      </c>
      <c r="D5" s="214" t="s">
        <v>349</v>
      </c>
      <c r="E5" s="214" t="s">
        <v>350</v>
      </c>
      <c r="F5" s="214" t="s">
        <v>351</v>
      </c>
      <c r="G5" s="214" t="s">
        <v>352</v>
      </c>
      <c r="H5" s="214" t="s">
        <v>353</v>
      </c>
      <c r="I5" s="214" t="s">
        <v>354</v>
      </c>
      <c r="J5" s="214" t="s">
        <v>1633</v>
      </c>
      <c r="K5" s="214" t="s">
        <v>355</v>
      </c>
      <c r="L5" s="214" t="s">
        <v>605</v>
      </c>
      <c r="M5" s="214" t="s">
        <v>606</v>
      </c>
    </row>
    <row r="6" spans="1:13" ht="12.75" customHeight="1">
      <c r="A6" s="127"/>
      <c r="B6" s="15"/>
      <c r="C6" s="628" t="s">
        <v>1634</v>
      </c>
      <c r="D6" s="19"/>
      <c r="E6" s="19"/>
      <c r="F6" s="442" t="s">
        <v>168</v>
      </c>
      <c r="G6" s="628" t="s">
        <v>1635</v>
      </c>
      <c r="H6" s="131"/>
      <c r="I6" s="131"/>
      <c r="J6" s="629" t="s">
        <v>1636</v>
      </c>
      <c r="K6" s="628" t="s">
        <v>1637</v>
      </c>
      <c r="L6" s="628" t="s">
        <v>1638</v>
      </c>
      <c r="M6" s="629" t="s">
        <v>1639</v>
      </c>
    </row>
    <row r="7" spans="1:13" ht="12.75" customHeight="1">
      <c r="C7" s="840"/>
      <c r="D7" s="443"/>
      <c r="E7" s="443"/>
      <c r="F7" s="233"/>
      <c r="J7" s="458" t="s">
        <v>1640</v>
      </c>
    </row>
    <row r="8" spans="1:13" ht="13">
      <c r="A8" s="127"/>
      <c r="B8" s="1210" t="s">
        <v>1641</v>
      </c>
      <c r="C8" s="1212" t="s">
        <v>1642</v>
      </c>
      <c r="D8" s="1212"/>
      <c r="E8" s="1212"/>
      <c r="F8" s="215"/>
      <c r="G8" s="1207" t="s">
        <v>1643</v>
      </c>
      <c r="H8" s="1207"/>
      <c r="I8" s="1207"/>
      <c r="J8" s="832"/>
      <c r="K8" s="829"/>
      <c r="L8" s="830" t="s">
        <v>1644</v>
      </c>
      <c r="M8" s="831"/>
    </row>
    <row r="9" spans="1:13" ht="28.5" customHeight="1">
      <c r="A9" s="30"/>
      <c r="B9" s="1211"/>
      <c r="C9" s="216" t="s">
        <v>252</v>
      </c>
      <c r="D9" s="216" t="s">
        <v>881</v>
      </c>
      <c r="E9" s="216" t="s">
        <v>1645</v>
      </c>
      <c r="F9" s="216" t="s">
        <v>1646</v>
      </c>
      <c r="G9" s="216" t="s">
        <v>252</v>
      </c>
      <c r="H9" s="216" t="s">
        <v>881</v>
      </c>
      <c r="I9" s="216" t="s">
        <v>1645</v>
      </c>
      <c r="J9" s="949" t="s">
        <v>1647</v>
      </c>
      <c r="K9" s="216" t="s">
        <v>252</v>
      </c>
      <c r="L9" s="216" t="s">
        <v>881</v>
      </c>
      <c r="M9" s="216" t="s">
        <v>1645</v>
      </c>
    </row>
    <row r="10" spans="1:13" ht="13">
      <c r="A10" s="30" t="s">
        <v>284</v>
      </c>
      <c r="B10" s="147" t="s">
        <v>1648</v>
      </c>
      <c r="C10" s="19"/>
      <c r="D10" s="19"/>
      <c r="E10" s="19"/>
      <c r="F10" s="19"/>
      <c r="G10" s="19"/>
      <c r="H10" s="19"/>
      <c r="I10" s="19"/>
      <c r="K10" s="19"/>
      <c r="L10" s="19"/>
      <c r="M10" s="19"/>
    </row>
    <row r="11" spans="1:13" ht="13">
      <c r="A11" s="2">
        <v>1</v>
      </c>
      <c r="B11" s="243" t="s">
        <v>1649</v>
      </c>
      <c r="C11" s="446">
        <f>SUM(D11:E11)</f>
        <v>0</v>
      </c>
      <c r="D11" s="985"/>
      <c r="E11" s="985"/>
      <c r="F11" s="986"/>
      <c r="G11" s="447">
        <f t="shared" ref="G11:G42" si="0">SUM(H11:I11)</f>
        <v>0</v>
      </c>
      <c r="H11" s="985"/>
      <c r="I11" s="985"/>
      <c r="J11" s="446">
        <f>'35-Other Formula Revenue'!G17</f>
        <v>0</v>
      </c>
      <c r="K11" s="446">
        <f>SUM(L11:M11)</f>
        <v>0</v>
      </c>
      <c r="L11" s="446">
        <f>D11+H11</f>
        <v>0</v>
      </c>
      <c r="M11" s="446">
        <f t="shared" ref="M11:M40" si="1">E11+I11+J11</f>
        <v>0</v>
      </c>
    </row>
    <row r="12" spans="1:13" ht="13">
      <c r="A12" s="2">
        <f>A11+1</f>
        <v>2</v>
      </c>
      <c r="B12" s="243" t="s">
        <v>1650</v>
      </c>
      <c r="C12" s="446">
        <f>SUM(D12:E12)</f>
        <v>0</v>
      </c>
      <c r="D12" s="985"/>
      <c r="E12" s="985"/>
      <c r="F12" s="986"/>
      <c r="G12" s="447">
        <f t="shared" si="0"/>
        <v>0</v>
      </c>
      <c r="H12" s="985"/>
      <c r="I12" s="985"/>
      <c r="J12" s="446">
        <f>'35-Other Formula Revenue'!G18</f>
        <v>0</v>
      </c>
      <c r="K12" s="446">
        <f t="shared" ref="K12:K42" si="2">SUM(L12:M12)</f>
        <v>0</v>
      </c>
      <c r="L12" s="446">
        <f t="shared" ref="L12:L40" si="3">D12+H12</f>
        <v>0</v>
      </c>
      <c r="M12" s="446">
        <f t="shared" si="1"/>
        <v>0</v>
      </c>
    </row>
    <row r="13" spans="1:13" ht="13">
      <c r="A13" s="2">
        <f t="shared" ref="A13:A44" si="4">A12+1</f>
        <v>3</v>
      </c>
      <c r="B13" s="243" t="s">
        <v>1651</v>
      </c>
      <c r="C13" s="446">
        <f t="shared" ref="C13:C40" si="5">SUM(D13:E13)</f>
        <v>0</v>
      </c>
      <c r="D13" s="985"/>
      <c r="E13" s="985"/>
      <c r="F13" s="986"/>
      <c r="G13" s="447">
        <f t="shared" si="0"/>
        <v>0</v>
      </c>
      <c r="H13" s="985"/>
      <c r="I13" s="985"/>
      <c r="J13" s="446">
        <f>'35-Other Formula Revenue'!G19</f>
        <v>0</v>
      </c>
      <c r="K13" s="446">
        <f t="shared" si="2"/>
        <v>0</v>
      </c>
      <c r="L13" s="446">
        <f t="shared" si="3"/>
        <v>0</v>
      </c>
      <c r="M13" s="446">
        <f t="shared" si="1"/>
        <v>0</v>
      </c>
    </row>
    <row r="14" spans="1:13" ht="13">
      <c r="A14" s="2">
        <f t="shared" si="4"/>
        <v>4</v>
      </c>
      <c r="B14" s="243" t="s">
        <v>1652</v>
      </c>
      <c r="C14" s="446">
        <f t="shared" si="5"/>
        <v>0</v>
      </c>
      <c r="D14" s="985"/>
      <c r="E14" s="985"/>
      <c r="F14" s="986"/>
      <c r="G14" s="447">
        <f t="shared" si="0"/>
        <v>0</v>
      </c>
      <c r="H14" s="985"/>
      <c r="I14" s="985"/>
      <c r="J14" s="446">
        <f>'35-Other Formula Revenue'!G20</f>
        <v>0</v>
      </c>
      <c r="K14" s="446">
        <f t="shared" si="2"/>
        <v>0</v>
      </c>
      <c r="L14" s="446">
        <f t="shared" si="3"/>
        <v>0</v>
      </c>
      <c r="M14" s="446">
        <f t="shared" si="1"/>
        <v>0</v>
      </c>
    </row>
    <row r="15" spans="1:13" ht="13">
      <c r="A15" s="2">
        <f t="shared" si="4"/>
        <v>5</v>
      </c>
      <c r="B15" s="243" t="s">
        <v>1654</v>
      </c>
      <c r="C15" s="446">
        <f t="shared" si="5"/>
        <v>0</v>
      </c>
      <c r="D15" s="985"/>
      <c r="E15" s="985"/>
      <c r="F15" s="986"/>
      <c r="G15" s="447">
        <f t="shared" si="0"/>
        <v>0</v>
      </c>
      <c r="H15" s="985"/>
      <c r="I15" s="985"/>
      <c r="J15" s="446">
        <f>'35-Other Formula Revenue'!G21</f>
        <v>0</v>
      </c>
      <c r="K15" s="446">
        <f t="shared" si="2"/>
        <v>0</v>
      </c>
      <c r="L15" s="446">
        <f t="shared" si="3"/>
        <v>0</v>
      </c>
      <c r="M15" s="446">
        <f t="shared" si="1"/>
        <v>0</v>
      </c>
    </row>
    <row r="16" spans="1:13" ht="13">
      <c r="A16" s="2">
        <f t="shared" si="4"/>
        <v>6</v>
      </c>
      <c r="B16" s="243" t="s">
        <v>1655</v>
      </c>
      <c r="C16" s="446">
        <f t="shared" si="5"/>
        <v>0</v>
      </c>
      <c r="D16" s="985"/>
      <c r="E16" s="985"/>
      <c r="F16" s="986"/>
      <c r="G16" s="447">
        <f t="shared" si="0"/>
        <v>0</v>
      </c>
      <c r="H16" s="985"/>
      <c r="I16" s="985"/>
      <c r="J16" s="446">
        <f>'35-Other Formula Revenue'!G22</f>
        <v>0</v>
      </c>
      <c r="K16" s="446">
        <f t="shared" si="2"/>
        <v>0</v>
      </c>
      <c r="L16" s="446">
        <f t="shared" si="3"/>
        <v>0</v>
      </c>
      <c r="M16" s="446">
        <f t="shared" si="1"/>
        <v>0</v>
      </c>
    </row>
    <row r="17" spans="1:13" ht="13">
      <c r="A17" s="2">
        <f t="shared" si="4"/>
        <v>7</v>
      </c>
      <c r="B17" s="243" t="s">
        <v>1656</v>
      </c>
      <c r="C17" s="446">
        <f t="shared" si="5"/>
        <v>0</v>
      </c>
      <c r="D17" s="985"/>
      <c r="E17" s="985"/>
      <c r="F17" s="986"/>
      <c r="G17" s="447">
        <f t="shared" si="0"/>
        <v>0</v>
      </c>
      <c r="H17" s="985"/>
      <c r="I17" s="985"/>
      <c r="J17" s="446">
        <f>'35-Other Formula Revenue'!G23</f>
        <v>0</v>
      </c>
      <c r="K17" s="446">
        <f t="shared" si="2"/>
        <v>0</v>
      </c>
      <c r="L17" s="446">
        <f t="shared" si="3"/>
        <v>0</v>
      </c>
      <c r="M17" s="446">
        <f t="shared" si="1"/>
        <v>0</v>
      </c>
    </row>
    <row r="18" spans="1:13" ht="13">
      <c r="A18" s="2">
        <f t="shared" si="4"/>
        <v>8</v>
      </c>
      <c r="B18" s="243" t="s">
        <v>1658</v>
      </c>
      <c r="C18" s="446">
        <f t="shared" si="5"/>
        <v>0</v>
      </c>
      <c r="D18" s="985"/>
      <c r="E18" s="985"/>
      <c r="F18" s="986"/>
      <c r="G18" s="447">
        <f t="shared" si="0"/>
        <v>0</v>
      </c>
      <c r="H18" s="985"/>
      <c r="I18" s="985"/>
      <c r="J18" s="446">
        <f>'35-Other Formula Revenue'!G24</f>
        <v>0</v>
      </c>
      <c r="K18" s="446">
        <f t="shared" si="2"/>
        <v>0</v>
      </c>
      <c r="L18" s="446">
        <f t="shared" si="3"/>
        <v>0</v>
      </c>
      <c r="M18" s="446">
        <f t="shared" si="1"/>
        <v>0</v>
      </c>
    </row>
    <row r="19" spans="1:13" ht="13">
      <c r="A19" s="2">
        <f t="shared" si="4"/>
        <v>9</v>
      </c>
      <c r="B19" s="243" t="s">
        <v>1659</v>
      </c>
      <c r="C19" s="446">
        <f t="shared" si="5"/>
        <v>0</v>
      </c>
      <c r="D19" s="985"/>
      <c r="E19" s="985"/>
      <c r="F19" s="986"/>
      <c r="G19" s="447">
        <f t="shared" si="0"/>
        <v>0</v>
      </c>
      <c r="H19" s="985"/>
      <c r="I19" s="985"/>
      <c r="J19" s="446">
        <f>'35-Other Formula Revenue'!G25</f>
        <v>0</v>
      </c>
      <c r="K19" s="446">
        <f t="shared" si="2"/>
        <v>0</v>
      </c>
      <c r="L19" s="446">
        <f t="shared" si="3"/>
        <v>0</v>
      </c>
      <c r="M19" s="446">
        <f t="shared" si="1"/>
        <v>0</v>
      </c>
    </row>
    <row r="20" spans="1:13" ht="13">
      <c r="A20" s="2">
        <f t="shared" si="4"/>
        <v>10</v>
      </c>
      <c r="B20" s="243" t="s">
        <v>1660</v>
      </c>
      <c r="C20" s="446">
        <f t="shared" si="5"/>
        <v>0</v>
      </c>
      <c r="D20" s="985"/>
      <c r="E20" s="985"/>
      <c r="F20" s="986"/>
      <c r="G20" s="447">
        <f>SUM(H20:I20)</f>
        <v>0</v>
      </c>
      <c r="H20" s="985"/>
      <c r="I20" s="985"/>
      <c r="J20" s="446">
        <f>'35-Other Formula Revenue'!G26</f>
        <v>0</v>
      </c>
      <c r="K20" s="446">
        <f t="shared" si="2"/>
        <v>0</v>
      </c>
      <c r="L20" s="446">
        <f t="shared" si="3"/>
        <v>0</v>
      </c>
      <c r="M20" s="446">
        <f t="shared" si="1"/>
        <v>0</v>
      </c>
    </row>
    <row r="21" spans="1:13" ht="13">
      <c r="A21" s="2">
        <f t="shared" si="4"/>
        <v>11</v>
      </c>
      <c r="B21" s="243" t="s">
        <v>1661</v>
      </c>
      <c r="C21" s="446">
        <f t="shared" si="5"/>
        <v>0</v>
      </c>
      <c r="D21" s="985"/>
      <c r="E21" s="985"/>
      <c r="F21" s="986"/>
      <c r="G21" s="447">
        <f t="shared" si="0"/>
        <v>0</v>
      </c>
      <c r="H21" s="985"/>
      <c r="I21" s="985"/>
      <c r="J21" s="446">
        <f>'35-Other Formula Revenue'!G27</f>
        <v>0</v>
      </c>
      <c r="K21" s="446">
        <f t="shared" si="2"/>
        <v>0</v>
      </c>
      <c r="L21" s="446">
        <f t="shared" si="3"/>
        <v>0</v>
      </c>
      <c r="M21" s="446">
        <f t="shared" si="1"/>
        <v>0</v>
      </c>
    </row>
    <row r="22" spans="1:13" ht="13">
      <c r="A22" s="2">
        <f t="shared" si="4"/>
        <v>12</v>
      </c>
      <c r="B22" s="243" t="s">
        <v>1662</v>
      </c>
      <c r="C22" s="446">
        <f t="shared" si="5"/>
        <v>0</v>
      </c>
      <c r="D22" s="985"/>
      <c r="E22" s="985"/>
      <c r="F22" s="986"/>
      <c r="G22" s="447">
        <f t="shared" si="0"/>
        <v>0</v>
      </c>
      <c r="H22" s="985"/>
      <c r="I22" s="985"/>
      <c r="J22" s="446">
        <f>'35-Other Formula Revenue'!G28</f>
        <v>0</v>
      </c>
      <c r="K22" s="446">
        <f t="shared" si="2"/>
        <v>0</v>
      </c>
      <c r="L22" s="446">
        <f t="shared" si="3"/>
        <v>0</v>
      </c>
      <c r="M22" s="446">
        <f t="shared" si="1"/>
        <v>0</v>
      </c>
    </row>
    <row r="23" spans="1:13" ht="13">
      <c r="A23" s="2">
        <f t="shared" si="4"/>
        <v>13</v>
      </c>
      <c r="B23" s="243" t="s">
        <v>1664</v>
      </c>
      <c r="C23" s="446">
        <f t="shared" si="5"/>
        <v>0</v>
      </c>
      <c r="D23" s="985"/>
      <c r="E23" s="985"/>
      <c r="F23" s="986"/>
      <c r="G23" s="447">
        <f t="shared" si="0"/>
        <v>0</v>
      </c>
      <c r="H23" s="985"/>
      <c r="I23" s="985"/>
      <c r="J23" s="446">
        <f>'35-Other Formula Revenue'!G29</f>
        <v>0</v>
      </c>
      <c r="K23" s="446">
        <f t="shared" si="2"/>
        <v>0</v>
      </c>
      <c r="L23" s="446">
        <f t="shared" si="3"/>
        <v>0</v>
      </c>
      <c r="M23" s="446">
        <f t="shared" si="1"/>
        <v>0</v>
      </c>
    </row>
    <row r="24" spans="1:13" ht="13">
      <c r="A24" s="2">
        <f t="shared" si="4"/>
        <v>14</v>
      </c>
      <c r="B24" s="243" t="s">
        <v>1665</v>
      </c>
      <c r="C24" s="446">
        <f t="shared" si="5"/>
        <v>0</v>
      </c>
      <c r="D24" s="985"/>
      <c r="E24" s="985"/>
      <c r="F24" s="986"/>
      <c r="G24" s="447">
        <f>SUM(H24:I24)</f>
        <v>0</v>
      </c>
      <c r="H24" s="985"/>
      <c r="I24" s="985"/>
      <c r="J24" s="446">
        <f>'35-Other Formula Revenue'!G30</f>
        <v>0</v>
      </c>
      <c r="K24" s="446">
        <f>SUM(L24:M24)</f>
        <v>0</v>
      </c>
      <c r="L24" s="446">
        <f t="shared" si="3"/>
        <v>0</v>
      </c>
      <c r="M24" s="446">
        <f t="shared" si="1"/>
        <v>0</v>
      </c>
    </row>
    <row r="25" spans="1:13" ht="13">
      <c r="A25" s="2">
        <f t="shared" si="4"/>
        <v>15</v>
      </c>
      <c r="B25" s="243" t="s">
        <v>1667</v>
      </c>
      <c r="C25" s="446">
        <f t="shared" si="5"/>
        <v>0</v>
      </c>
      <c r="D25" s="985"/>
      <c r="E25" s="985"/>
      <c r="F25" s="986"/>
      <c r="G25" s="447">
        <f>SUM(H25:I25)</f>
        <v>0</v>
      </c>
      <c r="H25" s="985"/>
      <c r="I25" s="985"/>
      <c r="J25" s="446">
        <f>'35-Other Formula Revenue'!G31</f>
        <v>0</v>
      </c>
      <c r="K25" s="446">
        <f t="shared" si="2"/>
        <v>0</v>
      </c>
      <c r="L25" s="446">
        <f t="shared" si="3"/>
        <v>0</v>
      </c>
      <c r="M25" s="446">
        <f t="shared" si="1"/>
        <v>0</v>
      </c>
    </row>
    <row r="26" spans="1:13" ht="13">
      <c r="A26" s="2">
        <f t="shared" si="4"/>
        <v>16</v>
      </c>
      <c r="B26" s="243" t="s">
        <v>1669</v>
      </c>
      <c r="C26" s="446">
        <f t="shared" si="5"/>
        <v>0</v>
      </c>
      <c r="D26" s="985"/>
      <c r="E26" s="985"/>
      <c r="F26" s="986"/>
      <c r="G26" s="447">
        <f t="shared" si="0"/>
        <v>0</v>
      </c>
      <c r="H26" s="985"/>
      <c r="I26" s="985"/>
      <c r="J26" s="446">
        <f>'35-Other Formula Revenue'!G32</f>
        <v>0</v>
      </c>
      <c r="K26" s="446">
        <f t="shared" si="2"/>
        <v>0</v>
      </c>
      <c r="L26" s="446">
        <f t="shared" si="3"/>
        <v>0</v>
      </c>
      <c r="M26" s="446">
        <f t="shared" si="1"/>
        <v>0</v>
      </c>
    </row>
    <row r="27" spans="1:13" ht="13">
      <c r="A27" s="2">
        <f t="shared" si="4"/>
        <v>17</v>
      </c>
      <c r="B27" s="243" t="s">
        <v>1670</v>
      </c>
      <c r="C27" s="446">
        <f t="shared" si="5"/>
        <v>0</v>
      </c>
      <c r="D27" s="985"/>
      <c r="E27" s="985"/>
      <c r="F27" s="986"/>
      <c r="G27" s="447">
        <f t="shared" si="0"/>
        <v>0</v>
      </c>
      <c r="H27" s="985"/>
      <c r="I27" s="985"/>
      <c r="J27" s="446">
        <f>'35-Other Formula Revenue'!G33</f>
        <v>0</v>
      </c>
      <c r="K27" s="446">
        <f t="shared" si="2"/>
        <v>0</v>
      </c>
      <c r="L27" s="446">
        <f t="shared" si="3"/>
        <v>0</v>
      </c>
      <c r="M27" s="446">
        <f t="shared" si="1"/>
        <v>0</v>
      </c>
    </row>
    <row r="28" spans="1:13" ht="13">
      <c r="A28" s="2">
        <f t="shared" si="4"/>
        <v>18</v>
      </c>
      <c r="B28" s="243" t="s">
        <v>1671</v>
      </c>
      <c r="C28" s="446">
        <f t="shared" si="5"/>
        <v>0</v>
      </c>
      <c r="D28" s="985"/>
      <c r="E28" s="985"/>
      <c r="F28" s="986"/>
      <c r="G28" s="447">
        <f t="shared" si="0"/>
        <v>0</v>
      </c>
      <c r="H28" s="985"/>
      <c r="I28" s="985"/>
      <c r="J28" s="446">
        <f>'35-Other Formula Revenue'!G34</f>
        <v>0</v>
      </c>
      <c r="K28" s="446">
        <f t="shared" si="2"/>
        <v>0</v>
      </c>
      <c r="L28" s="446">
        <f t="shared" si="3"/>
        <v>0</v>
      </c>
      <c r="M28" s="446">
        <f t="shared" si="1"/>
        <v>0</v>
      </c>
    </row>
    <row r="29" spans="1:13" ht="13">
      <c r="A29" s="2">
        <f t="shared" si="4"/>
        <v>19</v>
      </c>
      <c r="B29" s="243" t="s">
        <v>1672</v>
      </c>
      <c r="C29" s="446">
        <f t="shared" si="5"/>
        <v>0</v>
      </c>
      <c r="D29" s="985"/>
      <c r="E29" s="985"/>
      <c r="F29" s="986"/>
      <c r="G29" s="447">
        <f t="shared" si="0"/>
        <v>0</v>
      </c>
      <c r="H29" s="985"/>
      <c r="I29" s="985"/>
      <c r="J29" s="446">
        <f>'35-Other Formula Revenue'!G35</f>
        <v>0</v>
      </c>
      <c r="K29" s="446">
        <f t="shared" ref="K29" si="6">SUM(L29:M29)</f>
        <v>0</v>
      </c>
      <c r="L29" s="446">
        <f t="shared" si="3"/>
        <v>0</v>
      </c>
      <c r="M29" s="446">
        <f t="shared" si="1"/>
        <v>0</v>
      </c>
    </row>
    <row r="30" spans="1:13" ht="13">
      <c r="A30" s="2">
        <f t="shared" si="4"/>
        <v>20</v>
      </c>
      <c r="B30" s="243" t="s">
        <v>1673</v>
      </c>
      <c r="C30" s="446">
        <f t="shared" si="5"/>
        <v>0</v>
      </c>
      <c r="D30" s="985"/>
      <c r="E30" s="985"/>
      <c r="F30" s="986"/>
      <c r="G30" s="447">
        <f t="shared" si="0"/>
        <v>0</v>
      </c>
      <c r="H30" s="985"/>
      <c r="I30" s="985"/>
      <c r="J30" s="446">
        <f>'35-Other Formula Revenue'!G36</f>
        <v>0</v>
      </c>
      <c r="K30" s="446">
        <f t="shared" si="2"/>
        <v>0</v>
      </c>
      <c r="L30" s="446">
        <f t="shared" si="3"/>
        <v>0</v>
      </c>
      <c r="M30" s="446">
        <f t="shared" si="1"/>
        <v>0</v>
      </c>
    </row>
    <row r="31" spans="1:13" ht="13">
      <c r="A31" s="2">
        <f t="shared" si="4"/>
        <v>21</v>
      </c>
      <c r="B31" s="243" t="s">
        <v>1674</v>
      </c>
      <c r="C31" s="446">
        <f t="shared" si="5"/>
        <v>0</v>
      </c>
      <c r="D31" s="985"/>
      <c r="E31" s="985"/>
      <c r="F31" s="986"/>
      <c r="G31" s="447">
        <f t="shared" si="0"/>
        <v>0</v>
      </c>
      <c r="H31" s="985"/>
      <c r="I31" s="985"/>
      <c r="J31" s="446">
        <f>'35-Other Formula Revenue'!G37</f>
        <v>0</v>
      </c>
      <c r="K31" s="446">
        <f t="shared" si="2"/>
        <v>0</v>
      </c>
      <c r="L31" s="446">
        <f t="shared" si="3"/>
        <v>0</v>
      </c>
      <c r="M31" s="446">
        <f t="shared" si="1"/>
        <v>0</v>
      </c>
    </row>
    <row r="32" spans="1:13" ht="13">
      <c r="A32" s="2">
        <f t="shared" si="4"/>
        <v>22</v>
      </c>
      <c r="B32" s="243" t="s">
        <v>1675</v>
      </c>
      <c r="C32" s="446">
        <f t="shared" si="5"/>
        <v>0</v>
      </c>
      <c r="D32" s="1167"/>
      <c r="E32" s="1167"/>
      <c r="F32" s="986"/>
      <c r="G32" s="447">
        <f t="shared" si="0"/>
        <v>0</v>
      </c>
      <c r="H32" s="985"/>
      <c r="I32" s="1167"/>
      <c r="J32" s="446">
        <f>'35-Other Formula Revenue'!G38</f>
        <v>0</v>
      </c>
      <c r="K32" s="446">
        <f t="shared" si="2"/>
        <v>0</v>
      </c>
      <c r="L32" s="446">
        <f t="shared" si="3"/>
        <v>0</v>
      </c>
      <c r="M32" s="446">
        <f t="shared" si="1"/>
        <v>0</v>
      </c>
    </row>
    <row r="33" spans="1:13" ht="13">
      <c r="A33" s="2">
        <f>A32+1</f>
        <v>23</v>
      </c>
      <c r="B33" s="243" t="s">
        <v>1677</v>
      </c>
      <c r="C33" s="446">
        <f t="shared" si="5"/>
        <v>0</v>
      </c>
      <c r="D33" s="985"/>
      <c r="E33" s="985"/>
      <c r="F33" s="986"/>
      <c r="G33" s="447">
        <f t="shared" si="0"/>
        <v>0</v>
      </c>
      <c r="H33" s="985"/>
      <c r="I33" s="985"/>
      <c r="J33" s="446">
        <f>'35-Other Formula Revenue'!G39</f>
        <v>0</v>
      </c>
      <c r="K33" s="446">
        <f t="shared" si="2"/>
        <v>0</v>
      </c>
      <c r="L33" s="446">
        <f t="shared" si="3"/>
        <v>0</v>
      </c>
      <c r="M33" s="446">
        <f t="shared" si="1"/>
        <v>0</v>
      </c>
    </row>
    <row r="34" spans="1:13" ht="13">
      <c r="A34" s="2">
        <f t="shared" si="4"/>
        <v>24</v>
      </c>
      <c r="B34" s="243" t="s">
        <v>1678</v>
      </c>
      <c r="C34" s="446">
        <f t="shared" si="5"/>
        <v>0</v>
      </c>
      <c r="D34" s="985"/>
      <c r="E34" s="985"/>
      <c r="F34" s="986"/>
      <c r="G34" s="447">
        <f t="shared" si="0"/>
        <v>0</v>
      </c>
      <c r="H34" s="985"/>
      <c r="I34" s="985"/>
      <c r="J34" s="446">
        <f>'35-Other Formula Revenue'!G40</f>
        <v>0</v>
      </c>
      <c r="K34" s="446">
        <f t="shared" si="2"/>
        <v>0</v>
      </c>
      <c r="L34" s="446">
        <f t="shared" si="3"/>
        <v>0</v>
      </c>
      <c r="M34" s="446">
        <f t="shared" si="1"/>
        <v>0</v>
      </c>
    </row>
    <row r="35" spans="1:13" ht="13">
      <c r="A35" s="2">
        <f t="shared" si="4"/>
        <v>25</v>
      </c>
      <c r="B35" s="243" t="s">
        <v>1679</v>
      </c>
      <c r="C35" s="446">
        <f t="shared" si="5"/>
        <v>0</v>
      </c>
      <c r="D35" s="985"/>
      <c r="E35" s="985"/>
      <c r="F35" s="986"/>
      <c r="G35" s="447">
        <f t="shared" si="0"/>
        <v>0</v>
      </c>
      <c r="H35" s="985"/>
      <c r="I35" s="985"/>
      <c r="J35" s="446">
        <f>'35-Other Formula Revenue'!G41</f>
        <v>0</v>
      </c>
      <c r="K35" s="446">
        <f t="shared" si="2"/>
        <v>0</v>
      </c>
      <c r="L35" s="446">
        <f t="shared" si="3"/>
        <v>0</v>
      </c>
      <c r="M35" s="446">
        <f t="shared" si="1"/>
        <v>0</v>
      </c>
    </row>
    <row r="36" spans="1:13" ht="13">
      <c r="A36" s="2">
        <f t="shared" si="4"/>
        <v>26</v>
      </c>
      <c r="B36" s="243" t="s">
        <v>1680</v>
      </c>
      <c r="C36" s="446">
        <f t="shared" si="5"/>
        <v>0</v>
      </c>
      <c r="D36" s="985"/>
      <c r="E36" s="985"/>
      <c r="F36" s="986"/>
      <c r="G36" s="447">
        <f t="shared" si="0"/>
        <v>0</v>
      </c>
      <c r="H36" s="985"/>
      <c r="I36" s="985"/>
      <c r="J36" s="446">
        <f>'35-Other Formula Revenue'!G42</f>
        <v>0</v>
      </c>
      <c r="K36" s="446">
        <f t="shared" si="2"/>
        <v>0</v>
      </c>
      <c r="L36" s="446">
        <f t="shared" si="3"/>
        <v>0</v>
      </c>
      <c r="M36" s="446">
        <f t="shared" si="1"/>
        <v>0</v>
      </c>
    </row>
    <row r="37" spans="1:13" ht="13">
      <c r="A37" s="2">
        <f t="shared" si="4"/>
        <v>27</v>
      </c>
      <c r="B37" s="243" t="s">
        <v>1681</v>
      </c>
      <c r="C37" s="446">
        <f t="shared" si="5"/>
        <v>0</v>
      </c>
      <c r="D37" s="985"/>
      <c r="E37" s="985"/>
      <c r="F37" s="986"/>
      <c r="G37" s="447">
        <f t="shared" si="0"/>
        <v>0</v>
      </c>
      <c r="H37" s="985"/>
      <c r="I37" s="985"/>
      <c r="J37" s="446">
        <f>'35-Other Formula Revenue'!G43</f>
        <v>0</v>
      </c>
      <c r="K37" s="446">
        <f t="shared" si="2"/>
        <v>0</v>
      </c>
      <c r="L37" s="446">
        <f t="shared" si="3"/>
        <v>0</v>
      </c>
      <c r="M37" s="446">
        <f t="shared" si="1"/>
        <v>0</v>
      </c>
    </row>
    <row r="38" spans="1:13" ht="13">
      <c r="A38" s="2">
        <f t="shared" si="4"/>
        <v>28</v>
      </c>
      <c r="B38" s="243" t="s">
        <v>1682</v>
      </c>
      <c r="C38" s="446">
        <f t="shared" si="5"/>
        <v>0</v>
      </c>
      <c r="D38" s="985"/>
      <c r="E38" s="985"/>
      <c r="F38" s="986"/>
      <c r="G38" s="447">
        <f t="shared" si="0"/>
        <v>0</v>
      </c>
      <c r="H38" s="985"/>
      <c r="I38" s="985"/>
      <c r="J38" s="446">
        <f>'35-Other Formula Revenue'!G44</f>
        <v>0</v>
      </c>
      <c r="K38" s="446">
        <f t="shared" si="2"/>
        <v>0</v>
      </c>
      <c r="L38" s="446">
        <f t="shared" si="3"/>
        <v>0</v>
      </c>
      <c r="M38" s="446">
        <f t="shared" si="1"/>
        <v>0</v>
      </c>
    </row>
    <row r="39" spans="1:13" ht="13">
      <c r="A39" s="2">
        <f t="shared" si="4"/>
        <v>29</v>
      </c>
      <c r="B39" s="243" t="s">
        <v>1683</v>
      </c>
      <c r="C39" s="446">
        <f t="shared" si="5"/>
        <v>0</v>
      </c>
      <c r="D39" s="985"/>
      <c r="E39" s="985"/>
      <c r="F39" s="986"/>
      <c r="G39" s="447">
        <f t="shared" si="0"/>
        <v>0</v>
      </c>
      <c r="H39" s="985"/>
      <c r="I39" s="985"/>
      <c r="J39" s="446">
        <f>'35-Other Formula Revenue'!G45</f>
        <v>0</v>
      </c>
      <c r="K39" s="446">
        <f t="shared" si="2"/>
        <v>0</v>
      </c>
      <c r="L39" s="446">
        <f t="shared" si="3"/>
        <v>0</v>
      </c>
      <c r="M39" s="446">
        <f t="shared" si="1"/>
        <v>0</v>
      </c>
    </row>
    <row r="40" spans="1:13" ht="13">
      <c r="A40" s="2">
        <f t="shared" si="4"/>
        <v>30</v>
      </c>
      <c r="B40" s="243" t="s">
        <v>1684</v>
      </c>
      <c r="C40" s="446">
        <f t="shared" si="5"/>
        <v>0</v>
      </c>
      <c r="D40" s="985"/>
      <c r="E40" s="985"/>
      <c r="F40" s="986"/>
      <c r="G40" s="447">
        <f t="shared" si="0"/>
        <v>0</v>
      </c>
      <c r="H40" s="985"/>
      <c r="I40" s="985"/>
      <c r="J40" s="446">
        <f>'35-Other Formula Revenue'!G46</f>
        <v>0</v>
      </c>
      <c r="K40" s="446">
        <f t="shared" si="2"/>
        <v>0</v>
      </c>
      <c r="L40" s="446">
        <f t="shared" si="3"/>
        <v>0</v>
      </c>
      <c r="M40" s="446">
        <f t="shared" si="1"/>
        <v>0</v>
      </c>
    </row>
    <row r="41" spans="1:13" ht="13">
      <c r="A41" s="2">
        <f t="shared" si="4"/>
        <v>31</v>
      </c>
      <c r="B41" s="266" t="s">
        <v>641</v>
      </c>
      <c r="C41" s="449" t="s">
        <v>391</v>
      </c>
      <c r="D41" s="449" t="s">
        <v>391</v>
      </c>
      <c r="E41" s="449" t="s">
        <v>391</v>
      </c>
      <c r="F41" s="449" t="s">
        <v>391</v>
      </c>
      <c r="G41" s="447">
        <f t="shared" si="0"/>
        <v>0</v>
      </c>
      <c r="H41" s="449" t="s">
        <v>391</v>
      </c>
      <c r="I41" s="449" t="s">
        <v>391</v>
      </c>
      <c r="J41" s="950">
        <v>0</v>
      </c>
      <c r="K41" s="950">
        <v>0</v>
      </c>
      <c r="L41" s="950">
        <v>0</v>
      </c>
      <c r="M41" s="950">
        <v>0</v>
      </c>
    </row>
    <row r="42" spans="1:13" ht="13">
      <c r="A42" s="2">
        <f t="shared" si="4"/>
        <v>32</v>
      </c>
      <c r="B42" s="243" t="s">
        <v>1685</v>
      </c>
      <c r="C42" s="450">
        <v>0</v>
      </c>
      <c r="D42" s="450">
        <v>0</v>
      </c>
      <c r="E42" s="450">
        <v>0</v>
      </c>
      <c r="F42" s="461"/>
      <c r="G42" s="451" t="e">
        <f t="shared" si="0"/>
        <v>#DIV/0!</v>
      </c>
      <c r="H42" s="452" t="e">
        <f>+C64*C144</f>
        <v>#DIV/0!</v>
      </c>
      <c r="I42" s="452">
        <v>0</v>
      </c>
      <c r="J42" s="834">
        <f>'35-Other Formula Revenue'!G47</f>
        <v>0</v>
      </c>
      <c r="K42" s="834" t="e">
        <f t="shared" si="2"/>
        <v>#DIV/0!</v>
      </c>
      <c r="L42" s="834" t="e">
        <f>D42+H42</f>
        <v>#DIV/0!</v>
      </c>
      <c r="M42" s="834">
        <f>E42+I42+J42</f>
        <v>0</v>
      </c>
    </row>
    <row r="43" spans="1:13" ht="13">
      <c r="A43" s="2">
        <f t="shared" si="4"/>
        <v>33</v>
      </c>
      <c r="B43" s="127" t="s">
        <v>1686</v>
      </c>
      <c r="C43" s="446">
        <f>SUM(C11:C42)</f>
        <v>0</v>
      </c>
      <c r="D43" s="453">
        <f>SUM(D11:D42)</f>
        <v>0</v>
      </c>
      <c r="E43" s="453">
        <f>SUM(E11:E42)</f>
        <v>0</v>
      </c>
      <c r="F43" s="454"/>
      <c r="G43" s="454" t="e">
        <f t="shared" ref="G43:M43" si="7">SUM(G11:G42)</f>
        <v>#DIV/0!</v>
      </c>
      <c r="H43" s="455" t="e">
        <f t="shared" si="7"/>
        <v>#DIV/0!</v>
      </c>
      <c r="I43" s="455">
        <f t="shared" si="7"/>
        <v>0</v>
      </c>
      <c r="J43" s="455">
        <f t="shared" si="7"/>
        <v>0</v>
      </c>
      <c r="K43" s="455" t="e">
        <f t="shared" si="7"/>
        <v>#DIV/0!</v>
      </c>
      <c r="L43" s="455" t="e">
        <f t="shared" si="7"/>
        <v>#DIV/0!</v>
      </c>
      <c r="M43" s="455">
        <f t="shared" si="7"/>
        <v>0</v>
      </c>
    </row>
    <row r="44" spans="1:13" ht="13">
      <c r="A44" s="2">
        <f t="shared" si="4"/>
        <v>34</v>
      </c>
      <c r="D44" s="456"/>
      <c r="E44" s="456"/>
      <c r="F44" s="457"/>
      <c r="G44" s="458"/>
      <c r="H44" s="459"/>
      <c r="I44" s="459"/>
      <c r="J44" s="300"/>
      <c r="K44" s="300"/>
      <c r="L44" s="300"/>
    </row>
    <row r="45" spans="1:13" ht="13">
      <c r="A45" s="2"/>
      <c r="B45" s="127"/>
      <c r="C45" s="456"/>
      <c r="D45" s="456"/>
      <c r="E45" s="456"/>
      <c r="F45" s="457"/>
      <c r="G45" s="460"/>
      <c r="H45" s="456"/>
      <c r="I45" s="456"/>
      <c r="J45" s="456"/>
      <c r="K45" s="456"/>
      <c r="L45" s="456"/>
    </row>
    <row r="46" spans="1:13" ht="13">
      <c r="A46" s="2"/>
      <c r="B46" s="214" t="s">
        <v>347</v>
      </c>
      <c r="C46" s="214" t="s">
        <v>348</v>
      </c>
      <c r="D46" s="214" t="s">
        <v>349</v>
      </c>
      <c r="E46" s="214" t="s">
        <v>350</v>
      </c>
      <c r="F46" s="214" t="s">
        <v>351</v>
      </c>
      <c r="G46" s="214" t="s">
        <v>352</v>
      </c>
      <c r="H46" s="214" t="s">
        <v>353</v>
      </c>
      <c r="I46" s="214" t="s">
        <v>354</v>
      </c>
      <c r="J46" s="214" t="s">
        <v>355</v>
      </c>
      <c r="K46" s="214" t="s">
        <v>605</v>
      </c>
      <c r="L46" s="214" t="s">
        <v>606</v>
      </c>
    </row>
    <row r="47" spans="1:13" ht="13">
      <c r="A47" s="2"/>
      <c r="B47" s="127"/>
      <c r="C47" s="628" t="s">
        <v>1634</v>
      </c>
      <c r="D47" s="19"/>
      <c r="E47" s="19"/>
      <c r="F47" s="442" t="s">
        <v>168</v>
      </c>
      <c r="G47" s="628" t="s">
        <v>1635</v>
      </c>
      <c r="H47" s="131"/>
      <c r="I47" s="131"/>
      <c r="J47" s="628" t="s">
        <v>1637</v>
      </c>
      <c r="K47" s="628" t="s">
        <v>1638</v>
      </c>
      <c r="L47" s="629" t="s">
        <v>1687</v>
      </c>
    </row>
    <row r="48" spans="1:13" ht="13">
      <c r="A48" s="2"/>
      <c r="D48" s="456"/>
      <c r="E48" s="456"/>
      <c r="F48" s="457"/>
      <c r="G48" s="458"/>
      <c r="H48" s="456"/>
      <c r="I48" s="456"/>
      <c r="J48" s="300"/>
      <c r="K48" s="300"/>
      <c r="L48" s="300"/>
    </row>
    <row r="49" spans="1:12" ht="13">
      <c r="A49" s="2"/>
      <c r="B49" s="1210" t="s">
        <v>1641</v>
      </c>
      <c r="C49" s="1212" t="s">
        <v>1642</v>
      </c>
      <c r="D49" s="1212"/>
      <c r="E49" s="1212"/>
      <c r="F49" s="215"/>
      <c r="G49" s="1207" t="s">
        <v>1643</v>
      </c>
      <c r="H49" s="1207"/>
      <c r="I49" s="1208"/>
      <c r="J49" s="1206" t="s">
        <v>1644</v>
      </c>
      <c r="K49" s="1207"/>
      <c r="L49" s="1208"/>
    </row>
    <row r="50" spans="1:12" ht="13">
      <c r="A50" s="2"/>
      <c r="B50" s="1211"/>
      <c r="C50" s="216" t="s">
        <v>252</v>
      </c>
      <c r="D50" s="216" t="s">
        <v>881</v>
      </c>
      <c r="E50" s="216" t="s">
        <v>1645</v>
      </c>
      <c r="F50" s="216" t="s">
        <v>1646</v>
      </c>
      <c r="G50" s="216" t="s">
        <v>252</v>
      </c>
      <c r="H50" s="216" t="s">
        <v>881</v>
      </c>
      <c r="I50" s="216" t="s">
        <v>1645</v>
      </c>
      <c r="J50" s="216" t="s">
        <v>252</v>
      </c>
      <c r="K50" s="216" t="s">
        <v>881</v>
      </c>
      <c r="L50" s="216" t="s">
        <v>1645</v>
      </c>
    </row>
    <row r="51" spans="1:12" ht="13">
      <c r="A51" s="2"/>
      <c r="B51" s="147" t="s">
        <v>1688</v>
      </c>
      <c r="C51" s="19"/>
      <c r="D51" s="19"/>
      <c r="E51" s="19"/>
      <c r="F51" s="19"/>
      <c r="G51" s="19"/>
      <c r="H51" s="19"/>
      <c r="I51" s="19"/>
      <c r="J51" s="19"/>
      <c r="K51" s="19"/>
      <c r="L51" s="19"/>
    </row>
    <row r="52" spans="1:12" ht="13">
      <c r="A52" s="2">
        <f>A44+1</f>
        <v>35</v>
      </c>
      <c r="B52" s="243" t="s">
        <v>1689</v>
      </c>
      <c r="C52" s="300">
        <f t="shared" ref="C52:C56" si="8">SUM(D52:E52)</f>
        <v>0</v>
      </c>
      <c r="D52" s="985"/>
      <c r="E52" s="985"/>
      <c r="F52" s="986"/>
      <c r="G52" s="458">
        <f t="shared" ref="G52:G56" si="9">SUM(H52:I52)</f>
        <v>0</v>
      </c>
      <c r="H52" s="985"/>
      <c r="I52" s="985"/>
      <c r="J52" s="300">
        <f t="shared" ref="J52:J56" si="10">SUM(K52:L52)</f>
        <v>0</v>
      </c>
      <c r="K52" s="300">
        <f t="shared" ref="K52:L57" si="11">D52+H52</f>
        <v>0</v>
      </c>
      <c r="L52" s="300">
        <f t="shared" si="11"/>
        <v>0</v>
      </c>
    </row>
    <row r="53" spans="1:12" ht="13">
      <c r="A53" s="2">
        <f t="shared" ref="A53:A62" si="12">A52+1</f>
        <v>36</v>
      </c>
      <c r="B53" s="243" t="s">
        <v>1690</v>
      </c>
      <c r="C53" s="300">
        <f t="shared" si="8"/>
        <v>0</v>
      </c>
      <c r="D53" s="985"/>
      <c r="E53" s="985"/>
      <c r="F53" s="986"/>
      <c r="G53" s="458">
        <f t="shared" si="9"/>
        <v>0</v>
      </c>
      <c r="H53" s="985"/>
      <c r="I53" s="985"/>
      <c r="J53" s="300">
        <f t="shared" si="10"/>
        <v>0</v>
      </c>
      <c r="K53" s="300">
        <f t="shared" si="11"/>
        <v>0</v>
      </c>
      <c r="L53" s="300">
        <f t="shared" si="11"/>
        <v>0</v>
      </c>
    </row>
    <row r="54" spans="1:12" ht="13">
      <c r="A54" s="2">
        <f t="shared" si="12"/>
        <v>37</v>
      </c>
      <c r="B54" s="243" t="s">
        <v>1691</v>
      </c>
      <c r="C54" s="300">
        <f t="shared" si="8"/>
        <v>0</v>
      </c>
      <c r="D54" s="985"/>
      <c r="E54" s="985"/>
      <c r="F54" s="986"/>
      <c r="G54" s="458">
        <f t="shared" si="9"/>
        <v>0</v>
      </c>
      <c r="H54" s="985"/>
      <c r="I54" s="985"/>
      <c r="J54" s="300">
        <f t="shared" si="10"/>
        <v>0</v>
      </c>
      <c r="K54" s="300">
        <f t="shared" si="11"/>
        <v>0</v>
      </c>
      <c r="L54" s="300">
        <f t="shared" si="11"/>
        <v>0</v>
      </c>
    </row>
    <row r="55" spans="1:12" ht="13">
      <c r="A55" s="2">
        <f t="shared" si="12"/>
        <v>38</v>
      </c>
      <c r="B55" s="243" t="s">
        <v>1692</v>
      </c>
      <c r="C55" s="300">
        <f t="shared" si="8"/>
        <v>0</v>
      </c>
      <c r="D55" s="985"/>
      <c r="E55" s="985"/>
      <c r="F55" s="986"/>
      <c r="G55" s="458">
        <f t="shared" si="9"/>
        <v>0</v>
      </c>
      <c r="H55" s="985"/>
      <c r="I55" s="985"/>
      <c r="J55" s="300">
        <f t="shared" si="10"/>
        <v>0</v>
      </c>
      <c r="K55" s="300">
        <f t="shared" si="11"/>
        <v>0</v>
      </c>
      <c r="L55" s="300">
        <f t="shared" si="11"/>
        <v>0</v>
      </c>
    </row>
    <row r="56" spans="1:12" ht="13">
      <c r="A56" s="2">
        <f>A55+1</f>
        <v>39</v>
      </c>
      <c r="B56" s="243" t="s">
        <v>1693</v>
      </c>
      <c r="C56" s="300">
        <f t="shared" si="8"/>
        <v>0</v>
      </c>
      <c r="D56" s="985"/>
      <c r="E56" s="985"/>
      <c r="F56" s="986"/>
      <c r="G56" s="458">
        <f t="shared" si="9"/>
        <v>0</v>
      </c>
      <c r="H56" s="985"/>
      <c r="I56" s="985"/>
      <c r="J56" s="300">
        <f t="shared" si="10"/>
        <v>0</v>
      </c>
      <c r="K56" s="300">
        <f t="shared" si="11"/>
        <v>0</v>
      </c>
      <c r="L56" s="300">
        <f t="shared" si="11"/>
        <v>0</v>
      </c>
    </row>
    <row r="57" spans="1:12" ht="13">
      <c r="A57" s="2">
        <f>A56+1</f>
        <v>40</v>
      </c>
      <c r="B57" s="243" t="s">
        <v>1694</v>
      </c>
      <c r="C57" s="450">
        <v>0</v>
      </c>
      <c r="D57" s="450">
        <v>0</v>
      </c>
      <c r="E57" s="450">
        <v>0</v>
      </c>
      <c r="F57" s="461"/>
      <c r="G57" s="450" t="e">
        <f>SUM(H57:I57)</f>
        <v>#DIV/0!</v>
      </c>
      <c r="H57" s="461" t="e">
        <f>+C64*C145</f>
        <v>#DIV/0!</v>
      </c>
      <c r="I57" s="461">
        <v>0</v>
      </c>
      <c r="J57" s="462" t="e">
        <f>SUM(K57:L57)</f>
        <v>#DIV/0!</v>
      </c>
      <c r="K57" s="462" t="e">
        <f t="shared" si="11"/>
        <v>#DIV/0!</v>
      </c>
      <c r="L57" s="462">
        <f t="shared" si="11"/>
        <v>0</v>
      </c>
    </row>
    <row r="58" spans="1:12" ht="13">
      <c r="A58" s="2">
        <f t="shared" si="12"/>
        <v>41</v>
      </c>
      <c r="B58" s="127" t="s">
        <v>1695</v>
      </c>
      <c r="C58" s="456">
        <f>SUM(C52:C57)</f>
        <v>0</v>
      </c>
      <c r="D58" s="456">
        <f>SUM(D52:D57)</f>
        <v>0</v>
      </c>
      <c r="E58" s="456">
        <f>SUM(E52:E57)</f>
        <v>0</v>
      </c>
      <c r="F58" s="457"/>
      <c r="G58" s="460" t="e">
        <f t="shared" ref="G58:L58" si="13">SUM(G52:G57)</f>
        <v>#DIV/0!</v>
      </c>
      <c r="H58" s="456" t="e">
        <f t="shared" si="13"/>
        <v>#DIV/0!</v>
      </c>
      <c r="I58" s="456">
        <f t="shared" si="13"/>
        <v>0</v>
      </c>
      <c r="J58" s="456" t="e">
        <f t="shared" si="13"/>
        <v>#DIV/0!</v>
      </c>
      <c r="K58" s="456" t="e">
        <f t="shared" si="13"/>
        <v>#DIV/0!</v>
      </c>
      <c r="L58" s="456">
        <f t="shared" si="13"/>
        <v>0</v>
      </c>
    </row>
    <row r="59" spans="1:12" ht="13">
      <c r="A59" s="2">
        <f t="shared" si="12"/>
        <v>42</v>
      </c>
      <c r="C59" s="300"/>
      <c r="D59" s="456"/>
      <c r="E59" s="456"/>
      <c r="F59" s="463"/>
      <c r="G59" s="458"/>
      <c r="H59" s="459"/>
      <c r="I59" s="459"/>
      <c r="J59" s="300"/>
      <c r="K59" s="300"/>
      <c r="L59" s="300"/>
    </row>
    <row r="60" spans="1:12" ht="13">
      <c r="A60" s="2">
        <f t="shared" si="12"/>
        <v>43</v>
      </c>
      <c r="B60" s="127" t="s">
        <v>1696</v>
      </c>
      <c r="C60" s="300">
        <f>+C43+C58</f>
        <v>0</v>
      </c>
      <c r="D60" s="300">
        <f>D58+D43</f>
        <v>0</v>
      </c>
      <c r="E60" s="300">
        <f>E58+E43</f>
        <v>0</v>
      </c>
      <c r="G60" s="458" t="e">
        <f>+G43+G58</f>
        <v>#DIV/0!</v>
      </c>
      <c r="H60" s="300" t="e">
        <f>H58+H43</f>
        <v>#DIV/0!</v>
      </c>
      <c r="I60" s="300">
        <f>I58+I43</f>
        <v>0</v>
      </c>
      <c r="J60" s="300" t="e">
        <f>J58+K43</f>
        <v>#DIV/0!</v>
      </c>
      <c r="K60" s="300" t="e">
        <f>K58+L43</f>
        <v>#DIV/0!</v>
      </c>
      <c r="L60" s="300">
        <f>L58+M43</f>
        <v>0</v>
      </c>
    </row>
    <row r="61" spans="1:12" ht="13">
      <c r="A61" s="2">
        <f t="shared" si="12"/>
        <v>44</v>
      </c>
      <c r="H61" s="459"/>
      <c r="I61" s="459"/>
    </row>
    <row r="62" spans="1:12" ht="13">
      <c r="A62" s="2">
        <f t="shared" si="12"/>
        <v>45</v>
      </c>
      <c r="B62" s="243" t="s">
        <v>1697</v>
      </c>
      <c r="C62" s="559"/>
      <c r="D62" s="300" t="s">
        <v>1698</v>
      </c>
      <c r="E62" s="300" t="str">
        <f>"Must equal Line "&amp;A43&amp;", Column 2."</f>
        <v>Must equal Line 33, Column 2.</v>
      </c>
      <c r="G62" s="217"/>
      <c r="H62" s="218"/>
      <c r="I62" s="218"/>
      <c r="J62" s="218"/>
      <c r="K62" s="218"/>
      <c r="L62" s="218"/>
    </row>
    <row r="63" spans="1:12" ht="13">
      <c r="A63" s="2">
        <f>A62+1</f>
        <v>46</v>
      </c>
      <c r="B63" s="243" t="s">
        <v>1699</v>
      </c>
      <c r="C63" s="559"/>
      <c r="D63" s="300" t="s">
        <v>1700</v>
      </c>
      <c r="E63" s="300" t="str">
        <f>"Must equal Line "&amp;A58&amp;", Column 2."</f>
        <v>Must equal Line 41, Column 2.</v>
      </c>
      <c r="G63" s="458"/>
      <c r="H63" s="300"/>
      <c r="I63" s="300"/>
      <c r="J63" s="300"/>
      <c r="K63" s="300"/>
      <c r="L63" s="300"/>
    </row>
    <row r="64" spans="1:12" ht="13">
      <c r="A64" s="2">
        <f>A63+1</f>
        <v>47</v>
      </c>
      <c r="B64" s="243" t="s">
        <v>1701</v>
      </c>
      <c r="C64" s="464">
        <f>'20-AandG'!E70</f>
        <v>0</v>
      </c>
      <c r="D64" s="300" t="str">
        <f>"20-AandG, Note 2, "&amp;'20-AandG'!B70&amp;""</f>
        <v>20-AandG, Note 2, f</v>
      </c>
      <c r="E64" s="300"/>
      <c r="F64" s="2"/>
      <c r="G64" s="458"/>
      <c r="H64" s="300"/>
      <c r="I64" s="300"/>
      <c r="J64" s="300"/>
      <c r="K64" s="300"/>
      <c r="L64" s="300"/>
    </row>
    <row r="65" spans="1:12" ht="13">
      <c r="A65" s="219"/>
      <c r="C65" s="219"/>
      <c r="D65" s="300"/>
      <c r="E65" s="300"/>
      <c r="G65" s="458"/>
      <c r="H65" s="300"/>
      <c r="I65" s="300"/>
      <c r="J65" s="300"/>
      <c r="K65" s="300"/>
      <c r="L65" s="300"/>
    </row>
    <row r="66" spans="1:12" ht="13">
      <c r="B66" s="15" t="s">
        <v>1702</v>
      </c>
      <c r="H66" s="241"/>
      <c r="I66" s="241"/>
    </row>
    <row r="67" spans="1:12">
      <c r="H67" s="241"/>
      <c r="I67" s="241"/>
    </row>
    <row r="68" spans="1:12" ht="13">
      <c r="B68" s="48" t="s">
        <v>347</v>
      </c>
      <c r="C68" s="214" t="s">
        <v>348</v>
      </c>
      <c r="D68" s="214" t="s">
        <v>349</v>
      </c>
      <c r="E68" s="214" t="s">
        <v>350</v>
      </c>
      <c r="F68" s="214" t="s">
        <v>351</v>
      </c>
      <c r="G68" s="214" t="s">
        <v>352</v>
      </c>
      <c r="H68" s="214" t="s">
        <v>353</v>
      </c>
      <c r="I68" s="214" t="s">
        <v>354</v>
      </c>
      <c r="J68" s="214" t="s">
        <v>355</v>
      </c>
      <c r="K68" s="48"/>
      <c r="L68" s="48"/>
    </row>
    <row r="69" spans="1:12">
      <c r="C69" s="241" t="s">
        <v>1703</v>
      </c>
      <c r="D69" s="241" t="s">
        <v>1704</v>
      </c>
      <c r="E69" s="241" t="s">
        <v>1705</v>
      </c>
      <c r="F69" s="444" t="s">
        <v>129</v>
      </c>
      <c r="G69" s="629" t="s">
        <v>1635</v>
      </c>
      <c r="H69" s="629" t="s">
        <v>1706</v>
      </c>
      <c r="I69" s="629" t="s">
        <v>1707</v>
      </c>
    </row>
    <row r="70" spans="1:12">
      <c r="H70" s="241"/>
      <c r="I70" s="241"/>
    </row>
    <row r="71" spans="1:12" ht="13">
      <c r="A71" s="127"/>
      <c r="B71" s="1209" t="s">
        <v>1641</v>
      </c>
      <c r="C71" s="1206" t="s">
        <v>1644</v>
      </c>
      <c r="D71" s="1207"/>
      <c r="E71" s="1208"/>
      <c r="F71" s="220" t="s">
        <v>1708</v>
      </c>
      <c r="G71" s="1206" t="s">
        <v>1709</v>
      </c>
      <c r="H71" s="1207"/>
      <c r="I71" s="1208"/>
      <c r="J71" s="491" t="s">
        <v>1710</v>
      </c>
    </row>
    <row r="72" spans="1:12" ht="13">
      <c r="B72" s="1209"/>
      <c r="C72" s="216" t="s">
        <v>252</v>
      </c>
      <c r="D72" s="216" t="s">
        <v>881</v>
      </c>
      <c r="E72" s="216" t="s">
        <v>1645</v>
      </c>
      <c r="F72" s="220" t="s">
        <v>1711</v>
      </c>
      <c r="G72" s="216" t="s">
        <v>252</v>
      </c>
      <c r="H72" s="216" t="s">
        <v>881</v>
      </c>
      <c r="I72" s="216" t="s">
        <v>1645</v>
      </c>
      <c r="J72" s="216" t="s">
        <v>254</v>
      </c>
    </row>
    <row r="73" spans="1:12" ht="13">
      <c r="A73" s="30" t="s">
        <v>284</v>
      </c>
      <c r="B73" s="147" t="s">
        <v>1648</v>
      </c>
      <c r="C73" s="19"/>
      <c r="D73" s="19"/>
      <c r="E73" s="19"/>
      <c r="F73" s="221"/>
      <c r="G73" s="19"/>
      <c r="H73" s="19"/>
      <c r="I73" s="19"/>
    </row>
    <row r="74" spans="1:12" ht="13">
      <c r="A74" s="2">
        <f>A64+1</f>
        <v>48</v>
      </c>
      <c r="B74" s="243" t="s">
        <v>1649</v>
      </c>
      <c r="C74" s="300">
        <f t="shared" ref="C74:C95" si="14">K11</f>
        <v>0</v>
      </c>
      <c r="D74" s="300">
        <f t="shared" ref="D74:D95" si="15">L11</f>
        <v>0</v>
      </c>
      <c r="E74" s="300">
        <f t="shared" ref="E74:E95" si="16">M11</f>
        <v>0</v>
      </c>
      <c r="F74" s="470" t="e">
        <f>'27-Allocators'!$D$48</f>
        <v>#DIV/0!</v>
      </c>
      <c r="G74" s="465" t="e">
        <f>SUM(H74:I74)</f>
        <v>#DIV/0!</v>
      </c>
      <c r="H74" s="465" t="e">
        <f>D74*F74</f>
        <v>#DIV/0!</v>
      </c>
      <c r="I74" s="465" t="e">
        <f>E74*F74</f>
        <v>#DIV/0!</v>
      </c>
      <c r="J74" s="303" t="s">
        <v>1712</v>
      </c>
    </row>
    <row r="75" spans="1:12" ht="13">
      <c r="A75" s="2">
        <f t="shared" ref="A75:A107" si="17">A74+1</f>
        <v>49</v>
      </c>
      <c r="B75" s="243" t="s">
        <v>1650</v>
      </c>
      <c r="C75" s="300">
        <f t="shared" si="14"/>
        <v>0</v>
      </c>
      <c r="D75" s="300">
        <f t="shared" si="15"/>
        <v>0</v>
      </c>
      <c r="E75" s="300">
        <f t="shared" si="16"/>
        <v>0</v>
      </c>
      <c r="F75" s="470">
        <v>1</v>
      </c>
      <c r="G75" s="465">
        <f t="shared" ref="G75:G103" si="18">SUM(H75:I75)</f>
        <v>0</v>
      </c>
      <c r="H75" s="465">
        <f t="shared" ref="H75:H103" si="19">D75*F75</f>
        <v>0</v>
      </c>
      <c r="I75" s="465">
        <f t="shared" ref="I75:I103" si="20">E75*F75</f>
        <v>0</v>
      </c>
      <c r="J75" s="620" t="s">
        <v>1713</v>
      </c>
    </row>
    <row r="76" spans="1:12" ht="13">
      <c r="A76" s="2">
        <f t="shared" si="17"/>
        <v>50</v>
      </c>
      <c r="B76" s="243" t="s">
        <v>1651</v>
      </c>
      <c r="C76" s="300">
        <f t="shared" si="14"/>
        <v>0</v>
      </c>
      <c r="D76" s="300">
        <f t="shared" si="15"/>
        <v>0</v>
      </c>
      <c r="E76" s="300">
        <f t="shared" si="16"/>
        <v>0</v>
      </c>
      <c r="F76" s="470" t="e">
        <f>'27-Allocators'!$D$48</f>
        <v>#DIV/0!</v>
      </c>
      <c r="G76" s="465" t="e">
        <f t="shared" si="18"/>
        <v>#DIV/0!</v>
      </c>
      <c r="H76" s="465" t="e">
        <f t="shared" si="19"/>
        <v>#DIV/0!</v>
      </c>
      <c r="I76" s="465" t="e">
        <f t="shared" si="20"/>
        <v>#DIV/0!</v>
      </c>
      <c r="J76" s="303" t="s">
        <v>1712</v>
      </c>
    </row>
    <row r="77" spans="1:12" ht="13">
      <c r="A77" s="2">
        <f t="shared" si="17"/>
        <v>51</v>
      </c>
      <c r="B77" s="243" t="s">
        <v>1652</v>
      </c>
      <c r="C77" s="300">
        <f t="shared" si="14"/>
        <v>0</v>
      </c>
      <c r="D77" s="300">
        <f t="shared" si="15"/>
        <v>0</v>
      </c>
      <c r="E77" s="300">
        <f t="shared" si="16"/>
        <v>0</v>
      </c>
      <c r="F77" s="470">
        <v>0</v>
      </c>
      <c r="G77" s="465">
        <f t="shared" si="18"/>
        <v>0</v>
      </c>
      <c r="H77" s="465">
        <f t="shared" si="19"/>
        <v>0</v>
      </c>
      <c r="I77" s="465">
        <f t="shared" si="20"/>
        <v>0</v>
      </c>
      <c r="J77" s="620" t="s">
        <v>1714</v>
      </c>
    </row>
    <row r="78" spans="1:12" ht="13">
      <c r="A78" s="2">
        <f t="shared" si="17"/>
        <v>52</v>
      </c>
      <c r="B78" s="243" t="s">
        <v>1654</v>
      </c>
      <c r="C78" s="300">
        <f t="shared" si="14"/>
        <v>0</v>
      </c>
      <c r="D78" s="300">
        <f t="shared" si="15"/>
        <v>0</v>
      </c>
      <c r="E78" s="300">
        <f t="shared" si="16"/>
        <v>0</v>
      </c>
      <c r="F78" s="470">
        <v>1</v>
      </c>
      <c r="G78" s="465">
        <f t="shared" si="18"/>
        <v>0</v>
      </c>
      <c r="H78" s="465">
        <f t="shared" si="19"/>
        <v>0</v>
      </c>
      <c r="I78" s="465">
        <f t="shared" si="20"/>
        <v>0</v>
      </c>
      <c r="J78" s="620" t="s">
        <v>1713</v>
      </c>
    </row>
    <row r="79" spans="1:12" ht="13">
      <c r="A79" s="2">
        <f t="shared" si="17"/>
        <v>53</v>
      </c>
      <c r="B79" s="243" t="s">
        <v>1655</v>
      </c>
      <c r="C79" s="300">
        <f t="shared" si="14"/>
        <v>0</v>
      </c>
      <c r="D79" s="300">
        <f t="shared" si="15"/>
        <v>0</v>
      </c>
      <c r="E79" s="300">
        <f t="shared" si="16"/>
        <v>0</v>
      </c>
      <c r="F79" s="470" t="e">
        <f>'27-Allocators'!$D$48</f>
        <v>#DIV/0!</v>
      </c>
      <c r="G79" s="465" t="e">
        <f t="shared" si="18"/>
        <v>#DIV/0!</v>
      </c>
      <c r="H79" s="465" t="e">
        <f t="shared" si="19"/>
        <v>#DIV/0!</v>
      </c>
      <c r="I79" s="465" t="e">
        <f t="shared" si="20"/>
        <v>#DIV/0!</v>
      </c>
      <c r="J79" s="303" t="s">
        <v>1712</v>
      </c>
    </row>
    <row r="80" spans="1:12" ht="13">
      <c r="A80" s="2">
        <f t="shared" si="17"/>
        <v>54</v>
      </c>
      <c r="B80" s="243" t="s">
        <v>1656</v>
      </c>
      <c r="C80" s="300">
        <f t="shared" si="14"/>
        <v>0</v>
      </c>
      <c r="D80" s="300">
        <f t="shared" si="15"/>
        <v>0</v>
      </c>
      <c r="E80" s="300">
        <f t="shared" si="16"/>
        <v>0</v>
      </c>
      <c r="F80" s="470">
        <v>0</v>
      </c>
      <c r="G80" s="465">
        <f t="shared" si="18"/>
        <v>0</v>
      </c>
      <c r="H80" s="465">
        <f t="shared" si="19"/>
        <v>0</v>
      </c>
      <c r="I80" s="465">
        <f t="shared" si="20"/>
        <v>0</v>
      </c>
      <c r="J80" s="620" t="s">
        <v>1714</v>
      </c>
    </row>
    <row r="81" spans="1:11" ht="13">
      <c r="A81" s="2">
        <f t="shared" si="17"/>
        <v>55</v>
      </c>
      <c r="B81" s="243" t="s">
        <v>1658</v>
      </c>
      <c r="C81" s="300">
        <f t="shared" si="14"/>
        <v>0</v>
      </c>
      <c r="D81" s="300">
        <f t="shared" si="15"/>
        <v>0</v>
      </c>
      <c r="E81" s="300">
        <f t="shared" si="16"/>
        <v>0</v>
      </c>
      <c r="F81" s="470">
        <v>1</v>
      </c>
      <c r="G81" s="465">
        <f t="shared" si="18"/>
        <v>0</v>
      </c>
      <c r="H81" s="465">
        <f t="shared" si="19"/>
        <v>0</v>
      </c>
      <c r="I81" s="465">
        <f t="shared" si="20"/>
        <v>0</v>
      </c>
      <c r="J81" s="620" t="s">
        <v>1713</v>
      </c>
      <c r="K81" s="300"/>
    </row>
    <row r="82" spans="1:11" ht="13">
      <c r="A82" s="2">
        <f t="shared" si="17"/>
        <v>56</v>
      </c>
      <c r="B82" s="243" t="s">
        <v>1659</v>
      </c>
      <c r="C82" s="300">
        <f t="shared" si="14"/>
        <v>0</v>
      </c>
      <c r="D82" s="300">
        <f t="shared" si="15"/>
        <v>0</v>
      </c>
      <c r="E82" s="300">
        <f t="shared" si="16"/>
        <v>0</v>
      </c>
      <c r="F82" s="470" t="e">
        <f>'27-Allocators'!$D$36</f>
        <v>#DIV/0!</v>
      </c>
      <c r="G82" s="465" t="e">
        <f t="shared" si="18"/>
        <v>#DIV/0!</v>
      </c>
      <c r="H82" s="465" t="e">
        <f t="shared" si="19"/>
        <v>#DIV/0!</v>
      </c>
      <c r="I82" s="465" t="e">
        <f t="shared" si="20"/>
        <v>#DIV/0!</v>
      </c>
      <c r="J82" s="303" t="s">
        <v>1715</v>
      </c>
    </row>
    <row r="83" spans="1:11" ht="12.75" customHeight="1">
      <c r="A83" s="2">
        <f t="shared" si="17"/>
        <v>57</v>
      </c>
      <c r="B83" s="243" t="s">
        <v>1660</v>
      </c>
      <c r="C83" s="300">
        <f t="shared" si="14"/>
        <v>0</v>
      </c>
      <c r="D83" s="300">
        <f t="shared" si="15"/>
        <v>0</v>
      </c>
      <c r="E83" s="300">
        <f t="shared" si="16"/>
        <v>0</v>
      </c>
      <c r="F83" s="470" t="e">
        <f>'27-Allocators'!$D$42</f>
        <v>#DIV/0!</v>
      </c>
      <c r="G83" s="466" t="e">
        <f t="shared" si="18"/>
        <v>#DIV/0!</v>
      </c>
      <c r="H83" s="466" t="e">
        <f t="shared" si="19"/>
        <v>#DIV/0!</v>
      </c>
      <c r="I83" s="466" t="e">
        <f t="shared" si="20"/>
        <v>#DIV/0!</v>
      </c>
      <c r="J83" s="303" t="s">
        <v>1716</v>
      </c>
      <c r="K83" s="300"/>
    </row>
    <row r="84" spans="1:11" ht="13">
      <c r="A84" s="2">
        <f t="shared" si="17"/>
        <v>58</v>
      </c>
      <c r="B84" s="243" t="s">
        <v>1661</v>
      </c>
      <c r="C84" s="300">
        <f t="shared" si="14"/>
        <v>0</v>
      </c>
      <c r="D84" s="300">
        <f t="shared" si="15"/>
        <v>0</v>
      </c>
      <c r="E84" s="300">
        <f t="shared" si="16"/>
        <v>0</v>
      </c>
      <c r="F84" s="470">
        <v>1</v>
      </c>
      <c r="G84" s="465">
        <f t="shared" si="18"/>
        <v>0</v>
      </c>
      <c r="H84" s="465">
        <f t="shared" si="19"/>
        <v>0</v>
      </c>
      <c r="I84" s="465">
        <f t="shared" si="20"/>
        <v>0</v>
      </c>
      <c r="J84" s="620" t="s">
        <v>1713</v>
      </c>
    </row>
    <row r="85" spans="1:11" ht="13">
      <c r="A85" s="2">
        <f t="shared" si="17"/>
        <v>59</v>
      </c>
      <c r="B85" s="243" t="s">
        <v>1662</v>
      </c>
      <c r="C85" s="300">
        <f t="shared" si="14"/>
        <v>0</v>
      </c>
      <c r="D85" s="300">
        <f t="shared" si="15"/>
        <v>0</v>
      </c>
      <c r="E85" s="300">
        <f t="shared" si="16"/>
        <v>0</v>
      </c>
      <c r="F85" s="470">
        <v>0</v>
      </c>
      <c r="G85" s="465">
        <f t="shared" si="18"/>
        <v>0</v>
      </c>
      <c r="H85" s="465">
        <f t="shared" si="19"/>
        <v>0</v>
      </c>
      <c r="I85" s="465">
        <f t="shared" si="20"/>
        <v>0</v>
      </c>
      <c r="J85" s="620" t="s">
        <v>1714</v>
      </c>
    </row>
    <row r="86" spans="1:11" ht="13">
      <c r="A86" s="2">
        <f t="shared" si="17"/>
        <v>60</v>
      </c>
      <c r="B86" s="243" t="s">
        <v>1664</v>
      </c>
      <c r="C86" s="300">
        <f t="shared" si="14"/>
        <v>0</v>
      </c>
      <c r="D86" s="300">
        <f t="shared" si="15"/>
        <v>0</v>
      </c>
      <c r="E86" s="300">
        <f t="shared" si="16"/>
        <v>0</v>
      </c>
      <c r="F86" s="470">
        <v>0</v>
      </c>
      <c r="G86" s="465">
        <f t="shared" si="18"/>
        <v>0</v>
      </c>
      <c r="H86" s="465">
        <f t="shared" si="19"/>
        <v>0</v>
      </c>
      <c r="I86" s="465">
        <f t="shared" si="20"/>
        <v>0</v>
      </c>
      <c r="J86" s="620" t="s">
        <v>1714</v>
      </c>
    </row>
    <row r="87" spans="1:11" ht="13">
      <c r="A87" s="2">
        <f t="shared" si="17"/>
        <v>61</v>
      </c>
      <c r="B87" s="243" t="s">
        <v>1665</v>
      </c>
      <c r="C87" s="300">
        <f t="shared" si="14"/>
        <v>0</v>
      </c>
      <c r="D87" s="300">
        <f t="shared" si="15"/>
        <v>0</v>
      </c>
      <c r="E87" s="300">
        <f t="shared" si="16"/>
        <v>0</v>
      </c>
      <c r="F87" s="470" t="e">
        <f>'27-Allocators'!$D$48</f>
        <v>#DIV/0!</v>
      </c>
      <c r="G87" s="465" t="e">
        <f t="shared" si="18"/>
        <v>#DIV/0!</v>
      </c>
      <c r="H87" s="465" t="e">
        <f t="shared" si="19"/>
        <v>#DIV/0!</v>
      </c>
      <c r="I87" s="465" t="e">
        <f t="shared" si="20"/>
        <v>#DIV/0!</v>
      </c>
      <c r="J87" s="303" t="s">
        <v>1712</v>
      </c>
      <c r="K87" s="300"/>
    </row>
    <row r="88" spans="1:11" ht="13">
      <c r="A88" s="2">
        <f t="shared" si="17"/>
        <v>62</v>
      </c>
      <c r="B88" s="243" t="s">
        <v>1667</v>
      </c>
      <c r="C88" s="300">
        <f t="shared" si="14"/>
        <v>0</v>
      </c>
      <c r="D88" s="300">
        <f t="shared" si="15"/>
        <v>0</v>
      </c>
      <c r="E88" s="300">
        <f t="shared" si="16"/>
        <v>0</v>
      </c>
      <c r="F88" s="470">
        <v>0</v>
      </c>
      <c r="G88" s="465">
        <f t="shared" si="18"/>
        <v>0</v>
      </c>
      <c r="H88" s="465">
        <f t="shared" si="19"/>
        <v>0</v>
      </c>
      <c r="I88" s="465">
        <f t="shared" si="20"/>
        <v>0</v>
      </c>
      <c r="J88" s="620" t="s">
        <v>1714</v>
      </c>
    </row>
    <row r="89" spans="1:11" ht="13">
      <c r="A89" s="2">
        <f t="shared" si="17"/>
        <v>63</v>
      </c>
      <c r="B89" s="243" t="s">
        <v>1669</v>
      </c>
      <c r="C89" s="300">
        <f t="shared" si="14"/>
        <v>0</v>
      </c>
      <c r="D89" s="300">
        <f t="shared" si="15"/>
        <v>0</v>
      </c>
      <c r="E89" s="300">
        <f t="shared" si="16"/>
        <v>0</v>
      </c>
      <c r="F89" s="470">
        <v>1</v>
      </c>
      <c r="G89" s="465">
        <f t="shared" si="18"/>
        <v>0</v>
      </c>
      <c r="H89" s="465">
        <f t="shared" si="19"/>
        <v>0</v>
      </c>
      <c r="I89" s="465">
        <f t="shared" si="20"/>
        <v>0</v>
      </c>
      <c r="J89" s="620" t="s">
        <v>1713</v>
      </c>
    </row>
    <row r="90" spans="1:11" ht="13">
      <c r="A90" s="2">
        <f t="shared" si="17"/>
        <v>64</v>
      </c>
      <c r="B90" s="243" t="s">
        <v>1670</v>
      </c>
      <c r="C90" s="300">
        <f t="shared" si="14"/>
        <v>0</v>
      </c>
      <c r="D90" s="300">
        <f t="shared" si="15"/>
        <v>0</v>
      </c>
      <c r="E90" s="300">
        <f t="shared" si="16"/>
        <v>0</v>
      </c>
      <c r="F90" s="470" t="e">
        <f>'27-Allocators'!$D$36</f>
        <v>#DIV/0!</v>
      </c>
      <c r="G90" s="465" t="e">
        <f t="shared" si="18"/>
        <v>#DIV/0!</v>
      </c>
      <c r="H90" s="465" t="e">
        <f t="shared" si="19"/>
        <v>#DIV/0!</v>
      </c>
      <c r="I90" s="465" t="e">
        <f t="shared" si="20"/>
        <v>#DIV/0!</v>
      </c>
      <c r="J90" s="303" t="s">
        <v>1715</v>
      </c>
      <c r="K90" s="300"/>
    </row>
    <row r="91" spans="1:11" ht="13">
      <c r="A91" s="2">
        <f t="shared" si="17"/>
        <v>65</v>
      </c>
      <c r="B91" s="243" t="s">
        <v>1671</v>
      </c>
      <c r="C91" s="300">
        <f t="shared" si="14"/>
        <v>0</v>
      </c>
      <c r="D91" s="300">
        <f t="shared" si="15"/>
        <v>0</v>
      </c>
      <c r="E91" s="300">
        <f t="shared" si="16"/>
        <v>0</v>
      </c>
      <c r="F91" s="470">
        <v>1</v>
      </c>
      <c r="G91" s="465">
        <f t="shared" si="18"/>
        <v>0</v>
      </c>
      <c r="H91" s="465">
        <f t="shared" si="19"/>
        <v>0</v>
      </c>
      <c r="I91" s="465">
        <f t="shared" si="20"/>
        <v>0</v>
      </c>
      <c r="J91" s="620" t="s">
        <v>1713</v>
      </c>
    </row>
    <row r="92" spans="1:11" ht="13">
      <c r="A92" s="2">
        <f t="shared" si="17"/>
        <v>66</v>
      </c>
      <c r="B92" s="243" t="s">
        <v>1672</v>
      </c>
      <c r="C92" s="300">
        <f t="shared" si="14"/>
        <v>0</v>
      </c>
      <c r="D92" s="300">
        <f t="shared" si="15"/>
        <v>0</v>
      </c>
      <c r="E92" s="300">
        <f t="shared" si="16"/>
        <v>0</v>
      </c>
      <c r="F92" s="470">
        <v>1</v>
      </c>
      <c r="G92" s="465">
        <f t="shared" ref="G92" si="21">SUM(H92:I92)</f>
        <v>0</v>
      </c>
      <c r="H92" s="465">
        <f t="shared" ref="H92" si="22">D92*F92</f>
        <v>0</v>
      </c>
      <c r="I92" s="465">
        <f t="shared" ref="I92" si="23">E92*F92</f>
        <v>0</v>
      </c>
      <c r="J92" s="620" t="s">
        <v>1713</v>
      </c>
    </row>
    <row r="93" spans="1:11" ht="13">
      <c r="A93" s="2">
        <f t="shared" si="17"/>
        <v>67</v>
      </c>
      <c r="B93" s="243" t="s">
        <v>1673</v>
      </c>
      <c r="C93" s="300">
        <f t="shared" si="14"/>
        <v>0</v>
      </c>
      <c r="D93" s="300">
        <f t="shared" si="15"/>
        <v>0</v>
      </c>
      <c r="E93" s="300">
        <f t="shared" si="16"/>
        <v>0</v>
      </c>
      <c r="F93" s="470" t="e">
        <f>'27-Allocators'!$D$48</f>
        <v>#DIV/0!</v>
      </c>
      <c r="G93" s="465" t="e">
        <f t="shared" si="18"/>
        <v>#DIV/0!</v>
      </c>
      <c r="H93" s="465" t="e">
        <f t="shared" si="19"/>
        <v>#DIV/0!</v>
      </c>
      <c r="I93" s="465" t="e">
        <f t="shared" si="20"/>
        <v>#DIV/0!</v>
      </c>
      <c r="J93" s="303" t="s">
        <v>1712</v>
      </c>
    </row>
    <row r="94" spans="1:11" ht="13">
      <c r="A94" s="2">
        <f t="shared" si="17"/>
        <v>68</v>
      </c>
      <c r="B94" s="243" t="s">
        <v>1674</v>
      </c>
      <c r="C94" s="300">
        <f t="shared" si="14"/>
        <v>0</v>
      </c>
      <c r="D94" s="300">
        <f t="shared" si="15"/>
        <v>0</v>
      </c>
      <c r="E94" s="300">
        <f t="shared" si="16"/>
        <v>0</v>
      </c>
      <c r="F94" s="470">
        <v>1</v>
      </c>
      <c r="G94" s="465">
        <f t="shared" si="18"/>
        <v>0</v>
      </c>
      <c r="H94" s="465">
        <f t="shared" si="19"/>
        <v>0</v>
      </c>
      <c r="I94" s="465">
        <f t="shared" si="20"/>
        <v>0</v>
      </c>
      <c r="J94" s="620" t="s">
        <v>1713</v>
      </c>
      <c r="K94" s="300"/>
    </row>
    <row r="95" spans="1:11" ht="13">
      <c r="A95" s="2">
        <f t="shared" si="17"/>
        <v>69</v>
      </c>
      <c r="B95" s="243" t="s">
        <v>1675</v>
      </c>
      <c r="C95" s="300">
        <f t="shared" si="14"/>
        <v>0</v>
      </c>
      <c r="D95" s="300">
        <f t="shared" si="15"/>
        <v>0</v>
      </c>
      <c r="E95" s="300">
        <f t="shared" si="16"/>
        <v>0</v>
      </c>
      <c r="F95" s="470" t="e">
        <f>'27-Allocators'!$D$48</f>
        <v>#DIV/0!</v>
      </c>
      <c r="G95" s="465" t="e">
        <f t="shared" si="18"/>
        <v>#DIV/0!</v>
      </c>
      <c r="H95" s="465" t="e">
        <f t="shared" si="19"/>
        <v>#DIV/0!</v>
      </c>
      <c r="I95" s="465" t="e">
        <f t="shared" si="20"/>
        <v>#DIV/0!</v>
      </c>
      <c r="J95" s="303" t="s">
        <v>1712</v>
      </c>
    </row>
    <row r="96" spans="1:11" ht="13">
      <c r="A96" s="2">
        <f>A95+1</f>
        <v>70</v>
      </c>
      <c r="B96" s="243" t="s">
        <v>1677</v>
      </c>
      <c r="C96" s="300">
        <f t="shared" ref="C96:E103" si="24">K33</f>
        <v>0</v>
      </c>
      <c r="D96" s="300">
        <f t="shared" si="24"/>
        <v>0</v>
      </c>
      <c r="E96" s="300">
        <f t="shared" si="24"/>
        <v>0</v>
      </c>
      <c r="F96" s="470">
        <v>1</v>
      </c>
      <c r="G96" s="465">
        <f t="shared" si="18"/>
        <v>0</v>
      </c>
      <c r="H96" s="465">
        <f t="shared" si="19"/>
        <v>0</v>
      </c>
      <c r="I96" s="465">
        <f t="shared" si="20"/>
        <v>0</v>
      </c>
      <c r="J96" s="620" t="s">
        <v>1713</v>
      </c>
    </row>
    <row r="97" spans="1:11" ht="13">
      <c r="A97" s="2">
        <f t="shared" si="17"/>
        <v>71</v>
      </c>
      <c r="B97" s="243" t="s">
        <v>1678</v>
      </c>
      <c r="C97" s="300">
        <f t="shared" si="24"/>
        <v>0</v>
      </c>
      <c r="D97" s="300">
        <f t="shared" si="24"/>
        <v>0</v>
      </c>
      <c r="E97" s="300">
        <f t="shared" si="24"/>
        <v>0</v>
      </c>
      <c r="F97" s="470" t="e">
        <f>'27-Allocators'!$D$48</f>
        <v>#DIV/0!</v>
      </c>
      <c r="G97" s="465" t="e">
        <f t="shared" si="18"/>
        <v>#DIV/0!</v>
      </c>
      <c r="H97" s="465" t="e">
        <f t="shared" si="19"/>
        <v>#DIV/0!</v>
      </c>
      <c r="I97" s="465" t="e">
        <f t="shared" si="20"/>
        <v>#DIV/0!</v>
      </c>
      <c r="J97" s="303" t="s">
        <v>1712</v>
      </c>
    </row>
    <row r="98" spans="1:11" ht="13">
      <c r="A98" s="2">
        <f t="shared" si="17"/>
        <v>72</v>
      </c>
      <c r="B98" s="243" t="s">
        <v>1679</v>
      </c>
      <c r="C98" s="300">
        <f t="shared" si="24"/>
        <v>0</v>
      </c>
      <c r="D98" s="300">
        <f t="shared" si="24"/>
        <v>0</v>
      </c>
      <c r="E98" s="300">
        <f t="shared" si="24"/>
        <v>0</v>
      </c>
      <c r="F98" s="470">
        <v>1</v>
      </c>
      <c r="G98" s="465">
        <f t="shared" si="18"/>
        <v>0</v>
      </c>
      <c r="H98" s="465">
        <f t="shared" si="19"/>
        <v>0</v>
      </c>
      <c r="I98" s="465">
        <f t="shared" si="20"/>
        <v>0</v>
      </c>
      <c r="J98" s="620" t="s">
        <v>1713</v>
      </c>
    </row>
    <row r="99" spans="1:11" ht="13">
      <c r="A99" s="2">
        <f t="shared" si="17"/>
        <v>73</v>
      </c>
      <c r="B99" s="243" t="s">
        <v>1680</v>
      </c>
      <c r="C99" s="300">
        <f t="shared" si="24"/>
        <v>0</v>
      </c>
      <c r="D99" s="300">
        <f t="shared" si="24"/>
        <v>0</v>
      </c>
      <c r="E99" s="300">
        <f t="shared" si="24"/>
        <v>0</v>
      </c>
      <c r="F99" s="470" t="e">
        <f>'27-Allocators'!$D$36</f>
        <v>#DIV/0!</v>
      </c>
      <c r="G99" s="465" t="e">
        <f t="shared" si="18"/>
        <v>#DIV/0!</v>
      </c>
      <c r="H99" s="465" t="e">
        <f t="shared" si="19"/>
        <v>#DIV/0!</v>
      </c>
      <c r="I99" s="465" t="e">
        <f t="shared" si="20"/>
        <v>#DIV/0!</v>
      </c>
      <c r="J99" s="303" t="s">
        <v>1715</v>
      </c>
    </row>
    <row r="100" spans="1:11" ht="13">
      <c r="A100" s="2">
        <f t="shared" si="17"/>
        <v>74</v>
      </c>
      <c r="B100" s="243" t="s">
        <v>1681</v>
      </c>
      <c r="C100" s="300">
        <f t="shared" si="24"/>
        <v>0</v>
      </c>
      <c r="D100" s="300">
        <f t="shared" si="24"/>
        <v>0</v>
      </c>
      <c r="E100" s="300">
        <f t="shared" si="24"/>
        <v>0</v>
      </c>
      <c r="F100" s="470">
        <v>1</v>
      </c>
      <c r="G100" s="465">
        <f t="shared" si="18"/>
        <v>0</v>
      </c>
      <c r="H100" s="465">
        <f t="shared" si="19"/>
        <v>0</v>
      </c>
      <c r="I100" s="465">
        <f t="shared" si="20"/>
        <v>0</v>
      </c>
      <c r="J100" s="620" t="s">
        <v>1713</v>
      </c>
    </row>
    <row r="101" spans="1:11" ht="13">
      <c r="A101" s="2">
        <f t="shared" si="17"/>
        <v>75</v>
      </c>
      <c r="B101" s="243" t="s">
        <v>1682</v>
      </c>
      <c r="C101" s="300">
        <f t="shared" si="24"/>
        <v>0</v>
      </c>
      <c r="D101" s="300">
        <f t="shared" si="24"/>
        <v>0</v>
      </c>
      <c r="E101" s="300">
        <f t="shared" si="24"/>
        <v>0</v>
      </c>
      <c r="F101" s="470" t="e">
        <f>'27-Allocators'!$D$42</f>
        <v>#DIV/0!</v>
      </c>
      <c r="G101" s="465" t="e">
        <f t="shared" si="18"/>
        <v>#DIV/0!</v>
      </c>
      <c r="H101" s="465" t="e">
        <f t="shared" si="19"/>
        <v>#DIV/0!</v>
      </c>
      <c r="I101" s="465" t="e">
        <f t="shared" si="20"/>
        <v>#DIV/0!</v>
      </c>
      <c r="J101" s="303" t="s">
        <v>1716</v>
      </c>
    </row>
    <row r="102" spans="1:11" ht="13">
      <c r="A102" s="2">
        <f t="shared" si="17"/>
        <v>76</v>
      </c>
      <c r="B102" s="243" t="s">
        <v>1683</v>
      </c>
      <c r="C102" s="300">
        <f t="shared" si="24"/>
        <v>0</v>
      </c>
      <c r="D102" s="300">
        <f t="shared" si="24"/>
        <v>0</v>
      </c>
      <c r="E102" s="300">
        <f t="shared" si="24"/>
        <v>0</v>
      </c>
      <c r="F102" s="470">
        <v>1</v>
      </c>
      <c r="G102" s="465">
        <f t="shared" si="18"/>
        <v>0</v>
      </c>
      <c r="H102" s="465">
        <f t="shared" si="19"/>
        <v>0</v>
      </c>
      <c r="I102" s="465">
        <f t="shared" si="20"/>
        <v>0</v>
      </c>
      <c r="J102" s="620" t="s">
        <v>1713</v>
      </c>
    </row>
    <row r="103" spans="1:11" ht="13">
      <c r="A103" s="2">
        <f t="shared" si="17"/>
        <v>77</v>
      </c>
      <c r="B103" s="243" t="s">
        <v>1684</v>
      </c>
      <c r="C103" s="300">
        <f t="shared" si="24"/>
        <v>0</v>
      </c>
      <c r="D103" s="300">
        <f t="shared" si="24"/>
        <v>0</v>
      </c>
      <c r="E103" s="300">
        <f t="shared" si="24"/>
        <v>0</v>
      </c>
      <c r="F103" s="470" t="e">
        <f>'27-Allocators'!$D$48</f>
        <v>#DIV/0!</v>
      </c>
      <c r="G103" s="465" t="e">
        <f t="shared" si="18"/>
        <v>#DIV/0!</v>
      </c>
      <c r="H103" s="465" t="e">
        <f t="shared" si="19"/>
        <v>#DIV/0!</v>
      </c>
      <c r="I103" s="465" t="e">
        <f t="shared" si="20"/>
        <v>#DIV/0!</v>
      </c>
      <c r="J103" s="303" t="s">
        <v>1712</v>
      </c>
    </row>
    <row r="104" spans="1:11" ht="13">
      <c r="A104" s="2">
        <f t="shared" si="17"/>
        <v>78</v>
      </c>
      <c r="B104" s="243" t="s">
        <v>641</v>
      </c>
      <c r="C104" s="630" t="s">
        <v>391</v>
      </c>
      <c r="D104" s="630" t="s">
        <v>391</v>
      </c>
      <c r="E104" s="630" t="s">
        <v>391</v>
      </c>
      <c r="F104" s="630" t="s">
        <v>391</v>
      </c>
      <c r="G104" s="630" t="s">
        <v>391</v>
      </c>
      <c r="H104" s="630" t="s">
        <v>391</v>
      </c>
      <c r="I104" s="630" t="s">
        <v>391</v>
      </c>
    </row>
    <row r="105" spans="1:11" ht="13">
      <c r="A105" s="2">
        <f t="shared" si="17"/>
        <v>79</v>
      </c>
      <c r="B105" s="243" t="s">
        <v>1717</v>
      </c>
      <c r="C105" s="462" t="e">
        <f>K42</f>
        <v>#DIV/0!</v>
      </c>
      <c r="D105" s="462" t="e">
        <f>L42</f>
        <v>#DIV/0!</v>
      </c>
      <c r="E105" s="462">
        <f>M42</f>
        <v>0</v>
      </c>
      <c r="F105" s="467"/>
      <c r="G105" s="468" t="e">
        <f>SUM(H105:I105)</f>
        <v>#DIV/0!</v>
      </c>
      <c r="H105" s="468" t="e">
        <f>D105*C149</f>
        <v>#DIV/0!</v>
      </c>
      <c r="I105" s="468">
        <v>0</v>
      </c>
    </row>
    <row r="106" spans="1:11" ht="13">
      <c r="A106" s="2">
        <f t="shared" si="17"/>
        <v>80</v>
      </c>
      <c r="B106" s="127" t="s">
        <v>1718</v>
      </c>
      <c r="C106" s="459" t="e">
        <f>SUM(C74:C105)</f>
        <v>#DIV/0!</v>
      </c>
      <c r="D106" s="459" t="e">
        <f>SUM(D74:D105)</f>
        <v>#DIV/0!</v>
      </c>
      <c r="E106" s="459">
        <f>SUM(E74:E105)</f>
        <v>0</v>
      </c>
      <c r="F106" s="469"/>
      <c r="G106" s="459" t="e">
        <f>SUM(G74:G105)</f>
        <v>#DIV/0!</v>
      </c>
      <c r="H106" s="459" t="e">
        <f>SUM(H74:H105)</f>
        <v>#DIV/0!</v>
      </c>
      <c r="I106" s="459" t="e">
        <f>SUM(I74:I105)</f>
        <v>#DIV/0!</v>
      </c>
      <c r="K106" s="300"/>
    </row>
    <row r="107" spans="1:11" ht="13">
      <c r="A107" s="2">
        <f t="shared" si="17"/>
        <v>81</v>
      </c>
      <c r="C107" s="300"/>
      <c r="D107" s="300"/>
      <c r="E107" s="300"/>
      <c r="F107" s="469"/>
      <c r="G107" s="470"/>
      <c r="H107" s="465"/>
      <c r="I107" s="465"/>
      <c r="J107" s="465"/>
      <c r="K107" s="300"/>
    </row>
    <row r="108" spans="1:11" ht="13">
      <c r="A108" s="2"/>
      <c r="B108" s="127"/>
      <c r="C108" s="222"/>
      <c r="D108" s="222"/>
      <c r="E108" s="222"/>
      <c r="F108" s="223"/>
      <c r="G108" s="224"/>
      <c r="H108" s="222"/>
      <c r="I108" s="222"/>
      <c r="J108" s="222"/>
    </row>
    <row r="109" spans="1:11" ht="13">
      <c r="A109" s="2"/>
      <c r="B109" s="48" t="s">
        <v>347</v>
      </c>
      <c r="C109" s="214" t="s">
        <v>348</v>
      </c>
      <c r="D109" s="214" t="s">
        <v>349</v>
      </c>
      <c r="E109" s="214" t="s">
        <v>350</v>
      </c>
      <c r="F109" s="214" t="s">
        <v>351</v>
      </c>
      <c r="G109" s="214" t="s">
        <v>352</v>
      </c>
      <c r="H109" s="214" t="s">
        <v>353</v>
      </c>
      <c r="I109" s="214" t="s">
        <v>354</v>
      </c>
      <c r="J109" s="214" t="s">
        <v>355</v>
      </c>
    </row>
    <row r="110" spans="1:11" ht="13">
      <c r="A110" s="2"/>
      <c r="C110" s="241" t="s">
        <v>1703</v>
      </c>
      <c r="D110" s="241" t="s">
        <v>1704</v>
      </c>
      <c r="E110" s="241" t="s">
        <v>1705</v>
      </c>
      <c r="F110" s="444" t="s">
        <v>129</v>
      </c>
      <c r="G110" s="629" t="s">
        <v>1635</v>
      </c>
      <c r="H110" s="629" t="s">
        <v>1706</v>
      </c>
      <c r="I110" s="629" t="s">
        <v>1707</v>
      </c>
    </row>
    <row r="111" spans="1:11" ht="13">
      <c r="A111" s="2"/>
      <c r="H111" s="241"/>
      <c r="I111" s="241"/>
    </row>
    <row r="112" spans="1:11" ht="13">
      <c r="A112" s="2"/>
      <c r="B112" s="1209" t="s">
        <v>1641</v>
      </c>
      <c r="C112" s="1206" t="s">
        <v>1644</v>
      </c>
      <c r="D112" s="1207"/>
      <c r="E112" s="1208"/>
      <c r="F112" s="220" t="s">
        <v>1708</v>
      </c>
      <c r="G112" s="1206" t="s">
        <v>1709</v>
      </c>
      <c r="H112" s="1207"/>
      <c r="I112" s="1208"/>
      <c r="J112" s="491" t="s">
        <v>1710</v>
      </c>
    </row>
    <row r="113" spans="1:10" ht="13">
      <c r="A113" s="2"/>
      <c r="B113" s="1209"/>
      <c r="C113" s="216" t="s">
        <v>252</v>
      </c>
      <c r="D113" s="216" t="s">
        <v>881</v>
      </c>
      <c r="E113" s="216" t="s">
        <v>1645</v>
      </c>
      <c r="F113" s="220" t="s">
        <v>1711</v>
      </c>
      <c r="G113" s="216" t="s">
        <v>252</v>
      </c>
      <c r="H113" s="216" t="s">
        <v>881</v>
      </c>
      <c r="I113" s="216" t="s">
        <v>1645</v>
      </c>
      <c r="J113" s="216" t="s">
        <v>254</v>
      </c>
    </row>
    <row r="114" spans="1:10" ht="12.75" customHeight="1">
      <c r="A114" s="2"/>
      <c r="B114" s="147" t="s">
        <v>1688</v>
      </c>
      <c r="C114" s="300"/>
      <c r="D114" s="300"/>
      <c r="E114" s="300"/>
      <c r="F114" s="469"/>
      <c r="G114" s="470"/>
      <c r="H114" s="465"/>
      <c r="I114" s="465"/>
      <c r="J114" s="465"/>
    </row>
    <row r="115" spans="1:10" ht="12.75" customHeight="1">
      <c r="A115" s="2">
        <f>A107+1</f>
        <v>82</v>
      </c>
      <c r="B115" s="243" t="s">
        <v>1689</v>
      </c>
      <c r="C115" s="300">
        <f t="shared" ref="C115:E118" si="25">J52</f>
        <v>0</v>
      </c>
      <c r="D115" s="300">
        <f t="shared" si="25"/>
        <v>0</v>
      </c>
      <c r="E115" s="300">
        <f t="shared" si="25"/>
        <v>0</v>
      </c>
      <c r="F115" s="470" t="e">
        <f>'27-Allocators'!$D$54</f>
        <v>#DIV/0!</v>
      </c>
      <c r="G115" s="465" t="e">
        <f>SUM(H115:I115)</f>
        <v>#DIV/0!</v>
      </c>
      <c r="H115" s="465" t="e">
        <f>D115*F115</f>
        <v>#DIV/0!</v>
      </c>
      <c r="I115" s="465" t="e">
        <f>E115*F115</f>
        <v>#DIV/0!</v>
      </c>
      <c r="J115" s="303" t="s">
        <v>1719</v>
      </c>
    </row>
    <row r="116" spans="1:10" ht="12.75" customHeight="1">
      <c r="A116" s="2">
        <f t="shared" ref="A116:A124" si="26">A115+1</f>
        <v>83</v>
      </c>
      <c r="B116" s="243" t="s">
        <v>1690</v>
      </c>
      <c r="C116" s="300">
        <f t="shared" si="25"/>
        <v>0</v>
      </c>
      <c r="D116" s="300">
        <f t="shared" si="25"/>
        <v>0</v>
      </c>
      <c r="E116" s="300">
        <f t="shared" si="25"/>
        <v>0</v>
      </c>
      <c r="F116" s="470" t="e">
        <f>'27-Allocators'!$D$54</f>
        <v>#DIV/0!</v>
      </c>
      <c r="G116" s="465" t="e">
        <f>SUM(H116:I116)</f>
        <v>#DIV/0!</v>
      </c>
      <c r="H116" s="465" t="e">
        <f t="shared" ref="H116:H119" si="27">D116*F116</f>
        <v>#DIV/0!</v>
      </c>
      <c r="I116" s="465" t="e">
        <f t="shared" ref="I116:I119" si="28">E116*F116</f>
        <v>#DIV/0!</v>
      </c>
      <c r="J116" s="303" t="s">
        <v>1719</v>
      </c>
    </row>
    <row r="117" spans="1:10" ht="12.75" customHeight="1">
      <c r="A117" s="2">
        <f t="shared" si="26"/>
        <v>84</v>
      </c>
      <c r="B117" s="243" t="s">
        <v>1691</v>
      </c>
      <c r="C117" s="300">
        <f t="shared" si="25"/>
        <v>0</v>
      </c>
      <c r="D117" s="300">
        <f t="shared" si="25"/>
        <v>0</v>
      </c>
      <c r="E117" s="300">
        <f t="shared" si="25"/>
        <v>0</v>
      </c>
      <c r="F117" s="470" t="e">
        <f>'27-Allocators'!$D$54</f>
        <v>#DIV/0!</v>
      </c>
      <c r="G117" s="465" t="e">
        <f t="shared" ref="G117:G119" si="29">SUM(H117:I117)</f>
        <v>#DIV/0!</v>
      </c>
      <c r="H117" s="465" t="e">
        <f t="shared" si="27"/>
        <v>#DIV/0!</v>
      </c>
      <c r="I117" s="465" t="e">
        <f t="shared" si="28"/>
        <v>#DIV/0!</v>
      </c>
      <c r="J117" s="303" t="s">
        <v>1719</v>
      </c>
    </row>
    <row r="118" spans="1:10" ht="12.75" customHeight="1">
      <c r="A118" s="2">
        <f t="shared" si="26"/>
        <v>85</v>
      </c>
      <c r="B118" s="243" t="s">
        <v>1692</v>
      </c>
      <c r="C118" s="300">
        <f t="shared" si="25"/>
        <v>0</v>
      </c>
      <c r="D118" s="300">
        <f t="shared" si="25"/>
        <v>0</v>
      </c>
      <c r="E118" s="300">
        <f t="shared" si="25"/>
        <v>0</v>
      </c>
      <c r="F118" s="470" t="e">
        <f>'27-Allocators'!$D$54</f>
        <v>#DIV/0!</v>
      </c>
      <c r="G118" s="465" t="e">
        <f t="shared" si="29"/>
        <v>#DIV/0!</v>
      </c>
      <c r="H118" s="465" t="e">
        <f t="shared" si="27"/>
        <v>#DIV/0!</v>
      </c>
      <c r="I118" s="465" t="e">
        <f t="shared" si="28"/>
        <v>#DIV/0!</v>
      </c>
      <c r="J118" s="303" t="s">
        <v>1719</v>
      </c>
    </row>
    <row r="119" spans="1:10" ht="12.75" customHeight="1">
      <c r="A119" s="617">
        <f>A118+1</f>
        <v>86</v>
      </c>
      <c r="B119" s="471" t="s">
        <v>1693</v>
      </c>
      <c r="C119" s="472">
        <f t="shared" ref="C119:E120" si="30">J56</f>
        <v>0</v>
      </c>
      <c r="D119" s="616">
        <f t="shared" si="30"/>
        <v>0</v>
      </c>
      <c r="E119" s="616">
        <f t="shared" si="30"/>
        <v>0</v>
      </c>
      <c r="F119" s="618">
        <v>0</v>
      </c>
      <c r="G119" s="465">
        <f t="shared" si="29"/>
        <v>0</v>
      </c>
      <c r="H119" s="465">
        <f t="shared" si="27"/>
        <v>0</v>
      </c>
      <c r="I119" s="465">
        <f t="shared" si="28"/>
        <v>0</v>
      </c>
      <c r="J119" s="631" t="s">
        <v>1714</v>
      </c>
    </row>
    <row r="120" spans="1:10" ht="12.75" customHeight="1">
      <c r="A120" s="2">
        <f t="shared" si="26"/>
        <v>87</v>
      </c>
      <c r="B120" s="243" t="s">
        <v>1720</v>
      </c>
      <c r="C120" s="462" t="e">
        <f t="shared" si="30"/>
        <v>#DIV/0!</v>
      </c>
      <c r="D120" s="462" t="e">
        <f t="shared" si="30"/>
        <v>#DIV/0!</v>
      </c>
      <c r="E120" s="462">
        <f t="shared" si="30"/>
        <v>0</v>
      </c>
      <c r="F120" s="619">
        <v>0</v>
      </c>
      <c r="G120" s="468" t="e">
        <f>SUM(H120:I120)</f>
        <v>#DIV/0!</v>
      </c>
      <c r="H120" s="468" t="e">
        <f>D120*F120</f>
        <v>#DIV/0!</v>
      </c>
      <c r="I120" s="468">
        <f>E120*F120</f>
        <v>0</v>
      </c>
      <c r="J120" s="492" t="s">
        <v>1714</v>
      </c>
    </row>
    <row r="121" spans="1:10" ht="13">
      <c r="A121" s="2">
        <f t="shared" si="26"/>
        <v>88</v>
      </c>
      <c r="B121" s="127" t="s">
        <v>1721</v>
      </c>
      <c r="C121" s="300" t="e">
        <f>SUM(C115:C120)</f>
        <v>#DIV/0!</v>
      </c>
      <c r="D121" s="300" t="e">
        <f>SUM(D115:D120)</f>
        <v>#DIV/0!</v>
      </c>
      <c r="E121" s="300">
        <f>SUM(E115:E120)</f>
        <v>0</v>
      </c>
      <c r="F121" s="223"/>
      <c r="G121" s="459" t="e">
        <f>SUM(G115:G120)</f>
        <v>#DIV/0!</v>
      </c>
      <c r="H121" s="459" t="e">
        <f>SUM(H115:H120)</f>
        <v>#DIV/0!</v>
      </c>
      <c r="I121" s="459" t="e">
        <f>SUM(I115:I120)</f>
        <v>#DIV/0!</v>
      </c>
    </row>
    <row r="122" spans="1:10" ht="13">
      <c r="A122" s="2">
        <f t="shared" si="26"/>
        <v>89</v>
      </c>
      <c r="B122" s="822"/>
      <c r="C122" s="823"/>
      <c r="D122" s="823"/>
      <c r="E122" s="823"/>
      <c r="F122" s="824"/>
      <c r="G122" s="825"/>
      <c r="H122" s="826"/>
      <c r="I122" s="825"/>
      <c r="J122" s="827"/>
    </row>
    <row r="123" spans="1:10" ht="13">
      <c r="A123" s="2">
        <f t="shared" si="26"/>
        <v>90</v>
      </c>
      <c r="C123" s="300"/>
      <c r="D123" s="300"/>
      <c r="E123" s="300"/>
      <c r="F123" s="469"/>
      <c r="G123" s="465"/>
      <c r="H123" s="465"/>
      <c r="I123" s="465"/>
    </row>
    <row r="124" spans="1:10" ht="13">
      <c r="A124" s="2">
        <f t="shared" si="26"/>
        <v>91</v>
      </c>
      <c r="B124" s="127" t="s">
        <v>1722</v>
      </c>
      <c r="C124" s="300" t="e">
        <f>+C106+C121</f>
        <v>#DIV/0!</v>
      </c>
      <c r="D124" s="300" t="e">
        <f>+D106+D121</f>
        <v>#DIV/0!</v>
      </c>
      <c r="E124" s="300">
        <f>+E106+E121</f>
        <v>0</v>
      </c>
      <c r="F124" s="19"/>
      <c r="G124" s="465" t="e">
        <f>+G106+G121</f>
        <v>#DIV/0!</v>
      </c>
      <c r="H124" s="300" t="e">
        <f>+H106+H121</f>
        <v>#DIV/0!</v>
      </c>
      <c r="I124" s="300" t="e">
        <f>+I106+I121</f>
        <v>#DIV/0!</v>
      </c>
    </row>
    <row r="125" spans="1:10" ht="13">
      <c r="A125" s="2">
        <f>A124+1</f>
        <v>92</v>
      </c>
      <c r="B125" s="241" t="str">
        <f>"Line "&amp;A106&amp;" + Line "&amp;A121&amp;""</f>
        <v>Line 80 + Line 88</v>
      </c>
      <c r="C125" s="823"/>
      <c r="D125" s="823"/>
      <c r="E125" s="823"/>
      <c r="F125" s="823"/>
      <c r="G125" s="823"/>
      <c r="H125" s="823"/>
      <c r="I125" s="823"/>
    </row>
    <row r="127" spans="1:10" ht="13">
      <c r="B127" s="225" t="s">
        <v>233</v>
      </c>
    </row>
    <row r="128" spans="1:10">
      <c r="B128" s="473" t="s">
        <v>1723</v>
      </c>
      <c r="H128" s="474"/>
      <c r="I128" s="474"/>
    </row>
    <row r="129" spans="2:10">
      <c r="B129" s="475" t="s">
        <v>1724</v>
      </c>
      <c r="H129" s="474"/>
      <c r="I129" s="474"/>
    </row>
    <row r="130" spans="2:10">
      <c r="B130" s="476" t="s">
        <v>1725</v>
      </c>
      <c r="H130" s="474"/>
      <c r="I130" s="474"/>
    </row>
    <row r="131" spans="2:10">
      <c r="B131" s="302" t="s">
        <v>1726</v>
      </c>
      <c r="H131" s="474"/>
      <c r="I131" s="474"/>
    </row>
    <row r="132" spans="2:10">
      <c r="B132" s="302" t="s">
        <v>1727</v>
      </c>
      <c r="H132" s="474"/>
      <c r="I132" s="474"/>
    </row>
    <row r="133" spans="2:10">
      <c r="B133" s="302" t="s">
        <v>1728</v>
      </c>
      <c r="H133" s="474"/>
      <c r="I133" s="474"/>
    </row>
    <row r="134" spans="2:10">
      <c r="B134" s="493" t="s">
        <v>1729</v>
      </c>
      <c r="H134" s="474"/>
      <c r="I134" s="474"/>
    </row>
    <row r="135" spans="2:10">
      <c r="B135" s="302" t="s">
        <v>1730</v>
      </c>
      <c r="H135" s="474"/>
      <c r="I135" s="474"/>
    </row>
    <row r="136" spans="2:10">
      <c r="B136" s="302" t="s">
        <v>1731</v>
      </c>
      <c r="H136" s="474"/>
      <c r="I136" s="474"/>
    </row>
    <row r="137" spans="2:10">
      <c r="B137" s="784"/>
      <c r="C137" s="314"/>
      <c r="D137" s="314"/>
      <c r="E137" s="448"/>
      <c r="F137" s="448"/>
      <c r="G137" s="785"/>
      <c r="H137" s="786"/>
      <c r="I137" s="786"/>
      <c r="J137" s="448"/>
    </row>
    <row r="138" spans="2:10">
      <c r="B138" s="241" t="s">
        <v>1732</v>
      </c>
      <c r="H138" s="474"/>
      <c r="I138" s="474"/>
    </row>
    <row r="139" spans="2:10">
      <c r="B139" s="241" t="s">
        <v>1733</v>
      </c>
      <c r="H139" s="474"/>
      <c r="I139" s="474"/>
    </row>
    <row r="140" spans="2:10">
      <c r="H140" s="474"/>
      <c r="I140" s="474"/>
    </row>
    <row r="141" spans="2:10">
      <c r="B141" s="254" t="s">
        <v>1734</v>
      </c>
      <c r="C141" s="813"/>
      <c r="H141" s="474"/>
      <c r="I141" s="474"/>
    </row>
    <row r="142" spans="2:10">
      <c r="H142" s="474"/>
      <c r="I142" s="474"/>
    </row>
    <row r="143" spans="2:10" ht="13">
      <c r="B143" s="477"/>
      <c r="C143" s="18" t="s">
        <v>525</v>
      </c>
      <c r="D143" s="18" t="s">
        <v>480</v>
      </c>
      <c r="H143" s="474"/>
      <c r="I143" s="474"/>
    </row>
    <row r="144" spans="2:10">
      <c r="B144" s="477" t="s">
        <v>1735</v>
      </c>
      <c r="C144" s="478" t="e">
        <f>D43/D60</f>
        <v>#DIV/0!</v>
      </c>
      <c r="D144" s="477" t="str">
        <f>"Line "&amp;A43&amp;", Col 3 / Line "&amp;A60&amp;", Col 3"</f>
        <v>Line 33, Col 3 / Line 43, Col 3</v>
      </c>
      <c r="H144" s="474"/>
      <c r="I144" s="474"/>
    </row>
    <row r="145" spans="2:11">
      <c r="B145" s="477" t="s">
        <v>1736</v>
      </c>
      <c r="C145" s="478" t="e">
        <f>D58/D60</f>
        <v>#DIV/0!</v>
      </c>
      <c r="D145" s="477" t="str">
        <f>"Line "&amp;A58&amp;", Col 3 / Line "&amp;A60&amp;", Col 3"</f>
        <v>Line 41, Col 3 / Line 43, Col 3</v>
      </c>
      <c r="H145" s="474"/>
      <c r="I145" s="474"/>
    </row>
    <row r="146" spans="2:11">
      <c r="H146" s="474"/>
      <c r="I146" s="474"/>
    </row>
    <row r="147" spans="2:11">
      <c r="B147" s="241" t="s">
        <v>1737</v>
      </c>
      <c r="H147" s="474"/>
      <c r="I147" s="474"/>
    </row>
    <row r="148" spans="2:11">
      <c r="B148" s="241" t="s">
        <v>1738</v>
      </c>
      <c r="H148" s="474"/>
      <c r="I148" s="474"/>
    </row>
    <row r="149" spans="2:11">
      <c r="B149" s="241" t="s">
        <v>1739</v>
      </c>
      <c r="C149" s="494" t="e">
        <f>(SUM(H74:H103)/SUM(D74:D103))</f>
        <v>#DIV/0!</v>
      </c>
      <c r="H149" s="474"/>
      <c r="I149" s="474"/>
    </row>
    <row r="150" spans="2:11">
      <c r="B150" s="241" t="s">
        <v>1740</v>
      </c>
      <c r="H150" s="474"/>
      <c r="I150" s="474"/>
    </row>
    <row r="151" spans="2:11">
      <c r="B151" s="241" t="s">
        <v>1741</v>
      </c>
      <c r="H151" s="474"/>
      <c r="I151" s="474"/>
    </row>
    <row r="152" spans="2:11">
      <c r="B152" s="241" t="s">
        <v>1742</v>
      </c>
      <c r="H152" s="474"/>
      <c r="I152" s="474"/>
    </row>
    <row r="153" spans="2:11">
      <c r="B153" s="303" t="s">
        <v>1743</v>
      </c>
      <c r="C153" s="303"/>
      <c r="D153" s="303"/>
      <c r="E153" s="303"/>
      <c r="F153" s="303"/>
      <c r="G153" s="337"/>
      <c r="H153" s="816"/>
      <c r="I153" s="816"/>
      <c r="J153" s="303"/>
      <c r="K153" s="303"/>
    </row>
    <row r="154" spans="2:11">
      <c r="B154" s="241" t="s">
        <v>1744</v>
      </c>
    </row>
    <row r="155" spans="2:11">
      <c r="B155" s="241" t="s">
        <v>1745</v>
      </c>
    </row>
  </sheetData>
  <mergeCells count="13">
    <mergeCell ref="B8:B9"/>
    <mergeCell ref="C8:E8"/>
    <mergeCell ref="G8:I8"/>
    <mergeCell ref="B71:B72"/>
    <mergeCell ref="C71:E71"/>
    <mergeCell ref="B49:B50"/>
    <mergeCell ref="C49:E49"/>
    <mergeCell ref="G49:I49"/>
    <mergeCell ref="J49:L49"/>
    <mergeCell ref="G112:I112"/>
    <mergeCell ref="G71:I71"/>
    <mergeCell ref="B112:B113"/>
    <mergeCell ref="C112:E112"/>
  </mergeCells>
  <pageMargins left="0.7" right="0.7" top="0.75" bottom="0.75" header="0.3" footer="0.3"/>
  <pageSetup scale="58" orientation="landscape" cellComments="asDisplayed" r:id="rId1"/>
  <headerFooter>
    <oddHeader xml:space="preserve">&amp;CSchedule 19
Operations and Maintenance
</oddHeader>
    <oddFooter>&amp;R&amp;A</oddFooter>
  </headerFooter>
  <rowBreaks count="3" manualBreakCount="3">
    <brk id="45" max="12" man="1"/>
    <brk id="65" max="12" man="1"/>
    <brk id="108"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CCC"/>
  </sheetPr>
  <dimension ref="A1:X120"/>
  <sheetViews>
    <sheetView zoomScaleNormal="100" workbookViewId="0">
      <selection activeCell="L41" sqref="L41"/>
    </sheetView>
  </sheetViews>
  <sheetFormatPr defaultRowHeight="12.5"/>
  <cols>
    <col min="1" max="1" width="4.54296875" customWidth="1"/>
    <col min="2" max="2" width="2.54296875" customWidth="1"/>
    <col min="3" max="3" width="8.54296875" customWidth="1"/>
    <col min="4" max="4" width="37.08984375" customWidth="1"/>
    <col min="5" max="5" width="14.54296875" customWidth="1"/>
    <col min="6" max="6" width="15.54296875" customWidth="1"/>
    <col min="7" max="8" width="14.54296875" customWidth="1"/>
    <col min="9" max="9" width="20" customWidth="1"/>
    <col min="10" max="10" width="15.54296875" customWidth="1"/>
    <col min="11" max="11" width="11.90625" bestFit="1" customWidth="1"/>
  </cols>
  <sheetData>
    <row r="1" spans="1:24" ht="13">
      <c r="A1" s="1" t="s">
        <v>47</v>
      </c>
      <c r="F1" s="27" t="s">
        <v>652</v>
      </c>
      <c r="G1" s="54"/>
      <c r="H1" s="37"/>
      <c r="I1" s="37"/>
    </row>
    <row r="2" spans="1:24" ht="13">
      <c r="A2" s="1"/>
      <c r="G2" s="231" t="s">
        <v>200</v>
      </c>
      <c r="H2" s="1066" t="s">
        <v>1746</v>
      </c>
      <c r="I2" s="84"/>
    </row>
    <row r="3" spans="1:24" ht="13">
      <c r="E3" s="48" t="s">
        <v>347</v>
      </c>
      <c r="F3" s="48" t="s">
        <v>348</v>
      </c>
      <c r="G3" s="48" t="s">
        <v>349</v>
      </c>
      <c r="H3" s="48" t="s">
        <v>1747</v>
      </c>
      <c r="I3" s="48" t="s">
        <v>350</v>
      </c>
      <c r="J3" s="37"/>
    </row>
    <row r="4" spans="1:24">
      <c r="E4" s="841"/>
      <c r="G4" s="37" t="s">
        <v>592</v>
      </c>
      <c r="H4" s="234" t="s">
        <v>361</v>
      </c>
      <c r="I4" s="239" t="s">
        <v>1748</v>
      </c>
    </row>
    <row r="5" spans="1:24" ht="13">
      <c r="E5" s="2" t="s">
        <v>1749</v>
      </c>
      <c r="F5" s="19" t="s">
        <v>693</v>
      </c>
      <c r="G5" s="2" t="s">
        <v>1750</v>
      </c>
      <c r="H5" s="2" t="s">
        <v>1751</v>
      </c>
      <c r="J5" s="2"/>
    </row>
    <row r="6" spans="1:24" ht="13">
      <c r="A6" s="32" t="s">
        <v>102</v>
      </c>
      <c r="B6" s="3"/>
      <c r="C6" s="3" t="s">
        <v>1752</v>
      </c>
      <c r="D6" s="3" t="s">
        <v>890</v>
      </c>
      <c r="E6" s="3" t="s">
        <v>81</v>
      </c>
      <c r="F6" s="18" t="s">
        <v>686</v>
      </c>
      <c r="G6" s="3" t="s">
        <v>1753</v>
      </c>
      <c r="H6" s="3" t="s">
        <v>251</v>
      </c>
      <c r="I6" s="3" t="s">
        <v>204</v>
      </c>
      <c r="J6" s="3" t="s">
        <v>103</v>
      </c>
      <c r="K6" s="3"/>
      <c r="L6" s="3"/>
      <c r="M6" s="3"/>
      <c r="N6" s="3"/>
      <c r="O6" s="3"/>
      <c r="P6" s="3"/>
      <c r="Q6" s="3"/>
      <c r="R6" s="3"/>
      <c r="S6" s="3"/>
      <c r="T6" s="3"/>
      <c r="U6" s="3"/>
      <c r="V6" s="3"/>
      <c r="W6" s="3"/>
      <c r="X6" s="3"/>
    </row>
    <row r="7" spans="1:24" ht="13">
      <c r="A7" s="2">
        <v>1</v>
      </c>
      <c r="C7" s="37">
        <v>920</v>
      </c>
      <c r="D7" t="s">
        <v>1754</v>
      </c>
      <c r="E7" s="5">
        <f>562693037-13997340</f>
        <v>548695697</v>
      </c>
      <c r="F7" s="37" t="s">
        <v>1755</v>
      </c>
      <c r="G7" s="6">
        <f>D41</f>
        <v>0</v>
      </c>
      <c r="H7" s="235">
        <f>'35-Other Formula Revenue'!D55</f>
        <v>0</v>
      </c>
      <c r="I7" s="235">
        <f>(E7-G7)+H7</f>
        <v>548695697</v>
      </c>
      <c r="J7" s="841"/>
    </row>
    <row r="8" spans="1:24" ht="13">
      <c r="A8" s="2">
        <f>A7+1</f>
        <v>2</v>
      </c>
      <c r="C8" s="37">
        <v>921</v>
      </c>
      <c r="D8" t="s">
        <v>1756</v>
      </c>
      <c r="E8" s="5">
        <v>296734009</v>
      </c>
      <c r="F8" s="37" t="s">
        <v>1757</v>
      </c>
      <c r="G8" s="6">
        <f t="shared" ref="G8:G23" si="0">D42</f>
        <v>0</v>
      </c>
      <c r="H8" s="235">
        <f>'35-Other Formula Revenue'!D56</f>
        <v>0</v>
      </c>
      <c r="I8" s="235">
        <f t="shared" ref="I8:I23" si="1">(E8-G8)+H8</f>
        <v>296734009</v>
      </c>
    </row>
    <row r="9" spans="1:24" ht="13">
      <c r="A9" s="2">
        <f>A8+1</f>
        <v>3</v>
      </c>
      <c r="C9" s="37">
        <v>922</v>
      </c>
      <c r="D9" t="s">
        <v>1758</v>
      </c>
      <c r="E9" s="5">
        <v>-280624548</v>
      </c>
      <c r="F9" s="37" t="s">
        <v>1759</v>
      </c>
      <c r="G9" s="6">
        <f t="shared" si="0"/>
        <v>0</v>
      </c>
      <c r="H9" s="235">
        <f>'35-Other Formula Revenue'!D57</f>
        <v>0</v>
      </c>
      <c r="I9" s="235">
        <f t="shared" si="1"/>
        <v>-280624548</v>
      </c>
      <c r="J9" s="37" t="s">
        <v>1760</v>
      </c>
    </row>
    <row r="10" spans="1:24" ht="13">
      <c r="A10" s="2">
        <f t="shared" ref="A10:A19" si="2">A9+1</f>
        <v>4</v>
      </c>
      <c r="B10" s="2"/>
      <c r="C10" s="37">
        <v>923</v>
      </c>
      <c r="D10" t="s">
        <v>1761</v>
      </c>
      <c r="E10" s="5">
        <v>46418407</v>
      </c>
      <c r="F10" s="37" t="s">
        <v>1762</v>
      </c>
      <c r="G10" s="6">
        <f t="shared" si="0"/>
        <v>0</v>
      </c>
      <c r="H10" s="235">
        <f>'35-Other Formula Revenue'!D58</f>
        <v>0</v>
      </c>
      <c r="I10" s="235">
        <f t="shared" si="1"/>
        <v>46418407</v>
      </c>
    </row>
    <row r="11" spans="1:24" ht="13">
      <c r="A11" s="2">
        <f t="shared" si="2"/>
        <v>5</v>
      </c>
      <c r="B11" s="2"/>
      <c r="C11" s="37">
        <v>924</v>
      </c>
      <c r="D11" t="s">
        <v>1763</v>
      </c>
      <c r="E11" s="5">
        <v>2344409</v>
      </c>
      <c r="F11" s="37" t="s">
        <v>1764</v>
      </c>
      <c r="G11" s="6">
        <f t="shared" si="0"/>
        <v>0</v>
      </c>
      <c r="H11" s="235">
        <f>'35-Other Formula Revenue'!D59</f>
        <v>0</v>
      </c>
      <c r="I11" s="235">
        <f t="shared" si="1"/>
        <v>2344409</v>
      </c>
    </row>
    <row r="12" spans="1:24" ht="13">
      <c r="A12" s="2">
        <f t="shared" si="2"/>
        <v>6</v>
      </c>
      <c r="B12" s="2"/>
      <c r="C12" s="37">
        <v>925</v>
      </c>
      <c r="D12" t="s">
        <v>1765</v>
      </c>
      <c r="E12" s="5">
        <v>960556413</v>
      </c>
      <c r="F12" s="37" t="s">
        <v>1766</v>
      </c>
      <c r="G12" s="6">
        <f t="shared" si="0"/>
        <v>0</v>
      </c>
      <c r="H12" s="235">
        <f>'35-Other Formula Revenue'!D60</f>
        <v>0</v>
      </c>
      <c r="I12" s="235">
        <f t="shared" si="1"/>
        <v>960556413</v>
      </c>
    </row>
    <row r="13" spans="1:24" ht="13">
      <c r="A13" s="2">
        <f t="shared" si="2"/>
        <v>7</v>
      </c>
      <c r="B13" s="2"/>
      <c r="C13" s="37">
        <v>926</v>
      </c>
      <c r="D13" t="s">
        <v>1767</v>
      </c>
      <c r="E13" s="5">
        <v>85321167</v>
      </c>
      <c r="F13" s="37" t="s">
        <v>1768</v>
      </c>
      <c r="G13" s="6">
        <f t="shared" si="0"/>
        <v>0</v>
      </c>
      <c r="H13" s="235">
        <f>'35-Other Formula Revenue'!D61</f>
        <v>0</v>
      </c>
      <c r="I13" s="235">
        <f t="shared" si="1"/>
        <v>85321167</v>
      </c>
    </row>
    <row r="14" spans="1:24" ht="13">
      <c r="A14" s="2">
        <f t="shared" si="2"/>
        <v>8</v>
      </c>
      <c r="B14" s="2"/>
      <c r="C14" s="37">
        <v>927</v>
      </c>
      <c r="D14" t="s">
        <v>1769</v>
      </c>
      <c r="E14" s="5">
        <v>160361363</v>
      </c>
      <c r="F14" s="37" t="s">
        <v>1770</v>
      </c>
      <c r="G14" s="6">
        <f t="shared" si="0"/>
        <v>160361363</v>
      </c>
      <c r="H14" s="235">
        <f>'35-Other Formula Revenue'!D62</f>
        <v>0</v>
      </c>
      <c r="I14" s="235">
        <f>(E14-G14)+H14-H14</f>
        <v>0</v>
      </c>
      <c r="J14" s="279" t="s">
        <v>1771</v>
      </c>
      <c r="L14" s="841"/>
    </row>
    <row r="15" spans="1:24" ht="13">
      <c r="A15" s="2">
        <f t="shared" si="2"/>
        <v>9</v>
      </c>
      <c r="B15" s="2"/>
      <c r="C15" s="37">
        <v>928</v>
      </c>
      <c r="D15" s="233" t="s">
        <v>1772</v>
      </c>
      <c r="E15" s="5">
        <v>16459026</v>
      </c>
      <c r="F15" s="37" t="s">
        <v>1773</v>
      </c>
      <c r="G15" s="6">
        <f t="shared" si="0"/>
        <v>0</v>
      </c>
      <c r="H15" s="235">
        <f>'35-Other Formula Revenue'!D63</f>
        <v>0</v>
      </c>
      <c r="I15" s="235">
        <f t="shared" si="1"/>
        <v>16459026</v>
      </c>
    </row>
    <row r="16" spans="1:24" ht="13.4" customHeight="1">
      <c r="A16" s="2">
        <f t="shared" si="2"/>
        <v>10</v>
      </c>
      <c r="B16" s="2"/>
      <c r="C16" s="37">
        <v>929</v>
      </c>
      <c r="D16" t="s">
        <v>1774</v>
      </c>
      <c r="E16" s="5">
        <v>0</v>
      </c>
      <c r="F16" s="37" t="s">
        <v>1775</v>
      </c>
      <c r="G16" s="6">
        <f t="shared" si="0"/>
        <v>0</v>
      </c>
      <c r="H16" s="235">
        <f>'35-Other Formula Revenue'!D64</f>
        <v>0</v>
      </c>
      <c r="I16" s="235">
        <f t="shared" si="1"/>
        <v>0</v>
      </c>
    </row>
    <row r="17" spans="1:10" ht="13">
      <c r="A17" s="2">
        <f t="shared" si="2"/>
        <v>11</v>
      </c>
      <c r="B17" s="2"/>
      <c r="C17" s="37">
        <v>930.1</v>
      </c>
      <c r="D17" t="s">
        <v>1776</v>
      </c>
      <c r="E17" s="5">
        <v>13407356</v>
      </c>
      <c r="F17" s="37" t="s">
        <v>1777</v>
      </c>
      <c r="G17" s="6">
        <f t="shared" si="0"/>
        <v>0</v>
      </c>
      <c r="H17" s="235">
        <f>'35-Other Formula Revenue'!D65</f>
        <v>0</v>
      </c>
      <c r="I17" s="235">
        <f>(E17-G17)+H17</f>
        <v>13407356</v>
      </c>
    </row>
    <row r="18" spans="1:10" ht="13">
      <c r="A18" s="2">
        <f t="shared" si="2"/>
        <v>12</v>
      </c>
      <c r="B18" s="2"/>
      <c r="C18" s="37">
        <v>930.2</v>
      </c>
      <c r="D18" t="s">
        <v>1778</v>
      </c>
      <c r="E18" s="5">
        <v>71499204</v>
      </c>
      <c r="F18" s="37" t="s">
        <v>1779</v>
      </c>
      <c r="G18" s="6">
        <f t="shared" si="0"/>
        <v>0</v>
      </c>
      <c r="H18" s="235">
        <f>'35-Other Formula Revenue'!D66</f>
        <v>0</v>
      </c>
      <c r="I18" s="235">
        <f t="shared" si="1"/>
        <v>71499204</v>
      </c>
    </row>
    <row r="19" spans="1:10" ht="13">
      <c r="A19" s="2">
        <f t="shared" si="2"/>
        <v>13</v>
      </c>
      <c r="B19" s="2"/>
      <c r="C19" s="37">
        <v>931</v>
      </c>
      <c r="D19" t="s">
        <v>1780</v>
      </c>
      <c r="E19" s="5">
        <v>8347016</v>
      </c>
      <c r="F19" s="37" t="s">
        <v>1781</v>
      </c>
      <c r="G19" s="6">
        <f t="shared" si="0"/>
        <v>0</v>
      </c>
      <c r="H19" s="235">
        <f>'35-Other Formula Revenue'!D67</f>
        <v>0</v>
      </c>
      <c r="I19" s="235">
        <f t="shared" si="1"/>
        <v>8347016</v>
      </c>
    </row>
    <row r="20" spans="1:10" ht="13.4" customHeight="1">
      <c r="A20" s="2" t="s">
        <v>3055</v>
      </c>
      <c r="B20" s="2"/>
      <c r="C20" s="1112">
        <v>935</v>
      </c>
      <c r="D20" s="245" t="s">
        <v>1782</v>
      </c>
      <c r="E20" s="531">
        <v>29379151</v>
      </c>
      <c r="F20" s="37" t="s">
        <v>1783</v>
      </c>
      <c r="G20" s="6">
        <f t="shared" si="0"/>
        <v>0</v>
      </c>
      <c r="H20" s="235">
        <f>'35-Other Formula Revenue'!D68</f>
        <v>0</v>
      </c>
      <c r="I20" s="235">
        <f t="shared" si="1"/>
        <v>29379151</v>
      </c>
    </row>
    <row r="21" spans="1:10" ht="13">
      <c r="A21" s="608" t="s">
        <v>667</v>
      </c>
      <c r="B21" s="2"/>
      <c r="C21" s="1168">
        <v>935.1</v>
      </c>
      <c r="D21" s="1169" t="s">
        <v>1784</v>
      </c>
      <c r="E21" s="1141"/>
      <c r="F21" s="1168" t="s">
        <v>1785</v>
      </c>
      <c r="G21" s="836">
        <f>D55</f>
        <v>0</v>
      </c>
      <c r="H21" s="836">
        <f>'35-Other Formula Revenue'!D69</f>
        <v>0</v>
      </c>
      <c r="I21" s="836">
        <f>(E21-G21)+H21</f>
        <v>0</v>
      </c>
      <c r="J21" s="664"/>
    </row>
    <row r="22" spans="1:10" ht="13">
      <c r="A22" s="608" t="s">
        <v>668</v>
      </c>
      <c r="B22" s="2"/>
      <c r="C22" s="1168">
        <v>935.2</v>
      </c>
      <c r="D22" s="1169" t="s">
        <v>1786</v>
      </c>
      <c r="E22" s="1141"/>
      <c r="F22" s="1168" t="s">
        <v>1787</v>
      </c>
      <c r="G22" s="836">
        <f t="shared" si="0"/>
        <v>0</v>
      </c>
      <c r="H22" s="836">
        <f>'35-Other Formula Revenue'!D70</f>
        <v>0</v>
      </c>
      <c r="I22" s="836">
        <f t="shared" si="1"/>
        <v>0</v>
      </c>
      <c r="J22" s="615"/>
    </row>
    <row r="23" spans="1:10" ht="13">
      <c r="A23" s="608" t="s">
        <v>669</v>
      </c>
      <c r="B23" s="2"/>
      <c r="C23" s="1168">
        <v>935.3</v>
      </c>
      <c r="D23" s="1169" t="s">
        <v>1788</v>
      </c>
      <c r="E23" s="1142"/>
      <c r="F23" s="1168" t="s">
        <v>1789</v>
      </c>
      <c r="G23" s="836">
        <f t="shared" si="0"/>
        <v>0</v>
      </c>
      <c r="H23" s="836">
        <f>'35-Other Formula Revenue'!D71</f>
        <v>0</v>
      </c>
      <c r="I23" s="836">
        <f t="shared" si="1"/>
        <v>0</v>
      </c>
      <c r="J23" s="615"/>
    </row>
    <row r="24" spans="1:10" ht="13">
      <c r="A24" s="2">
        <v>15</v>
      </c>
      <c r="E24" s="6">
        <f>SUM(E7:E23)</f>
        <v>1958898670</v>
      </c>
      <c r="H24" s="231" t="s">
        <v>1790</v>
      </c>
      <c r="I24" s="235">
        <f>SUM(I7:I23)</f>
        <v>1798537307</v>
      </c>
    </row>
    <row r="26" spans="1:10" ht="13">
      <c r="F26" s="3" t="s">
        <v>81</v>
      </c>
      <c r="G26" s="3" t="s">
        <v>686</v>
      </c>
      <c r="H26" s="845"/>
      <c r="I26" s="841"/>
    </row>
    <row r="27" spans="1:10" ht="13">
      <c r="A27" s="2">
        <f>A24+1</f>
        <v>16</v>
      </c>
      <c r="E27" s="231" t="s">
        <v>1791</v>
      </c>
      <c r="F27" s="6">
        <f>I24</f>
        <v>1798537307</v>
      </c>
      <c r="G27" s="232" t="str">
        <f>"Line "&amp;A24&amp;""</f>
        <v>Line 15</v>
      </c>
    </row>
    <row r="28" spans="1:10" ht="13">
      <c r="A28" s="2">
        <f t="shared" ref="A28:A34" si="3">A27+1</f>
        <v>17</v>
      </c>
      <c r="E28" s="231" t="s">
        <v>1792</v>
      </c>
      <c r="F28" s="53">
        <f>I11</f>
        <v>2344409</v>
      </c>
      <c r="G28" s="232" t="str">
        <f>"Line "&amp;A11&amp;""</f>
        <v>Line 5</v>
      </c>
    </row>
    <row r="29" spans="1:10" ht="13">
      <c r="A29" s="2">
        <f t="shared" si="3"/>
        <v>18</v>
      </c>
      <c r="E29" s="231" t="s">
        <v>1793</v>
      </c>
      <c r="F29" s="6">
        <f>F27-F28</f>
        <v>1796192898</v>
      </c>
      <c r="G29" s="232" t="str">
        <f>"Line "&amp;A27&amp;" - Line "&amp;A28&amp;""</f>
        <v>Line 16 - Line 17</v>
      </c>
    </row>
    <row r="30" spans="1:10" ht="13">
      <c r="A30" s="2">
        <f t="shared" si="3"/>
        <v>19</v>
      </c>
      <c r="E30" s="25" t="s">
        <v>1794</v>
      </c>
      <c r="F30" s="29" t="e">
        <f>'27-Allocators'!G15</f>
        <v>#DIV/0!</v>
      </c>
      <c r="G30" s="232" t="str">
        <f>"27-Allocators, Line "&amp;'27-Allocators'!A15&amp;""</f>
        <v>27-Allocators, Line 9</v>
      </c>
    </row>
    <row r="31" spans="1:10" ht="13">
      <c r="A31" s="2">
        <f t="shared" si="3"/>
        <v>20</v>
      </c>
      <c r="E31" s="231" t="s">
        <v>1795</v>
      </c>
      <c r="F31" s="6" t="e">
        <f>F29*F30</f>
        <v>#DIV/0!</v>
      </c>
      <c r="G31" s="232" t="str">
        <f>"Line "&amp;A29&amp;" * Line "&amp;A30&amp;""</f>
        <v>Line 18 * Line 19</v>
      </c>
    </row>
    <row r="32" spans="1:10" ht="13">
      <c r="A32" s="2">
        <f t="shared" si="3"/>
        <v>21</v>
      </c>
      <c r="E32" s="231" t="s">
        <v>1796</v>
      </c>
      <c r="F32" s="7" t="e">
        <f>'27-Allocators'!G28</f>
        <v>#DIV/0!</v>
      </c>
      <c r="G32" s="12" t="str">
        <f>"27-Allocators, Line "&amp;'27-Allocators'!A28&amp;""</f>
        <v>27-Allocators, Line 22</v>
      </c>
    </row>
    <row r="33" spans="1:11" ht="13">
      <c r="A33" s="2">
        <f t="shared" si="3"/>
        <v>22</v>
      </c>
      <c r="E33" s="231" t="s">
        <v>1797</v>
      </c>
      <c r="F33" s="53" t="e">
        <f>I11*F32</f>
        <v>#DIV/0!</v>
      </c>
      <c r="G33" s="232" t="str">
        <f>"Line "&amp;A11&amp;" Col 4 * Line "&amp;A32&amp;""</f>
        <v>Line 5 Col 4 * Line 21</v>
      </c>
    </row>
    <row r="34" spans="1:11" ht="13">
      <c r="A34" s="2">
        <f t="shared" si="3"/>
        <v>23</v>
      </c>
      <c r="E34" s="231" t="s">
        <v>1798</v>
      </c>
      <c r="F34" s="235" t="e">
        <f>F31+F33</f>
        <v>#DIV/0!</v>
      </c>
      <c r="G34" s="232" t="str">
        <f>"Line "&amp;A31&amp;" + Line "&amp;A33&amp;""</f>
        <v>Line 20 + Line 22</v>
      </c>
    </row>
    <row r="36" spans="1:11" ht="13">
      <c r="B36" s="1" t="s">
        <v>1799</v>
      </c>
      <c r="E36" s="48" t="s">
        <v>347</v>
      </c>
      <c r="F36" s="48" t="s">
        <v>348</v>
      </c>
      <c r="G36" s="48" t="s">
        <v>349</v>
      </c>
      <c r="H36" s="48" t="s">
        <v>350</v>
      </c>
    </row>
    <row r="37" spans="1:11" ht="13">
      <c r="B37" s="1"/>
      <c r="C37" s="39" t="s">
        <v>200</v>
      </c>
      <c r="D37" s="1066" t="s">
        <v>1746</v>
      </c>
      <c r="E37" s="2" t="s">
        <v>1800</v>
      </c>
      <c r="F37" s="48"/>
      <c r="G37" s="48"/>
      <c r="H37" s="48"/>
    </row>
    <row r="38" spans="1:11" ht="13">
      <c r="E38" s="2" t="s">
        <v>1801</v>
      </c>
    </row>
    <row r="39" spans="1:11" ht="13">
      <c r="D39" s="2" t="s">
        <v>1802</v>
      </c>
      <c r="E39" s="2" t="s">
        <v>1803</v>
      </c>
      <c r="F39" s="2" t="s">
        <v>1804</v>
      </c>
      <c r="G39" s="2"/>
      <c r="H39" s="2"/>
    </row>
    <row r="40" spans="1:11" ht="13">
      <c r="C40" s="3" t="s">
        <v>1752</v>
      </c>
      <c r="D40" s="48" t="s">
        <v>1805</v>
      </c>
      <c r="E40" s="3" t="s">
        <v>1643</v>
      </c>
      <c r="F40" s="3" t="s">
        <v>1806</v>
      </c>
      <c r="G40" s="3" t="s">
        <v>1807</v>
      </c>
      <c r="H40" s="3" t="s">
        <v>1808</v>
      </c>
      <c r="I40" s="3" t="s">
        <v>103</v>
      </c>
    </row>
    <row r="41" spans="1:11" ht="13">
      <c r="A41" s="2">
        <f>A34+1</f>
        <v>24</v>
      </c>
      <c r="C41" s="37">
        <v>920</v>
      </c>
      <c r="D41" s="79">
        <f>SUM(E41:H41)</f>
        <v>0</v>
      </c>
      <c r="E41" s="253"/>
      <c r="F41" s="59"/>
      <c r="G41" s="6">
        <f>G65</f>
        <v>0</v>
      </c>
      <c r="H41" s="59"/>
      <c r="I41" s="232" t="s">
        <v>1809</v>
      </c>
    </row>
    <row r="42" spans="1:11" ht="13">
      <c r="A42" s="2">
        <f>A41+1</f>
        <v>25</v>
      </c>
      <c r="C42" s="37">
        <v>921</v>
      </c>
      <c r="D42" s="79">
        <f t="shared" ref="D42:D57" si="4">SUM(E42:H42)</f>
        <v>0</v>
      </c>
      <c r="E42" s="253"/>
      <c r="F42" s="59"/>
      <c r="G42" s="59"/>
      <c r="H42" s="59"/>
      <c r="I42" s="12"/>
      <c r="K42" s="235"/>
    </row>
    <row r="43" spans="1:11" ht="13">
      <c r="A43" s="2">
        <f t="shared" ref="A43:A57" si="5">A42+1</f>
        <v>26</v>
      </c>
      <c r="C43" s="37">
        <v>922</v>
      </c>
      <c r="D43" s="79">
        <f t="shared" si="4"/>
        <v>0</v>
      </c>
      <c r="E43" s="253"/>
      <c r="F43" s="253"/>
      <c r="G43" s="253"/>
      <c r="H43" s="59"/>
      <c r="I43" s="12"/>
      <c r="K43" s="235"/>
    </row>
    <row r="44" spans="1:11" ht="13">
      <c r="A44" s="2">
        <f t="shared" si="5"/>
        <v>27</v>
      </c>
      <c r="C44" s="37">
        <v>923</v>
      </c>
      <c r="D44" s="79">
        <f t="shared" si="4"/>
        <v>0</v>
      </c>
      <c r="E44" s="253"/>
      <c r="F44" s="59"/>
      <c r="G44" s="59"/>
      <c r="H44" s="59"/>
      <c r="I44" s="12"/>
      <c r="J44" s="3"/>
      <c r="K44" s="235"/>
    </row>
    <row r="45" spans="1:11" ht="13">
      <c r="A45" s="2">
        <f t="shared" si="5"/>
        <v>28</v>
      </c>
      <c r="C45" s="37">
        <v>924</v>
      </c>
      <c r="D45" s="79">
        <f t="shared" si="4"/>
        <v>0</v>
      </c>
      <c r="E45" s="253"/>
      <c r="F45" s="59"/>
      <c r="G45" s="59"/>
      <c r="H45" s="59"/>
      <c r="I45" s="12"/>
      <c r="K45" s="235"/>
    </row>
    <row r="46" spans="1:11" ht="13">
      <c r="A46" s="2">
        <f t="shared" si="5"/>
        <v>29</v>
      </c>
      <c r="C46" s="37">
        <v>925</v>
      </c>
      <c r="D46" s="79">
        <f t="shared" si="4"/>
        <v>0</v>
      </c>
      <c r="E46" s="253"/>
      <c r="F46" s="59"/>
      <c r="G46" s="59"/>
      <c r="H46" s="59"/>
      <c r="I46" s="232" t="s">
        <v>1810</v>
      </c>
      <c r="K46" s="235"/>
    </row>
    <row r="47" spans="1:11" ht="13">
      <c r="A47" s="2">
        <f t="shared" si="5"/>
        <v>30</v>
      </c>
      <c r="C47" s="37">
        <v>926</v>
      </c>
      <c r="D47" s="79">
        <f>SUM(E47:H47)</f>
        <v>0</v>
      </c>
      <c r="E47" s="253"/>
      <c r="F47" s="59"/>
      <c r="G47" s="59"/>
      <c r="H47" s="6">
        <f>E78</f>
        <v>0</v>
      </c>
      <c r="I47" s="232" t="s">
        <v>358</v>
      </c>
      <c r="K47" s="235"/>
    </row>
    <row r="48" spans="1:11" ht="13">
      <c r="A48" s="2">
        <f t="shared" si="5"/>
        <v>31</v>
      </c>
      <c r="C48" s="37">
        <v>927</v>
      </c>
      <c r="D48" s="79">
        <f>SUM(E48:H48)</f>
        <v>160361363</v>
      </c>
      <c r="E48" s="6">
        <v>0</v>
      </c>
      <c r="F48" s="6">
        <f>E14</f>
        <v>160361363</v>
      </c>
      <c r="G48" s="6">
        <v>0</v>
      </c>
      <c r="H48" s="6">
        <v>0</v>
      </c>
      <c r="I48" s="12" t="s">
        <v>359</v>
      </c>
      <c r="K48" s="235"/>
    </row>
    <row r="49" spans="1:11" ht="13">
      <c r="A49" s="2">
        <f t="shared" si="5"/>
        <v>32</v>
      </c>
      <c r="C49" s="37">
        <v>928</v>
      </c>
      <c r="D49" s="79">
        <f t="shared" si="4"/>
        <v>0</v>
      </c>
      <c r="E49" s="253"/>
      <c r="F49" s="116"/>
      <c r="G49" s="315"/>
      <c r="H49" s="59"/>
      <c r="I49" s="12"/>
      <c r="K49" s="6"/>
    </row>
    <row r="50" spans="1:11" ht="13">
      <c r="A50" s="2">
        <f t="shared" si="5"/>
        <v>33</v>
      </c>
      <c r="C50" s="37">
        <v>929</v>
      </c>
      <c r="D50" s="79">
        <f t="shared" si="4"/>
        <v>0</v>
      </c>
      <c r="E50" s="253"/>
      <c r="F50" s="116"/>
      <c r="G50" s="315"/>
      <c r="H50" s="59"/>
      <c r="I50" s="12"/>
      <c r="K50" s="6"/>
    </row>
    <row r="51" spans="1:11" ht="13">
      <c r="A51" s="2">
        <f t="shared" si="5"/>
        <v>34</v>
      </c>
      <c r="C51" s="37">
        <v>930.1</v>
      </c>
      <c r="D51" s="79">
        <f t="shared" si="4"/>
        <v>0</v>
      </c>
      <c r="E51" s="253"/>
      <c r="F51" s="253"/>
      <c r="G51" s="315"/>
      <c r="H51" s="59"/>
      <c r="I51" s="12"/>
      <c r="K51" s="6"/>
    </row>
    <row r="52" spans="1:11" ht="13">
      <c r="A52" s="2">
        <f t="shared" si="5"/>
        <v>35</v>
      </c>
      <c r="C52" s="37">
        <v>930.2</v>
      </c>
      <c r="D52" s="79">
        <f t="shared" si="4"/>
        <v>0</v>
      </c>
      <c r="E52" s="253"/>
      <c r="F52" s="116"/>
      <c r="G52" s="315"/>
      <c r="H52" s="59"/>
      <c r="I52" s="12"/>
      <c r="J52" s="235"/>
    </row>
    <row r="53" spans="1:11" ht="13">
      <c r="A53" s="2">
        <f t="shared" si="5"/>
        <v>36</v>
      </c>
      <c r="C53" s="37">
        <v>931</v>
      </c>
      <c r="D53" s="79">
        <f t="shared" si="4"/>
        <v>0</v>
      </c>
      <c r="E53" s="253"/>
      <c r="F53" s="116"/>
      <c r="G53" s="315"/>
      <c r="H53" s="59"/>
      <c r="I53" s="12"/>
      <c r="J53" s="6"/>
    </row>
    <row r="54" spans="1:11" ht="13">
      <c r="A54" s="2">
        <f t="shared" si="5"/>
        <v>37</v>
      </c>
      <c r="C54" s="37">
        <v>935</v>
      </c>
      <c r="D54" s="79">
        <f t="shared" si="4"/>
        <v>0</v>
      </c>
      <c r="E54" s="253"/>
      <c r="F54" s="116"/>
      <c r="G54" s="315"/>
      <c r="H54" s="59"/>
      <c r="I54" s="1032"/>
    </row>
    <row r="55" spans="1:11" ht="13">
      <c r="A55" s="1069">
        <f t="shared" si="5"/>
        <v>38</v>
      </c>
      <c r="B55" s="615"/>
      <c r="C55" s="1103">
        <v>935.1</v>
      </c>
      <c r="D55" s="1143">
        <f t="shared" si="4"/>
        <v>0</v>
      </c>
      <c r="E55" s="1144"/>
      <c r="F55" s="1144"/>
      <c r="G55" s="1145"/>
      <c r="H55" s="1144"/>
      <c r="I55" s="1032"/>
    </row>
    <row r="56" spans="1:11" ht="13">
      <c r="A56" s="1069">
        <f t="shared" si="5"/>
        <v>39</v>
      </c>
      <c r="B56" s="615"/>
      <c r="C56" s="1103">
        <v>935.2</v>
      </c>
      <c r="D56" s="1143">
        <f t="shared" si="4"/>
        <v>0</v>
      </c>
      <c r="E56" s="1144"/>
      <c r="F56" s="1144"/>
      <c r="G56" s="1145"/>
      <c r="H56" s="1144"/>
      <c r="I56" s="1032"/>
    </row>
    <row r="57" spans="1:11" ht="13">
      <c r="A57" s="1069">
        <f t="shared" si="5"/>
        <v>40</v>
      </c>
      <c r="B57" s="615"/>
      <c r="C57" s="1103">
        <v>935.3</v>
      </c>
      <c r="D57" s="1143">
        <f t="shared" si="4"/>
        <v>0</v>
      </c>
      <c r="E57" s="1144"/>
      <c r="F57" s="1144"/>
      <c r="G57" s="1145"/>
      <c r="H57" s="1144"/>
      <c r="I57" s="1032"/>
    </row>
    <row r="58" spans="1:11" ht="13">
      <c r="A58" s="2"/>
      <c r="C58" s="37"/>
      <c r="D58" s="79"/>
      <c r="E58" s="79"/>
      <c r="F58" s="79"/>
      <c r="G58" s="79"/>
      <c r="H58" s="6"/>
      <c r="I58" s="12"/>
    </row>
    <row r="59" spans="1:11" ht="13">
      <c r="B59" s="1" t="s">
        <v>1811</v>
      </c>
    </row>
    <row r="60" spans="1:11" ht="13">
      <c r="B60" s="1"/>
      <c r="C60" s="233" t="s">
        <v>1812</v>
      </c>
      <c r="G60" s="2"/>
      <c r="H60" s="2"/>
    </row>
    <row r="61" spans="1:11" ht="13">
      <c r="B61" s="1"/>
      <c r="C61" s="303" t="s">
        <v>1813</v>
      </c>
      <c r="D61" s="303"/>
      <c r="E61" s="303"/>
      <c r="G61" s="2"/>
      <c r="H61" s="2"/>
    </row>
    <row r="62" spans="1:11" ht="13">
      <c r="B62" s="1"/>
      <c r="C62" s="39"/>
      <c r="D62" s="39"/>
      <c r="G62" s="3" t="s">
        <v>81</v>
      </c>
      <c r="H62" s="3" t="s">
        <v>686</v>
      </c>
    </row>
    <row r="63" spans="1:11" ht="13">
      <c r="A63" s="2"/>
      <c r="B63" s="2" t="s">
        <v>529</v>
      </c>
      <c r="C63" s="662"/>
      <c r="F63" s="231" t="s">
        <v>1814</v>
      </c>
      <c r="G63" s="253"/>
      <c r="H63" s="232" t="s">
        <v>969</v>
      </c>
    </row>
    <row r="64" spans="1:11" ht="13">
      <c r="A64" s="2"/>
      <c r="B64" s="2" t="s">
        <v>532</v>
      </c>
      <c r="C64" s="233"/>
      <c r="F64" s="231" t="s">
        <v>1815</v>
      </c>
      <c r="G64" s="53">
        <f>E68</f>
        <v>0</v>
      </c>
      <c r="H64" s="232" t="str">
        <f>"Note 2, "&amp;B68&amp;""</f>
        <v>Note 2, d</v>
      </c>
    </row>
    <row r="65" spans="1:9" ht="13">
      <c r="A65" s="2"/>
      <c r="B65" s="2" t="s">
        <v>535</v>
      </c>
      <c r="F65" s="231" t="s">
        <v>1816</v>
      </c>
      <c r="G65" s="6">
        <f>G63-G64</f>
        <v>0</v>
      </c>
    </row>
    <row r="66" spans="1:9" ht="13">
      <c r="A66" s="2"/>
      <c r="C66" s="303" t="s">
        <v>1817</v>
      </c>
      <c r="D66" s="303"/>
      <c r="E66" s="303"/>
      <c r="G66" s="6"/>
    </row>
    <row r="67" spans="1:9" ht="13">
      <c r="A67" s="2"/>
      <c r="D67" s="30" t="s">
        <v>1818</v>
      </c>
      <c r="E67" s="3" t="s">
        <v>81</v>
      </c>
      <c r="F67" s="3" t="s">
        <v>686</v>
      </c>
      <c r="G67" s="6"/>
    </row>
    <row r="68" spans="1:9" ht="13">
      <c r="A68" s="2"/>
      <c r="B68" s="2" t="s">
        <v>537</v>
      </c>
      <c r="D68" t="s">
        <v>1819</v>
      </c>
      <c r="E68" s="315"/>
      <c r="F68" s="232" t="s">
        <v>1820</v>
      </c>
      <c r="G68" s="6"/>
    </row>
    <row r="69" spans="1:9" ht="13">
      <c r="A69" s="2"/>
      <c r="B69" s="2" t="s">
        <v>541</v>
      </c>
      <c r="D69" s="233" t="s">
        <v>426</v>
      </c>
      <c r="E69" s="315"/>
      <c r="F69" s="232" t="s">
        <v>1820</v>
      </c>
      <c r="G69" s="6"/>
      <c r="I69" s="306"/>
    </row>
    <row r="70" spans="1:9" ht="13">
      <c r="A70" s="2"/>
      <c r="B70" s="2" t="s">
        <v>543</v>
      </c>
      <c r="D70" s="233" t="s">
        <v>1821</v>
      </c>
      <c r="E70" s="1088"/>
      <c r="F70" s="232" t="s">
        <v>1820</v>
      </c>
      <c r="G70" s="6"/>
      <c r="I70" s="6"/>
    </row>
    <row r="71" spans="1:9" ht="13">
      <c r="A71" s="2"/>
      <c r="B71" s="2" t="s">
        <v>545</v>
      </c>
      <c r="D71" s="231" t="s">
        <v>420</v>
      </c>
      <c r="E71" s="6">
        <f>SUM(E68:E70)</f>
        <v>0</v>
      </c>
      <c r="F71" s="232" t="str">
        <f>"Sum of "&amp;B68&amp;" to "&amp;B70&amp;""</f>
        <v>Sum of d to f</v>
      </c>
      <c r="G71" s="6"/>
    </row>
    <row r="73" spans="1:9" ht="13">
      <c r="B73" s="1" t="s">
        <v>1822</v>
      </c>
    </row>
    <row r="74" spans="1:9" ht="13">
      <c r="E74" s="3" t="s">
        <v>81</v>
      </c>
      <c r="F74" s="30" t="s">
        <v>418</v>
      </c>
    </row>
    <row r="75" spans="1:9" ht="13">
      <c r="A75" s="2"/>
      <c r="B75" s="2" t="s">
        <v>529</v>
      </c>
      <c r="D75" s="231" t="s">
        <v>1823</v>
      </c>
      <c r="E75" s="261">
        <v>0</v>
      </c>
      <c r="F75" s="232" t="s">
        <v>1824</v>
      </c>
    </row>
    <row r="76" spans="1:9" ht="13">
      <c r="A76" s="2"/>
      <c r="B76" s="2" t="s">
        <v>532</v>
      </c>
      <c r="D76" s="231" t="s">
        <v>1825</v>
      </c>
      <c r="E76" s="263"/>
      <c r="F76" s="232" t="s">
        <v>1826</v>
      </c>
    </row>
    <row r="77" spans="1:9" ht="13">
      <c r="A77" s="2"/>
      <c r="B77" s="2" t="s">
        <v>535</v>
      </c>
      <c r="D77" s="231" t="s">
        <v>1827</v>
      </c>
      <c r="E77" s="61"/>
      <c r="F77" s="232" t="s">
        <v>969</v>
      </c>
    </row>
    <row r="78" spans="1:9" ht="13">
      <c r="A78" s="2"/>
      <c r="B78" s="2" t="s">
        <v>537</v>
      </c>
      <c r="D78" s="231" t="s">
        <v>1828</v>
      </c>
      <c r="E78" s="6">
        <f>E77-E76</f>
        <v>0</v>
      </c>
      <c r="F78" s="232" t="str">
        <f>""&amp;B77&amp;" - "&amp;B76&amp;""</f>
        <v>c - b</v>
      </c>
    </row>
    <row r="79" spans="1:9" ht="13">
      <c r="A79" s="2"/>
      <c r="B79" s="1" t="s">
        <v>1829</v>
      </c>
      <c r="D79" s="231"/>
      <c r="E79" s="6"/>
      <c r="F79" s="232"/>
    </row>
    <row r="80" spans="1:9" ht="13">
      <c r="A80" s="2"/>
      <c r="B80" s="1"/>
      <c r="C80" t="str">
        <f>"Amount in Line "&amp;A48&amp;", column 2 equals amount in Line "&amp;A14&amp;", column 1 because all Franchise Requirements Expenses are excluded"</f>
        <v>Amount in Line 31, column 2 equals amount in Line 8, column 1 because all Franchise Requirements Expenses are excluded</v>
      </c>
      <c r="D80" s="231"/>
      <c r="E80" s="6"/>
      <c r="F80" s="232"/>
    </row>
    <row r="81" spans="1:8" ht="13">
      <c r="A81" s="2"/>
      <c r="B81" s="1"/>
      <c r="C81" s="233" t="s">
        <v>1830</v>
      </c>
      <c r="D81" s="231"/>
      <c r="E81" s="6"/>
      <c r="F81" s="232"/>
    </row>
    <row r="82" spans="1:8" ht="13">
      <c r="A82" s="2"/>
      <c r="B82" s="1" t="s">
        <v>1831</v>
      </c>
      <c r="C82" s="233"/>
      <c r="D82" s="231"/>
      <c r="E82" s="235"/>
      <c r="F82" s="232"/>
      <c r="G82" s="233"/>
      <c r="H82" s="233"/>
    </row>
    <row r="83" spans="1:8" ht="13">
      <c r="A83" s="2"/>
      <c r="B83" s="1"/>
      <c r="C83" s="233" t="s">
        <v>1832</v>
      </c>
      <c r="D83" s="231"/>
      <c r="E83" s="235"/>
      <c r="F83" s="232"/>
      <c r="G83" s="233"/>
      <c r="H83" s="233"/>
    </row>
    <row r="84" spans="1:8" ht="13">
      <c r="A84" s="2"/>
      <c r="B84" s="1"/>
      <c r="C84" s="233" t="s">
        <v>1833</v>
      </c>
      <c r="D84" s="231"/>
      <c r="E84" s="235"/>
      <c r="F84" s="232"/>
      <c r="G84" s="233"/>
      <c r="H84" s="233"/>
    </row>
    <row r="85" spans="1:8">
      <c r="B85" s="233"/>
      <c r="C85" s="233" t="s">
        <v>1834</v>
      </c>
      <c r="D85" s="233"/>
      <c r="E85" s="233"/>
      <c r="F85" s="233"/>
      <c r="G85" s="233"/>
      <c r="H85" s="233"/>
    </row>
    <row r="86" spans="1:8" ht="13">
      <c r="B86" s="1" t="s">
        <v>444</v>
      </c>
    </row>
    <row r="87" spans="1:8">
      <c r="C87" s="233" t="str">
        <f>"1) Enter amounts of A&amp;G expenses from FERC Form 1 in Lines "&amp;A7&amp;" to "&amp;A20&amp;"."</f>
        <v>1) Enter amounts of A&amp;G expenses from FERC Form 1 in Lines 1 to 14a.</v>
      </c>
    </row>
    <row r="88" spans="1:8">
      <c r="C88" s="233" t="s">
        <v>1835</v>
      </c>
      <c r="G88" t="str">
        <f>"Column 3, Line "&amp;A41&amp;""</f>
        <v>Column 3, Line 24</v>
      </c>
    </row>
    <row r="89" spans="1:8">
      <c r="C89" s="232" t="str">
        <f>"is calculated in Note 2.  The PBOPs exclusion in Column 4, Line "&amp;A47&amp;" is calculated in Note 3."</f>
        <v>is calculated in Note 2.  The PBOPs exclusion in Column 4, Line 30 is calculated in Note 3.</v>
      </c>
      <c r="G89" s="233"/>
    </row>
    <row r="90" spans="1:8">
      <c r="C90" s="232" t="s">
        <v>1836</v>
      </c>
    </row>
    <row r="91" spans="1:8" s="1107" customFormat="1">
      <c r="C91" s="232" t="s">
        <v>1837</v>
      </c>
      <c r="D91" s="231"/>
      <c r="E91" s="1153"/>
      <c r="F91" s="1154"/>
    </row>
    <row r="92" spans="1:8" s="1107" customFormat="1">
      <c r="C92" s="232" t="s">
        <v>1838</v>
      </c>
      <c r="D92" s="231"/>
      <c r="E92" s="1153"/>
      <c r="F92" s="1154"/>
    </row>
    <row r="93" spans="1:8">
      <c r="C93" s="232" t="s">
        <v>1839</v>
      </c>
    </row>
    <row r="94" spans="1:8">
      <c r="C94" s="232" t="s">
        <v>1840</v>
      </c>
    </row>
    <row r="95" spans="1:8">
      <c r="C95" s="232" t="s">
        <v>1841</v>
      </c>
    </row>
    <row r="96" spans="1:8">
      <c r="C96" s="232" t="s">
        <v>1842</v>
      </c>
    </row>
    <row r="97" spans="3:10">
      <c r="C97" s="232" t="s">
        <v>1843</v>
      </c>
    </row>
    <row r="98" spans="3:10">
      <c r="C98" s="232" t="s">
        <v>1844</v>
      </c>
      <c r="D98" s="233"/>
      <c r="E98" s="495"/>
      <c r="F98" s="495"/>
      <c r="G98" s="495"/>
    </row>
    <row r="99" spans="3:10">
      <c r="C99" s="247" t="s">
        <v>1845</v>
      </c>
      <c r="D99" s="233"/>
      <c r="E99" s="495"/>
      <c r="F99" s="495"/>
      <c r="G99" s="495"/>
    </row>
    <row r="100" spans="3:10">
      <c r="C100" s="247" t="s">
        <v>1846</v>
      </c>
      <c r="D100" s="233"/>
      <c r="E100" s="495"/>
      <c r="F100" s="495"/>
      <c r="G100" s="495"/>
    </row>
    <row r="101" spans="3:10">
      <c r="C101" s="247" t="s">
        <v>1847</v>
      </c>
      <c r="D101" s="233"/>
      <c r="E101" s="495"/>
      <c r="F101" s="495"/>
      <c r="G101" s="495"/>
    </row>
    <row r="102" spans="3:10">
      <c r="C102" s="232" t="s">
        <v>1848</v>
      </c>
      <c r="D102" s="233"/>
      <c r="E102" s="495"/>
      <c r="F102" s="495"/>
      <c r="G102" s="495"/>
    </row>
    <row r="103" spans="3:10">
      <c r="C103" s="247" t="s">
        <v>1849</v>
      </c>
      <c r="D103" s="233"/>
      <c r="E103" s="495"/>
      <c r="F103" s="495"/>
      <c r="G103" s="495"/>
    </row>
    <row r="104" spans="3:10">
      <c r="C104" s="247" t="s">
        <v>1850</v>
      </c>
      <c r="D104" s="233"/>
      <c r="E104" s="495"/>
      <c r="F104" s="495"/>
      <c r="G104" s="495"/>
    </row>
    <row r="105" spans="3:10">
      <c r="C105" s="247" t="s">
        <v>1851</v>
      </c>
      <c r="D105" s="233"/>
      <c r="E105" s="495"/>
      <c r="F105" s="495"/>
      <c r="G105" s="495"/>
    </row>
    <row r="106" spans="3:10">
      <c r="C106" s="247" t="s">
        <v>1852</v>
      </c>
      <c r="D106" s="233"/>
      <c r="E106" s="495"/>
      <c r="F106" s="495"/>
      <c r="G106" s="495"/>
    </row>
    <row r="107" spans="3:10" ht="13">
      <c r="C107" s="329" t="s">
        <v>1853</v>
      </c>
      <c r="D107" s="303"/>
      <c r="E107" s="303"/>
      <c r="F107" s="303"/>
      <c r="G107" s="303"/>
      <c r="H107" s="303"/>
      <c r="I107" s="303"/>
      <c r="J107" s="303"/>
    </row>
    <row r="108" spans="3:10">
      <c r="C108" s="233" t="s">
        <v>1854</v>
      </c>
    </row>
    <row r="109" spans="3:10">
      <c r="C109" s="329" t="s">
        <v>1855</v>
      </c>
      <c r="D109" s="303"/>
      <c r="E109" s="303"/>
      <c r="F109" s="303"/>
      <c r="G109" s="303"/>
      <c r="H109" s="303"/>
      <c r="I109" s="303"/>
    </row>
    <row r="110" spans="3:10">
      <c r="C110" s="233" t="str">
        <f>"4) Determine the PBOPs exclusion.  The authorized amount of PBOPs expense (line "&amp;B75&amp;") may only be revised"</f>
        <v>4) Determine the PBOPs exclusion.  The authorized amount of PBOPs expense (line a) may only be revised</v>
      </c>
    </row>
    <row r="111" spans="3:10">
      <c r="C111" s="233" t="s">
        <v>1856</v>
      </c>
    </row>
    <row r="112" spans="3:10">
      <c r="C112" s="233" t="s">
        <v>1857</v>
      </c>
    </row>
    <row r="113" spans="3:10">
      <c r="C113" s="233" t="s">
        <v>1858</v>
      </c>
      <c r="I113" s="240"/>
      <c r="J113" s="240"/>
    </row>
    <row r="114" spans="3:10">
      <c r="C114" s="233" t="s">
        <v>1859</v>
      </c>
    </row>
    <row r="115" spans="3:10">
      <c r="C115" t="s">
        <v>1860</v>
      </c>
    </row>
    <row r="116" spans="3:10">
      <c r="C116" t="s">
        <v>1861</v>
      </c>
    </row>
    <row r="117" spans="3:10">
      <c r="C117" t="s">
        <v>1862</v>
      </c>
    </row>
    <row r="118" spans="3:10">
      <c r="C118" t="s">
        <v>1863</v>
      </c>
    </row>
    <row r="119" spans="3:10">
      <c r="C119" t="s">
        <v>1864</v>
      </c>
    </row>
    <row r="120" spans="3:10">
      <c r="C120" s="1124"/>
    </row>
  </sheetData>
  <phoneticPr fontId="24" type="noConversion"/>
  <pageMargins left="0.75" right="0.75" top="1" bottom="1" header="0.5" footer="0.5"/>
  <pageSetup scale="55" orientation="landscape" cellComments="asDisplayed" r:id="rId1"/>
  <headerFooter alignWithMargins="0">
    <oddHeader xml:space="preserve">&amp;CSchedule 20
Administrative and General Expenses
</oddHeader>
    <oddFooter>&amp;R&amp;A</oddFooter>
  </headerFooter>
  <rowBreaks count="2" manualBreakCount="2">
    <brk id="58" max="10" man="1"/>
    <brk id="8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T305"/>
  <sheetViews>
    <sheetView topLeftCell="J1" zoomScaleNormal="100" workbookViewId="0">
      <selection activeCell="L41" sqref="L41"/>
    </sheetView>
  </sheetViews>
  <sheetFormatPr defaultRowHeight="12.5"/>
  <cols>
    <col min="1" max="1" width="7" style="11" customWidth="1"/>
    <col min="2" max="2" width="8.54296875" style="11" customWidth="1"/>
    <col min="3" max="3" width="9.54296875" style="11" customWidth="1"/>
    <col min="4" max="4" width="51.54296875" style="11" customWidth="1"/>
    <col min="5" max="6" width="16.453125" style="180" customWidth="1"/>
    <col min="7" max="7" width="18.453125" style="180" bestFit="1" customWidth="1"/>
    <col min="8" max="8" width="15.54296875" style="50" bestFit="1" customWidth="1"/>
    <col min="9" max="9" width="16.54296875" style="50" bestFit="1" customWidth="1"/>
    <col min="10" max="10" width="15.54296875" style="180" customWidth="1"/>
    <col min="11" max="11" width="6.54296875" style="161" customWidth="1"/>
    <col min="12" max="12" width="16.453125" style="155" customWidth="1"/>
    <col min="13" max="13" width="17.453125" style="50" bestFit="1" customWidth="1"/>
    <col min="14" max="14" width="18.453125" style="180" bestFit="1" customWidth="1"/>
    <col min="15" max="15" width="8.54296875" style="50" customWidth="1"/>
  </cols>
  <sheetData>
    <row r="1" spans="1:17" ht="13">
      <c r="A1" s="171"/>
      <c r="B1" s="106" t="s">
        <v>1653</v>
      </c>
      <c r="C1" s="106" t="s">
        <v>1657</v>
      </c>
      <c r="D1" s="106" t="s">
        <v>1663</v>
      </c>
      <c r="E1" s="106" t="s">
        <v>1668</v>
      </c>
      <c r="F1" s="106" t="s">
        <v>1676</v>
      </c>
      <c r="G1" s="106" t="s">
        <v>1666</v>
      </c>
      <c r="H1" s="106" t="s">
        <v>1865</v>
      </c>
      <c r="I1" s="106" t="s">
        <v>1866</v>
      </c>
      <c r="J1" s="106" t="s">
        <v>1867</v>
      </c>
      <c r="K1" s="106" t="s">
        <v>1868</v>
      </c>
      <c r="L1" s="106" t="s">
        <v>1869</v>
      </c>
      <c r="M1" s="106" t="s">
        <v>1870</v>
      </c>
      <c r="N1" s="106" t="s">
        <v>1871</v>
      </c>
      <c r="O1" s="106" t="s">
        <v>1872</v>
      </c>
      <c r="Q1" s="2"/>
    </row>
    <row r="2" spans="1:17">
      <c r="A2" s="882"/>
      <c r="B2" s="883"/>
      <c r="C2" s="883"/>
      <c r="D2" s="883"/>
      <c r="E2" s="884"/>
      <c r="F2" s="884"/>
      <c r="G2" s="1235" t="s">
        <v>1873</v>
      </c>
      <c r="H2" s="1214"/>
      <c r="I2" s="1215"/>
      <c r="J2" s="1235" t="s">
        <v>1874</v>
      </c>
      <c r="K2" s="1214"/>
      <c r="L2" s="1214"/>
      <c r="M2" s="1215"/>
      <c r="N2" s="885" t="s">
        <v>1875</v>
      </c>
      <c r="O2" s="882"/>
    </row>
    <row r="3" spans="1:17" ht="26.25" customHeight="1">
      <c r="A3" s="107" t="s">
        <v>284</v>
      </c>
      <c r="B3" s="108" t="s">
        <v>1876</v>
      </c>
      <c r="C3" s="108" t="s">
        <v>1877</v>
      </c>
      <c r="D3" s="108" t="s">
        <v>1878</v>
      </c>
      <c r="E3" s="1041" t="s">
        <v>1879</v>
      </c>
      <c r="F3" s="150" t="s">
        <v>1880</v>
      </c>
      <c r="G3" s="150" t="s">
        <v>252</v>
      </c>
      <c r="H3" s="107" t="s">
        <v>1711</v>
      </c>
      <c r="I3" s="107" t="s">
        <v>1881</v>
      </c>
      <c r="J3" s="149" t="s">
        <v>252</v>
      </c>
      <c r="K3" s="160" t="s">
        <v>1882</v>
      </c>
      <c r="L3" s="151" t="s">
        <v>1883</v>
      </c>
      <c r="M3" s="107" t="s">
        <v>1270</v>
      </c>
      <c r="N3" s="149" t="s">
        <v>252</v>
      </c>
      <c r="O3" s="107" t="s">
        <v>103</v>
      </c>
    </row>
    <row r="4" spans="1:17">
      <c r="A4" s="499" t="s">
        <v>1884</v>
      </c>
      <c r="B4" s="611">
        <v>450</v>
      </c>
      <c r="C4" s="1038">
        <v>4191110</v>
      </c>
      <c r="D4" s="498" t="s">
        <v>1885</v>
      </c>
      <c r="E4" s="1043"/>
      <c r="F4" s="1043"/>
      <c r="G4" s="886">
        <f>IF(F4=$G$2,E4,0)</f>
        <v>0</v>
      </c>
      <c r="H4" s="280">
        <v>0</v>
      </c>
      <c r="I4" s="496">
        <f>G4-H4</f>
        <v>0</v>
      </c>
      <c r="J4" s="886">
        <f>IF(F4=$J$2,E4,0)</f>
        <v>0</v>
      </c>
      <c r="K4" s="887"/>
      <c r="L4" s="554"/>
      <c r="M4" s="496">
        <f>J4-L4</f>
        <v>0</v>
      </c>
      <c r="N4" s="886">
        <f>IF(F4=$N$2,E4,0)</f>
        <v>0</v>
      </c>
      <c r="O4" s="280">
        <v>1</v>
      </c>
    </row>
    <row r="5" spans="1:17">
      <c r="A5" s="499" t="s">
        <v>1886</v>
      </c>
      <c r="B5" s="611">
        <v>450</v>
      </c>
      <c r="C5" s="1038">
        <v>4191115</v>
      </c>
      <c r="D5" s="498" t="s">
        <v>1887</v>
      </c>
      <c r="E5" s="1043"/>
      <c r="F5" s="1043"/>
      <c r="G5" s="886">
        <f>IF(F5=$G$2,E5,0)</f>
        <v>0</v>
      </c>
      <c r="H5" s="280">
        <v>0</v>
      </c>
      <c r="I5" s="496">
        <f>G5-H5</f>
        <v>0</v>
      </c>
      <c r="J5" s="886">
        <f>IF(F5=$J$2,E5,0)</f>
        <v>0</v>
      </c>
      <c r="K5" s="887"/>
      <c r="L5" s="554"/>
      <c r="M5" s="496">
        <f>J5-L5</f>
        <v>0</v>
      </c>
      <c r="N5" s="886">
        <f>IF(F5=$N$2,E5,0)</f>
        <v>0</v>
      </c>
      <c r="O5" s="280">
        <v>1</v>
      </c>
    </row>
    <row r="6" spans="1:17">
      <c r="A6" s="581"/>
      <c r="B6" s="797"/>
      <c r="C6" s="799"/>
      <c r="D6" s="582"/>
      <c r="E6" s="1042"/>
      <c r="F6" s="888"/>
      <c r="G6" s="554"/>
      <c r="H6" s="583"/>
      <c r="I6" s="391"/>
      <c r="J6" s="554"/>
      <c r="K6" s="889"/>
      <c r="L6" s="554"/>
      <c r="M6" s="391"/>
      <c r="N6" s="554"/>
      <c r="O6" s="583"/>
    </row>
    <row r="7" spans="1:17">
      <c r="A7" s="581"/>
      <c r="B7" s="797"/>
      <c r="C7" s="799"/>
      <c r="D7" s="582"/>
      <c r="E7" s="888"/>
      <c r="F7" s="888"/>
      <c r="G7" s="554"/>
      <c r="H7" s="583"/>
      <c r="I7" s="391"/>
      <c r="J7" s="554"/>
      <c r="K7" s="889"/>
      <c r="L7" s="554"/>
      <c r="M7" s="391"/>
      <c r="N7" s="554"/>
      <c r="O7" s="583"/>
    </row>
    <row r="8" spans="1:17" ht="13">
      <c r="A8" s="499">
        <v>2</v>
      </c>
      <c r="B8" s="1213" t="s">
        <v>1888</v>
      </c>
      <c r="C8" s="1214"/>
      <c r="D8" s="1215"/>
      <c r="E8" s="158">
        <f>SUM(E4:E7)</f>
        <v>0</v>
      </c>
      <c r="F8" s="165"/>
      <c r="G8" s="158">
        <f>SUM(G4:G7)</f>
        <v>0</v>
      </c>
      <c r="H8" s="106">
        <f>SUM(H4:H7)</f>
        <v>0</v>
      </c>
      <c r="I8" s="158">
        <f>SUM(I4:I7)</f>
        <v>0</v>
      </c>
      <c r="J8" s="158">
        <f>SUM(J4:J7)</f>
        <v>0</v>
      </c>
      <c r="K8" s="165"/>
      <c r="L8" s="158">
        <f>SUM(L4:L7)</f>
        <v>0</v>
      </c>
      <c r="M8" s="158">
        <f>SUM(M4:M7)</f>
        <v>0</v>
      </c>
      <c r="N8" s="158">
        <f>SUM(N4:N7)</f>
        <v>0</v>
      </c>
      <c r="O8" s="280"/>
    </row>
    <row r="9" spans="1:17" ht="12.75" customHeight="1">
      <c r="A9" s="499">
        <v>3</v>
      </c>
      <c r="B9" s="1236" t="s">
        <v>1889</v>
      </c>
      <c r="C9" s="1237"/>
      <c r="D9" s="1238"/>
      <c r="E9" s="580"/>
      <c r="F9" s="157"/>
      <c r="G9" s="154"/>
      <c r="H9" s="157"/>
      <c r="I9" s="157"/>
      <c r="J9" s="154"/>
      <c r="K9" s="157"/>
      <c r="L9" s="154"/>
      <c r="M9" s="154"/>
      <c r="N9" s="154"/>
      <c r="O9" s="2"/>
    </row>
    <row r="10" spans="1:17" ht="13">
      <c r="A10" s="4"/>
      <c r="B10" s="1"/>
      <c r="C10" s="109"/>
      <c r="D10" s="109"/>
      <c r="E10" s="154"/>
      <c r="F10" s="154"/>
      <c r="G10" s="154"/>
      <c r="H10" s="157"/>
      <c r="I10" s="157"/>
      <c r="J10" s="154"/>
      <c r="K10" s="157"/>
      <c r="L10" s="154"/>
      <c r="M10" s="154"/>
      <c r="N10" s="154"/>
      <c r="O10" s="2"/>
    </row>
    <row r="11" spans="1:17">
      <c r="A11" s="499" t="s">
        <v>1164</v>
      </c>
      <c r="B11" s="611">
        <v>451</v>
      </c>
      <c r="C11" s="1038">
        <v>4182110</v>
      </c>
      <c r="D11" s="1039" t="s">
        <v>1890</v>
      </c>
      <c r="E11" s="1043"/>
      <c r="F11" s="554"/>
      <c r="G11" s="774">
        <f t="shared" ref="G11:G20" si="0">IF(F11=$G$2,E11,0)</f>
        <v>0</v>
      </c>
      <c r="H11" s="775">
        <v>0</v>
      </c>
      <c r="I11" s="775">
        <f>G11-H11</f>
        <v>0</v>
      </c>
      <c r="J11" s="774">
        <f t="shared" ref="J11:J20" si="1">IF(F11=$J$2,E11,0)</f>
        <v>0</v>
      </c>
      <c r="K11" s="774"/>
      <c r="L11" s="554"/>
      <c r="M11" s="775">
        <f t="shared" ref="M11:M17" si="2">J11-L11</f>
        <v>0</v>
      </c>
      <c r="N11" s="774">
        <f t="shared" ref="N11:N18" si="3">IF(F11=$N$2,E11,0)</f>
        <v>0</v>
      </c>
      <c r="O11" s="775">
        <v>1</v>
      </c>
    </row>
    <row r="12" spans="1:17">
      <c r="A12" s="499" t="s">
        <v>1891</v>
      </c>
      <c r="B12" s="611">
        <v>451</v>
      </c>
      <c r="C12" s="1038">
        <v>4182115</v>
      </c>
      <c r="D12" s="1039" t="s">
        <v>1892</v>
      </c>
      <c r="E12" s="1043"/>
      <c r="F12" s="554"/>
      <c r="G12" s="774">
        <f>IF(F12=$G$2,E12,0)</f>
        <v>0</v>
      </c>
      <c r="H12" s="775">
        <v>0</v>
      </c>
      <c r="I12" s="775">
        <f t="shared" ref="I12:I20" si="4">G12-H12</f>
        <v>0</v>
      </c>
      <c r="J12" s="774">
        <f t="shared" si="1"/>
        <v>0</v>
      </c>
      <c r="K12" s="774"/>
      <c r="L12" s="554"/>
      <c r="M12" s="775">
        <f t="shared" si="2"/>
        <v>0</v>
      </c>
      <c r="N12" s="774">
        <f t="shared" si="3"/>
        <v>0</v>
      </c>
      <c r="O12" s="775">
        <v>1</v>
      </c>
    </row>
    <row r="13" spans="1:17">
      <c r="A13" s="499" t="s">
        <v>1893</v>
      </c>
      <c r="B13" s="611">
        <v>451</v>
      </c>
      <c r="C13" s="1038">
        <v>4192110</v>
      </c>
      <c r="D13" s="1039" t="s">
        <v>1894</v>
      </c>
      <c r="E13" s="1043"/>
      <c r="F13" s="554"/>
      <c r="G13" s="774">
        <f t="shared" si="0"/>
        <v>0</v>
      </c>
      <c r="H13" s="775">
        <v>0</v>
      </c>
      <c r="I13" s="775">
        <f t="shared" si="4"/>
        <v>0</v>
      </c>
      <c r="J13" s="774">
        <f t="shared" si="1"/>
        <v>0</v>
      </c>
      <c r="K13" s="774"/>
      <c r="L13" s="554"/>
      <c r="M13" s="775">
        <f t="shared" si="2"/>
        <v>0</v>
      </c>
      <c r="N13" s="774">
        <f t="shared" si="3"/>
        <v>0</v>
      </c>
      <c r="O13" s="775">
        <v>1</v>
      </c>
    </row>
    <row r="14" spans="1:17">
      <c r="A14" s="499" t="s">
        <v>1895</v>
      </c>
      <c r="B14" s="611">
        <v>451</v>
      </c>
      <c r="C14" s="1038">
        <v>4192115</v>
      </c>
      <c r="D14" s="1039" t="s">
        <v>1896</v>
      </c>
      <c r="E14" s="1043"/>
      <c r="F14" s="554"/>
      <c r="G14" s="774">
        <f t="shared" si="0"/>
        <v>0</v>
      </c>
      <c r="H14" s="775">
        <v>0</v>
      </c>
      <c r="I14" s="775">
        <f t="shared" si="4"/>
        <v>0</v>
      </c>
      <c r="J14" s="774">
        <f t="shared" si="1"/>
        <v>0</v>
      </c>
      <c r="K14" s="774"/>
      <c r="L14" s="554"/>
      <c r="M14" s="775">
        <f t="shared" si="2"/>
        <v>0</v>
      </c>
      <c r="N14" s="774">
        <f t="shared" si="3"/>
        <v>0</v>
      </c>
      <c r="O14" s="775">
        <v>1</v>
      </c>
    </row>
    <row r="15" spans="1:17">
      <c r="A15" s="499" t="s">
        <v>1897</v>
      </c>
      <c r="B15" s="611">
        <v>451</v>
      </c>
      <c r="C15" s="1038">
        <v>4192125</v>
      </c>
      <c r="D15" s="1039" t="s">
        <v>1898</v>
      </c>
      <c r="E15" s="1043"/>
      <c r="F15" s="554"/>
      <c r="G15" s="774">
        <f t="shared" si="0"/>
        <v>0</v>
      </c>
      <c r="H15" s="775">
        <v>0</v>
      </c>
      <c r="I15" s="775">
        <f t="shared" si="4"/>
        <v>0</v>
      </c>
      <c r="J15" s="774">
        <f t="shared" si="1"/>
        <v>0</v>
      </c>
      <c r="K15" s="774"/>
      <c r="L15" s="554"/>
      <c r="M15" s="775">
        <f t="shared" si="2"/>
        <v>0</v>
      </c>
      <c r="N15" s="774">
        <f t="shared" si="3"/>
        <v>0</v>
      </c>
      <c r="O15" s="775">
        <v>1</v>
      </c>
    </row>
    <row r="16" spans="1:17">
      <c r="A16" s="499" t="s">
        <v>1899</v>
      </c>
      <c r="B16" s="611">
        <v>451</v>
      </c>
      <c r="C16" s="1038">
        <v>4192130</v>
      </c>
      <c r="D16" s="1039" t="s">
        <v>1900</v>
      </c>
      <c r="E16" s="1043"/>
      <c r="F16" s="554"/>
      <c r="G16" s="774">
        <f t="shared" si="0"/>
        <v>0</v>
      </c>
      <c r="H16" s="775">
        <v>0</v>
      </c>
      <c r="I16" s="775">
        <f t="shared" si="4"/>
        <v>0</v>
      </c>
      <c r="J16" s="774">
        <f t="shared" si="1"/>
        <v>0</v>
      </c>
      <c r="K16" s="774"/>
      <c r="L16" s="554"/>
      <c r="M16" s="775">
        <f t="shared" si="2"/>
        <v>0</v>
      </c>
      <c r="N16" s="774">
        <f t="shared" si="3"/>
        <v>0</v>
      </c>
      <c r="O16" s="775">
        <v>1</v>
      </c>
    </row>
    <row r="17" spans="1:17">
      <c r="A17" s="499" t="s">
        <v>1901</v>
      </c>
      <c r="B17" s="611">
        <v>451</v>
      </c>
      <c r="C17" s="1038">
        <v>4192140</v>
      </c>
      <c r="D17" s="1039" t="s">
        <v>1902</v>
      </c>
      <c r="E17" s="1043"/>
      <c r="F17" s="554"/>
      <c r="G17" s="774">
        <f t="shared" si="0"/>
        <v>0</v>
      </c>
      <c r="H17" s="775">
        <v>0</v>
      </c>
      <c r="I17" s="775">
        <f t="shared" si="4"/>
        <v>0</v>
      </c>
      <c r="J17" s="774">
        <f t="shared" si="1"/>
        <v>0</v>
      </c>
      <c r="K17" s="774"/>
      <c r="L17" s="554"/>
      <c r="M17" s="775">
        <f t="shared" si="2"/>
        <v>0</v>
      </c>
      <c r="N17" s="774">
        <f t="shared" si="3"/>
        <v>0</v>
      </c>
      <c r="O17" s="775">
        <v>1</v>
      </c>
    </row>
    <row r="18" spans="1:17">
      <c r="A18" s="499" t="s">
        <v>1903</v>
      </c>
      <c r="B18" s="611">
        <v>451</v>
      </c>
      <c r="C18" s="1038">
        <v>4192510</v>
      </c>
      <c r="D18" s="1039" t="s">
        <v>1904</v>
      </c>
      <c r="E18" s="1043"/>
      <c r="F18" s="554"/>
      <c r="G18" s="774">
        <f t="shared" si="0"/>
        <v>0</v>
      </c>
      <c r="H18" s="775">
        <v>0</v>
      </c>
      <c r="I18" s="775">
        <f t="shared" si="4"/>
        <v>0</v>
      </c>
      <c r="J18" s="774">
        <f>IF(F18=$J$2,E18,0)</f>
        <v>0</v>
      </c>
      <c r="K18" s="890" t="s">
        <v>1905</v>
      </c>
      <c r="L18" s="554"/>
      <c r="M18" s="775">
        <f t="shared" ref="M18:M26" si="5">J18-L18</f>
        <v>0</v>
      </c>
      <c r="N18" s="774">
        <f t="shared" si="3"/>
        <v>0</v>
      </c>
      <c r="O18" s="775">
        <v>2</v>
      </c>
    </row>
    <row r="19" spans="1:17">
      <c r="A19" s="499" t="s">
        <v>1906</v>
      </c>
      <c r="B19" s="611">
        <v>451</v>
      </c>
      <c r="C19" s="1038">
        <v>4192910</v>
      </c>
      <c r="D19" s="1039" t="s">
        <v>1907</v>
      </c>
      <c r="E19" s="1043"/>
      <c r="F19" s="554"/>
      <c r="G19" s="774">
        <f>IF(F19=$G$2,E19,0)</f>
        <v>0</v>
      </c>
      <c r="H19" s="775">
        <v>0</v>
      </c>
      <c r="I19" s="775">
        <f t="shared" si="4"/>
        <v>0</v>
      </c>
      <c r="J19" s="774">
        <f>IF(F19=$J$2,E19,0)</f>
        <v>0</v>
      </c>
      <c r="K19" s="774"/>
      <c r="L19" s="554"/>
      <c r="M19" s="775">
        <f t="shared" si="5"/>
        <v>0</v>
      </c>
      <c r="N19" s="774">
        <f t="shared" ref="N19:N27" si="6">IF(F19=$N$2,E19,0)</f>
        <v>0</v>
      </c>
      <c r="O19" s="775">
        <v>6</v>
      </c>
    </row>
    <row r="20" spans="1:17">
      <c r="A20" s="499" t="s">
        <v>1908</v>
      </c>
      <c r="B20" s="611">
        <v>451</v>
      </c>
      <c r="C20" s="1038">
        <v>4182120</v>
      </c>
      <c r="D20" s="672" t="s">
        <v>1909</v>
      </c>
      <c r="E20" s="1043"/>
      <c r="F20" s="554"/>
      <c r="G20" s="774">
        <f t="shared" si="0"/>
        <v>0</v>
      </c>
      <c r="H20" s="775">
        <v>0</v>
      </c>
      <c r="I20" s="775">
        <f t="shared" si="4"/>
        <v>0</v>
      </c>
      <c r="J20" s="774">
        <f t="shared" si="1"/>
        <v>0</v>
      </c>
      <c r="K20" s="774"/>
      <c r="L20" s="554"/>
      <c r="M20" s="775">
        <f t="shared" si="5"/>
        <v>0</v>
      </c>
      <c r="N20" s="774">
        <f t="shared" si="6"/>
        <v>0</v>
      </c>
      <c r="O20" s="775">
        <v>1</v>
      </c>
    </row>
    <row r="21" spans="1:17">
      <c r="A21" s="499" t="s">
        <v>1910</v>
      </c>
      <c r="B21" s="611">
        <v>451</v>
      </c>
      <c r="C21" s="1038">
        <v>4192152</v>
      </c>
      <c r="D21" s="672" t="s">
        <v>1911</v>
      </c>
      <c r="E21" s="1043"/>
      <c r="F21" s="554"/>
      <c r="G21" s="774">
        <f t="shared" ref="G21:G26" si="7">IF(F21=$G$2,E21,0)</f>
        <v>0</v>
      </c>
      <c r="H21" s="775">
        <v>0</v>
      </c>
      <c r="I21" s="775">
        <f t="shared" ref="I21:I27" si="8">G21-H21</f>
        <v>0</v>
      </c>
      <c r="J21" s="774">
        <f t="shared" ref="J21:J27" si="9">IF(F21=$J$2,E21,0)</f>
        <v>0</v>
      </c>
      <c r="K21" s="774"/>
      <c r="L21" s="554"/>
      <c r="M21" s="775">
        <f t="shared" si="5"/>
        <v>0</v>
      </c>
      <c r="N21" s="774">
        <f t="shared" si="6"/>
        <v>0</v>
      </c>
      <c r="O21" s="775">
        <v>1</v>
      </c>
    </row>
    <row r="22" spans="1:17">
      <c r="A22" s="499" t="s">
        <v>1912</v>
      </c>
      <c r="B22" s="611">
        <v>451</v>
      </c>
      <c r="C22" s="1038">
        <v>4192155</v>
      </c>
      <c r="D22" s="672" t="s">
        <v>1913</v>
      </c>
      <c r="E22" s="1043"/>
      <c r="F22" s="554"/>
      <c r="G22" s="774">
        <f t="shared" si="7"/>
        <v>0</v>
      </c>
      <c r="H22" s="775">
        <v>0</v>
      </c>
      <c r="I22" s="775">
        <f t="shared" si="8"/>
        <v>0</v>
      </c>
      <c r="J22" s="774">
        <f t="shared" si="9"/>
        <v>0</v>
      </c>
      <c r="K22" s="774"/>
      <c r="L22" s="554"/>
      <c r="M22" s="775">
        <f t="shared" si="5"/>
        <v>0</v>
      </c>
      <c r="N22" s="774">
        <f t="shared" si="6"/>
        <v>0</v>
      </c>
      <c r="O22" s="775">
        <v>1</v>
      </c>
    </row>
    <row r="23" spans="1:17">
      <c r="A23" s="499" t="s">
        <v>1914</v>
      </c>
      <c r="B23" s="611">
        <v>451</v>
      </c>
      <c r="C23" s="1038">
        <v>4192158</v>
      </c>
      <c r="D23" s="672" t="s">
        <v>1915</v>
      </c>
      <c r="E23" s="1043"/>
      <c r="F23" s="554"/>
      <c r="G23" s="774">
        <f t="shared" si="7"/>
        <v>0</v>
      </c>
      <c r="H23" s="775">
        <v>0</v>
      </c>
      <c r="I23" s="775">
        <f t="shared" si="8"/>
        <v>0</v>
      </c>
      <c r="J23" s="774">
        <f t="shared" si="9"/>
        <v>0</v>
      </c>
      <c r="K23" s="774"/>
      <c r="L23" s="554"/>
      <c r="M23" s="775">
        <f t="shared" si="5"/>
        <v>0</v>
      </c>
      <c r="N23" s="774">
        <f t="shared" si="6"/>
        <v>0</v>
      </c>
      <c r="O23" s="775">
        <v>1</v>
      </c>
    </row>
    <row r="24" spans="1:17">
      <c r="A24" s="499" t="s">
        <v>1916</v>
      </c>
      <c r="B24" s="611">
        <v>451</v>
      </c>
      <c r="C24" s="1038">
        <v>4192160</v>
      </c>
      <c r="D24" s="672" t="s">
        <v>1917</v>
      </c>
      <c r="E24" s="1043"/>
      <c r="F24" s="554"/>
      <c r="G24" s="774">
        <f t="shared" si="7"/>
        <v>0</v>
      </c>
      <c r="H24" s="775">
        <v>0</v>
      </c>
      <c r="I24" s="775">
        <f t="shared" si="8"/>
        <v>0</v>
      </c>
      <c r="J24" s="774">
        <f t="shared" si="9"/>
        <v>0</v>
      </c>
      <c r="K24" s="774"/>
      <c r="L24" s="554"/>
      <c r="M24" s="775">
        <f t="shared" si="5"/>
        <v>0</v>
      </c>
      <c r="N24" s="774">
        <f t="shared" si="6"/>
        <v>0</v>
      </c>
      <c r="O24" s="775">
        <v>1</v>
      </c>
    </row>
    <row r="25" spans="1:17">
      <c r="A25" s="499" t="s">
        <v>1918</v>
      </c>
      <c r="B25" s="611">
        <v>451</v>
      </c>
      <c r="C25" s="1038">
        <v>4192135</v>
      </c>
      <c r="D25" s="672" t="s">
        <v>1919</v>
      </c>
      <c r="E25" s="1043"/>
      <c r="F25" s="554"/>
      <c r="G25" s="774">
        <f t="shared" si="7"/>
        <v>0</v>
      </c>
      <c r="H25" s="775">
        <v>0</v>
      </c>
      <c r="I25" s="775">
        <f t="shared" si="8"/>
        <v>0</v>
      </c>
      <c r="J25" s="774">
        <f t="shared" si="9"/>
        <v>0</v>
      </c>
      <c r="K25" s="774"/>
      <c r="L25" s="554"/>
      <c r="M25" s="775">
        <f t="shared" si="5"/>
        <v>0</v>
      </c>
      <c r="N25" s="774">
        <f t="shared" si="6"/>
        <v>0</v>
      </c>
      <c r="O25" s="775">
        <v>1</v>
      </c>
    </row>
    <row r="26" spans="1:17">
      <c r="A26" s="499" t="s">
        <v>1920</v>
      </c>
      <c r="B26" s="611">
        <v>451</v>
      </c>
      <c r="C26" s="1038">
        <v>4192145</v>
      </c>
      <c r="D26" s="672" t="s">
        <v>1921</v>
      </c>
      <c r="E26" s="1043"/>
      <c r="F26" s="554"/>
      <c r="G26" s="774">
        <f t="shared" si="7"/>
        <v>0</v>
      </c>
      <c r="H26" s="775">
        <v>0</v>
      </c>
      <c r="I26" s="775">
        <f t="shared" si="8"/>
        <v>0</v>
      </c>
      <c r="J26" s="774">
        <f t="shared" si="9"/>
        <v>0</v>
      </c>
      <c r="K26" s="774"/>
      <c r="L26" s="554"/>
      <c r="M26" s="775">
        <f t="shared" si="5"/>
        <v>0</v>
      </c>
      <c r="N26" s="774">
        <f t="shared" si="6"/>
        <v>0</v>
      </c>
      <c r="O26" s="775">
        <v>1</v>
      </c>
    </row>
    <row r="27" spans="1:17">
      <c r="A27" s="499" t="s">
        <v>1922</v>
      </c>
      <c r="B27" s="611">
        <v>451</v>
      </c>
      <c r="C27" s="1038">
        <v>4192150</v>
      </c>
      <c r="D27" s="672" t="s">
        <v>1923</v>
      </c>
      <c r="E27" s="1043"/>
      <c r="F27" s="554"/>
      <c r="G27" s="774">
        <f>IF(F27=$G$2,E27,0)</f>
        <v>0</v>
      </c>
      <c r="H27" s="775">
        <v>0</v>
      </c>
      <c r="I27" s="775">
        <f t="shared" si="8"/>
        <v>0</v>
      </c>
      <c r="J27" s="774">
        <f t="shared" si="9"/>
        <v>0</v>
      </c>
      <c r="K27" s="774"/>
      <c r="L27" s="554"/>
      <c r="M27" s="775">
        <f>J27-L27</f>
        <v>0</v>
      </c>
      <c r="N27" s="774">
        <f t="shared" si="6"/>
        <v>0</v>
      </c>
      <c r="O27" s="775">
        <v>1</v>
      </c>
    </row>
    <row r="28" spans="1:17">
      <c r="A28" s="499" t="s">
        <v>1924</v>
      </c>
      <c r="B28" s="611">
        <v>451</v>
      </c>
      <c r="C28" s="1038">
        <v>4184515</v>
      </c>
      <c r="D28" s="672" t="s">
        <v>1925</v>
      </c>
      <c r="E28" s="1043"/>
      <c r="F28" s="554"/>
      <c r="G28" s="774">
        <f t="shared" ref="G28:G29" si="10">IF(F28=$G$2,E28,0)</f>
        <v>0</v>
      </c>
      <c r="H28" s="775">
        <v>0</v>
      </c>
      <c r="I28" s="775">
        <f t="shared" ref="I28:I29" si="11">G28-H28</f>
        <v>0</v>
      </c>
      <c r="J28" s="774">
        <f t="shared" ref="J28:J29" si="12">IF(F28=$J$2,E28,0)</f>
        <v>0</v>
      </c>
      <c r="K28" s="774"/>
      <c r="L28" s="554"/>
      <c r="M28" s="775">
        <f t="shared" ref="M28:M29" si="13">J28-L28</f>
        <v>0</v>
      </c>
      <c r="N28" s="774">
        <f t="shared" ref="N28:N29" si="14">IF(F28=$N$2,E28,0)</f>
        <v>0</v>
      </c>
      <c r="O28" s="775">
        <v>1</v>
      </c>
    </row>
    <row r="29" spans="1:17">
      <c r="A29" s="499" t="s">
        <v>1926</v>
      </c>
      <c r="B29" s="611">
        <v>451</v>
      </c>
      <c r="C29" s="1038">
        <v>4186927</v>
      </c>
      <c r="D29" s="672" t="s">
        <v>1927</v>
      </c>
      <c r="E29" s="1043"/>
      <c r="F29" s="554"/>
      <c r="G29" s="774">
        <f t="shared" si="10"/>
        <v>0</v>
      </c>
      <c r="H29" s="775">
        <v>0</v>
      </c>
      <c r="I29" s="775">
        <f t="shared" si="11"/>
        <v>0</v>
      </c>
      <c r="J29" s="774">
        <f t="shared" si="12"/>
        <v>0</v>
      </c>
      <c r="K29" s="774"/>
      <c r="L29" s="554"/>
      <c r="M29" s="775">
        <f t="shared" si="13"/>
        <v>0</v>
      </c>
      <c r="N29" s="774">
        <f t="shared" si="14"/>
        <v>0</v>
      </c>
      <c r="O29" s="775">
        <v>1</v>
      </c>
    </row>
    <row r="30" spans="1:17" s="233" customFormat="1">
      <c r="A30" s="499" t="s">
        <v>1928</v>
      </c>
      <c r="B30" s="611">
        <v>451</v>
      </c>
      <c r="C30" s="1038">
        <v>4184533</v>
      </c>
      <c r="D30" s="672" t="s">
        <v>1929</v>
      </c>
      <c r="E30" s="1043"/>
      <c r="F30" s="554"/>
      <c r="G30" s="774">
        <f t="shared" ref="G30:G38" si="15">IF(F30=$G$2,E30,0)</f>
        <v>0</v>
      </c>
      <c r="H30" s="775">
        <v>0</v>
      </c>
      <c r="I30" s="775">
        <f t="shared" ref="I30:I34" si="16">G30-H30</f>
        <v>0</v>
      </c>
      <c r="J30" s="774">
        <f t="shared" ref="J30:J34" si="17">IF(F30=$J$2,E30,0)</f>
        <v>0</v>
      </c>
      <c r="K30" s="774"/>
      <c r="L30" s="554"/>
      <c r="M30" s="775">
        <f t="shared" ref="M30:M34" si="18">J30-L30</f>
        <v>0</v>
      </c>
      <c r="N30" s="774">
        <f t="shared" ref="N30:N34" si="19">IF(F30=$N$2,E30,0)</f>
        <v>0</v>
      </c>
      <c r="O30" s="775">
        <v>1</v>
      </c>
      <c r="Q30"/>
    </row>
    <row r="31" spans="1:17" s="233" customFormat="1">
      <c r="A31" s="499" t="s">
        <v>1930</v>
      </c>
      <c r="B31" s="611">
        <v>451</v>
      </c>
      <c r="C31" s="1038">
        <v>4184531</v>
      </c>
      <c r="D31" s="672" t="s">
        <v>1931</v>
      </c>
      <c r="E31" s="1043"/>
      <c r="F31" s="529"/>
      <c r="G31" s="778">
        <f t="shared" si="15"/>
        <v>0</v>
      </c>
      <c r="H31" s="775">
        <v>0</v>
      </c>
      <c r="I31" s="775">
        <f t="shared" si="16"/>
        <v>0</v>
      </c>
      <c r="J31" s="778">
        <f t="shared" si="17"/>
        <v>0</v>
      </c>
      <c r="K31" s="778"/>
      <c r="L31" s="554"/>
      <c r="M31" s="775">
        <f t="shared" si="18"/>
        <v>0</v>
      </c>
      <c r="N31" s="778">
        <f t="shared" si="19"/>
        <v>0</v>
      </c>
      <c r="O31" s="775">
        <v>1</v>
      </c>
      <c r="Q31"/>
    </row>
    <row r="32" spans="1:17" s="233" customFormat="1">
      <c r="A32" s="499" t="s">
        <v>1932</v>
      </c>
      <c r="B32" s="611">
        <v>451</v>
      </c>
      <c r="C32" s="1038">
        <v>4184532</v>
      </c>
      <c r="D32" s="672" t="s">
        <v>1933</v>
      </c>
      <c r="E32" s="1043"/>
      <c r="F32" s="529"/>
      <c r="G32" s="778">
        <f t="shared" si="15"/>
        <v>0</v>
      </c>
      <c r="H32" s="775">
        <v>0</v>
      </c>
      <c r="I32" s="775">
        <f t="shared" si="16"/>
        <v>0</v>
      </c>
      <c r="J32" s="778">
        <f t="shared" si="17"/>
        <v>0</v>
      </c>
      <c r="K32" s="778"/>
      <c r="L32" s="554"/>
      <c r="M32" s="775">
        <f t="shared" si="18"/>
        <v>0</v>
      </c>
      <c r="N32" s="778">
        <f t="shared" si="19"/>
        <v>0</v>
      </c>
      <c r="O32" s="775">
        <v>1</v>
      </c>
      <c r="Q32"/>
    </row>
    <row r="33" spans="1:17" s="233" customFormat="1">
      <c r="A33" s="499" t="s">
        <v>1934</v>
      </c>
      <c r="B33" s="611">
        <v>451</v>
      </c>
      <c r="C33" s="1038">
        <v>4184534</v>
      </c>
      <c r="D33" s="672" t="s">
        <v>1935</v>
      </c>
      <c r="E33" s="1043"/>
      <c r="F33" s="529"/>
      <c r="G33" s="778">
        <f t="shared" si="15"/>
        <v>0</v>
      </c>
      <c r="H33" s="775">
        <v>0</v>
      </c>
      <c r="I33" s="775">
        <f t="shared" si="16"/>
        <v>0</v>
      </c>
      <c r="J33" s="778">
        <f t="shared" si="17"/>
        <v>0</v>
      </c>
      <c r="K33" s="778"/>
      <c r="L33" s="554"/>
      <c r="M33" s="775">
        <f t="shared" si="18"/>
        <v>0</v>
      </c>
      <c r="N33" s="778">
        <f t="shared" si="19"/>
        <v>0</v>
      </c>
      <c r="O33" s="775">
        <v>1</v>
      </c>
      <c r="Q33"/>
    </row>
    <row r="34" spans="1:17" s="233" customFormat="1">
      <c r="A34" s="499" t="s">
        <v>1936</v>
      </c>
      <c r="B34" s="611">
        <v>451</v>
      </c>
      <c r="C34" s="1038">
        <v>4184535</v>
      </c>
      <c r="D34" s="672" t="s">
        <v>1937</v>
      </c>
      <c r="E34" s="1043"/>
      <c r="F34" s="529"/>
      <c r="G34" s="778">
        <f t="shared" si="15"/>
        <v>0</v>
      </c>
      <c r="H34" s="775">
        <v>0</v>
      </c>
      <c r="I34" s="775">
        <f t="shared" si="16"/>
        <v>0</v>
      </c>
      <c r="J34" s="778">
        <f t="shared" si="17"/>
        <v>0</v>
      </c>
      <c r="K34" s="778"/>
      <c r="L34" s="554"/>
      <c r="M34" s="775">
        <f t="shared" si="18"/>
        <v>0</v>
      </c>
      <c r="N34" s="778">
        <f t="shared" si="19"/>
        <v>0</v>
      </c>
      <c r="O34" s="775">
        <v>1</v>
      </c>
      <c r="Q34"/>
    </row>
    <row r="35" spans="1:17" s="233" customFormat="1">
      <c r="A35" s="499" t="s">
        <v>1938</v>
      </c>
      <c r="B35" s="611">
        <v>451</v>
      </c>
      <c r="C35" s="1038">
        <v>4184520</v>
      </c>
      <c r="D35" s="672" t="s">
        <v>1939</v>
      </c>
      <c r="E35" s="1043"/>
      <c r="F35" s="554"/>
      <c r="G35" s="774">
        <f t="shared" si="15"/>
        <v>0</v>
      </c>
      <c r="H35" s="775">
        <v>0</v>
      </c>
      <c r="I35" s="775">
        <f>G35-H35</f>
        <v>0</v>
      </c>
      <c r="J35" s="774">
        <f>IF(F35=$J$2,E35,0)</f>
        <v>0</v>
      </c>
      <c r="K35" s="774" t="s">
        <v>1653</v>
      </c>
      <c r="L35" s="529"/>
      <c r="M35" s="775">
        <f>J35-L35</f>
        <v>0</v>
      </c>
      <c r="N35" s="774">
        <f>IF(F35=$N$2,E35,0)</f>
        <v>0</v>
      </c>
      <c r="O35" s="775">
        <v>2</v>
      </c>
      <c r="Q35"/>
    </row>
    <row r="36" spans="1:17" s="233" customFormat="1">
      <c r="A36" s="499" t="s">
        <v>1940</v>
      </c>
      <c r="B36" s="611">
        <v>451</v>
      </c>
      <c r="C36" s="1038">
        <v>4184521</v>
      </c>
      <c r="D36" s="672" t="s">
        <v>1941</v>
      </c>
      <c r="E36" s="1043"/>
      <c r="F36" s="554"/>
      <c r="G36" s="774">
        <f t="shared" si="15"/>
        <v>0</v>
      </c>
      <c r="H36" s="775">
        <v>0</v>
      </c>
      <c r="I36" s="775">
        <f>G36-H36</f>
        <v>0</v>
      </c>
      <c r="J36" s="774">
        <f>IF(F36=$J$2,E36,0)</f>
        <v>0</v>
      </c>
      <c r="K36" s="774" t="s">
        <v>1653</v>
      </c>
      <c r="L36" s="529"/>
      <c r="M36" s="775">
        <f>J36-L36</f>
        <v>0</v>
      </c>
      <c r="N36" s="774">
        <f>IF(F36=$N$2,E36,0)</f>
        <v>0</v>
      </c>
      <c r="O36" s="775">
        <v>2</v>
      </c>
      <c r="Q36"/>
    </row>
    <row r="37" spans="1:17" s="233" customFormat="1">
      <c r="A37" s="499" t="s">
        <v>1942</v>
      </c>
      <c r="B37" s="611">
        <v>451</v>
      </c>
      <c r="C37" s="1038">
        <v>4192161</v>
      </c>
      <c r="D37" s="672" t="s">
        <v>1943</v>
      </c>
      <c r="E37" s="1043"/>
      <c r="F37" s="554"/>
      <c r="G37" s="774">
        <f t="shared" si="15"/>
        <v>0</v>
      </c>
      <c r="H37" s="775">
        <v>0</v>
      </c>
      <c r="I37" s="775">
        <f>G37-H37</f>
        <v>0</v>
      </c>
      <c r="J37" s="774">
        <f t="shared" ref="J37:J39" si="20">IF(F37=$J$2,E37,0)</f>
        <v>0</v>
      </c>
      <c r="K37" s="774"/>
      <c r="L37" s="554"/>
      <c r="M37" s="775">
        <f>J37-L37</f>
        <v>0</v>
      </c>
      <c r="N37" s="774">
        <f>IF(F37=$N$2,E37,0)</f>
        <v>0</v>
      </c>
      <c r="O37" s="775">
        <v>1</v>
      </c>
      <c r="Q37"/>
    </row>
    <row r="38" spans="1:17" s="233" customFormat="1">
      <c r="A38" s="499" t="s">
        <v>1944</v>
      </c>
      <c r="B38" s="611">
        <v>451</v>
      </c>
      <c r="C38" s="1038">
        <v>4192165</v>
      </c>
      <c r="D38" s="672" t="s">
        <v>1945</v>
      </c>
      <c r="E38" s="1043"/>
      <c r="F38" s="554"/>
      <c r="G38" s="774">
        <f t="shared" si="15"/>
        <v>0</v>
      </c>
      <c r="H38" s="775">
        <v>0</v>
      </c>
      <c r="I38" s="775">
        <f>G38-H38</f>
        <v>0</v>
      </c>
      <c r="J38" s="774">
        <f t="shared" si="20"/>
        <v>0</v>
      </c>
      <c r="K38" s="774"/>
      <c r="L38" s="554"/>
      <c r="M38" s="775">
        <f>J38-L38</f>
        <v>0</v>
      </c>
      <c r="N38" s="774">
        <f>IF(F38=$N$2,E38,0)</f>
        <v>0</v>
      </c>
      <c r="O38" s="775">
        <v>1</v>
      </c>
      <c r="Q38"/>
    </row>
    <row r="39" spans="1:17" s="233" customFormat="1">
      <c r="A39" s="499" t="s">
        <v>1946</v>
      </c>
      <c r="B39" s="611">
        <v>451</v>
      </c>
      <c r="C39" s="611">
        <v>4192166</v>
      </c>
      <c r="D39" s="672" t="s">
        <v>1947</v>
      </c>
      <c r="E39" s="1043"/>
      <c r="F39" s="529"/>
      <c r="G39" s="768">
        <f t="shared" ref="G39" si="21">IF(F39=$G$2,E39,0)</f>
        <v>0</v>
      </c>
      <c r="H39" s="769">
        <v>0</v>
      </c>
      <c r="I39" s="769">
        <f t="shared" ref="I39" si="22">G39-H39</f>
        <v>0</v>
      </c>
      <c r="J39" s="768">
        <f t="shared" si="20"/>
        <v>0</v>
      </c>
      <c r="K39" s="768"/>
      <c r="L39" s="554"/>
      <c r="M39" s="769">
        <f t="shared" ref="M39" si="23">J39-L39</f>
        <v>0</v>
      </c>
      <c r="N39" s="768">
        <f t="shared" ref="N39" si="24">IF(F39=$N$2,E39,0)</f>
        <v>0</v>
      </c>
      <c r="O39" s="769"/>
      <c r="Q39"/>
    </row>
    <row r="40" spans="1:17" s="233" customFormat="1">
      <c r="A40" s="499" t="s">
        <v>1948</v>
      </c>
      <c r="B40" s="611">
        <v>451</v>
      </c>
      <c r="C40" s="611">
        <v>4184517</v>
      </c>
      <c r="D40" s="672" t="s">
        <v>1949</v>
      </c>
      <c r="E40" s="1043"/>
      <c r="F40" s="529"/>
      <c r="G40" s="768">
        <f t="shared" ref="G40" si="25">IF(F40=$G$2,E40,0)</f>
        <v>0</v>
      </c>
      <c r="H40" s="769">
        <v>0</v>
      </c>
      <c r="I40" s="769">
        <f t="shared" ref="I40" si="26">G40-H40</f>
        <v>0</v>
      </c>
      <c r="J40" s="768">
        <f t="shared" ref="J40" si="27">IF(F40=$J$2,E40,0)</f>
        <v>0</v>
      </c>
      <c r="K40" s="768"/>
      <c r="L40" s="554"/>
      <c r="M40" s="769">
        <f t="shared" ref="M40" si="28">J40-L40</f>
        <v>0</v>
      </c>
      <c r="N40" s="768">
        <f t="shared" ref="N40" si="29">IF(F40=$N$2,E40,0)</f>
        <v>0</v>
      </c>
      <c r="O40" s="769"/>
      <c r="Q40"/>
    </row>
    <row r="41" spans="1:17">
      <c r="A41" s="499" t="s">
        <v>1950</v>
      </c>
      <c r="B41" s="611">
        <v>451</v>
      </c>
      <c r="C41" s="611">
        <v>4192164</v>
      </c>
      <c r="D41" s="672" t="s">
        <v>1951</v>
      </c>
      <c r="E41" s="1043"/>
      <c r="F41" s="554"/>
      <c r="G41" s="768">
        <f t="shared" ref="G41" si="30">IF(F41=$G$2,E41,0)</f>
        <v>0</v>
      </c>
      <c r="H41" s="769">
        <v>0</v>
      </c>
      <c r="I41" s="769">
        <f t="shared" ref="I41" si="31">G41-H41</f>
        <v>0</v>
      </c>
      <c r="J41" s="768">
        <f t="shared" ref="J41" si="32">IF(F41=$J$2,E41,0)</f>
        <v>0</v>
      </c>
      <c r="K41" s="768"/>
      <c r="L41" s="554"/>
      <c r="M41" s="769">
        <f t="shared" ref="M41" si="33">J41-L41</f>
        <v>0</v>
      </c>
      <c r="N41" s="768">
        <f t="shared" ref="N41" si="34">IF(F41=$N$2,E41,0)</f>
        <v>0</v>
      </c>
      <c r="O41" s="769"/>
    </row>
    <row r="42" spans="1:17">
      <c r="A42" s="581" t="s">
        <v>1952</v>
      </c>
      <c r="B42" s="797">
        <v>451</v>
      </c>
      <c r="C42" s="797">
        <v>4184519</v>
      </c>
      <c r="D42" s="798" t="s">
        <v>1953</v>
      </c>
      <c r="E42" s="1043"/>
      <c r="F42" s="529"/>
      <c r="G42" s="768"/>
      <c r="H42" s="769"/>
      <c r="I42" s="769"/>
      <c r="J42" s="768"/>
      <c r="K42" s="768"/>
      <c r="L42" s="554"/>
      <c r="M42" s="769"/>
      <c r="N42" s="768"/>
      <c r="O42" s="769"/>
    </row>
    <row r="43" spans="1:17">
      <c r="A43" s="581"/>
      <c r="B43" s="1127"/>
      <c r="C43" s="1128"/>
      <c r="D43" s="798"/>
      <c r="E43" s="1043"/>
      <c r="F43" s="554"/>
      <c r="G43" s="768"/>
      <c r="H43" s="769"/>
      <c r="I43" s="769"/>
      <c r="J43" s="768"/>
      <c r="K43" s="768"/>
      <c r="L43" s="554"/>
      <c r="M43" s="769"/>
      <c r="N43" s="768"/>
      <c r="O43" s="769"/>
    </row>
    <row r="44" spans="1:17" ht="13">
      <c r="A44" s="499">
        <v>5</v>
      </c>
      <c r="B44" s="1213" t="s">
        <v>1954</v>
      </c>
      <c r="C44" s="1214"/>
      <c r="D44" s="1215"/>
      <c r="E44" s="158">
        <f>SUM(E11:E43)</f>
        <v>0</v>
      </c>
      <c r="F44" s="165"/>
      <c r="G44" s="770">
        <f>SUM(G11:G41)</f>
        <v>0</v>
      </c>
      <c r="H44" s="771">
        <f>SUM(H11:H41)</f>
        <v>0</v>
      </c>
      <c r="I44" s="770">
        <f>SUM(I11:I41)</f>
        <v>0</v>
      </c>
      <c r="J44" s="770">
        <f>SUM(J11:J41)</f>
        <v>0</v>
      </c>
      <c r="K44" s="772"/>
      <c r="L44" s="770">
        <f>SUM(L11:L41)</f>
        <v>0</v>
      </c>
      <c r="M44" s="770">
        <f>SUM(M11:M41)</f>
        <v>0</v>
      </c>
      <c r="N44" s="770">
        <f>SUM(N11:N41)</f>
        <v>0</v>
      </c>
      <c r="O44" s="775"/>
    </row>
    <row r="45" spans="1:17" ht="25.5" customHeight="1">
      <c r="A45" s="499">
        <v>6</v>
      </c>
      <c r="B45" s="1236" t="s">
        <v>1955</v>
      </c>
      <c r="C45" s="1237"/>
      <c r="D45" s="1238"/>
      <c r="E45" s="580"/>
      <c r="F45" s="157"/>
      <c r="G45" s="154"/>
      <c r="H45" s="891"/>
      <c r="I45" s="891"/>
      <c r="J45" s="154"/>
      <c r="K45" s="157"/>
      <c r="L45" s="154"/>
      <c r="M45" s="154"/>
      <c r="N45" s="157"/>
      <c r="O45" s="234"/>
    </row>
    <row r="46" spans="1:17" ht="13">
      <c r="A46" s="239"/>
      <c r="B46" s="1"/>
      <c r="C46" s="109"/>
      <c r="D46" s="109"/>
      <c r="E46" s="154"/>
      <c r="F46" s="154"/>
      <c r="G46" s="154"/>
      <c r="H46" s="891"/>
      <c r="I46" s="891"/>
      <c r="J46" s="154"/>
      <c r="K46" s="157"/>
      <c r="L46" s="154"/>
      <c r="M46" s="154"/>
      <c r="N46" s="154"/>
      <c r="O46" s="234"/>
    </row>
    <row r="47" spans="1:17">
      <c r="A47" s="499" t="s">
        <v>1956</v>
      </c>
      <c r="B47" s="611">
        <v>453</v>
      </c>
      <c r="C47" s="611">
        <v>4183120</v>
      </c>
      <c r="D47" s="281" t="s">
        <v>1957</v>
      </c>
      <c r="E47" s="529"/>
      <c r="F47" s="554"/>
      <c r="G47" s="497">
        <f t="shared" ref="G47:G49" si="35">IF(F47=$G$2,E47,0)</f>
        <v>0</v>
      </c>
      <c r="H47" s="496">
        <v>0</v>
      </c>
      <c r="I47" s="496">
        <f>G47-H47</f>
        <v>0</v>
      </c>
      <c r="J47" s="497">
        <f t="shared" ref="J47:J48" si="36">IF(F47=$J$2,E47,0)</f>
        <v>0</v>
      </c>
      <c r="K47" s="973" t="s">
        <v>1905</v>
      </c>
      <c r="L47" s="529"/>
      <c r="M47" s="496">
        <f>J47-L47</f>
        <v>0</v>
      </c>
      <c r="N47" s="497">
        <f>IF(F47=$N$2,E47,0)</f>
        <v>0</v>
      </c>
      <c r="O47" s="280">
        <v>2</v>
      </c>
    </row>
    <row r="48" spans="1:17">
      <c r="A48" s="499" t="s">
        <v>1958</v>
      </c>
      <c r="B48" s="611">
        <v>453</v>
      </c>
      <c r="C48" s="611">
        <v>4183110</v>
      </c>
      <c r="D48" s="281" t="s">
        <v>1959</v>
      </c>
      <c r="E48" s="529"/>
      <c r="F48" s="554"/>
      <c r="G48" s="778">
        <f t="shared" si="35"/>
        <v>0</v>
      </c>
      <c r="H48" s="496">
        <v>0</v>
      </c>
      <c r="I48" s="775">
        <f t="shared" ref="I48" si="37">G48-H48</f>
        <v>0</v>
      </c>
      <c r="J48" s="778">
        <f t="shared" si="36"/>
        <v>0</v>
      </c>
      <c r="K48" s="497"/>
      <c r="L48" s="554"/>
      <c r="M48" s="775">
        <f t="shared" ref="M48:M49" si="38">J48-L48</f>
        <v>0</v>
      </c>
      <c r="N48" s="497">
        <f>IF(F48=$N$2,E48,0)</f>
        <v>0</v>
      </c>
      <c r="O48" s="280">
        <v>1</v>
      </c>
    </row>
    <row r="49" spans="1:15">
      <c r="A49" s="499" t="s">
        <v>1960</v>
      </c>
      <c r="B49" s="611">
        <v>453</v>
      </c>
      <c r="C49" s="611">
        <v>4183115</v>
      </c>
      <c r="D49" s="281" t="s">
        <v>1961</v>
      </c>
      <c r="E49" s="529"/>
      <c r="F49" s="554"/>
      <c r="G49" s="778">
        <f t="shared" si="35"/>
        <v>0</v>
      </c>
      <c r="H49" s="775">
        <v>0</v>
      </c>
      <c r="I49" s="775">
        <f>G49-H49</f>
        <v>0</v>
      </c>
      <c r="J49" s="778">
        <f>IF(F49=$J$2,E49,0)</f>
        <v>0</v>
      </c>
      <c r="K49" s="497"/>
      <c r="L49" s="554"/>
      <c r="M49" s="775">
        <f t="shared" si="38"/>
        <v>0</v>
      </c>
      <c r="N49" s="778">
        <f>IF(F49=$N$2,E49,0)</f>
        <v>0</v>
      </c>
      <c r="O49" s="280">
        <v>1</v>
      </c>
    </row>
    <row r="50" spans="1:15">
      <c r="A50" s="581"/>
      <c r="B50" s="797"/>
      <c r="C50" s="799"/>
      <c r="D50" s="582"/>
      <c r="E50" s="554"/>
      <c r="F50" s="554"/>
      <c r="G50" s="768"/>
      <c r="H50" s="769"/>
      <c r="I50" s="769"/>
      <c r="J50" s="768"/>
      <c r="K50" s="529"/>
      <c r="L50" s="391"/>
      <c r="M50" s="769"/>
      <c r="N50" s="768"/>
      <c r="O50" s="583"/>
    </row>
    <row r="51" spans="1:15">
      <c r="A51" s="581"/>
      <c r="B51" s="797"/>
      <c r="C51" s="799"/>
      <c r="D51" s="582"/>
      <c r="E51" s="554"/>
      <c r="F51" s="554"/>
      <c r="G51" s="889"/>
      <c r="H51" s="583"/>
      <c r="I51" s="391"/>
      <c r="J51" s="554"/>
      <c r="K51" s="554"/>
      <c r="L51" s="391"/>
      <c r="M51" s="391"/>
      <c r="N51" s="554"/>
      <c r="O51" s="583"/>
    </row>
    <row r="52" spans="1:15" ht="13">
      <c r="A52" s="499">
        <v>8</v>
      </c>
      <c r="B52" s="1213" t="s">
        <v>1962</v>
      </c>
      <c r="C52" s="1214"/>
      <c r="D52" s="1215"/>
      <c r="E52" s="158">
        <f>SUM(E47:E51)</f>
        <v>0</v>
      </c>
      <c r="F52" s="165"/>
      <c r="G52" s="158">
        <f>SUM(G47:G51)</f>
        <v>0</v>
      </c>
      <c r="H52" s="106">
        <f>SUM(H47:H51)</f>
        <v>0</v>
      </c>
      <c r="I52" s="158">
        <f>SUM(I47:I51)</f>
        <v>0</v>
      </c>
      <c r="J52" s="158">
        <f>SUM(J47:J51)</f>
        <v>0</v>
      </c>
      <c r="K52" s="165"/>
      <c r="L52" s="158">
        <f>SUM(L47:L51)</f>
        <v>0</v>
      </c>
      <c r="M52" s="158">
        <f>SUM(M47:M51)</f>
        <v>0</v>
      </c>
      <c r="N52" s="158">
        <f>SUM(N47:N51)</f>
        <v>0</v>
      </c>
      <c r="O52" s="106"/>
    </row>
    <row r="53" spans="1:15" ht="25.5" customHeight="1">
      <c r="A53" s="499">
        <v>9</v>
      </c>
      <c r="B53" s="1229" t="s">
        <v>1963</v>
      </c>
      <c r="C53" s="1230"/>
      <c r="D53" s="1230"/>
      <c r="E53" s="1132"/>
      <c r="F53" s="157"/>
      <c r="G53" s="154"/>
      <c r="H53" s="891"/>
      <c r="I53" s="110"/>
      <c r="J53" s="154"/>
      <c r="K53" s="157"/>
      <c r="L53" s="154"/>
      <c r="M53" s="154"/>
      <c r="N53" s="154"/>
      <c r="O53" s="2"/>
    </row>
    <row r="54" spans="1:15" ht="13">
      <c r="A54" s="4"/>
      <c r="B54" s="1"/>
      <c r="C54" s="109"/>
      <c r="D54" s="109"/>
      <c r="E54" s="154"/>
      <c r="F54" s="154"/>
      <c r="G54" s="154"/>
      <c r="H54" s="891"/>
      <c r="I54" s="110"/>
      <c r="J54" s="154"/>
      <c r="K54" s="157"/>
      <c r="L54" s="154"/>
      <c r="M54" s="154"/>
      <c r="N54" s="154"/>
      <c r="O54" s="2"/>
    </row>
    <row r="55" spans="1:15">
      <c r="A55" s="499" t="s">
        <v>1964</v>
      </c>
      <c r="B55" s="971">
        <v>454</v>
      </c>
      <c r="C55" s="1038">
        <v>4184110</v>
      </c>
      <c r="D55" s="1039" t="s">
        <v>1965</v>
      </c>
      <c r="E55" s="529"/>
      <c r="F55" s="529"/>
      <c r="G55" s="886">
        <f>IF(F55=$G$2,E55,0)</f>
        <v>0</v>
      </c>
      <c r="H55" s="496">
        <v>0</v>
      </c>
      <c r="I55" s="496">
        <f>G55-H55</f>
        <v>0</v>
      </c>
      <c r="J55" s="886">
        <f>IF(F55=$J$2,E55,0)</f>
        <v>0</v>
      </c>
      <c r="K55" s="886"/>
      <c r="L55" s="554"/>
      <c r="M55" s="496">
        <f>J55-L55</f>
        <v>0</v>
      </c>
      <c r="N55" s="886">
        <f>IF(F55=$N$2,E55,0)</f>
        <v>0</v>
      </c>
      <c r="O55" s="280">
        <v>4</v>
      </c>
    </row>
    <row r="56" spans="1:15">
      <c r="A56" s="499" t="s">
        <v>1966</v>
      </c>
      <c r="B56" s="971">
        <v>454</v>
      </c>
      <c r="C56" s="1038">
        <v>4184112</v>
      </c>
      <c r="D56" s="1039" t="s">
        <v>1967</v>
      </c>
      <c r="E56" s="529"/>
      <c r="F56" s="529"/>
      <c r="G56" s="886">
        <f>IF(F56=$G$2,E56,0)</f>
        <v>0</v>
      </c>
      <c r="H56" s="496">
        <v>0</v>
      </c>
      <c r="I56" s="496">
        <f>G56-H56</f>
        <v>0</v>
      </c>
      <c r="J56" s="886">
        <f t="shared" ref="J56:J67" si="39">IF(F56=$J$2,E56,0)</f>
        <v>0</v>
      </c>
      <c r="K56" s="886"/>
      <c r="L56" s="554"/>
      <c r="M56" s="496">
        <f t="shared" ref="M56:M58" si="40">J56-L56</f>
        <v>0</v>
      </c>
      <c r="N56" s="886">
        <f>IF(F56=$N$2,E56,0)</f>
        <v>0</v>
      </c>
      <c r="O56" s="280">
        <v>4</v>
      </c>
    </row>
    <row r="57" spans="1:15">
      <c r="A57" s="499" t="s">
        <v>1968</v>
      </c>
      <c r="B57" s="971">
        <v>454</v>
      </c>
      <c r="C57" s="1038">
        <v>4184114</v>
      </c>
      <c r="D57" s="1039" t="s">
        <v>1969</v>
      </c>
      <c r="E57" s="529"/>
      <c r="F57" s="529"/>
      <c r="G57" s="886">
        <f>IF(F57=$G$2,E57,0)</f>
        <v>0</v>
      </c>
      <c r="H57" s="496">
        <v>0</v>
      </c>
      <c r="I57" s="496">
        <f>G57-H57</f>
        <v>0</v>
      </c>
      <c r="J57" s="886">
        <f t="shared" si="39"/>
        <v>0</v>
      </c>
      <c r="K57" s="886"/>
      <c r="L57" s="554"/>
      <c r="M57" s="496">
        <f t="shared" si="40"/>
        <v>0</v>
      </c>
      <c r="N57" s="886">
        <f>IF(F57=$N$2,E57,0)</f>
        <v>0</v>
      </c>
      <c r="O57" s="280">
        <v>4</v>
      </c>
    </row>
    <row r="58" spans="1:15">
      <c r="A58" s="592" t="s">
        <v>1970</v>
      </c>
      <c r="B58" s="971">
        <v>454</v>
      </c>
      <c r="C58" s="1038">
        <v>4184120</v>
      </c>
      <c r="D58" s="1039" t="s">
        <v>1971</v>
      </c>
      <c r="E58" s="529"/>
      <c r="F58" s="529"/>
      <c r="G58" s="886">
        <f>IF(F58=$G$2,E58,0)</f>
        <v>0</v>
      </c>
      <c r="H58" s="496">
        <v>0</v>
      </c>
      <c r="I58" s="496">
        <f>G58-H58</f>
        <v>0</v>
      </c>
      <c r="J58" s="886">
        <f t="shared" si="39"/>
        <v>0</v>
      </c>
      <c r="K58" s="886"/>
      <c r="L58" s="554"/>
      <c r="M58" s="496">
        <f t="shared" si="40"/>
        <v>0</v>
      </c>
      <c r="N58" s="886">
        <f>IF(F58=$N$2,E58,0)</f>
        <v>0</v>
      </c>
      <c r="O58" s="280">
        <v>4</v>
      </c>
    </row>
    <row r="59" spans="1:15">
      <c r="A59" s="591" t="s">
        <v>1972</v>
      </c>
      <c r="B59" s="971">
        <v>454</v>
      </c>
      <c r="C59" s="1038">
        <v>4184510</v>
      </c>
      <c r="D59" s="1039" t="s">
        <v>1973</v>
      </c>
      <c r="E59" s="529"/>
      <c r="F59" s="529"/>
      <c r="G59" s="886">
        <f t="shared" ref="G59:G65" si="41">IF(F59=$G$2,E59,0)</f>
        <v>0</v>
      </c>
      <c r="H59" s="496">
        <v>0</v>
      </c>
      <c r="I59" s="496">
        <f>G59-H59</f>
        <v>0</v>
      </c>
      <c r="J59" s="886">
        <f t="shared" si="39"/>
        <v>0</v>
      </c>
      <c r="K59" s="892" t="s">
        <v>1905</v>
      </c>
      <c r="L59" s="529"/>
      <c r="M59" s="496">
        <f>J59-L59</f>
        <v>0</v>
      </c>
      <c r="N59" s="886">
        <f>IF(F59=$N$2,E59,0)</f>
        <v>0</v>
      </c>
      <c r="O59" s="280">
        <v>2</v>
      </c>
    </row>
    <row r="60" spans="1:15">
      <c r="A60" s="499" t="s">
        <v>1974</v>
      </c>
      <c r="B60" s="971">
        <v>454</v>
      </c>
      <c r="C60" s="1038">
        <v>4184512</v>
      </c>
      <c r="D60" s="1039" t="s">
        <v>1975</v>
      </c>
      <c r="E60" s="529"/>
      <c r="F60" s="529"/>
      <c r="G60" s="886">
        <f t="shared" si="41"/>
        <v>0</v>
      </c>
      <c r="H60" s="496">
        <v>0</v>
      </c>
      <c r="I60" s="496">
        <f t="shared" ref="I60:I62" si="42">G60-H60</f>
        <v>0</v>
      </c>
      <c r="J60" s="886">
        <f t="shared" si="39"/>
        <v>0</v>
      </c>
      <c r="K60" s="892" t="s">
        <v>1905</v>
      </c>
      <c r="L60" s="529"/>
      <c r="M60" s="496">
        <f>J60-L60</f>
        <v>0</v>
      </c>
      <c r="N60" s="886">
        <f t="shared" ref="N60:N65" si="43">IF(F60=$N$2,E60,0)</f>
        <v>0</v>
      </c>
      <c r="O60" s="280">
        <v>2</v>
      </c>
    </row>
    <row r="61" spans="1:15">
      <c r="A61" s="499" t="s">
        <v>1976</v>
      </c>
      <c r="B61" s="971">
        <v>454</v>
      </c>
      <c r="C61" s="1038">
        <v>4184514</v>
      </c>
      <c r="D61" s="1039" t="s">
        <v>1977</v>
      </c>
      <c r="E61" s="529"/>
      <c r="F61" s="529"/>
      <c r="G61" s="886">
        <f t="shared" si="41"/>
        <v>0</v>
      </c>
      <c r="H61" s="496">
        <v>0</v>
      </c>
      <c r="I61" s="496">
        <f t="shared" si="42"/>
        <v>0</v>
      </c>
      <c r="J61" s="886">
        <f t="shared" si="39"/>
        <v>0</v>
      </c>
      <c r="K61" s="892" t="s">
        <v>1905</v>
      </c>
      <c r="L61" s="529"/>
      <c r="M61" s="496">
        <f>J61-L61</f>
        <v>0</v>
      </c>
      <c r="N61" s="886">
        <f t="shared" si="43"/>
        <v>0</v>
      </c>
      <c r="O61" s="280">
        <v>2</v>
      </c>
    </row>
    <row r="62" spans="1:15">
      <c r="A62" s="499" t="s">
        <v>1978</v>
      </c>
      <c r="B62" s="971">
        <v>454</v>
      </c>
      <c r="C62" s="1038">
        <v>4184516</v>
      </c>
      <c r="D62" s="1039" t="s">
        <v>1979</v>
      </c>
      <c r="E62" s="529"/>
      <c r="F62" s="529"/>
      <c r="G62" s="886">
        <f t="shared" si="41"/>
        <v>0</v>
      </c>
      <c r="H62" s="496">
        <v>0</v>
      </c>
      <c r="I62" s="496">
        <f t="shared" si="42"/>
        <v>0</v>
      </c>
      <c r="J62" s="886">
        <f t="shared" si="39"/>
        <v>0</v>
      </c>
      <c r="K62" s="892" t="s">
        <v>1905</v>
      </c>
      <c r="L62" s="529"/>
      <c r="M62" s="496">
        <f t="shared" ref="M62:M80" si="44">J62-L62</f>
        <v>0</v>
      </c>
      <c r="N62" s="886">
        <f t="shared" si="43"/>
        <v>0</v>
      </c>
      <c r="O62" s="280">
        <v>2</v>
      </c>
    </row>
    <row r="63" spans="1:15">
      <c r="A63" s="499" t="s">
        <v>1980</v>
      </c>
      <c r="B63" s="971">
        <v>454</v>
      </c>
      <c r="C63" s="1038">
        <v>4184518</v>
      </c>
      <c r="D63" s="1039" t="s">
        <v>1981</v>
      </c>
      <c r="E63" s="529"/>
      <c r="F63" s="529"/>
      <c r="G63" s="886">
        <f>IF(F63=$G$2,E63,0)</f>
        <v>0</v>
      </c>
      <c r="H63" s="496">
        <v>0</v>
      </c>
      <c r="I63" s="496">
        <f>G63-H63</f>
        <v>0</v>
      </c>
      <c r="J63" s="886">
        <f>IF(F63=$J$2,E63,0)</f>
        <v>0</v>
      </c>
      <c r="K63" s="886"/>
      <c r="L63" s="529"/>
      <c r="M63" s="496">
        <f t="shared" si="44"/>
        <v>0</v>
      </c>
      <c r="N63" s="886">
        <f t="shared" si="43"/>
        <v>0</v>
      </c>
      <c r="O63" s="280">
        <v>4</v>
      </c>
    </row>
    <row r="64" spans="1:15">
      <c r="A64" s="499" t="s">
        <v>1982</v>
      </c>
      <c r="B64" s="971">
        <v>454</v>
      </c>
      <c r="C64" s="1038">
        <v>4184810</v>
      </c>
      <c r="D64" s="1039" t="s">
        <v>1983</v>
      </c>
      <c r="E64" s="529"/>
      <c r="F64" s="529"/>
      <c r="G64" s="886">
        <f>I64+H64</f>
        <v>0</v>
      </c>
      <c r="H64" s="496">
        <f>E64*$D$294</f>
        <v>0</v>
      </c>
      <c r="I64" s="496">
        <v>0</v>
      </c>
      <c r="J64" s="886">
        <f t="shared" si="39"/>
        <v>0</v>
      </c>
      <c r="K64" s="886"/>
      <c r="L64" s="529"/>
      <c r="M64" s="496">
        <f>J64-L64</f>
        <v>0</v>
      </c>
      <c r="N64" s="886">
        <f>IF(F64=$N$2,E64-H64,0)</f>
        <v>0</v>
      </c>
      <c r="O64" s="280" t="s">
        <v>1984</v>
      </c>
    </row>
    <row r="65" spans="1:15">
      <c r="A65" s="499" t="s">
        <v>1985</v>
      </c>
      <c r="B65" s="971">
        <v>454</v>
      </c>
      <c r="C65" s="1038">
        <v>4184815</v>
      </c>
      <c r="D65" s="1039" t="s">
        <v>1986</v>
      </c>
      <c r="E65" s="529"/>
      <c r="F65" s="529"/>
      <c r="G65" s="886">
        <f t="shared" si="41"/>
        <v>0</v>
      </c>
      <c r="H65" s="496">
        <f>E65*$D$294</f>
        <v>0</v>
      </c>
      <c r="I65" s="496">
        <f>G65-H65</f>
        <v>0</v>
      </c>
      <c r="J65" s="886">
        <f t="shared" si="39"/>
        <v>0</v>
      </c>
      <c r="K65" s="886"/>
      <c r="L65" s="529"/>
      <c r="M65" s="496">
        <f t="shared" si="44"/>
        <v>0</v>
      </c>
      <c r="N65" s="886">
        <f t="shared" si="43"/>
        <v>0</v>
      </c>
      <c r="O65" s="280">
        <v>7</v>
      </c>
    </row>
    <row r="66" spans="1:15">
      <c r="A66" s="499" t="s">
        <v>1987</v>
      </c>
      <c r="B66" s="971">
        <v>454</v>
      </c>
      <c r="C66" s="1038">
        <v>4184820</v>
      </c>
      <c r="D66" s="1039" t="s">
        <v>1988</v>
      </c>
      <c r="E66" s="529"/>
      <c r="F66" s="529"/>
      <c r="G66" s="886">
        <f>I66+H66</f>
        <v>0</v>
      </c>
      <c r="H66" s="496">
        <f>E66*$D$294</f>
        <v>0</v>
      </c>
      <c r="I66" s="496">
        <v>0</v>
      </c>
      <c r="J66" s="886">
        <f>IF(F66=$J$2,E66,0)</f>
        <v>0</v>
      </c>
      <c r="K66" s="886"/>
      <c r="L66" s="529"/>
      <c r="M66" s="496">
        <f>J66-L66</f>
        <v>0</v>
      </c>
      <c r="N66" s="886">
        <f>IF(F66=$N$2,E66-H66,0)</f>
        <v>0</v>
      </c>
      <c r="O66" s="280" t="s">
        <v>1984</v>
      </c>
    </row>
    <row r="67" spans="1:15">
      <c r="A67" s="499" t="s">
        <v>1989</v>
      </c>
      <c r="B67" s="971">
        <v>454</v>
      </c>
      <c r="C67" s="1038">
        <v>4184825</v>
      </c>
      <c r="D67" s="1039" t="s">
        <v>1990</v>
      </c>
      <c r="E67" s="529"/>
      <c r="F67" s="529"/>
      <c r="G67" s="886">
        <f>I67+H67</f>
        <v>0</v>
      </c>
      <c r="H67" s="496">
        <f>E67*$D$288</f>
        <v>0</v>
      </c>
      <c r="I67" s="496">
        <v>0</v>
      </c>
      <c r="J67" s="886">
        <f t="shared" si="39"/>
        <v>0</v>
      </c>
      <c r="K67" s="886"/>
      <c r="L67" s="529"/>
      <c r="M67" s="496">
        <f t="shared" si="44"/>
        <v>0</v>
      </c>
      <c r="N67" s="886">
        <f t="shared" ref="N67:N78" si="45">IF(F67=$N$2,E67,0)</f>
        <v>0</v>
      </c>
      <c r="O67" s="280">
        <v>7</v>
      </c>
    </row>
    <row r="68" spans="1:15">
      <c r="A68" s="499" t="s">
        <v>1991</v>
      </c>
      <c r="B68" s="971">
        <v>454</v>
      </c>
      <c r="C68" s="1038">
        <v>4194110</v>
      </c>
      <c r="D68" s="1039" t="s">
        <v>1992</v>
      </c>
      <c r="E68" s="529"/>
      <c r="F68" s="529"/>
      <c r="G68" s="886">
        <f t="shared" ref="G68:G78" si="46">IF(F68=$G$2,E68,0)</f>
        <v>0</v>
      </c>
      <c r="H68" s="496">
        <v>0</v>
      </c>
      <c r="I68" s="496">
        <f t="shared" ref="I68:I73" si="47">G68-H68</f>
        <v>0</v>
      </c>
      <c r="J68" s="886">
        <f t="shared" ref="J68:J79" si="48">IF(F68=$J$2,E68,0)</f>
        <v>0</v>
      </c>
      <c r="K68" s="886"/>
      <c r="L68" s="529"/>
      <c r="M68" s="496">
        <f t="shared" si="44"/>
        <v>0</v>
      </c>
      <c r="N68" s="886">
        <f t="shared" si="45"/>
        <v>0</v>
      </c>
      <c r="O68" s="280">
        <v>1</v>
      </c>
    </row>
    <row r="69" spans="1:15">
      <c r="A69" s="499" t="s">
        <v>1993</v>
      </c>
      <c r="B69" s="971">
        <v>454</v>
      </c>
      <c r="C69" s="1038">
        <v>4194115</v>
      </c>
      <c r="D69" s="1039" t="s">
        <v>1994</v>
      </c>
      <c r="E69" s="529"/>
      <c r="F69" s="529"/>
      <c r="G69" s="886">
        <f t="shared" si="46"/>
        <v>0</v>
      </c>
      <c r="H69" s="496">
        <v>0</v>
      </c>
      <c r="I69" s="496">
        <f>G69-H69</f>
        <v>0</v>
      </c>
      <c r="J69" s="886">
        <f t="shared" si="48"/>
        <v>0</v>
      </c>
      <c r="K69" s="886"/>
      <c r="L69" s="529"/>
      <c r="M69" s="496">
        <f t="shared" si="44"/>
        <v>0</v>
      </c>
      <c r="N69" s="886">
        <f t="shared" si="45"/>
        <v>0</v>
      </c>
      <c r="O69" s="280">
        <v>4</v>
      </c>
    </row>
    <row r="70" spans="1:15">
      <c r="A70" s="499" t="s">
        <v>1995</v>
      </c>
      <c r="B70" s="971">
        <v>454</v>
      </c>
      <c r="C70" s="1038">
        <v>4194120</v>
      </c>
      <c r="D70" s="1039" t="s">
        <v>1996</v>
      </c>
      <c r="E70" s="529"/>
      <c r="F70" s="529"/>
      <c r="G70" s="886">
        <f t="shared" si="46"/>
        <v>0</v>
      </c>
      <c r="H70" s="496">
        <v>0</v>
      </c>
      <c r="I70" s="496">
        <f>G70-H70</f>
        <v>0</v>
      </c>
      <c r="J70" s="886">
        <f t="shared" si="48"/>
        <v>0</v>
      </c>
      <c r="K70" s="886"/>
      <c r="L70" s="529"/>
      <c r="M70" s="496">
        <f t="shared" si="44"/>
        <v>0</v>
      </c>
      <c r="N70" s="886">
        <f t="shared" si="45"/>
        <v>0</v>
      </c>
      <c r="O70" s="280">
        <v>4</v>
      </c>
    </row>
    <row r="71" spans="1:15">
      <c r="A71" s="499" t="s">
        <v>1997</v>
      </c>
      <c r="B71" s="971">
        <v>454</v>
      </c>
      <c r="C71" s="1038">
        <v>4194130</v>
      </c>
      <c r="D71" s="1039" t="s">
        <v>1998</v>
      </c>
      <c r="E71" s="529"/>
      <c r="F71" s="529"/>
      <c r="G71" s="886">
        <f t="shared" si="46"/>
        <v>0</v>
      </c>
      <c r="H71" s="496">
        <v>0</v>
      </c>
      <c r="I71" s="496">
        <f>G71-H71</f>
        <v>0</v>
      </c>
      <c r="J71" s="886">
        <f t="shared" si="48"/>
        <v>0</v>
      </c>
      <c r="K71" s="886"/>
      <c r="L71" s="529"/>
      <c r="M71" s="496">
        <f t="shared" si="44"/>
        <v>0</v>
      </c>
      <c r="N71" s="886">
        <f t="shared" si="45"/>
        <v>0</v>
      </c>
      <c r="O71" s="280">
        <v>4</v>
      </c>
    </row>
    <row r="72" spans="1:15">
      <c r="A72" s="499" t="s">
        <v>1999</v>
      </c>
      <c r="B72" s="971">
        <v>454</v>
      </c>
      <c r="C72" s="1038">
        <v>4194135</v>
      </c>
      <c r="D72" s="1039" t="s">
        <v>2000</v>
      </c>
      <c r="E72" s="529"/>
      <c r="F72" s="529"/>
      <c r="G72" s="886">
        <f t="shared" si="46"/>
        <v>0</v>
      </c>
      <c r="H72" s="391"/>
      <c r="I72" s="496">
        <f>G72-H72</f>
        <v>0</v>
      </c>
      <c r="J72" s="886">
        <f t="shared" si="48"/>
        <v>0</v>
      </c>
      <c r="K72" s="886"/>
      <c r="L72" s="529"/>
      <c r="M72" s="496">
        <f t="shared" si="44"/>
        <v>0</v>
      </c>
      <c r="N72" s="886">
        <f t="shared" si="45"/>
        <v>0</v>
      </c>
      <c r="O72" s="280">
        <v>8</v>
      </c>
    </row>
    <row r="73" spans="1:15">
      <c r="A73" s="499" t="s">
        <v>2001</v>
      </c>
      <c r="B73" s="971">
        <v>454</v>
      </c>
      <c r="C73" s="1038">
        <v>4204515</v>
      </c>
      <c r="D73" s="1039" t="s">
        <v>2002</v>
      </c>
      <c r="E73" s="529"/>
      <c r="F73" s="529"/>
      <c r="G73" s="886">
        <f t="shared" si="46"/>
        <v>0</v>
      </c>
      <c r="H73" s="496">
        <v>0</v>
      </c>
      <c r="I73" s="496">
        <f t="shared" si="47"/>
        <v>0</v>
      </c>
      <c r="J73" s="886">
        <f t="shared" si="48"/>
        <v>0</v>
      </c>
      <c r="K73" s="892" t="s">
        <v>1905</v>
      </c>
      <c r="L73" s="529"/>
      <c r="M73" s="496">
        <f t="shared" ref="M73:M78" si="49">J73-L73</f>
        <v>0</v>
      </c>
      <c r="N73" s="886">
        <f t="shared" si="45"/>
        <v>0</v>
      </c>
      <c r="O73" s="280">
        <v>2</v>
      </c>
    </row>
    <row r="74" spans="1:15">
      <c r="A74" s="499" t="s">
        <v>2003</v>
      </c>
      <c r="B74" s="971">
        <v>454</v>
      </c>
      <c r="C74" s="1038">
        <v>4867020</v>
      </c>
      <c r="D74" s="1039" t="s">
        <v>2004</v>
      </c>
      <c r="E74" s="529"/>
      <c r="F74" s="529"/>
      <c r="G74" s="886">
        <f t="shared" si="46"/>
        <v>0</v>
      </c>
      <c r="H74" s="496">
        <v>0</v>
      </c>
      <c r="I74" s="496">
        <f>G74-H74</f>
        <v>0</v>
      </c>
      <c r="J74" s="886">
        <f t="shared" si="48"/>
        <v>0</v>
      </c>
      <c r="K74" s="886"/>
      <c r="L74" s="529"/>
      <c r="M74" s="496">
        <f t="shared" si="49"/>
        <v>0</v>
      </c>
      <c r="N74" s="886">
        <f t="shared" si="45"/>
        <v>0</v>
      </c>
      <c r="O74" s="280">
        <v>4</v>
      </c>
    </row>
    <row r="75" spans="1:15">
      <c r="A75" s="499" t="s">
        <v>2005</v>
      </c>
      <c r="B75" s="971">
        <v>454</v>
      </c>
      <c r="C75" s="1038" t="s">
        <v>2006</v>
      </c>
      <c r="D75" s="1039" t="s">
        <v>2007</v>
      </c>
      <c r="E75" s="529"/>
      <c r="F75" s="529"/>
      <c r="G75" s="886">
        <f t="shared" si="46"/>
        <v>0</v>
      </c>
      <c r="H75" s="496">
        <v>0</v>
      </c>
      <c r="I75" s="496">
        <f>G75-H75</f>
        <v>0</v>
      </c>
      <c r="J75" s="886">
        <f t="shared" si="48"/>
        <v>0</v>
      </c>
      <c r="K75" s="886"/>
      <c r="L75" s="529"/>
      <c r="M75" s="496">
        <f t="shared" si="49"/>
        <v>0</v>
      </c>
      <c r="N75" s="886">
        <f t="shared" si="45"/>
        <v>0</v>
      </c>
      <c r="O75" s="280">
        <v>1</v>
      </c>
    </row>
    <row r="76" spans="1:15">
      <c r="A76" s="499" t="s">
        <v>2008</v>
      </c>
      <c r="B76" s="971">
        <v>454</v>
      </c>
      <c r="C76" s="1038">
        <v>4206515</v>
      </c>
      <c r="D76" s="672" t="s">
        <v>2009</v>
      </c>
      <c r="E76" s="529"/>
      <c r="F76" s="529"/>
      <c r="G76" s="886">
        <f t="shared" si="46"/>
        <v>0</v>
      </c>
      <c r="H76" s="496">
        <v>0</v>
      </c>
      <c r="I76" s="496">
        <f>G76-H76</f>
        <v>0</v>
      </c>
      <c r="J76" s="497">
        <f t="shared" si="48"/>
        <v>0</v>
      </c>
      <c r="K76" s="497" t="s">
        <v>1905</v>
      </c>
      <c r="L76" s="529"/>
      <c r="M76" s="496">
        <f t="shared" si="49"/>
        <v>0</v>
      </c>
      <c r="N76" s="886">
        <f t="shared" si="45"/>
        <v>0</v>
      </c>
      <c r="O76" s="280">
        <v>2</v>
      </c>
    </row>
    <row r="77" spans="1:15">
      <c r="A77" s="499" t="s">
        <v>2010</v>
      </c>
      <c r="B77" s="971">
        <v>454</v>
      </c>
      <c r="C77" s="1038">
        <v>4184122</v>
      </c>
      <c r="D77" s="672" t="s">
        <v>2011</v>
      </c>
      <c r="E77" s="529"/>
      <c r="F77" s="529"/>
      <c r="G77" s="886">
        <f t="shared" si="46"/>
        <v>0</v>
      </c>
      <c r="H77" s="496">
        <v>0</v>
      </c>
      <c r="I77" s="496">
        <f>G77-H77</f>
        <v>0</v>
      </c>
      <c r="J77" s="497">
        <f t="shared" si="48"/>
        <v>0</v>
      </c>
      <c r="K77" s="886"/>
      <c r="L77" s="554"/>
      <c r="M77" s="496">
        <f t="shared" si="49"/>
        <v>0</v>
      </c>
      <c r="N77" s="886">
        <f t="shared" si="45"/>
        <v>0</v>
      </c>
      <c r="O77" s="280">
        <v>4</v>
      </c>
    </row>
    <row r="78" spans="1:15">
      <c r="A78" s="499" t="s">
        <v>2012</v>
      </c>
      <c r="B78" s="971">
        <v>454</v>
      </c>
      <c r="C78" s="1038">
        <v>4184124</v>
      </c>
      <c r="D78" s="672" t="s">
        <v>2013</v>
      </c>
      <c r="E78" s="529"/>
      <c r="F78" s="529"/>
      <c r="G78" s="886">
        <f t="shared" si="46"/>
        <v>0</v>
      </c>
      <c r="H78" s="496">
        <v>0</v>
      </c>
      <c r="I78" s="496">
        <f>G78-H78</f>
        <v>0</v>
      </c>
      <c r="J78" s="497">
        <f t="shared" si="48"/>
        <v>0</v>
      </c>
      <c r="K78" s="886"/>
      <c r="L78" s="554"/>
      <c r="M78" s="496">
        <f t="shared" si="49"/>
        <v>0</v>
      </c>
      <c r="N78" s="886">
        <f t="shared" si="45"/>
        <v>0</v>
      </c>
      <c r="O78" s="280">
        <v>4</v>
      </c>
    </row>
    <row r="79" spans="1:15">
      <c r="A79" s="499" t="s">
        <v>2014</v>
      </c>
      <c r="B79" s="971">
        <v>454</v>
      </c>
      <c r="C79" s="1038">
        <v>4184821</v>
      </c>
      <c r="D79" s="672" t="s">
        <v>2015</v>
      </c>
      <c r="E79" s="529"/>
      <c r="F79" s="529"/>
      <c r="G79" s="886">
        <f>I79+H79</f>
        <v>0</v>
      </c>
      <c r="H79" s="496">
        <f>E79*$D$294</f>
        <v>0</v>
      </c>
      <c r="I79" s="496">
        <v>0</v>
      </c>
      <c r="J79" s="886">
        <f t="shared" si="48"/>
        <v>0</v>
      </c>
      <c r="K79" s="886"/>
      <c r="L79" s="554"/>
      <c r="M79" s="496">
        <f t="shared" si="44"/>
        <v>0</v>
      </c>
      <c r="N79" s="886">
        <f>IF(F79=$N$2,E79-H79,0)</f>
        <v>0</v>
      </c>
      <c r="O79" s="280" t="s">
        <v>1984</v>
      </c>
    </row>
    <row r="80" spans="1:15">
      <c r="A80" s="499" t="s">
        <v>2016</v>
      </c>
      <c r="B80" s="971">
        <v>454</v>
      </c>
      <c r="C80" s="1038">
        <v>4184811</v>
      </c>
      <c r="D80" s="672" t="s">
        <v>2017</v>
      </c>
      <c r="E80" s="529"/>
      <c r="F80" s="529"/>
      <c r="G80" s="886">
        <f>I80+H80</f>
        <v>0</v>
      </c>
      <c r="H80" s="496">
        <f>E80*$D$294</f>
        <v>0</v>
      </c>
      <c r="I80" s="496">
        <v>0</v>
      </c>
      <c r="J80" s="497">
        <f t="shared" ref="J80" si="50">IF(F80=$J$2,E80,0)</f>
        <v>0</v>
      </c>
      <c r="K80" s="886"/>
      <c r="L80" s="554"/>
      <c r="M80" s="496">
        <f t="shared" si="44"/>
        <v>0</v>
      </c>
      <c r="N80" s="886">
        <f t="shared" ref="N80" si="51">IF(F80=$N$2,E80-H80,0)</f>
        <v>0</v>
      </c>
      <c r="O80" s="280" t="s">
        <v>1984</v>
      </c>
    </row>
    <row r="81" spans="1:15">
      <c r="A81" s="499" t="s">
        <v>2018</v>
      </c>
      <c r="B81" s="971">
        <v>454</v>
      </c>
      <c r="C81" s="1038">
        <v>4184515</v>
      </c>
      <c r="D81" s="672" t="s">
        <v>1925</v>
      </c>
      <c r="E81" s="529"/>
      <c r="F81" s="529"/>
      <c r="G81" s="886">
        <f>IF(F81=$G$2,E81,0)</f>
        <v>0</v>
      </c>
      <c r="H81" s="496">
        <v>0</v>
      </c>
      <c r="I81" s="496">
        <f>G81-H81</f>
        <v>0</v>
      </c>
      <c r="J81" s="497">
        <f>IF(F81=$J$2,E81,0)</f>
        <v>0</v>
      </c>
      <c r="K81" s="886"/>
      <c r="L81" s="554"/>
      <c r="M81" s="496">
        <f>J81-L81</f>
        <v>0</v>
      </c>
      <c r="N81" s="886">
        <f>IF(F81=$N$2,E81-H81,0)</f>
        <v>0</v>
      </c>
      <c r="O81" s="280">
        <v>6</v>
      </c>
    </row>
    <row r="82" spans="1:15">
      <c r="A82" s="499" t="s">
        <v>2019</v>
      </c>
      <c r="B82" s="971">
        <v>454</v>
      </c>
      <c r="C82" s="1038">
        <v>4184126</v>
      </c>
      <c r="D82" s="751" t="s">
        <v>2020</v>
      </c>
      <c r="E82" s="529"/>
      <c r="F82" s="750"/>
      <c r="G82" s="886">
        <f>IF(F82=$G$2,E82,0)</f>
        <v>0</v>
      </c>
      <c r="H82" s="496">
        <v>0</v>
      </c>
      <c r="I82" s="496">
        <f>G82-H82</f>
        <v>0</v>
      </c>
      <c r="J82" s="497">
        <f>IF(F82=$J$2,E82,0)</f>
        <v>0</v>
      </c>
      <c r="K82" s="886"/>
      <c r="L82" s="554"/>
      <c r="M82" s="496">
        <f t="shared" ref="M82:M86" si="52">J82-L82</f>
        <v>0</v>
      </c>
      <c r="N82" s="886">
        <f t="shared" ref="N82:N83" si="53">IF(F82=$N$2,E82-H82,0)</f>
        <v>0</v>
      </c>
      <c r="O82" s="280">
        <v>4</v>
      </c>
    </row>
    <row r="83" spans="1:15">
      <c r="A83" s="499" t="s">
        <v>2021</v>
      </c>
      <c r="B83" s="971">
        <v>454</v>
      </c>
      <c r="C83" s="1038">
        <v>4184526</v>
      </c>
      <c r="D83" s="751" t="s">
        <v>2022</v>
      </c>
      <c r="E83" s="529"/>
      <c r="F83" s="529"/>
      <c r="G83" s="886">
        <f>IF(F83=$G$2,E83,0)</f>
        <v>0</v>
      </c>
      <c r="H83" s="496">
        <v>0</v>
      </c>
      <c r="I83" s="496">
        <f>G83-H83</f>
        <v>0</v>
      </c>
      <c r="J83" s="497">
        <f>IF(F83=$J$2,E83,0)</f>
        <v>0</v>
      </c>
      <c r="K83" s="886" t="s">
        <v>1905</v>
      </c>
      <c r="L83" s="554"/>
      <c r="M83" s="496">
        <f t="shared" si="52"/>
        <v>0</v>
      </c>
      <c r="N83" s="886">
        <f t="shared" si="53"/>
        <v>0</v>
      </c>
      <c r="O83" s="280">
        <v>2</v>
      </c>
    </row>
    <row r="84" spans="1:15">
      <c r="A84" s="499" t="s">
        <v>2023</v>
      </c>
      <c r="B84" s="971">
        <v>454</v>
      </c>
      <c r="C84" s="1038">
        <v>4197020</v>
      </c>
      <c r="D84" s="672" t="s">
        <v>2024</v>
      </c>
      <c r="E84" s="529"/>
      <c r="F84" s="529"/>
      <c r="G84" s="497">
        <f t="shared" ref="G84:G86" si="54">IF(F84=$G$2,E84,0)</f>
        <v>0</v>
      </c>
      <c r="H84" s="496">
        <v>0</v>
      </c>
      <c r="I84" s="496">
        <f>G84-H84</f>
        <v>0</v>
      </c>
      <c r="J84" s="497">
        <f t="shared" ref="J84:J86" si="55">IF(F84=$J$2,E84,0)</f>
        <v>0</v>
      </c>
      <c r="K84" s="497"/>
      <c r="L84" s="554"/>
      <c r="M84" s="496">
        <f t="shared" si="52"/>
        <v>0</v>
      </c>
      <c r="N84" s="497">
        <f t="shared" ref="N84:N86" si="56">IF(F84=$N$2,E84,0)</f>
        <v>0</v>
      </c>
      <c r="O84" s="280">
        <v>4</v>
      </c>
    </row>
    <row r="85" spans="1:15">
      <c r="A85" s="499" t="s">
        <v>2025</v>
      </c>
      <c r="B85" s="971">
        <v>454</v>
      </c>
      <c r="C85" s="1038">
        <v>6120090</v>
      </c>
      <c r="D85" s="672" t="s">
        <v>2026</v>
      </c>
      <c r="E85" s="529"/>
      <c r="F85" s="529"/>
      <c r="G85" s="497">
        <f t="shared" si="54"/>
        <v>0</v>
      </c>
      <c r="H85" s="496">
        <v>0</v>
      </c>
      <c r="I85" s="496">
        <f>G85-H85</f>
        <v>0</v>
      </c>
      <c r="J85" s="497">
        <f t="shared" si="55"/>
        <v>0</v>
      </c>
      <c r="K85" s="497"/>
      <c r="L85" s="554"/>
      <c r="M85" s="496">
        <f t="shared" si="52"/>
        <v>0</v>
      </c>
      <c r="N85" s="497">
        <f t="shared" si="56"/>
        <v>0</v>
      </c>
      <c r="O85" s="280">
        <v>4</v>
      </c>
    </row>
    <row r="86" spans="1:15">
      <c r="A86" s="499" t="s">
        <v>2027</v>
      </c>
      <c r="B86" s="971">
        <v>454</v>
      </c>
      <c r="C86" s="1038">
        <v>6120085</v>
      </c>
      <c r="D86" s="672" t="s">
        <v>2028</v>
      </c>
      <c r="E86" s="529"/>
      <c r="F86" s="529"/>
      <c r="G86" s="497">
        <f t="shared" si="54"/>
        <v>0</v>
      </c>
      <c r="H86" s="496">
        <v>0</v>
      </c>
      <c r="I86" s="496">
        <f t="shared" ref="I86" si="57">G86-H86</f>
        <v>0</v>
      </c>
      <c r="J86" s="497">
        <f t="shared" si="55"/>
        <v>0</v>
      </c>
      <c r="K86" s="497"/>
      <c r="L86" s="554"/>
      <c r="M86" s="496">
        <f t="shared" si="52"/>
        <v>0</v>
      </c>
      <c r="N86" s="497">
        <f t="shared" si="56"/>
        <v>0</v>
      </c>
      <c r="O86" s="280">
        <v>4</v>
      </c>
    </row>
    <row r="87" spans="1:15">
      <c r="A87" s="581"/>
      <c r="B87" s="797"/>
      <c r="C87" s="799"/>
      <c r="D87" s="798"/>
      <c r="E87" s="529"/>
      <c r="F87" s="529"/>
      <c r="G87" s="806"/>
      <c r="H87" s="807"/>
      <c r="I87" s="807"/>
      <c r="J87" s="806"/>
      <c r="K87" s="806"/>
      <c r="L87" s="807"/>
      <c r="M87" s="807"/>
      <c r="N87" s="806"/>
      <c r="O87" s="763"/>
    </row>
    <row r="88" spans="1:15">
      <c r="A88" s="581"/>
      <c r="B88" s="797"/>
      <c r="C88" s="799"/>
      <c r="D88" s="798"/>
      <c r="E88" s="529"/>
      <c r="F88" s="529"/>
      <c r="G88" s="806"/>
      <c r="H88" s="807"/>
      <c r="I88" s="807"/>
      <c r="J88" s="806"/>
      <c r="K88" s="806"/>
      <c r="L88" s="807"/>
      <c r="M88" s="807"/>
      <c r="N88" s="806"/>
      <c r="O88" s="763"/>
    </row>
    <row r="89" spans="1:15" ht="13">
      <c r="A89" s="499">
        <v>11</v>
      </c>
      <c r="B89" s="1213" t="s">
        <v>2029</v>
      </c>
      <c r="C89" s="1214"/>
      <c r="D89" s="1215"/>
      <c r="E89" s="158">
        <f>SUM(E55:E86)</f>
        <v>0</v>
      </c>
      <c r="F89" s="165"/>
      <c r="G89" s="158">
        <f>SUM(G55:G86)</f>
        <v>0</v>
      </c>
      <c r="H89" s="158">
        <f t="shared" ref="H89:J89" si="58">SUM(H55:H86)</f>
        <v>0</v>
      </c>
      <c r="I89" s="158">
        <f t="shared" si="58"/>
        <v>0</v>
      </c>
      <c r="J89" s="158">
        <f t="shared" si="58"/>
        <v>0</v>
      </c>
      <c r="K89" s="165"/>
      <c r="L89" s="158">
        <f>SUM(L55:L86)</f>
        <v>0</v>
      </c>
      <c r="M89" s="158">
        <f>SUM(M55:M86)</f>
        <v>0</v>
      </c>
      <c r="N89" s="158">
        <f>SUM(N55:N86)</f>
        <v>0</v>
      </c>
      <c r="O89" s="106"/>
    </row>
    <row r="90" spans="1:15" ht="24.75" customHeight="1">
      <c r="A90" s="499">
        <v>12</v>
      </c>
      <c r="B90" s="1236" t="s">
        <v>2030</v>
      </c>
      <c r="C90" s="1237"/>
      <c r="D90" s="1238"/>
      <c r="E90" s="580"/>
      <c r="F90" s="157"/>
      <c r="G90" s="170"/>
      <c r="H90" s="157"/>
      <c r="I90" s="157"/>
      <c r="J90" s="154"/>
      <c r="K90" s="157"/>
      <c r="L90" s="154"/>
      <c r="M90" s="154"/>
      <c r="N90" s="154"/>
      <c r="O90" s="2"/>
    </row>
    <row r="91" spans="1:15" ht="13">
      <c r="A91" s="4"/>
      <c r="B91" s="1"/>
      <c r="C91" s="109"/>
      <c r="D91" s="109"/>
      <c r="E91" s="154"/>
      <c r="F91" s="154"/>
      <c r="G91" s="154"/>
      <c r="H91" s="157"/>
      <c r="I91" s="157"/>
      <c r="J91" s="154"/>
      <c r="K91" s="157"/>
      <c r="L91" s="154"/>
      <c r="M91" s="154"/>
      <c r="N91" s="154"/>
      <c r="O91" s="2"/>
    </row>
    <row r="92" spans="1:15">
      <c r="A92" s="499" t="s">
        <v>2031</v>
      </c>
      <c r="B92" s="611">
        <v>456</v>
      </c>
      <c r="C92" s="1038">
        <v>4186114</v>
      </c>
      <c r="D92" s="1039" t="s">
        <v>2032</v>
      </c>
      <c r="E92" s="529"/>
      <c r="F92" s="768"/>
      <c r="G92" s="774">
        <f t="shared" ref="G92:G100" si="59">IF(F92=$G$2,E92,0)</f>
        <v>0</v>
      </c>
      <c r="H92" s="775">
        <v>0</v>
      </c>
      <c r="I92" s="775">
        <f t="shared" ref="I92:I100" si="60">G92-H92</f>
        <v>0</v>
      </c>
      <c r="J92" s="774">
        <f t="shared" ref="J92:J107" si="61">IF(F92=$J$2,E92,0)</f>
        <v>0</v>
      </c>
      <c r="K92" s="774"/>
      <c r="L92" s="554"/>
      <c r="M92" s="775">
        <f t="shared" ref="M92:M107" si="62">J92-L92</f>
        <v>0</v>
      </c>
      <c r="N92" s="774">
        <f t="shared" ref="N92:N100" si="63">IF(F92=$N$2,E92,0)</f>
        <v>0</v>
      </c>
      <c r="O92" s="775">
        <v>1</v>
      </c>
    </row>
    <row r="93" spans="1:15">
      <c r="A93" s="499" t="s">
        <v>2033</v>
      </c>
      <c r="B93" s="611">
        <v>456</v>
      </c>
      <c r="C93" s="1038">
        <v>4186118</v>
      </c>
      <c r="D93" s="1040" t="s">
        <v>2034</v>
      </c>
      <c r="E93" s="529"/>
      <c r="F93" s="997"/>
      <c r="G93" s="774">
        <f t="shared" si="59"/>
        <v>0</v>
      </c>
      <c r="H93" s="775">
        <v>0</v>
      </c>
      <c r="I93" s="775">
        <f t="shared" si="60"/>
        <v>0</v>
      </c>
      <c r="J93" s="774">
        <f t="shared" si="61"/>
        <v>0</v>
      </c>
      <c r="K93" s="774"/>
      <c r="L93" s="554"/>
      <c r="M93" s="775">
        <f t="shared" si="62"/>
        <v>0</v>
      </c>
      <c r="N93" s="774">
        <f t="shared" si="63"/>
        <v>0</v>
      </c>
      <c r="O93" s="775">
        <v>4</v>
      </c>
    </row>
    <row r="94" spans="1:15">
      <c r="A94" s="499" t="s">
        <v>2035</v>
      </c>
      <c r="B94" s="611">
        <v>456</v>
      </c>
      <c r="C94" s="1038">
        <v>4186120</v>
      </c>
      <c r="D94" s="1039" t="s">
        <v>2036</v>
      </c>
      <c r="E94" s="529"/>
      <c r="F94" s="768"/>
      <c r="G94" s="774">
        <f t="shared" si="59"/>
        <v>0</v>
      </c>
      <c r="H94" s="775">
        <v>0</v>
      </c>
      <c r="I94" s="775">
        <f t="shared" si="60"/>
        <v>0</v>
      </c>
      <c r="J94" s="774">
        <f t="shared" si="61"/>
        <v>0</v>
      </c>
      <c r="K94" s="774"/>
      <c r="L94" s="554"/>
      <c r="M94" s="775">
        <f t="shared" si="62"/>
        <v>0</v>
      </c>
      <c r="N94" s="774">
        <f t="shared" si="63"/>
        <v>0</v>
      </c>
      <c r="O94" s="775">
        <v>4</v>
      </c>
    </row>
    <row r="95" spans="1:15">
      <c r="A95" s="499" t="s">
        <v>2037</v>
      </c>
      <c r="B95" s="611">
        <v>456</v>
      </c>
      <c r="C95" s="1038">
        <v>4186122</v>
      </c>
      <c r="D95" s="1039" t="s">
        <v>2038</v>
      </c>
      <c r="E95" s="529"/>
      <c r="F95" s="768"/>
      <c r="G95" s="774">
        <f t="shared" si="59"/>
        <v>0</v>
      </c>
      <c r="H95" s="775">
        <v>0</v>
      </c>
      <c r="I95" s="775">
        <f t="shared" si="60"/>
        <v>0</v>
      </c>
      <c r="J95" s="774">
        <f t="shared" si="61"/>
        <v>0</v>
      </c>
      <c r="K95" s="774"/>
      <c r="L95" s="554"/>
      <c r="M95" s="775">
        <f t="shared" si="62"/>
        <v>0</v>
      </c>
      <c r="N95" s="774">
        <f t="shared" si="63"/>
        <v>0</v>
      </c>
      <c r="O95" s="775">
        <v>3</v>
      </c>
    </row>
    <row r="96" spans="1:15">
      <c r="A96" s="499" t="s">
        <v>2039</v>
      </c>
      <c r="B96" s="611">
        <v>456</v>
      </c>
      <c r="C96" s="1038">
        <v>4186126</v>
      </c>
      <c r="D96" s="1039" t="s">
        <v>2040</v>
      </c>
      <c r="E96" s="529"/>
      <c r="F96" s="768"/>
      <c r="G96" s="774">
        <f t="shared" si="59"/>
        <v>0</v>
      </c>
      <c r="H96" s="775">
        <v>0</v>
      </c>
      <c r="I96" s="775">
        <f t="shared" si="60"/>
        <v>0</v>
      </c>
      <c r="J96" s="774">
        <f t="shared" si="61"/>
        <v>0</v>
      </c>
      <c r="K96" s="774"/>
      <c r="L96" s="554"/>
      <c r="M96" s="775">
        <f t="shared" si="62"/>
        <v>0</v>
      </c>
      <c r="N96" s="774">
        <f t="shared" si="63"/>
        <v>0</v>
      </c>
      <c r="O96" s="775">
        <v>1</v>
      </c>
    </row>
    <row r="97" spans="1:15">
      <c r="A97" s="499" t="s">
        <v>2041</v>
      </c>
      <c r="B97" s="611">
        <v>456</v>
      </c>
      <c r="C97" s="1038">
        <v>4186128</v>
      </c>
      <c r="D97" s="1039" t="s">
        <v>2042</v>
      </c>
      <c r="E97" s="529"/>
      <c r="F97" s="768"/>
      <c r="G97" s="774">
        <f t="shared" si="59"/>
        <v>0</v>
      </c>
      <c r="H97" s="775">
        <v>0</v>
      </c>
      <c r="I97" s="775">
        <f t="shared" si="60"/>
        <v>0</v>
      </c>
      <c r="J97" s="774">
        <f t="shared" si="61"/>
        <v>0</v>
      </c>
      <c r="K97" s="774"/>
      <c r="L97" s="554"/>
      <c r="M97" s="775">
        <f t="shared" si="62"/>
        <v>0</v>
      </c>
      <c r="N97" s="774">
        <f t="shared" si="63"/>
        <v>0</v>
      </c>
      <c r="O97" s="775">
        <v>1</v>
      </c>
    </row>
    <row r="98" spans="1:15">
      <c r="A98" s="499" t="s">
        <v>2043</v>
      </c>
      <c r="B98" s="611">
        <v>456</v>
      </c>
      <c r="C98" s="1038">
        <v>4186130</v>
      </c>
      <c r="D98" s="1039" t="s">
        <v>2044</v>
      </c>
      <c r="E98" s="529"/>
      <c r="F98" s="768"/>
      <c r="G98" s="774">
        <f t="shared" si="59"/>
        <v>0</v>
      </c>
      <c r="H98" s="775">
        <v>0</v>
      </c>
      <c r="I98" s="775">
        <f t="shared" si="60"/>
        <v>0</v>
      </c>
      <c r="J98" s="774">
        <f t="shared" si="61"/>
        <v>0</v>
      </c>
      <c r="K98" s="774"/>
      <c r="L98" s="554"/>
      <c r="M98" s="775">
        <f t="shared" si="62"/>
        <v>0</v>
      </c>
      <c r="N98" s="774">
        <f t="shared" si="63"/>
        <v>0</v>
      </c>
      <c r="O98" s="775">
        <v>3</v>
      </c>
    </row>
    <row r="99" spans="1:15">
      <c r="A99" s="499" t="s">
        <v>2045</v>
      </c>
      <c r="B99" s="611">
        <v>456</v>
      </c>
      <c r="C99" s="1038">
        <v>4186142</v>
      </c>
      <c r="D99" s="1039" t="s">
        <v>2046</v>
      </c>
      <c r="E99" s="529"/>
      <c r="F99" s="768"/>
      <c r="G99" s="774">
        <f t="shared" si="59"/>
        <v>0</v>
      </c>
      <c r="H99" s="775">
        <v>0</v>
      </c>
      <c r="I99" s="775">
        <f t="shared" si="60"/>
        <v>0</v>
      </c>
      <c r="J99" s="774">
        <f t="shared" si="61"/>
        <v>0</v>
      </c>
      <c r="K99" s="774"/>
      <c r="L99" s="554"/>
      <c r="M99" s="775">
        <f t="shared" si="62"/>
        <v>0</v>
      </c>
      <c r="N99" s="774">
        <f t="shared" si="63"/>
        <v>0</v>
      </c>
      <c r="O99" s="775">
        <v>4</v>
      </c>
    </row>
    <row r="100" spans="1:15">
      <c r="A100" s="499" t="s">
        <v>2047</v>
      </c>
      <c r="B100" s="611">
        <v>456</v>
      </c>
      <c r="C100" s="1038">
        <v>4186150</v>
      </c>
      <c r="D100" s="1039" t="s">
        <v>2048</v>
      </c>
      <c r="E100" s="529"/>
      <c r="F100" s="768"/>
      <c r="G100" s="774">
        <f t="shared" si="59"/>
        <v>0</v>
      </c>
      <c r="H100" s="775">
        <f>E100*$D$288</f>
        <v>0</v>
      </c>
      <c r="I100" s="775">
        <f t="shared" si="60"/>
        <v>0</v>
      </c>
      <c r="J100" s="774">
        <f t="shared" si="61"/>
        <v>0</v>
      </c>
      <c r="K100" s="774"/>
      <c r="L100" s="554"/>
      <c r="M100" s="775">
        <f t="shared" si="62"/>
        <v>0</v>
      </c>
      <c r="N100" s="774">
        <f t="shared" si="63"/>
        <v>0</v>
      </c>
      <c r="O100" s="775">
        <v>7</v>
      </c>
    </row>
    <row r="101" spans="1:15">
      <c r="A101" s="499" t="s">
        <v>2049</v>
      </c>
      <c r="B101" s="611">
        <v>456</v>
      </c>
      <c r="C101" s="1038">
        <v>4186155</v>
      </c>
      <c r="D101" s="1039" t="s">
        <v>2050</v>
      </c>
      <c r="E101" s="529"/>
      <c r="F101" s="768"/>
      <c r="G101" s="774">
        <f>I101+H101</f>
        <v>0</v>
      </c>
      <c r="H101" s="775">
        <f>E101*$D$294</f>
        <v>0</v>
      </c>
      <c r="I101" s="775">
        <v>0</v>
      </c>
      <c r="J101" s="774">
        <f t="shared" si="61"/>
        <v>0</v>
      </c>
      <c r="K101" s="774"/>
      <c r="L101" s="554"/>
      <c r="M101" s="775">
        <f t="shared" si="62"/>
        <v>0</v>
      </c>
      <c r="N101" s="774">
        <f>IF(F101=$N$2,E101-H101,0)</f>
        <v>0</v>
      </c>
      <c r="O101" s="775" t="s">
        <v>1984</v>
      </c>
    </row>
    <row r="102" spans="1:15">
      <c r="A102" s="499" t="s">
        <v>2051</v>
      </c>
      <c r="B102" s="611">
        <v>456</v>
      </c>
      <c r="C102" s="1038">
        <v>4186162</v>
      </c>
      <c r="D102" s="1039" t="s">
        <v>2052</v>
      </c>
      <c r="E102" s="529"/>
      <c r="F102" s="768"/>
      <c r="G102" s="774">
        <f t="shared" ref="G102:G141" si="64">IF(F102=$G$2,E102,0)</f>
        <v>0</v>
      </c>
      <c r="H102" s="775">
        <v>0</v>
      </c>
      <c r="I102" s="775">
        <f t="shared" ref="I102:I107" si="65">G102-H102</f>
        <v>0</v>
      </c>
      <c r="J102" s="774">
        <f t="shared" si="61"/>
        <v>0</v>
      </c>
      <c r="K102" s="774"/>
      <c r="L102" s="554"/>
      <c r="M102" s="775">
        <f t="shared" si="62"/>
        <v>0</v>
      </c>
      <c r="N102" s="774">
        <f t="shared" ref="N102:N107" si="66">IF(F102=$N$2,E102,0)</f>
        <v>0</v>
      </c>
      <c r="O102" s="775">
        <v>4</v>
      </c>
    </row>
    <row r="103" spans="1:15">
      <c r="A103" s="499" t="s">
        <v>2053</v>
      </c>
      <c r="B103" s="611">
        <v>456</v>
      </c>
      <c r="C103" s="1038">
        <v>4186164</v>
      </c>
      <c r="D103" s="1039" t="s">
        <v>2054</v>
      </c>
      <c r="E103" s="529"/>
      <c r="F103" s="768"/>
      <c r="G103" s="774">
        <f t="shared" si="64"/>
        <v>0</v>
      </c>
      <c r="H103" s="775">
        <v>0</v>
      </c>
      <c r="I103" s="775">
        <f t="shared" si="65"/>
        <v>0</v>
      </c>
      <c r="J103" s="774">
        <f t="shared" si="61"/>
        <v>0</v>
      </c>
      <c r="K103" s="774"/>
      <c r="L103" s="554"/>
      <c r="M103" s="775">
        <f t="shared" si="62"/>
        <v>0</v>
      </c>
      <c r="N103" s="774">
        <f t="shared" si="66"/>
        <v>0</v>
      </c>
      <c r="O103" s="775">
        <v>4</v>
      </c>
    </row>
    <row r="104" spans="1:15">
      <c r="A104" s="499" t="s">
        <v>2055</v>
      </c>
      <c r="B104" s="611">
        <v>456</v>
      </c>
      <c r="C104" s="1038">
        <v>4186166</v>
      </c>
      <c r="D104" s="1039" t="s">
        <v>2056</v>
      </c>
      <c r="E104" s="529"/>
      <c r="F104" s="768"/>
      <c r="G104" s="774">
        <f t="shared" si="64"/>
        <v>0</v>
      </c>
      <c r="H104" s="775">
        <v>0</v>
      </c>
      <c r="I104" s="775">
        <f t="shared" si="65"/>
        <v>0</v>
      </c>
      <c r="J104" s="774">
        <f t="shared" si="61"/>
        <v>0</v>
      </c>
      <c r="K104" s="774"/>
      <c r="L104" s="554"/>
      <c r="M104" s="775">
        <f t="shared" si="62"/>
        <v>0</v>
      </c>
      <c r="N104" s="774">
        <f t="shared" si="66"/>
        <v>0</v>
      </c>
      <c r="O104" s="775">
        <v>4</v>
      </c>
    </row>
    <row r="105" spans="1:15">
      <c r="A105" s="499" t="s">
        <v>2057</v>
      </c>
      <c r="B105" s="611">
        <v>456</v>
      </c>
      <c r="C105" s="1038">
        <v>4186168</v>
      </c>
      <c r="D105" s="1039" t="s">
        <v>2058</v>
      </c>
      <c r="E105" s="529"/>
      <c r="F105" s="768"/>
      <c r="G105" s="774">
        <f t="shared" si="64"/>
        <v>0</v>
      </c>
      <c r="H105" s="775">
        <v>0</v>
      </c>
      <c r="I105" s="775">
        <f t="shared" si="65"/>
        <v>0</v>
      </c>
      <c r="J105" s="774">
        <f t="shared" si="61"/>
        <v>0</v>
      </c>
      <c r="K105" s="774"/>
      <c r="L105" s="554"/>
      <c r="M105" s="775">
        <f t="shared" si="62"/>
        <v>0</v>
      </c>
      <c r="N105" s="774">
        <f t="shared" si="66"/>
        <v>0</v>
      </c>
      <c r="O105" s="775">
        <v>4</v>
      </c>
    </row>
    <row r="106" spans="1:15">
      <c r="A106" s="499" t="s">
        <v>2059</v>
      </c>
      <c r="B106" s="611">
        <v>456</v>
      </c>
      <c r="C106" s="1038">
        <v>4186170</v>
      </c>
      <c r="D106" s="1039" t="s">
        <v>2060</v>
      </c>
      <c r="E106" s="529"/>
      <c r="F106" s="768"/>
      <c r="G106" s="774">
        <f t="shared" si="64"/>
        <v>0</v>
      </c>
      <c r="H106" s="775">
        <v>0</v>
      </c>
      <c r="I106" s="775">
        <f t="shared" si="65"/>
        <v>0</v>
      </c>
      <c r="J106" s="774">
        <f t="shared" si="61"/>
        <v>0</v>
      </c>
      <c r="K106" s="774"/>
      <c r="L106" s="554"/>
      <c r="M106" s="775">
        <f t="shared" si="62"/>
        <v>0</v>
      </c>
      <c r="N106" s="774">
        <f t="shared" si="66"/>
        <v>0</v>
      </c>
      <c r="O106" s="775">
        <v>4</v>
      </c>
    </row>
    <row r="107" spans="1:15">
      <c r="A107" s="499" t="s">
        <v>2061</v>
      </c>
      <c r="B107" s="611">
        <v>456</v>
      </c>
      <c r="C107" s="1038">
        <v>4186194</v>
      </c>
      <c r="D107" s="1039" t="s">
        <v>2062</v>
      </c>
      <c r="E107" s="529"/>
      <c r="F107" s="768"/>
      <c r="G107" s="774">
        <f t="shared" si="64"/>
        <v>0</v>
      </c>
      <c r="H107" s="775">
        <v>0</v>
      </c>
      <c r="I107" s="775">
        <f t="shared" si="65"/>
        <v>0</v>
      </c>
      <c r="J107" s="774">
        <f t="shared" si="61"/>
        <v>0</v>
      </c>
      <c r="K107" s="774"/>
      <c r="L107" s="554"/>
      <c r="M107" s="775">
        <f t="shared" si="62"/>
        <v>0</v>
      </c>
      <c r="N107" s="774">
        <f t="shared" si="66"/>
        <v>0</v>
      </c>
      <c r="O107" s="775">
        <v>4</v>
      </c>
    </row>
    <row r="108" spans="1:15">
      <c r="A108" s="499" t="s">
        <v>2063</v>
      </c>
      <c r="B108" s="611">
        <v>456</v>
      </c>
      <c r="C108" s="1038">
        <v>4186512</v>
      </c>
      <c r="D108" s="1039" t="s">
        <v>2064</v>
      </c>
      <c r="E108" s="529"/>
      <c r="F108" s="768"/>
      <c r="G108" s="774">
        <f t="shared" si="64"/>
        <v>0</v>
      </c>
      <c r="H108" s="775">
        <v>0</v>
      </c>
      <c r="I108" s="775">
        <f t="shared" ref="I108:I118" si="67">G108-H108</f>
        <v>0</v>
      </c>
      <c r="J108" s="774">
        <f t="shared" ref="J108:J118" si="68">IF(F108=$J$2,E108,0)</f>
        <v>0</v>
      </c>
      <c r="K108" s="890" t="s">
        <v>1905</v>
      </c>
      <c r="L108" s="529"/>
      <c r="M108" s="775">
        <f t="shared" ref="M108:M118" si="69">J108-L108</f>
        <v>0</v>
      </c>
      <c r="N108" s="774">
        <f t="shared" ref="N108:N118" si="70">IF(F108=$N$2,E108,0)</f>
        <v>0</v>
      </c>
      <c r="O108" s="775">
        <v>2</v>
      </c>
    </row>
    <row r="109" spans="1:15">
      <c r="A109" s="499" t="s">
        <v>2065</v>
      </c>
      <c r="B109" s="611">
        <v>456</v>
      </c>
      <c r="C109" s="1038">
        <v>4186514</v>
      </c>
      <c r="D109" s="1039" t="s">
        <v>2066</v>
      </c>
      <c r="E109" s="529"/>
      <c r="F109" s="768"/>
      <c r="G109" s="774">
        <f t="shared" si="64"/>
        <v>0</v>
      </c>
      <c r="H109" s="775">
        <v>0</v>
      </c>
      <c r="I109" s="775">
        <f t="shared" si="67"/>
        <v>0</v>
      </c>
      <c r="J109" s="774">
        <f t="shared" si="68"/>
        <v>0</v>
      </c>
      <c r="K109" s="890" t="s">
        <v>1905</v>
      </c>
      <c r="L109" s="529"/>
      <c r="M109" s="775">
        <f t="shared" si="69"/>
        <v>0</v>
      </c>
      <c r="N109" s="774">
        <f t="shared" si="70"/>
        <v>0</v>
      </c>
      <c r="O109" s="775">
        <v>2</v>
      </c>
    </row>
    <row r="110" spans="1:15">
      <c r="A110" s="499" t="s">
        <v>2067</v>
      </c>
      <c r="B110" s="611">
        <v>456</v>
      </c>
      <c r="C110" s="1038">
        <v>4186518</v>
      </c>
      <c r="D110" s="1039" t="s">
        <v>2068</v>
      </c>
      <c r="E110" s="529"/>
      <c r="F110" s="768"/>
      <c r="G110" s="774">
        <f t="shared" si="64"/>
        <v>0</v>
      </c>
      <c r="H110" s="775">
        <v>0</v>
      </c>
      <c r="I110" s="775">
        <f t="shared" si="67"/>
        <v>0</v>
      </c>
      <c r="J110" s="774">
        <f t="shared" si="68"/>
        <v>0</v>
      </c>
      <c r="K110" s="890" t="s">
        <v>1905</v>
      </c>
      <c r="L110" s="529"/>
      <c r="M110" s="775">
        <f t="shared" si="69"/>
        <v>0</v>
      </c>
      <c r="N110" s="774">
        <f t="shared" si="70"/>
        <v>0</v>
      </c>
      <c r="O110" s="775">
        <v>2</v>
      </c>
    </row>
    <row r="111" spans="1:15">
      <c r="A111" s="499" t="s">
        <v>2069</v>
      </c>
      <c r="B111" s="611">
        <v>456</v>
      </c>
      <c r="C111" s="1038">
        <v>4186524</v>
      </c>
      <c r="D111" s="1039" t="s">
        <v>2070</v>
      </c>
      <c r="E111" s="529"/>
      <c r="F111" s="768"/>
      <c r="G111" s="774">
        <f t="shared" si="64"/>
        <v>0</v>
      </c>
      <c r="H111" s="775">
        <v>0</v>
      </c>
      <c r="I111" s="775">
        <f t="shared" si="67"/>
        <v>0</v>
      </c>
      <c r="J111" s="774">
        <f t="shared" si="68"/>
        <v>0</v>
      </c>
      <c r="K111" s="890" t="s">
        <v>1905</v>
      </c>
      <c r="L111" s="554"/>
      <c r="M111" s="775">
        <f t="shared" si="69"/>
        <v>0</v>
      </c>
      <c r="N111" s="774">
        <f t="shared" si="70"/>
        <v>0</v>
      </c>
      <c r="O111" s="775">
        <v>2</v>
      </c>
    </row>
    <row r="112" spans="1:15">
      <c r="A112" s="499" t="s">
        <v>2071</v>
      </c>
      <c r="B112" s="611">
        <v>456</v>
      </c>
      <c r="C112" s="1038">
        <v>4186528</v>
      </c>
      <c r="D112" s="1039" t="s">
        <v>2072</v>
      </c>
      <c r="E112" s="529"/>
      <c r="F112" s="768"/>
      <c r="G112" s="774">
        <f t="shared" si="64"/>
        <v>0</v>
      </c>
      <c r="H112" s="775">
        <v>0</v>
      </c>
      <c r="I112" s="775">
        <f t="shared" si="67"/>
        <v>0</v>
      </c>
      <c r="J112" s="774">
        <f t="shared" si="68"/>
        <v>0</v>
      </c>
      <c r="K112" s="890" t="s">
        <v>1905</v>
      </c>
      <c r="L112" s="554"/>
      <c r="M112" s="775">
        <f t="shared" si="69"/>
        <v>0</v>
      </c>
      <c r="N112" s="774">
        <f t="shared" si="70"/>
        <v>0</v>
      </c>
      <c r="O112" s="775">
        <v>2</v>
      </c>
    </row>
    <row r="113" spans="1:15">
      <c r="A113" s="499" t="s">
        <v>2073</v>
      </c>
      <c r="B113" s="611">
        <v>456</v>
      </c>
      <c r="C113" s="1038">
        <v>4186530</v>
      </c>
      <c r="D113" s="1039" t="s">
        <v>2074</v>
      </c>
      <c r="E113" s="529"/>
      <c r="F113" s="768"/>
      <c r="G113" s="774">
        <f t="shared" si="64"/>
        <v>0</v>
      </c>
      <c r="H113" s="775">
        <v>0</v>
      </c>
      <c r="I113" s="775">
        <f t="shared" si="67"/>
        <v>0</v>
      </c>
      <c r="J113" s="774">
        <f t="shared" si="68"/>
        <v>0</v>
      </c>
      <c r="K113" s="890" t="s">
        <v>1905</v>
      </c>
      <c r="L113" s="554"/>
      <c r="M113" s="775">
        <f t="shared" si="69"/>
        <v>0</v>
      </c>
      <c r="N113" s="774">
        <f t="shared" si="70"/>
        <v>0</v>
      </c>
      <c r="O113" s="775">
        <v>2</v>
      </c>
    </row>
    <row r="114" spans="1:15">
      <c r="A114" s="499" t="s">
        <v>2075</v>
      </c>
      <c r="B114" s="611">
        <v>456</v>
      </c>
      <c r="C114" s="1038">
        <v>4186716</v>
      </c>
      <c r="D114" s="1039" t="s">
        <v>2076</v>
      </c>
      <c r="E114" s="529"/>
      <c r="F114" s="768"/>
      <c r="G114" s="774">
        <f t="shared" si="64"/>
        <v>0</v>
      </c>
      <c r="H114" s="775">
        <v>0</v>
      </c>
      <c r="I114" s="775">
        <f t="shared" si="67"/>
        <v>0</v>
      </c>
      <c r="J114" s="774">
        <f t="shared" si="68"/>
        <v>0</v>
      </c>
      <c r="K114" s="890" t="s">
        <v>1653</v>
      </c>
      <c r="L114" s="554"/>
      <c r="M114" s="775">
        <f t="shared" si="69"/>
        <v>0</v>
      </c>
      <c r="N114" s="774">
        <f t="shared" si="70"/>
        <v>0</v>
      </c>
      <c r="O114" s="775">
        <v>2</v>
      </c>
    </row>
    <row r="115" spans="1:15">
      <c r="A115" s="280" t="s">
        <v>2077</v>
      </c>
      <c r="B115" s="611">
        <v>456</v>
      </c>
      <c r="C115" s="1038">
        <v>4186718</v>
      </c>
      <c r="D115" s="1039" t="s">
        <v>2078</v>
      </c>
      <c r="E115" s="529"/>
      <c r="F115" s="768"/>
      <c r="G115" s="774">
        <f t="shared" si="64"/>
        <v>0</v>
      </c>
      <c r="H115" s="775">
        <v>0</v>
      </c>
      <c r="I115" s="775">
        <f t="shared" si="67"/>
        <v>0</v>
      </c>
      <c r="J115" s="774">
        <f t="shared" si="68"/>
        <v>0</v>
      </c>
      <c r="K115" s="890" t="s">
        <v>1653</v>
      </c>
      <c r="L115" s="554"/>
      <c r="M115" s="775">
        <f t="shared" si="69"/>
        <v>0</v>
      </c>
      <c r="N115" s="774">
        <f t="shared" si="70"/>
        <v>0</v>
      </c>
      <c r="O115" s="775">
        <v>2</v>
      </c>
    </row>
    <row r="116" spans="1:15">
      <c r="A116" s="593" t="s">
        <v>2079</v>
      </c>
      <c r="B116" s="611">
        <v>456</v>
      </c>
      <c r="C116" s="1038">
        <v>4186720</v>
      </c>
      <c r="D116" s="1039" t="s">
        <v>2080</v>
      </c>
      <c r="E116" s="529"/>
      <c r="F116" s="768"/>
      <c r="G116" s="774">
        <f t="shared" si="64"/>
        <v>0</v>
      </c>
      <c r="H116" s="775">
        <v>0</v>
      </c>
      <c r="I116" s="775">
        <f t="shared" si="67"/>
        <v>0</v>
      </c>
      <c r="J116" s="774">
        <f t="shared" si="68"/>
        <v>0</v>
      </c>
      <c r="K116" s="890" t="s">
        <v>1653</v>
      </c>
      <c r="L116" s="554"/>
      <c r="M116" s="775">
        <f t="shared" si="69"/>
        <v>0</v>
      </c>
      <c r="N116" s="774">
        <f t="shared" si="70"/>
        <v>0</v>
      </c>
      <c r="O116" s="775">
        <v>2</v>
      </c>
    </row>
    <row r="117" spans="1:15">
      <c r="A117" s="280" t="s">
        <v>2081</v>
      </c>
      <c r="B117" s="611">
        <v>456</v>
      </c>
      <c r="C117" s="1038">
        <v>4186722</v>
      </c>
      <c r="D117" s="1039" t="s">
        <v>2082</v>
      </c>
      <c r="E117" s="529"/>
      <c r="F117" s="768"/>
      <c r="G117" s="774">
        <f t="shared" si="64"/>
        <v>0</v>
      </c>
      <c r="H117" s="775">
        <v>0</v>
      </c>
      <c r="I117" s="775">
        <f t="shared" si="67"/>
        <v>0</v>
      </c>
      <c r="J117" s="774">
        <f t="shared" si="68"/>
        <v>0</v>
      </c>
      <c r="K117" s="890" t="s">
        <v>1653</v>
      </c>
      <c r="L117" s="554"/>
      <c r="M117" s="775">
        <f t="shared" si="69"/>
        <v>0</v>
      </c>
      <c r="N117" s="774">
        <f t="shared" si="70"/>
        <v>0</v>
      </c>
      <c r="O117" s="775">
        <v>2</v>
      </c>
    </row>
    <row r="118" spans="1:15">
      <c r="A118" s="499" t="s">
        <v>2083</v>
      </c>
      <c r="B118" s="611">
        <v>456</v>
      </c>
      <c r="C118" s="1038">
        <v>4186730</v>
      </c>
      <c r="D118" s="1039" t="s">
        <v>2084</v>
      </c>
      <c r="E118" s="529"/>
      <c r="F118" s="768"/>
      <c r="G118" s="774">
        <f t="shared" si="64"/>
        <v>0</v>
      </c>
      <c r="H118" s="775">
        <v>0</v>
      </c>
      <c r="I118" s="775">
        <f t="shared" si="67"/>
        <v>0</v>
      </c>
      <c r="J118" s="774">
        <f t="shared" si="68"/>
        <v>0</v>
      </c>
      <c r="K118" s="890" t="s">
        <v>1653</v>
      </c>
      <c r="L118" s="554"/>
      <c r="M118" s="775">
        <f t="shared" si="69"/>
        <v>0</v>
      </c>
      <c r="N118" s="774">
        <f t="shared" si="70"/>
        <v>0</v>
      </c>
      <c r="O118" s="775">
        <v>2</v>
      </c>
    </row>
    <row r="119" spans="1:15">
      <c r="A119" s="499" t="s">
        <v>2085</v>
      </c>
      <c r="B119" s="611">
        <v>456</v>
      </c>
      <c r="C119" s="1038">
        <v>4186815</v>
      </c>
      <c r="D119" s="1039" t="s">
        <v>2086</v>
      </c>
      <c r="E119" s="529"/>
      <c r="F119" s="768"/>
      <c r="G119" s="774">
        <f t="shared" si="64"/>
        <v>0</v>
      </c>
      <c r="H119" s="775">
        <v>0</v>
      </c>
      <c r="I119" s="775">
        <f t="shared" ref="I119:I141" si="71">G119-H119</f>
        <v>0</v>
      </c>
      <c r="J119" s="774">
        <f t="shared" ref="J119:J141" si="72">IF(F119=$J$2,E119,0)</f>
        <v>0</v>
      </c>
      <c r="K119" s="774"/>
      <c r="L119" s="554"/>
      <c r="M119" s="775">
        <f t="shared" ref="M119:M141" si="73">J119-L119</f>
        <v>0</v>
      </c>
      <c r="N119" s="774">
        <f t="shared" ref="N119:N126" si="74">IF(F119=$N$2,E119,0)</f>
        <v>0</v>
      </c>
      <c r="O119" s="775">
        <v>6</v>
      </c>
    </row>
    <row r="120" spans="1:15">
      <c r="A120" s="499" t="s">
        <v>2087</v>
      </c>
      <c r="B120" s="611">
        <v>456</v>
      </c>
      <c r="C120" s="1038">
        <v>4186910</v>
      </c>
      <c r="D120" s="1039" t="s">
        <v>2088</v>
      </c>
      <c r="E120" s="529"/>
      <c r="F120" s="768"/>
      <c r="G120" s="774">
        <f t="shared" si="64"/>
        <v>0</v>
      </c>
      <c r="H120" s="775">
        <v>0</v>
      </c>
      <c r="I120" s="775">
        <f t="shared" si="71"/>
        <v>0</v>
      </c>
      <c r="J120" s="774">
        <f t="shared" si="72"/>
        <v>0</v>
      </c>
      <c r="K120" s="774"/>
      <c r="L120" s="554"/>
      <c r="M120" s="775">
        <f t="shared" si="73"/>
        <v>0</v>
      </c>
      <c r="N120" s="774">
        <f t="shared" si="74"/>
        <v>0</v>
      </c>
      <c r="O120" s="775">
        <v>4</v>
      </c>
    </row>
    <row r="121" spans="1:15">
      <c r="A121" s="499" t="s">
        <v>2089</v>
      </c>
      <c r="B121" s="611">
        <v>456</v>
      </c>
      <c r="C121" s="1038">
        <v>4186912</v>
      </c>
      <c r="D121" s="1039" t="s">
        <v>2090</v>
      </c>
      <c r="E121" s="529"/>
      <c r="F121" s="768"/>
      <c r="G121" s="774">
        <f t="shared" si="64"/>
        <v>0</v>
      </c>
      <c r="H121" s="775">
        <v>0</v>
      </c>
      <c r="I121" s="775">
        <f t="shared" si="71"/>
        <v>0</v>
      </c>
      <c r="J121" s="774">
        <f t="shared" si="72"/>
        <v>0</v>
      </c>
      <c r="K121" s="774"/>
      <c r="L121" s="554"/>
      <c r="M121" s="775">
        <f t="shared" si="73"/>
        <v>0</v>
      </c>
      <c r="N121" s="774">
        <f t="shared" si="74"/>
        <v>0</v>
      </c>
      <c r="O121" s="775">
        <v>6</v>
      </c>
    </row>
    <row r="122" spans="1:15">
      <c r="A122" s="499" t="s">
        <v>2091</v>
      </c>
      <c r="B122" s="611">
        <v>456</v>
      </c>
      <c r="C122" s="1038">
        <v>4186914</v>
      </c>
      <c r="D122" s="1039" t="s">
        <v>2092</v>
      </c>
      <c r="E122" s="529"/>
      <c r="F122" s="768"/>
      <c r="G122" s="774">
        <f t="shared" si="64"/>
        <v>0</v>
      </c>
      <c r="H122" s="775">
        <v>0</v>
      </c>
      <c r="I122" s="775">
        <f t="shared" si="71"/>
        <v>0</v>
      </c>
      <c r="J122" s="774">
        <f t="shared" si="72"/>
        <v>0</v>
      </c>
      <c r="K122" s="774"/>
      <c r="L122" s="554"/>
      <c r="M122" s="775">
        <f t="shared" si="73"/>
        <v>0</v>
      </c>
      <c r="N122" s="774">
        <f t="shared" si="74"/>
        <v>0</v>
      </c>
      <c r="O122" s="775">
        <v>6</v>
      </c>
    </row>
    <row r="123" spans="1:15">
      <c r="A123" s="499" t="s">
        <v>2093</v>
      </c>
      <c r="B123" s="611">
        <v>456</v>
      </c>
      <c r="C123" s="1038">
        <v>4186916</v>
      </c>
      <c r="D123" s="1039" t="s">
        <v>2094</v>
      </c>
      <c r="E123" s="529"/>
      <c r="F123" s="768"/>
      <c r="G123" s="774">
        <f t="shared" si="64"/>
        <v>0</v>
      </c>
      <c r="H123" s="775">
        <v>0</v>
      </c>
      <c r="I123" s="775">
        <f t="shared" si="71"/>
        <v>0</v>
      </c>
      <c r="J123" s="774">
        <f t="shared" si="72"/>
        <v>0</v>
      </c>
      <c r="K123" s="774"/>
      <c r="L123" s="554"/>
      <c r="M123" s="775">
        <f t="shared" si="73"/>
        <v>0</v>
      </c>
      <c r="N123" s="774">
        <f t="shared" si="74"/>
        <v>0</v>
      </c>
      <c r="O123" s="775">
        <v>6</v>
      </c>
    </row>
    <row r="124" spans="1:15">
      <c r="A124" s="499" t="s">
        <v>2095</v>
      </c>
      <c r="B124" s="611">
        <v>456</v>
      </c>
      <c r="C124" s="1038">
        <v>4186918</v>
      </c>
      <c r="D124" s="1039" t="s">
        <v>2096</v>
      </c>
      <c r="E124" s="529"/>
      <c r="F124" s="768"/>
      <c r="G124" s="774">
        <f t="shared" si="64"/>
        <v>0</v>
      </c>
      <c r="H124" s="775">
        <v>0</v>
      </c>
      <c r="I124" s="775">
        <f t="shared" si="71"/>
        <v>0</v>
      </c>
      <c r="J124" s="774">
        <f t="shared" si="72"/>
        <v>0</v>
      </c>
      <c r="K124" s="774"/>
      <c r="L124" s="554"/>
      <c r="M124" s="775">
        <f t="shared" si="73"/>
        <v>0</v>
      </c>
      <c r="N124" s="774">
        <f t="shared" si="74"/>
        <v>0</v>
      </c>
      <c r="O124" s="775">
        <v>6</v>
      </c>
    </row>
    <row r="125" spans="1:15">
      <c r="A125" s="499" t="s">
        <v>2097</v>
      </c>
      <c r="B125" s="611">
        <v>456</v>
      </c>
      <c r="C125" s="1038">
        <v>4186920</v>
      </c>
      <c r="D125" s="1039" t="s">
        <v>2098</v>
      </c>
      <c r="E125" s="529"/>
      <c r="F125" s="768"/>
      <c r="G125" s="774">
        <f t="shared" si="64"/>
        <v>0</v>
      </c>
      <c r="H125" s="775">
        <v>0</v>
      </c>
      <c r="I125" s="775">
        <f t="shared" si="71"/>
        <v>0</v>
      </c>
      <c r="J125" s="774">
        <f t="shared" si="72"/>
        <v>0</v>
      </c>
      <c r="K125" s="774"/>
      <c r="L125" s="554"/>
      <c r="M125" s="775">
        <f t="shared" si="73"/>
        <v>0</v>
      </c>
      <c r="N125" s="774">
        <f t="shared" si="74"/>
        <v>0</v>
      </c>
      <c r="O125" s="775">
        <v>6</v>
      </c>
    </row>
    <row r="126" spans="1:15">
      <c r="A126" s="499" t="s">
        <v>2099</v>
      </c>
      <c r="B126" s="611">
        <v>456</v>
      </c>
      <c r="C126" s="1038">
        <v>4186922</v>
      </c>
      <c r="D126" s="1039" t="s">
        <v>2100</v>
      </c>
      <c r="E126" s="529"/>
      <c r="F126" s="768"/>
      <c r="G126" s="774">
        <f t="shared" si="64"/>
        <v>0</v>
      </c>
      <c r="H126" s="775">
        <v>0</v>
      </c>
      <c r="I126" s="775">
        <f t="shared" si="71"/>
        <v>0</v>
      </c>
      <c r="J126" s="774">
        <f t="shared" si="72"/>
        <v>0</v>
      </c>
      <c r="K126" s="774"/>
      <c r="L126" s="554"/>
      <c r="M126" s="775">
        <f t="shared" si="73"/>
        <v>0</v>
      </c>
      <c r="N126" s="774">
        <f t="shared" si="74"/>
        <v>0</v>
      </c>
      <c r="O126" s="775">
        <v>6</v>
      </c>
    </row>
    <row r="127" spans="1:15">
      <c r="A127" s="499" t="s">
        <v>2101</v>
      </c>
      <c r="B127" s="611">
        <v>456</v>
      </c>
      <c r="C127" s="1038">
        <v>4188712</v>
      </c>
      <c r="D127" s="1039" t="s">
        <v>2102</v>
      </c>
      <c r="E127" s="529"/>
      <c r="F127" s="768"/>
      <c r="G127" s="774">
        <f t="shared" si="64"/>
        <v>0</v>
      </c>
      <c r="H127" s="775">
        <v>0</v>
      </c>
      <c r="I127" s="775">
        <f t="shared" si="71"/>
        <v>0</v>
      </c>
      <c r="J127" s="774">
        <f t="shared" si="72"/>
        <v>0</v>
      </c>
      <c r="K127" s="890" t="s">
        <v>1653</v>
      </c>
      <c r="L127" s="554"/>
      <c r="M127" s="775">
        <f t="shared" si="73"/>
        <v>0</v>
      </c>
      <c r="N127" s="774">
        <f t="shared" ref="N127:N128" si="75">IF(F127=$N$2,E127,0)</f>
        <v>0</v>
      </c>
      <c r="O127" s="775">
        <v>2</v>
      </c>
    </row>
    <row r="128" spans="1:15">
      <c r="A128" s="499" t="s">
        <v>2103</v>
      </c>
      <c r="B128" s="611">
        <v>456</v>
      </c>
      <c r="C128" s="1038">
        <v>4188714</v>
      </c>
      <c r="D128" s="1039" t="s">
        <v>2104</v>
      </c>
      <c r="E128" s="529"/>
      <c r="F128" s="768"/>
      <c r="G128" s="774">
        <f t="shared" si="64"/>
        <v>0</v>
      </c>
      <c r="H128" s="775">
        <v>0</v>
      </c>
      <c r="I128" s="775">
        <f t="shared" si="71"/>
        <v>0</v>
      </c>
      <c r="J128" s="774">
        <f t="shared" si="72"/>
        <v>0</v>
      </c>
      <c r="K128" s="890" t="s">
        <v>1653</v>
      </c>
      <c r="L128" s="554"/>
      <c r="M128" s="775">
        <f t="shared" si="73"/>
        <v>0</v>
      </c>
      <c r="N128" s="774">
        <f t="shared" si="75"/>
        <v>0</v>
      </c>
      <c r="O128" s="775">
        <v>2</v>
      </c>
    </row>
    <row r="129" spans="1:15">
      <c r="A129" s="499" t="s">
        <v>2105</v>
      </c>
      <c r="B129" s="611">
        <v>456</v>
      </c>
      <c r="C129" s="1038">
        <v>4196105</v>
      </c>
      <c r="D129" s="1039" t="s">
        <v>2106</v>
      </c>
      <c r="E129" s="529"/>
      <c r="F129" s="768"/>
      <c r="G129" s="774">
        <f t="shared" si="64"/>
        <v>0</v>
      </c>
      <c r="H129" s="775">
        <v>0</v>
      </c>
      <c r="I129" s="775">
        <f t="shared" si="71"/>
        <v>0</v>
      </c>
      <c r="J129" s="774">
        <f t="shared" si="72"/>
        <v>0</v>
      </c>
      <c r="K129" s="774"/>
      <c r="L129" s="554"/>
      <c r="M129" s="775">
        <f t="shared" si="73"/>
        <v>0</v>
      </c>
      <c r="N129" s="774">
        <f t="shared" ref="N129:N144" si="76">IF(F129=$N$2,E129,0)</f>
        <v>0</v>
      </c>
      <c r="O129" s="775">
        <v>1</v>
      </c>
    </row>
    <row r="130" spans="1:15">
      <c r="A130" s="499" t="s">
        <v>2107</v>
      </c>
      <c r="B130" s="611">
        <v>456</v>
      </c>
      <c r="C130" s="1038">
        <v>4196158</v>
      </c>
      <c r="D130" s="1039" t="s">
        <v>2108</v>
      </c>
      <c r="E130" s="529"/>
      <c r="F130" s="768"/>
      <c r="G130" s="774">
        <f t="shared" si="64"/>
        <v>0</v>
      </c>
      <c r="H130" s="775">
        <v>0</v>
      </c>
      <c r="I130" s="775">
        <f t="shared" si="71"/>
        <v>0</v>
      </c>
      <c r="J130" s="774">
        <f t="shared" si="72"/>
        <v>0</v>
      </c>
      <c r="K130" s="774"/>
      <c r="L130" s="554"/>
      <c r="M130" s="775">
        <f t="shared" si="73"/>
        <v>0</v>
      </c>
      <c r="N130" s="774">
        <f t="shared" si="76"/>
        <v>0</v>
      </c>
      <c r="O130" s="775">
        <v>4</v>
      </c>
    </row>
    <row r="131" spans="1:15">
      <c r="A131" s="499" t="s">
        <v>2109</v>
      </c>
      <c r="B131" s="611">
        <v>456</v>
      </c>
      <c r="C131" s="1038">
        <v>4196162</v>
      </c>
      <c r="D131" s="1039" t="s">
        <v>2110</v>
      </c>
      <c r="E131" s="529"/>
      <c r="F131" s="768"/>
      <c r="G131" s="774">
        <f t="shared" si="64"/>
        <v>0</v>
      </c>
      <c r="H131" s="775">
        <v>0</v>
      </c>
      <c r="I131" s="775">
        <f t="shared" si="71"/>
        <v>0</v>
      </c>
      <c r="J131" s="774">
        <f t="shared" si="72"/>
        <v>0</v>
      </c>
      <c r="K131" s="774"/>
      <c r="L131" s="554"/>
      <c r="M131" s="775">
        <f t="shared" si="73"/>
        <v>0</v>
      </c>
      <c r="N131" s="774">
        <f t="shared" si="76"/>
        <v>0</v>
      </c>
      <c r="O131" s="775">
        <v>4</v>
      </c>
    </row>
    <row r="132" spans="1:15">
      <c r="A132" s="499" t="s">
        <v>2111</v>
      </c>
      <c r="B132" s="611">
        <v>456</v>
      </c>
      <c r="C132" s="1038">
        <v>4196166</v>
      </c>
      <c r="D132" s="1039" t="s">
        <v>2112</v>
      </c>
      <c r="E132" s="529"/>
      <c r="F132" s="768"/>
      <c r="G132" s="774">
        <f t="shared" si="64"/>
        <v>0</v>
      </c>
      <c r="H132" s="775">
        <v>0</v>
      </c>
      <c r="I132" s="775">
        <f t="shared" si="71"/>
        <v>0</v>
      </c>
      <c r="J132" s="774">
        <f t="shared" si="72"/>
        <v>0</v>
      </c>
      <c r="K132" s="774"/>
      <c r="L132" s="554"/>
      <c r="M132" s="775">
        <f t="shared" si="73"/>
        <v>0</v>
      </c>
      <c r="N132" s="774">
        <f t="shared" si="76"/>
        <v>0</v>
      </c>
      <c r="O132" s="775">
        <v>4</v>
      </c>
    </row>
    <row r="133" spans="1:15">
      <c r="A133" s="499" t="s">
        <v>2113</v>
      </c>
      <c r="B133" s="611">
        <v>456</v>
      </c>
      <c r="C133" s="1038">
        <v>4196172</v>
      </c>
      <c r="D133" s="1039" t="s">
        <v>2114</v>
      </c>
      <c r="E133" s="529"/>
      <c r="F133" s="768"/>
      <c r="G133" s="774">
        <f t="shared" si="64"/>
        <v>0</v>
      </c>
      <c r="H133" s="775">
        <v>0</v>
      </c>
      <c r="I133" s="775">
        <f t="shared" si="71"/>
        <v>0</v>
      </c>
      <c r="J133" s="774">
        <f t="shared" si="72"/>
        <v>0</v>
      </c>
      <c r="K133" s="774"/>
      <c r="L133" s="554"/>
      <c r="M133" s="775">
        <f t="shared" si="73"/>
        <v>0</v>
      </c>
      <c r="N133" s="774">
        <f t="shared" si="76"/>
        <v>0</v>
      </c>
      <c r="O133" s="775">
        <v>1</v>
      </c>
    </row>
    <row r="134" spans="1:15">
      <c r="A134" s="499" t="s">
        <v>2115</v>
      </c>
      <c r="B134" s="611">
        <v>456</v>
      </c>
      <c r="C134" s="1038">
        <v>4196174</v>
      </c>
      <c r="D134" s="1039" t="s">
        <v>2116</v>
      </c>
      <c r="E134" s="529"/>
      <c r="F134" s="768"/>
      <c r="G134" s="774">
        <f t="shared" si="64"/>
        <v>0</v>
      </c>
      <c r="H134" s="775">
        <v>0</v>
      </c>
      <c r="I134" s="775">
        <f t="shared" si="71"/>
        <v>0</v>
      </c>
      <c r="J134" s="774">
        <f t="shared" si="72"/>
        <v>0</v>
      </c>
      <c r="K134" s="774"/>
      <c r="L134" s="554"/>
      <c r="M134" s="775">
        <f t="shared" si="73"/>
        <v>0</v>
      </c>
      <c r="N134" s="774">
        <f t="shared" si="76"/>
        <v>0</v>
      </c>
      <c r="O134" s="775">
        <v>4</v>
      </c>
    </row>
    <row r="135" spans="1:15">
      <c r="A135" s="499" t="s">
        <v>2117</v>
      </c>
      <c r="B135" s="611">
        <v>456</v>
      </c>
      <c r="C135" s="1038">
        <v>4196176</v>
      </c>
      <c r="D135" s="1039" t="s">
        <v>2118</v>
      </c>
      <c r="E135" s="529"/>
      <c r="F135" s="768"/>
      <c r="G135" s="774">
        <f t="shared" si="64"/>
        <v>0</v>
      </c>
      <c r="H135" s="769"/>
      <c r="I135" s="775">
        <f t="shared" si="71"/>
        <v>0</v>
      </c>
      <c r="J135" s="774">
        <f t="shared" si="72"/>
        <v>0</v>
      </c>
      <c r="K135" s="774"/>
      <c r="L135" s="554"/>
      <c r="M135" s="775">
        <f t="shared" si="73"/>
        <v>0</v>
      </c>
      <c r="N135" s="774">
        <f t="shared" si="76"/>
        <v>0</v>
      </c>
      <c r="O135" s="775">
        <v>8</v>
      </c>
    </row>
    <row r="136" spans="1:15">
      <c r="A136" s="499" t="s">
        <v>2119</v>
      </c>
      <c r="B136" s="611">
        <v>456</v>
      </c>
      <c r="C136" s="1038">
        <v>4196178</v>
      </c>
      <c r="D136" s="1039" t="s">
        <v>2120</v>
      </c>
      <c r="E136" s="529"/>
      <c r="F136" s="768"/>
      <c r="G136" s="774">
        <f t="shared" si="64"/>
        <v>0</v>
      </c>
      <c r="H136" s="775">
        <v>0</v>
      </c>
      <c r="I136" s="775">
        <f t="shared" si="71"/>
        <v>0</v>
      </c>
      <c r="J136" s="774">
        <f t="shared" si="72"/>
        <v>0</v>
      </c>
      <c r="K136" s="774"/>
      <c r="L136" s="554"/>
      <c r="M136" s="775">
        <f t="shared" si="73"/>
        <v>0</v>
      </c>
      <c r="N136" s="774">
        <f t="shared" si="76"/>
        <v>0</v>
      </c>
      <c r="O136" s="775">
        <v>4</v>
      </c>
    </row>
    <row r="137" spans="1:15">
      <c r="A137" s="499" t="s">
        <v>2121</v>
      </c>
      <c r="B137" s="611">
        <v>456</v>
      </c>
      <c r="C137" s="1038">
        <v>4196184</v>
      </c>
      <c r="D137" s="1039" t="s">
        <v>2122</v>
      </c>
      <c r="E137" s="529"/>
      <c r="F137" s="768"/>
      <c r="G137" s="774">
        <f t="shared" si="64"/>
        <v>0</v>
      </c>
      <c r="H137" s="775">
        <v>0</v>
      </c>
      <c r="I137" s="775">
        <f t="shared" si="71"/>
        <v>0</v>
      </c>
      <c r="J137" s="774">
        <f t="shared" si="72"/>
        <v>0</v>
      </c>
      <c r="K137" s="774"/>
      <c r="L137" s="554"/>
      <c r="M137" s="775">
        <f t="shared" si="73"/>
        <v>0</v>
      </c>
      <c r="N137" s="774">
        <f t="shared" si="76"/>
        <v>0</v>
      </c>
      <c r="O137" s="775">
        <v>4</v>
      </c>
    </row>
    <row r="138" spans="1:15">
      <c r="A138" s="499" t="s">
        <v>2123</v>
      </c>
      <c r="B138" s="611">
        <v>456</v>
      </c>
      <c r="C138" s="1038">
        <v>4196188</v>
      </c>
      <c r="D138" s="1039" t="s">
        <v>2124</v>
      </c>
      <c r="E138" s="529"/>
      <c r="F138" s="768"/>
      <c r="G138" s="774">
        <f t="shared" si="64"/>
        <v>0</v>
      </c>
      <c r="H138" s="775">
        <v>0</v>
      </c>
      <c r="I138" s="775">
        <f t="shared" si="71"/>
        <v>0</v>
      </c>
      <c r="J138" s="774">
        <f t="shared" si="72"/>
        <v>0</v>
      </c>
      <c r="K138" s="774"/>
      <c r="L138" s="554"/>
      <c r="M138" s="775">
        <f t="shared" si="73"/>
        <v>0</v>
      </c>
      <c r="N138" s="774">
        <f t="shared" si="76"/>
        <v>0</v>
      </c>
      <c r="O138" s="775">
        <v>6</v>
      </c>
    </row>
    <row r="139" spans="1:15">
      <c r="A139" s="499" t="s">
        <v>2125</v>
      </c>
      <c r="B139" s="611">
        <v>456</v>
      </c>
      <c r="C139" s="1038" t="s">
        <v>2006</v>
      </c>
      <c r="D139" s="1039" t="s">
        <v>2007</v>
      </c>
      <c r="E139" s="529"/>
      <c r="F139" s="768"/>
      <c r="G139" s="774">
        <f t="shared" si="64"/>
        <v>0</v>
      </c>
      <c r="H139" s="775">
        <v>0</v>
      </c>
      <c r="I139" s="775">
        <f t="shared" si="71"/>
        <v>0</v>
      </c>
      <c r="J139" s="774">
        <f t="shared" si="72"/>
        <v>0</v>
      </c>
      <c r="K139" s="774"/>
      <c r="L139" s="554"/>
      <c r="M139" s="775">
        <f t="shared" si="73"/>
        <v>0</v>
      </c>
      <c r="N139" s="774">
        <f t="shared" si="76"/>
        <v>0</v>
      </c>
      <c r="O139" s="775">
        <v>1</v>
      </c>
    </row>
    <row r="140" spans="1:15">
      <c r="A140" s="499" t="s">
        <v>2126</v>
      </c>
      <c r="B140" s="611">
        <v>456</v>
      </c>
      <c r="C140" s="1038">
        <v>4186911</v>
      </c>
      <c r="D140" s="672" t="s">
        <v>2127</v>
      </c>
      <c r="E140" s="529"/>
      <c r="F140" s="768"/>
      <c r="G140" s="774">
        <f t="shared" si="64"/>
        <v>0</v>
      </c>
      <c r="H140" s="775">
        <v>0</v>
      </c>
      <c r="I140" s="775">
        <f t="shared" si="71"/>
        <v>0</v>
      </c>
      <c r="J140" s="774">
        <f t="shared" si="72"/>
        <v>0</v>
      </c>
      <c r="K140" s="774"/>
      <c r="L140" s="554"/>
      <c r="M140" s="775">
        <f t="shared" si="73"/>
        <v>0</v>
      </c>
      <c r="N140" s="774">
        <f t="shared" si="76"/>
        <v>0</v>
      </c>
      <c r="O140" s="775">
        <v>6</v>
      </c>
    </row>
    <row r="141" spans="1:15">
      <c r="A141" s="499" t="s">
        <v>2077</v>
      </c>
      <c r="B141" s="611">
        <v>456</v>
      </c>
      <c r="C141" s="1038">
        <v>4186925</v>
      </c>
      <c r="D141" s="672" t="s">
        <v>2128</v>
      </c>
      <c r="E141" s="529"/>
      <c r="F141" s="768"/>
      <c r="G141" s="774">
        <f t="shared" si="64"/>
        <v>0</v>
      </c>
      <c r="H141" s="775">
        <v>0</v>
      </c>
      <c r="I141" s="775">
        <f t="shared" si="71"/>
        <v>0</v>
      </c>
      <c r="J141" s="774">
        <f t="shared" si="72"/>
        <v>0</v>
      </c>
      <c r="K141" s="774"/>
      <c r="L141" s="554"/>
      <c r="M141" s="775">
        <f t="shared" si="73"/>
        <v>0</v>
      </c>
      <c r="N141" s="774">
        <f t="shared" si="76"/>
        <v>0</v>
      </c>
      <c r="O141" s="775">
        <v>6</v>
      </c>
    </row>
    <row r="142" spans="1:15">
      <c r="A142" s="499" t="s">
        <v>2079</v>
      </c>
      <c r="B142" s="611">
        <v>456</v>
      </c>
      <c r="C142" s="1038">
        <v>4186132</v>
      </c>
      <c r="D142" s="672" t="s">
        <v>2129</v>
      </c>
      <c r="E142" s="529"/>
      <c r="F142" s="768"/>
      <c r="G142" s="774">
        <f t="shared" ref="G142:G147" si="77">IF(F142=$G$2,E142,0)</f>
        <v>0</v>
      </c>
      <c r="H142" s="775">
        <v>0</v>
      </c>
      <c r="I142" s="775">
        <f t="shared" ref="I142:I147" si="78">G142-H142</f>
        <v>0</v>
      </c>
      <c r="J142" s="774">
        <f t="shared" ref="J142:J147" si="79">IF(F142=$J$2,E142,0)</f>
        <v>0</v>
      </c>
      <c r="K142" s="774"/>
      <c r="L142" s="554"/>
      <c r="M142" s="775">
        <f t="shared" ref="M142:M147" si="80">J142-L142</f>
        <v>0</v>
      </c>
      <c r="N142" s="774">
        <f t="shared" si="76"/>
        <v>0</v>
      </c>
      <c r="O142" s="775">
        <v>4</v>
      </c>
    </row>
    <row r="143" spans="1:15">
      <c r="A143" s="499" t="s">
        <v>2081</v>
      </c>
      <c r="B143" s="611">
        <v>456</v>
      </c>
      <c r="C143" s="1038">
        <v>4186116</v>
      </c>
      <c r="D143" s="672" t="s">
        <v>2130</v>
      </c>
      <c r="E143" s="529"/>
      <c r="F143" s="768"/>
      <c r="G143" s="774">
        <f t="shared" si="77"/>
        <v>0</v>
      </c>
      <c r="H143" s="775">
        <v>0</v>
      </c>
      <c r="I143" s="775">
        <f t="shared" si="78"/>
        <v>0</v>
      </c>
      <c r="J143" s="774">
        <f t="shared" si="79"/>
        <v>0</v>
      </c>
      <c r="K143" s="774"/>
      <c r="L143" s="554"/>
      <c r="M143" s="775">
        <f t="shared" si="80"/>
        <v>0</v>
      </c>
      <c r="N143" s="774">
        <f t="shared" si="76"/>
        <v>0</v>
      </c>
      <c r="O143" s="775">
        <v>4</v>
      </c>
    </row>
    <row r="144" spans="1:15">
      <c r="A144" s="499" t="s">
        <v>2131</v>
      </c>
      <c r="B144" s="611">
        <v>456</v>
      </c>
      <c r="C144" s="1038">
        <v>4186115</v>
      </c>
      <c r="D144" s="672" t="s">
        <v>2132</v>
      </c>
      <c r="E144" s="529"/>
      <c r="F144" s="768"/>
      <c r="G144" s="774">
        <f t="shared" si="77"/>
        <v>0</v>
      </c>
      <c r="H144" s="775">
        <v>0</v>
      </c>
      <c r="I144" s="775">
        <f t="shared" si="78"/>
        <v>0</v>
      </c>
      <c r="J144" s="774">
        <f t="shared" si="79"/>
        <v>0</v>
      </c>
      <c r="K144" s="774"/>
      <c r="L144" s="554"/>
      <c r="M144" s="775">
        <f t="shared" si="80"/>
        <v>0</v>
      </c>
      <c r="N144" s="774">
        <f t="shared" si="76"/>
        <v>0</v>
      </c>
      <c r="O144" s="775">
        <v>4</v>
      </c>
    </row>
    <row r="145" spans="1:17">
      <c r="A145" s="499" t="s">
        <v>2133</v>
      </c>
      <c r="B145" s="611">
        <v>456</v>
      </c>
      <c r="C145" s="1038">
        <v>4186156</v>
      </c>
      <c r="D145" s="672" t="s">
        <v>2134</v>
      </c>
      <c r="E145" s="529"/>
      <c r="F145" s="768"/>
      <c r="G145" s="774">
        <f>H145+I145</f>
        <v>0</v>
      </c>
      <c r="H145" s="775">
        <f>E145*D294</f>
        <v>0</v>
      </c>
      <c r="I145" s="775">
        <v>0</v>
      </c>
      <c r="J145" s="774">
        <f t="shared" si="79"/>
        <v>0</v>
      </c>
      <c r="K145" s="774"/>
      <c r="L145" s="554"/>
      <c r="M145" s="775">
        <f>J145-L145</f>
        <v>0</v>
      </c>
      <c r="N145" s="774">
        <f>IF(F145=$N$2,E145-H145,0)</f>
        <v>0</v>
      </c>
      <c r="O145" s="775" t="s">
        <v>1984</v>
      </c>
    </row>
    <row r="146" spans="1:17">
      <c r="A146" s="499" t="s">
        <v>2135</v>
      </c>
      <c r="B146" s="611">
        <v>456</v>
      </c>
      <c r="C146" s="1038">
        <v>4188720</v>
      </c>
      <c r="D146" s="672" t="s">
        <v>2136</v>
      </c>
      <c r="E146" s="529"/>
      <c r="F146" s="768"/>
      <c r="G146" s="774">
        <f t="shared" si="77"/>
        <v>0</v>
      </c>
      <c r="H146" s="775">
        <v>0</v>
      </c>
      <c r="I146" s="775">
        <f t="shared" si="78"/>
        <v>0</v>
      </c>
      <c r="J146" s="774">
        <f t="shared" si="79"/>
        <v>0</v>
      </c>
      <c r="K146" s="774"/>
      <c r="L146" s="554"/>
      <c r="M146" s="775">
        <f t="shared" si="80"/>
        <v>0</v>
      </c>
      <c r="N146" s="774">
        <f>IF(F146=$N$2,E146,0)</f>
        <v>0</v>
      </c>
      <c r="O146" s="775">
        <v>4</v>
      </c>
    </row>
    <row r="147" spans="1:17">
      <c r="A147" s="499" t="s">
        <v>2137</v>
      </c>
      <c r="B147" s="611">
        <v>456</v>
      </c>
      <c r="C147" s="1038">
        <v>4186128</v>
      </c>
      <c r="D147" s="672" t="s">
        <v>2138</v>
      </c>
      <c r="E147" s="529"/>
      <c r="F147" s="768"/>
      <c r="G147" s="774">
        <f t="shared" si="77"/>
        <v>0</v>
      </c>
      <c r="H147" s="775">
        <f>G147</f>
        <v>0</v>
      </c>
      <c r="I147" s="775">
        <f t="shared" si="78"/>
        <v>0</v>
      </c>
      <c r="J147" s="774">
        <f t="shared" si="79"/>
        <v>0</v>
      </c>
      <c r="K147" s="774"/>
      <c r="L147" s="554"/>
      <c r="M147" s="775">
        <f t="shared" si="80"/>
        <v>0</v>
      </c>
      <c r="N147" s="774">
        <f>IF(F147=$N$2,E147,0)</f>
        <v>0</v>
      </c>
      <c r="O147" s="775">
        <v>5</v>
      </c>
    </row>
    <row r="148" spans="1:17">
      <c r="A148" s="499" t="s">
        <v>2139</v>
      </c>
      <c r="B148" s="611">
        <v>456</v>
      </c>
      <c r="C148" s="1038">
        <v>4186732</v>
      </c>
      <c r="D148" s="672" t="s">
        <v>2140</v>
      </c>
      <c r="E148" s="529"/>
      <c r="F148" s="768"/>
      <c r="G148" s="774">
        <f>IF(F148=$G$2,E148,0)</f>
        <v>0</v>
      </c>
      <c r="H148" s="775">
        <v>0</v>
      </c>
      <c r="I148" s="775">
        <f t="shared" ref="I148" si="81">G148-H148</f>
        <v>0</v>
      </c>
      <c r="J148" s="774">
        <f t="shared" ref="J148" si="82">IF(F148=$J$2,E148,0)</f>
        <v>0</v>
      </c>
      <c r="K148" s="774" t="s">
        <v>1653</v>
      </c>
      <c r="L148" s="554"/>
      <c r="M148" s="775">
        <f t="shared" ref="M148" si="83">J148-L148</f>
        <v>0</v>
      </c>
      <c r="N148" s="774">
        <f>IF(F148=$N$2,E148,0)</f>
        <v>0</v>
      </c>
      <c r="O148" s="775">
        <v>2</v>
      </c>
    </row>
    <row r="149" spans="1:17">
      <c r="A149" s="499" t="s">
        <v>2141</v>
      </c>
      <c r="B149" s="611">
        <v>456</v>
      </c>
      <c r="C149" s="1038">
        <v>4171023</v>
      </c>
      <c r="D149" s="751" t="s">
        <v>2142</v>
      </c>
      <c r="E149" s="529"/>
      <c r="F149" s="768"/>
      <c r="G149" s="774">
        <f t="shared" ref="G149:G159" si="84">IF(F149=$G$2,E149,0)</f>
        <v>0</v>
      </c>
      <c r="H149" s="775">
        <v>0</v>
      </c>
      <c r="I149" s="775">
        <f t="shared" ref="I149:I159" si="85">G149-H149</f>
        <v>0</v>
      </c>
      <c r="J149" s="774">
        <f t="shared" ref="J149:J159" si="86">IF(F149=$J$2,E149,0)</f>
        <v>0</v>
      </c>
      <c r="K149" s="774"/>
      <c r="L149" s="554"/>
      <c r="M149" s="775">
        <f t="shared" ref="M149:M159" si="87">J149-L149</f>
        <v>0</v>
      </c>
      <c r="N149" s="774">
        <f t="shared" ref="N149:N159" si="88">IF(F149=$N$2,E149,0)</f>
        <v>0</v>
      </c>
      <c r="O149" s="775">
        <v>6</v>
      </c>
    </row>
    <row r="150" spans="1:17">
      <c r="A150" s="499" t="s">
        <v>2143</v>
      </c>
      <c r="B150" s="611">
        <v>456</v>
      </c>
      <c r="C150" s="1038">
        <v>4186182</v>
      </c>
      <c r="D150" s="672" t="s">
        <v>2144</v>
      </c>
      <c r="E150" s="529"/>
      <c r="F150" s="768"/>
      <c r="G150" s="774">
        <f t="shared" si="84"/>
        <v>0</v>
      </c>
      <c r="H150" s="775">
        <v>0</v>
      </c>
      <c r="I150" s="775">
        <f t="shared" si="85"/>
        <v>0</v>
      </c>
      <c r="J150" s="774">
        <f t="shared" si="86"/>
        <v>0</v>
      </c>
      <c r="K150" s="774"/>
      <c r="L150" s="554"/>
      <c r="M150" s="775">
        <f t="shared" si="87"/>
        <v>0</v>
      </c>
      <c r="N150" s="774">
        <f t="shared" si="88"/>
        <v>0</v>
      </c>
      <c r="O150" s="775">
        <v>6</v>
      </c>
    </row>
    <row r="151" spans="1:17" s="233" customFormat="1">
      <c r="A151" s="499" t="s">
        <v>2145</v>
      </c>
      <c r="B151" s="611">
        <v>456</v>
      </c>
      <c r="C151" s="1038">
        <v>4186119</v>
      </c>
      <c r="D151" s="672" t="s">
        <v>2146</v>
      </c>
      <c r="E151" s="529"/>
      <c r="F151" s="768"/>
      <c r="G151" s="774">
        <f t="shared" si="84"/>
        <v>0</v>
      </c>
      <c r="H151" s="775">
        <v>0</v>
      </c>
      <c r="I151" s="775">
        <f t="shared" si="85"/>
        <v>0</v>
      </c>
      <c r="J151" s="774">
        <f t="shared" si="86"/>
        <v>0</v>
      </c>
      <c r="K151" s="774"/>
      <c r="L151" s="554"/>
      <c r="M151" s="775">
        <f t="shared" si="87"/>
        <v>0</v>
      </c>
      <c r="N151" s="774">
        <f t="shared" si="88"/>
        <v>0</v>
      </c>
      <c r="O151" s="775">
        <v>1</v>
      </c>
      <c r="Q151"/>
    </row>
    <row r="152" spans="1:17" s="233" customFormat="1">
      <c r="A152" s="499" t="s">
        <v>2147</v>
      </c>
      <c r="B152" s="611">
        <v>456</v>
      </c>
      <c r="C152" s="1038">
        <v>4186188</v>
      </c>
      <c r="D152" s="1036" t="s">
        <v>2148</v>
      </c>
      <c r="E152" s="529"/>
      <c r="F152" s="997"/>
      <c r="G152" s="774">
        <f t="shared" si="84"/>
        <v>0</v>
      </c>
      <c r="H152" s="775">
        <v>0</v>
      </c>
      <c r="I152" s="775">
        <f t="shared" si="85"/>
        <v>0</v>
      </c>
      <c r="J152" s="774">
        <f t="shared" si="86"/>
        <v>0</v>
      </c>
      <c r="K152" s="774"/>
      <c r="L152" s="554"/>
      <c r="M152" s="775">
        <f t="shared" si="87"/>
        <v>0</v>
      </c>
      <c r="N152" s="774">
        <f t="shared" si="88"/>
        <v>0</v>
      </c>
      <c r="O152" s="775">
        <v>1</v>
      </c>
      <c r="Q152"/>
    </row>
    <row r="153" spans="1:17">
      <c r="A153" s="972" t="s">
        <v>2149</v>
      </c>
      <c r="B153" s="611">
        <v>456</v>
      </c>
      <c r="C153" s="1038">
        <v>4186115</v>
      </c>
      <c r="D153" s="672" t="s">
        <v>2150</v>
      </c>
      <c r="E153" s="529"/>
      <c r="F153" s="809"/>
      <c r="G153" s="778">
        <f t="shared" si="84"/>
        <v>0</v>
      </c>
      <c r="H153" s="775">
        <v>0</v>
      </c>
      <c r="I153" s="775">
        <f t="shared" si="85"/>
        <v>0</v>
      </c>
      <c r="J153" s="778">
        <f t="shared" si="86"/>
        <v>0</v>
      </c>
      <c r="K153" s="778"/>
      <c r="L153" s="554"/>
      <c r="M153" s="775">
        <f t="shared" si="87"/>
        <v>0</v>
      </c>
      <c r="N153" s="778">
        <f t="shared" si="88"/>
        <v>0</v>
      </c>
      <c r="O153" s="775">
        <v>6</v>
      </c>
    </row>
    <row r="154" spans="1:17">
      <c r="A154" s="972" t="s">
        <v>2151</v>
      </c>
      <c r="B154" s="611">
        <v>456</v>
      </c>
      <c r="C154" s="1038">
        <v>4186182</v>
      </c>
      <c r="D154" s="672" t="s">
        <v>2152</v>
      </c>
      <c r="E154" s="529"/>
      <c r="F154" s="809"/>
      <c r="G154" s="778">
        <f t="shared" si="84"/>
        <v>0</v>
      </c>
      <c r="H154" s="775">
        <v>0</v>
      </c>
      <c r="I154" s="775">
        <f t="shared" si="85"/>
        <v>0</v>
      </c>
      <c r="J154" s="778">
        <f t="shared" si="86"/>
        <v>0</v>
      </c>
      <c r="K154" s="778"/>
      <c r="L154" s="554"/>
      <c r="M154" s="775">
        <f t="shared" si="87"/>
        <v>0</v>
      </c>
      <c r="N154" s="778">
        <f t="shared" si="88"/>
        <v>0</v>
      </c>
      <c r="O154" s="775" t="s">
        <v>2153</v>
      </c>
    </row>
    <row r="155" spans="1:17">
      <c r="A155" s="972" t="s">
        <v>2154</v>
      </c>
      <c r="B155" s="611">
        <v>456</v>
      </c>
      <c r="C155" s="1038">
        <v>4186189</v>
      </c>
      <c r="D155" s="672" t="s">
        <v>2155</v>
      </c>
      <c r="E155" s="529"/>
      <c r="F155" s="768"/>
      <c r="G155" s="778">
        <f t="shared" si="84"/>
        <v>0</v>
      </c>
      <c r="H155" s="775">
        <v>0</v>
      </c>
      <c r="I155" s="775">
        <f t="shared" si="85"/>
        <v>0</v>
      </c>
      <c r="J155" s="778">
        <f t="shared" si="86"/>
        <v>0</v>
      </c>
      <c r="K155" s="778"/>
      <c r="L155" s="554"/>
      <c r="M155" s="775">
        <f t="shared" si="87"/>
        <v>0</v>
      </c>
      <c r="N155" s="778">
        <f t="shared" si="88"/>
        <v>0</v>
      </c>
      <c r="O155" s="775" t="s">
        <v>2153</v>
      </c>
    </row>
    <row r="156" spans="1:17">
      <c r="A156" s="972" t="s">
        <v>2156</v>
      </c>
      <c r="B156" s="611">
        <v>456</v>
      </c>
      <c r="C156" s="1038">
        <v>4196201</v>
      </c>
      <c r="D156" s="672" t="s">
        <v>2157</v>
      </c>
      <c r="E156" s="529"/>
      <c r="F156" s="768"/>
      <c r="G156" s="778">
        <f t="shared" si="84"/>
        <v>0</v>
      </c>
      <c r="H156" s="769"/>
      <c r="I156" s="775">
        <f t="shared" si="85"/>
        <v>0</v>
      </c>
      <c r="J156" s="778">
        <f t="shared" si="86"/>
        <v>0</v>
      </c>
      <c r="K156" s="778"/>
      <c r="L156" s="554"/>
      <c r="M156" s="775">
        <f t="shared" si="87"/>
        <v>0</v>
      </c>
      <c r="N156" s="778">
        <f t="shared" si="88"/>
        <v>0</v>
      </c>
      <c r="O156" s="775">
        <v>8</v>
      </c>
    </row>
    <row r="157" spans="1:17">
      <c r="A157" s="972" t="s">
        <v>2158</v>
      </c>
      <c r="B157" s="611">
        <v>456</v>
      </c>
      <c r="C157" s="1038">
        <v>4196202</v>
      </c>
      <c r="D157" s="672" t="s">
        <v>2159</v>
      </c>
      <c r="E157" s="529"/>
      <c r="F157" s="768"/>
      <c r="G157" s="778">
        <f t="shared" si="84"/>
        <v>0</v>
      </c>
      <c r="H157" s="769"/>
      <c r="I157" s="775">
        <f t="shared" si="85"/>
        <v>0</v>
      </c>
      <c r="J157" s="778">
        <f t="shared" si="86"/>
        <v>0</v>
      </c>
      <c r="K157" s="778"/>
      <c r="L157" s="554"/>
      <c r="M157" s="775">
        <f t="shared" si="87"/>
        <v>0</v>
      </c>
      <c r="N157" s="778">
        <f t="shared" si="88"/>
        <v>0</v>
      </c>
      <c r="O157" s="775">
        <v>8</v>
      </c>
    </row>
    <row r="158" spans="1:17">
      <c r="A158" s="972" t="s">
        <v>2160</v>
      </c>
      <c r="B158" s="611">
        <v>456</v>
      </c>
      <c r="C158" s="1038">
        <v>4196203</v>
      </c>
      <c r="D158" s="672" t="s">
        <v>2161</v>
      </c>
      <c r="E158" s="529"/>
      <c r="F158" s="768"/>
      <c r="G158" s="778">
        <f t="shared" si="84"/>
        <v>0</v>
      </c>
      <c r="H158" s="775">
        <v>0</v>
      </c>
      <c r="I158" s="775">
        <f t="shared" si="85"/>
        <v>0</v>
      </c>
      <c r="J158" s="778">
        <f t="shared" si="86"/>
        <v>0</v>
      </c>
      <c r="K158" s="778"/>
      <c r="L158" s="554"/>
      <c r="M158" s="775">
        <f t="shared" si="87"/>
        <v>0</v>
      </c>
      <c r="N158" s="778">
        <f t="shared" si="88"/>
        <v>0</v>
      </c>
      <c r="O158" s="775">
        <v>4</v>
      </c>
    </row>
    <row r="159" spans="1:17">
      <c r="A159" s="592" t="s">
        <v>2162</v>
      </c>
      <c r="B159" s="611">
        <v>456</v>
      </c>
      <c r="C159" s="1038">
        <v>4196204</v>
      </c>
      <c r="D159" s="672" t="s">
        <v>2163</v>
      </c>
      <c r="E159" s="529"/>
      <c r="F159" s="768"/>
      <c r="G159" s="778">
        <f t="shared" si="84"/>
        <v>0</v>
      </c>
      <c r="H159" s="769"/>
      <c r="I159" s="775">
        <f t="shared" si="85"/>
        <v>0</v>
      </c>
      <c r="J159" s="778">
        <f t="shared" si="86"/>
        <v>0</v>
      </c>
      <c r="K159" s="778"/>
      <c r="L159" s="554"/>
      <c r="M159" s="775">
        <f t="shared" si="87"/>
        <v>0</v>
      </c>
      <c r="N159" s="778">
        <f t="shared" si="88"/>
        <v>0</v>
      </c>
      <c r="O159" s="775">
        <v>8</v>
      </c>
    </row>
    <row r="160" spans="1:17">
      <c r="A160" s="581" t="s">
        <v>2164</v>
      </c>
      <c r="B160" s="797">
        <v>456</v>
      </c>
      <c r="C160" s="797">
        <v>4192113</v>
      </c>
      <c r="D160" s="582" t="s">
        <v>2165</v>
      </c>
      <c r="E160" s="809"/>
      <c r="F160" s="768"/>
      <c r="G160" s="768"/>
      <c r="H160" s="769"/>
      <c r="I160" s="769"/>
      <c r="J160" s="768"/>
      <c r="K160" s="768"/>
      <c r="L160" s="769"/>
      <c r="M160" s="769"/>
      <c r="N160" s="768"/>
      <c r="O160" s="769"/>
    </row>
    <row r="161" spans="1:15">
      <c r="A161" s="581" t="s">
        <v>2166</v>
      </c>
      <c r="B161" s="797">
        <v>456</v>
      </c>
      <c r="C161" s="797">
        <v>4171023</v>
      </c>
      <c r="D161" s="582" t="s">
        <v>2167</v>
      </c>
      <c r="E161" s="529"/>
      <c r="F161" s="768"/>
      <c r="G161" s="768"/>
      <c r="H161" s="769"/>
      <c r="I161" s="769"/>
      <c r="J161" s="768"/>
      <c r="K161" s="768"/>
      <c r="L161" s="769"/>
      <c r="M161" s="769"/>
      <c r="N161" s="768"/>
      <c r="O161" s="769"/>
    </row>
    <row r="162" spans="1:15">
      <c r="A162" s="581"/>
      <c r="B162" s="797"/>
      <c r="C162" s="799"/>
      <c r="D162" s="582"/>
      <c r="E162" s="914"/>
      <c r="F162" s="529"/>
      <c r="G162" s="889"/>
      <c r="H162" s="391"/>
      <c r="I162" s="391"/>
      <c r="J162" s="554"/>
      <c r="K162" s="554"/>
      <c r="L162" s="391"/>
      <c r="M162" s="391"/>
      <c r="N162" s="554"/>
      <c r="O162" s="583"/>
    </row>
    <row r="163" spans="1:15" ht="13">
      <c r="A163" s="499">
        <v>13</v>
      </c>
      <c r="B163" s="1213" t="s">
        <v>2168</v>
      </c>
      <c r="C163" s="1214"/>
      <c r="D163" s="1215"/>
      <c r="E163" s="158">
        <f>SUM(E92:E161)</f>
        <v>0</v>
      </c>
      <c r="F163" s="165"/>
      <c r="G163" s="158">
        <f>SUM(G92:G162)</f>
        <v>0</v>
      </c>
      <c r="H163" s="158">
        <f>SUM(H92:H162)</f>
        <v>0</v>
      </c>
      <c r="I163" s="158">
        <f>SUM(I92:I162)</f>
        <v>0</v>
      </c>
      <c r="J163" s="158">
        <f>SUM(J92:J162)</f>
        <v>0</v>
      </c>
      <c r="K163" s="165"/>
      <c r="L163" s="158">
        <f>SUM(L92:L162)</f>
        <v>0</v>
      </c>
      <c r="M163" s="158">
        <f>SUM(M92:M162)</f>
        <v>0</v>
      </c>
      <c r="N163" s="158">
        <f>SUM(N92:N162)</f>
        <v>0</v>
      </c>
      <c r="O163" s="106"/>
    </row>
    <row r="164" spans="1:15" ht="25.5" customHeight="1">
      <c r="A164" s="499">
        <v>14</v>
      </c>
      <c r="B164" s="1236" t="s">
        <v>2169</v>
      </c>
      <c r="C164" s="1237"/>
      <c r="D164" s="1238"/>
      <c r="E164" s="580"/>
      <c r="F164" s="157"/>
      <c r="G164" s="170"/>
      <c r="H164" s="157"/>
      <c r="I164" s="157"/>
      <c r="J164" s="170"/>
      <c r="K164" s="157"/>
      <c r="L164" s="154"/>
      <c r="M164" s="154"/>
      <c r="N164" s="154"/>
      <c r="O164" s="2"/>
    </row>
    <row r="165" spans="1:15" ht="13">
      <c r="A165" s="4"/>
      <c r="B165" s="1"/>
      <c r="C165" s="109"/>
      <c r="D165" s="109"/>
      <c r="E165" s="154"/>
      <c r="F165" s="154"/>
      <c r="G165" s="154"/>
      <c r="H165" s="157"/>
      <c r="I165" s="157"/>
      <c r="J165" s="154"/>
      <c r="K165" s="157"/>
      <c r="L165" s="154"/>
      <c r="M165" s="154"/>
      <c r="N165" s="154"/>
      <c r="O165" s="2"/>
    </row>
    <row r="166" spans="1:15">
      <c r="A166" s="499" t="s">
        <v>2170</v>
      </c>
      <c r="B166" s="611">
        <v>456.1</v>
      </c>
      <c r="C166" s="1038">
        <v>4188112</v>
      </c>
      <c r="D166" s="498" t="s">
        <v>2171</v>
      </c>
      <c r="E166" s="1133"/>
      <c r="F166" s="768"/>
      <c r="G166" s="774">
        <f t="shared" ref="G166:G178" si="89">IF(F166=$G$2,E166,0)</f>
        <v>0</v>
      </c>
      <c r="H166" s="775">
        <f>G166</f>
        <v>0</v>
      </c>
      <c r="I166" s="775">
        <f t="shared" ref="I166:I185" si="90">G166-H166</f>
        <v>0</v>
      </c>
      <c r="J166" s="774">
        <f t="shared" ref="J166:J179" si="91">IF(F166=$J$2,E166,0)</f>
        <v>0</v>
      </c>
      <c r="K166" s="890"/>
      <c r="L166" s="554"/>
      <c r="M166" s="775">
        <f>J166-L166</f>
        <v>0</v>
      </c>
      <c r="N166" s="774">
        <f t="shared" ref="N166:N185" si="92">IF(F166=$N$2,E166,0)</f>
        <v>0</v>
      </c>
      <c r="O166" s="775">
        <v>5</v>
      </c>
    </row>
    <row r="167" spans="1:15">
      <c r="A167" s="499" t="s">
        <v>2172</v>
      </c>
      <c r="B167" s="611">
        <v>456.1</v>
      </c>
      <c r="C167" s="1038">
        <v>4188114</v>
      </c>
      <c r="D167" s="498" t="s">
        <v>2173</v>
      </c>
      <c r="E167" s="529"/>
      <c r="F167" s="768"/>
      <c r="G167" s="774">
        <f t="shared" si="89"/>
        <v>0</v>
      </c>
      <c r="H167" s="775">
        <v>0</v>
      </c>
      <c r="I167" s="775">
        <f t="shared" si="90"/>
        <v>0</v>
      </c>
      <c r="J167" s="774">
        <f t="shared" si="91"/>
        <v>0</v>
      </c>
      <c r="K167" s="890"/>
      <c r="L167" s="554"/>
      <c r="M167" s="775">
        <f>J167-L167</f>
        <v>0</v>
      </c>
      <c r="N167" s="774">
        <f t="shared" si="92"/>
        <v>0</v>
      </c>
      <c r="O167" s="775">
        <v>4</v>
      </c>
    </row>
    <row r="168" spans="1:15">
      <c r="A168" s="499" t="s">
        <v>2174</v>
      </c>
      <c r="B168" s="611">
        <v>456.1</v>
      </c>
      <c r="C168" s="1038">
        <v>4188116</v>
      </c>
      <c r="D168" s="498" t="s">
        <v>2175</v>
      </c>
      <c r="E168" s="529"/>
      <c r="F168" s="768"/>
      <c r="G168" s="774">
        <f t="shared" si="89"/>
        <v>0</v>
      </c>
      <c r="H168" s="775">
        <v>0</v>
      </c>
      <c r="I168" s="775">
        <f t="shared" si="90"/>
        <v>0</v>
      </c>
      <c r="J168" s="774">
        <f t="shared" si="91"/>
        <v>0</v>
      </c>
      <c r="K168" s="890"/>
      <c r="L168" s="554"/>
      <c r="M168" s="775">
        <f>J168-L168</f>
        <v>0</v>
      </c>
      <c r="N168" s="774">
        <f t="shared" si="92"/>
        <v>0</v>
      </c>
      <c r="O168" s="775">
        <v>4</v>
      </c>
    </row>
    <row r="169" spans="1:15">
      <c r="A169" s="499" t="s">
        <v>2176</v>
      </c>
      <c r="B169" s="611">
        <v>456.1</v>
      </c>
      <c r="C169" s="1038">
        <v>4188812</v>
      </c>
      <c r="D169" s="498" t="s">
        <v>2177</v>
      </c>
      <c r="E169" s="529"/>
      <c r="F169" s="768"/>
      <c r="G169" s="774">
        <f t="shared" si="89"/>
        <v>0</v>
      </c>
      <c r="H169" s="775">
        <v>0</v>
      </c>
      <c r="I169" s="775">
        <f t="shared" si="90"/>
        <v>0</v>
      </c>
      <c r="J169" s="774">
        <f t="shared" si="91"/>
        <v>0</v>
      </c>
      <c r="K169" s="890"/>
      <c r="L169" s="554"/>
      <c r="M169" s="775">
        <f>J169-L169</f>
        <v>0</v>
      </c>
      <c r="N169" s="774">
        <f t="shared" si="92"/>
        <v>0</v>
      </c>
      <c r="O169" s="775">
        <v>6</v>
      </c>
    </row>
    <row r="170" spans="1:15">
      <c r="A170" s="499" t="s">
        <v>2178</v>
      </c>
      <c r="B170" s="611">
        <v>456.1</v>
      </c>
      <c r="C170" s="1038">
        <v>4188814</v>
      </c>
      <c r="D170" s="498" t="s">
        <v>2179</v>
      </c>
      <c r="E170" s="529"/>
      <c r="F170" s="768"/>
      <c r="G170" s="774">
        <f t="shared" si="89"/>
        <v>0</v>
      </c>
      <c r="H170" s="775">
        <v>0</v>
      </c>
      <c r="I170" s="775">
        <f t="shared" si="90"/>
        <v>0</v>
      </c>
      <c r="J170" s="774">
        <f t="shared" si="91"/>
        <v>0</v>
      </c>
      <c r="K170" s="890"/>
      <c r="L170" s="554"/>
      <c r="M170" s="775">
        <f>J170-L170</f>
        <v>0</v>
      </c>
      <c r="N170" s="774">
        <f t="shared" si="92"/>
        <v>0</v>
      </c>
      <c r="O170" s="775">
        <v>6</v>
      </c>
    </row>
    <row r="171" spans="1:15">
      <c r="A171" s="499" t="s">
        <v>2180</v>
      </c>
      <c r="B171" s="611">
        <v>456.1</v>
      </c>
      <c r="C171" s="1038">
        <v>4188816</v>
      </c>
      <c r="D171" s="498" t="s">
        <v>2181</v>
      </c>
      <c r="E171" s="529"/>
      <c r="F171" s="768"/>
      <c r="G171" s="774">
        <f t="shared" si="89"/>
        <v>0</v>
      </c>
      <c r="H171" s="775">
        <v>0</v>
      </c>
      <c r="I171" s="775">
        <f t="shared" si="90"/>
        <v>0</v>
      </c>
      <c r="J171" s="774">
        <f t="shared" si="91"/>
        <v>0</v>
      </c>
      <c r="K171" s="890"/>
      <c r="L171" s="554"/>
      <c r="M171" s="775">
        <f t="shared" ref="M171" si="93">J171-L171</f>
        <v>0</v>
      </c>
      <c r="N171" s="774">
        <f t="shared" si="92"/>
        <v>0</v>
      </c>
      <c r="O171" s="775">
        <v>6</v>
      </c>
    </row>
    <row r="172" spans="1:15">
      <c r="A172" s="499" t="s">
        <v>2182</v>
      </c>
      <c r="B172" s="611">
        <v>456.1</v>
      </c>
      <c r="C172" s="1038">
        <v>4198110</v>
      </c>
      <c r="D172" s="498" t="s">
        <v>2183</v>
      </c>
      <c r="E172" s="529"/>
      <c r="F172" s="768"/>
      <c r="G172" s="774">
        <f t="shared" si="89"/>
        <v>0</v>
      </c>
      <c r="H172" s="775">
        <f>G172</f>
        <v>0</v>
      </c>
      <c r="I172" s="775">
        <f t="shared" si="90"/>
        <v>0</v>
      </c>
      <c r="J172" s="774">
        <f t="shared" si="91"/>
        <v>0</v>
      </c>
      <c r="K172" s="890"/>
      <c r="L172" s="554"/>
      <c r="M172" s="775">
        <f t="shared" ref="M172:M185" si="94">J172-L172</f>
        <v>0</v>
      </c>
      <c r="N172" s="774">
        <f t="shared" si="92"/>
        <v>0</v>
      </c>
      <c r="O172" s="775">
        <v>5</v>
      </c>
    </row>
    <row r="173" spans="1:15">
      <c r="A173" s="499" t="s">
        <v>2184</v>
      </c>
      <c r="B173" s="611">
        <v>456.1</v>
      </c>
      <c r="C173" s="1038">
        <v>4198112</v>
      </c>
      <c r="D173" s="498" t="s">
        <v>2185</v>
      </c>
      <c r="E173" s="529"/>
      <c r="F173" s="768"/>
      <c r="G173" s="774">
        <f t="shared" si="89"/>
        <v>0</v>
      </c>
      <c r="H173" s="775">
        <v>0</v>
      </c>
      <c r="I173" s="775">
        <f t="shared" si="90"/>
        <v>0</v>
      </c>
      <c r="J173" s="774">
        <f t="shared" si="91"/>
        <v>0</v>
      </c>
      <c r="K173" s="890"/>
      <c r="L173" s="554"/>
      <c r="M173" s="775">
        <f t="shared" si="94"/>
        <v>0</v>
      </c>
      <c r="N173" s="774">
        <f t="shared" si="92"/>
        <v>0</v>
      </c>
      <c r="O173" s="775">
        <v>4</v>
      </c>
    </row>
    <row r="174" spans="1:15">
      <c r="A174" s="499" t="s">
        <v>2186</v>
      </c>
      <c r="B174" s="611">
        <v>456.1</v>
      </c>
      <c r="C174" s="1038">
        <v>4198114</v>
      </c>
      <c r="D174" s="498" t="s">
        <v>2187</v>
      </c>
      <c r="E174" s="529"/>
      <c r="F174" s="768"/>
      <c r="G174" s="774">
        <f t="shared" si="89"/>
        <v>0</v>
      </c>
      <c r="H174" s="775">
        <v>0</v>
      </c>
      <c r="I174" s="775">
        <f t="shared" si="90"/>
        <v>0</v>
      </c>
      <c r="J174" s="774">
        <f t="shared" si="91"/>
        <v>0</v>
      </c>
      <c r="K174" s="890"/>
      <c r="L174" s="554"/>
      <c r="M174" s="775">
        <f t="shared" si="94"/>
        <v>0</v>
      </c>
      <c r="N174" s="774">
        <f t="shared" si="92"/>
        <v>0</v>
      </c>
      <c r="O174" s="775">
        <v>4</v>
      </c>
    </row>
    <row r="175" spans="1:15">
      <c r="A175" s="499" t="s">
        <v>2188</v>
      </c>
      <c r="B175" s="611">
        <v>456.1</v>
      </c>
      <c r="C175" s="1038">
        <v>4198116</v>
      </c>
      <c r="D175" s="498" t="s">
        <v>2189</v>
      </c>
      <c r="E175" s="529"/>
      <c r="F175" s="768"/>
      <c r="G175" s="774">
        <f t="shared" si="89"/>
        <v>0</v>
      </c>
      <c r="H175" s="775">
        <v>0</v>
      </c>
      <c r="I175" s="775">
        <f t="shared" si="90"/>
        <v>0</v>
      </c>
      <c r="J175" s="774">
        <f t="shared" si="91"/>
        <v>0</v>
      </c>
      <c r="K175" s="890"/>
      <c r="L175" s="554"/>
      <c r="M175" s="775">
        <f t="shared" si="94"/>
        <v>0</v>
      </c>
      <c r="N175" s="774">
        <f t="shared" si="92"/>
        <v>0</v>
      </c>
      <c r="O175" s="775">
        <v>4</v>
      </c>
    </row>
    <row r="176" spans="1:15">
      <c r="A176" s="499" t="s">
        <v>2190</v>
      </c>
      <c r="B176" s="611">
        <v>456.1</v>
      </c>
      <c r="C176" s="1038">
        <v>4198118</v>
      </c>
      <c r="D176" s="498" t="s">
        <v>2191</v>
      </c>
      <c r="E176" s="529"/>
      <c r="F176" s="768"/>
      <c r="G176" s="774">
        <f t="shared" si="89"/>
        <v>0</v>
      </c>
      <c r="H176" s="775">
        <v>0</v>
      </c>
      <c r="I176" s="775">
        <f t="shared" si="90"/>
        <v>0</v>
      </c>
      <c r="J176" s="774">
        <f t="shared" si="91"/>
        <v>0</v>
      </c>
      <c r="K176" s="890"/>
      <c r="L176" s="554"/>
      <c r="M176" s="775">
        <f t="shared" si="94"/>
        <v>0</v>
      </c>
      <c r="N176" s="774">
        <f t="shared" si="92"/>
        <v>0</v>
      </c>
      <c r="O176" s="775">
        <v>4</v>
      </c>
    </row>
    <row r="177" spans="1:17">
      <c r="A177" s="499" t="s">
        <v>2192</v>
      </c>
      <c r="B177" s="611">
        <v>456.1</v>
      </c>
      <c r="C177" s="1038">
        <v>4198120</v>
      </c>
      <c r="D177" s="498" t="s">
        <v>2193</v>
      </c>
      <c r="E177" s="529"/>
      <c r="F177" s="768"/>
      <c r="G177" s="774">
        <f t="shared" si="89"/>
        <v>0</v>
      </c>
      <c r="H177" s="775">
        <v>0</v>
      </c>
      <c r="I177" s="775">
        <f t="shared" si="90"/>
        <v>0</v>
      </c>
      <c r="J177" s="774">
        <f t="shared" si="91"/>
        <v>0</v>
      </c>
      <c r="K177" s="890"/>
      <c r="L177" s="554"/>
      <c r="M177" s="775">
        <f t="shared" si="94"/>
        <v>0</v>
      </c>
      <c r="N177" s="774">
        <f t="shared" si="92"/>
        <v>0</v>
      </c>
      <c r="O177" s="775">
        <v>4</v>
      </c>
    </row>
    <row r="178" spans="1:17">
      <c r="A178" s="499" t="s">
        <v>2194</v>
      </c>
      <c r="B178" s="611">
        <v>456.1</v>
      </c>
      <c r="C178" s="1038">
        <v>4198122</v>
      </c>
      <c r="D178" s="498" t="s">
        <v>2195</v>
      </c>
      <c r="E178" s="529"/>
      <c r="F178" s="768"/>
      <c r="G178" s="774">
        <f t="shared" si="89"/>
        <v>0</v>
      </c>
      <c r="H178" s="775">
        <v>0</v>
      </c>
      <c r="I178" s="775">
        <f t="shared" si="90"/>
        <v>0</v>
      </c>
      <c r="J178" s="774">
        <f t="shared" si="91"/>
        <v>0</v>
      </c>
      <c r="K178" s="890"/>
      <c r="L178" s="554"/>
      <c r="M178" s="775">
        <f t="shared" si="94"/>
        <v>0</v>
      </c>
      <c r="N178" s="774">
        <f t="shared" si="92"/>
        <v>0</v>
      </c>
      <c r="O178" s="775">
        <v>4</v>
      </c>
    </row>
    <row r="179" spans="1:17">
      <c r="A179" s="499" t="s">
        <v>2196</v>
      </c>
      <c r="B179" s="611">
        <v>456.1</v>
      </c>
      <c r="C179" s="1038">
        <v>4198124</v>
      </c>
      <c r="D179" s="498" t="s">
        <v>2197</v>
      </c>
      <c r="E179" s="529"/>
      <c r="F179" s="768"/>
      <c r="G179" s="774">
        <f t="shared" ref="G179" si="95">IF(F179=$G$2,E179,0)</f>
        <v>0</v>
      </c>
      <c r="H179" s="775">
        <v>0</v>
      </c>
      <c r="I179" s="775">
        <f t="shared" si="90"/>
        <v>0</v>
      </c>
      <c r="J179" s="774">
        <f t="shared" si="91"/>
        <v>0</v>
      </c>
      <c r="K179" s="890"/>
      <c r="L179" s="554"/>
      <c r="M179" s="775">
        <f t="shared" si="94"/>
        <v>0</v>
      </c>
      <c r="N179" s="774">
        <f t="shared" si="92"/>
        <v>0</v>
      </c>
      <c r="O179" s="775">
        <v>4</v>
      </c>
    </row>
    <row r="180" spans="1:17">
      <c r="A180" s="499" t="s">
        <v>2198</v>
      </c>
      <c r="B180" s="611">
        <v>456.1</v>
      </c>
      <c r="C180" s="1038">
        <v>4198126</v>
      </c>
      <c r="D180" s="498" t="s">
        <v>2199</v>
      </c>
      <c r="E180" s="529"/>
      <c r="F180" s="768"/>
      <c r="G180" s="774">
        <f t="shared" ref="G180:G185" si="96">IF(F180=$G$2,E180,0)</f>
        <v>0</v>
      </c>
      <c r="H180" s="775">
        <v>0</v>
      </c>
      <c r="I180" s="775">
        <f t="shared" si="90"/>
        <v>0</v>
      </c>
      <c r="J180" s="774">
        <f t="shared" ref="J180" si="97">IF(F180=$J$2,E180,0)</f>
        <v>0</v>
      </c>
      <c r="K180" s="890"/>
      <c r="L180" s="554"/>
      <c r="M180" s="775">
        <f t="shared" si="94"/>
        <v>0</v>
      </c>
      <c r="N180" s="774">
        <f t="shared" si="92"/>
        <v>0</v>
      </c>
      <c r="O180" s="775">
        <v>4</v>
      </c>
    </row>
    <row r="181" spans="1:17">
      <c r="A181" s="499" t="s">
        <v>2200</v>
      </c>
      <c r="B181" s="611">
        <v>456.1</v>
      </c>
      <c r="C181" s="1038">
        <v>4198130</v>
      </c>
      <c r="D181" s="498" t="s">
        <v>2201</v>
      </c>
      <c r="E181" s="529"/>
      <c r="F181" s="768"/>
      <c r="G181" s="774">
        <f t="shared" si="96"/>
        <v>0</v>
      </c>
      <c r="H181" s="775">
        <v>0</v>
      </c>
      <c r="I181" s="775">
        <f t="shared" si="90"/>
        <v>0</v>
      </c>
      <c r="J181" s="774">
        <f>IF(F181=$J$2,E181,0)</f>
        <v>0</v>
      </c>
      <c r="K181" s="890"/>
      <c r="L181" s="554"/>
      <c r="M181" s="775">
        <f t="shared" si="94"/>
        <v>0</v>
      </c>
      <c r="N181" s="774">
        <f t="shared" si="92"/>
        <v>0</v>
      </c>
      <c r="O181" s="775">
        <v>4</v>
      </c>
    </row>
    <row r="182" spans="1:17">
      <c r="A182" s="499" t="s">
        <v>2202</v>
      </c>
      <c r="B182" s="611">
        <v>456.1</v>
      </c>
      <c r="C182" s="1038">
        <v>4198910</v>
      </c>
      <c r="D182" s="498" t="s">
        <v>2203</v>
      </c>
      <c r="E182" s="529"/>
      <c r="F182" s="768"/>
      <c r="G182" s="774">
        <f t="shared" si="96"/>
        <v>0</v>
      </c>
      <c r="H182" s="775">
        <v>0</v>
      </c>
      <c r="I182" s="775">
        <f t="shared" si="90"/>
        <v>0</v>
      </c>
      <c r="J182" s="774">
        <f>IF(F182=$J$2,E182,0)</f>
        <v>0</v>
      </c>
      <c r="K182" s="890"/>
      <c r="L182" s="554"/>
      <c r="M182" s="775">
        <f t="shared" si="94"/>
        <v>0</v>
      </c>
      <c r="N182" s="774">
        <f t="shared" si="92"/>
        <v>0</v>
      </c>
      <c r="O182" s="775">
        <v>6</v>
      </c>
    </row>
    <row r="183" spans="1:17">
      <c r="A183" s="499" t="s">
        <v>2204</v>
      </c>
      <c r="B183" s="611">
        <v>456.1</v>
      </c>
      <c r="C183" s="1038">
        <v>4198132</v>
      </c>
      <c r="D183" s="498" t="s">
        <v>2205</v>
      </c>
      <c r="E183" s="529"/>
      <c r="F183" s="768"/>
      <c r="G183" s="774">
        <f t="shared" si="96"/>
        <v>0</v>
      </c>
      <c r="H183" s="775">
        <v>0</v>
      </c>
      <c r="I183" s="775">
        <f t="shared" si="90"/>
        <v>0</v>
      </c>
      <c r="J183" s="774">
        <f>IF(F183=$J$2,E183,0)</f>
        <v>0</v>
      </c>
      <c r="K183" s="777"/>
      <c r="L183" s="554"/>
      <c r="M183" s="775">
        <f t="shared" si="94"/>
        <v>0</v>
      </c>
      <c r="N183" s="774">
        <f t="shared" si="92"/>
        <v>0</v>
      </c>
      <c r="O183" s="775">
        <v>4</v>
      </c>
    </row>
    <row r="184" spans="1:17">
      <c r="A184" s="499" t="s">
        <v>2206</v>
      </c>
      <c r="B184" s="611">
        <v>456.1</v>
      </c>
      <c r="C184" s="1038">
        <v>4198134</v>
      </c>
      <c r="D184" s="498" t="s">
        <v>2207</v>
      </c>
      <c r="E184" s="529"/>
      <c r="F184" s="768"/>
      <c r="G184" s="774">
        <f t="shared" si="96"/>
        <v>0</v>
      </c>
      <c r="H184" s="775">
        <v>0</v>
      </c>
      <c r="I184" s="775">
        <f t="shared" si="90"/>
        <v>0</v>
      </c>
      <c r="J184" s="774">
        <f>IF(F184=$J$2,E184,0)</f>
        <v>0</v>
      </c>
      <c r="K184" s="777"/>
      <c r="L184" s="554"/>
      <c r="M184" s="775">
        <f t="shared" si="94"/>
        <v>0</v>
      </c>
      <c r="N184" s="774">
        <f t="shared" si="92"/>
        <v>0</v>
      </c>
      <c r="O184" s="775">
        <v>4</v>
      </c>
    </row>
    <row r="185" spans="1:17">
      <c r="A185" s="499" t="s">
        <v>2208</v>
      </c>
      <c r="B185" s="611">
        <v>456.1</v>
      </c>
      <c r="C185" s="1038">
        <v>4188716</v>
      </c>
      <c r="D185" s="281" t="s">
        <v>2209</v>
      </c>
      <c r="E185" s="529"/>
      <c r="F185" s="776"/>
      <c r="G185" s="774">
        <f t="shared" si="96"/>
        <v>0</v>
      </c>
      <c r="H185" s="775">
        <v>0</v>
      </c>
      <c r="I185" s="775">
        <f t="shared" si="90"/>
        <v>0</v>
      </c>
      <c r="J185" s="774">
        <f>IF(F185=$J$2,E185,0)</f>
        <v>0</v>
      </c>
      <c r="K185" s="777"/>
      <c r="L185" s="554"/>
      <c r="M185" s="775">
        <f t="shared" si="94"/>
        <v>0</v>
      </c>
      <c r="N185" s="774">
        <f t="shared" si="92"/>
        <v>0</v>
      </c>
      <c r="O185" s="775">
        <v>6</v>
      </c>
    </row>
    <row r="186" spans="1:17">
      <c r="A186" s="499" t="s">
        <v>2210</v>
      </c>
      <c r="B186" s="747">
        <v>456.1</v>
      </c>
      <c r="C186" s="1038">
        <v>4198910</v>
      </c>
      <c r="D186" s="748" t="s">
        <v>2211</v>
      </c>
      <c r="E186" s="529"/>
      <c r="F186" s="776"/>
      <c r="G186" s="778">
        <f t="shared" ref="G186:G189" si="98">IF(F186=$G$2,E186,0)</f>
        <v>0</v>
      </c>
      <c r="H186" s="775">
        <v>0</v>
      </c>
      <c r="I186" s="775">
        <f t="shared" ref="I186:I189" si="99">G186-H186</f>
        <v>0</v>
      </c>
      <c r="J186" s="778">
        <f t="shared" ref="J186:J189" si="100">IF(F186=$J$2,E186,0)</f>
        <v>0</v>
      </c>
      <c r="K186" s="777"/>
      <c r="L186" s="554"/>
      <c r="M186" s="775">
        <f t="shared" ref="M186:M189" si="101">J186-L186</f>
        <v>0</v>
      </c>
      <c r="N186" s="774">
        <f t="shared" ref="N186:N189" si="102">IF(F186=$N$2,E186,0)</f>
        <v>0</v>
      </c>
      <c r="O186" s="775">
        <v>6</v>
      </c>
    </row>
    <row r="187" spans="1:17">
      <c r="A187" s="499" t="s">
        <v>2212</v>
      </c>
      <c r="B187" s="747">
        <v>456.1</v>
      </c>
      <c r="C187" s="1038">
        <v>4171022</v>
      </c>
      <c r="D187" s="748" t="s">
        <v>2213</v>
      </c>
      <c r="E187" s="529"/>
      <c r="F187" s="776"/>
      <c r="G187" s="778">
        <f t="shared" si="98"/>
        <v>0</v>
      </c>
      <c r="H187" s="775">
        <v>0</v>
      </c>
      <c r="I187" s="775">
        <f t="shared" si="99"/>
        <v>0</v>
      </c>
      <c r="J187" s="778">
        <f t="shared" si="100"/>
        <v>0</v>
      </c>
      <c r="K187" s="777"/>
      <c r="L187" s="554"/>
      <c r="M187" s="775">
        <f t="shared" si="101"/>
        <v>0</v>
      </c>
      <c r="N187" s="774">
        <f t="shared" si="102"/>
        <v>0</v>
      </c>
      <c r="O187" s="775">
        <v>6</v>
      </c>
    </row>
    <row r="188" spans="1:17" s="233" customFormat="1">
      <c r="A188" s="499" t="s">
        <v>2214</v>
      </c>
      <c r="B188" s="611">
        <v>456.1</v>
      </c>
      <c r="C188" s="1038">
        <v>4171032</v>
      </c>
      <c r="D188" s="281" t="s">
        <v>2215</v>
      </c>
      <c r="E188" s="529"/>
      <c r="F188" s="776"/>
      <c r="G188" s="778">
        <f t="shared" si="98"/>
        <v>0</v>
      </c>
      <c r="H188" s="775">
        <v>0</v>
      </c>
      <c r="I188" s="775">
        <f t="shared" si="99"/>
        <v>0</v>
      </c>
      <c r="J188" s="778">
        <f t="shared" si="100"/>
        <v>0</v>
      </c>
      <c r="K188" s="777"/>
      <c r="L188" s="554"/>
      <c r="M188" s="775">
        <f t="shared" si="101"/>
        <v>0</v>
      </c>
      <c r="N188" s="774">
        <f t="shared" si="102"/>
        <v>0</v>
      </c>
      <c r="O188" s="775">
        <v>6</v>
      </c>
      <c r="Q188"/>
    </row>
    <row r="189" spans="1:17" s="233" customFormat="1">
      <c r="A189" s="499" t="s">
        <v>2216</v>
      </c>
      <c r="B189" s="611">
        <v>456.1</v>
      </c>
      <c r="C189" s="1038">
        <v>4198915</v>
      </c>
      <c r="D189" s="281" t="s">
        <v>2217</v>
      </c>
      <c r="E189" s="529"/>
      <c r="F189" s="776"/>
      <c r="G189" s="778">
        <f t="shared" si="98"/>
        <v>0</v>
      </c>
      <c r="H189" s="775">
        <v>0</v>
      </c>
      <c r="I189" s="775">
        <f t="shared" si="99"/>
        <v>0</v>
      </c>
      <c r="J189" s="778">
        <f t="shared" si="100"/>
        <v>0</v>
      </c>
      <c r="K189" s="777"/>
      <c r="L189" s="554"/>
      <c r="M189" s="775">
        <f t="shared" si="101"/>
        <v>0</v>
      </c>
      <c r="N189" s="778">
        <f t="shared" si="102"/>
        <v>0</v>
      </c>
      <c r="O189" s="769">
        <v>6</v>
      </c>
      <c r="Q189"/>
    </row>
    <row r="190" spans="1:17" s="233" customFormat="1">
      <c r="A190" s="581" t="s">
        <v>2218</v>
      </c>
      <c r="B190" s="797">
        <v>456.1</v>
      </c>
      <c r="C190" s="797">
        <v>4198135</v>
      </c>
      <c r="D190" s="799" t="s">
        <v>2219</v>
      </c>
      <c r="E190" s="776"/>
      <c r="F190" s="776"/>
      <c r="G190" s="768"/>
      <c r="H190" s="769"/>
      <c r="I190" s="769"/>
      <c r="J190" s="768"/>
      <c r="K190" s="776"/>
      <c r="L190" s="554"/>
      <c r="M190" s="769"/>
      <c r="N190" s="768"/>
      <c r="O190" s="769"/>
      <c r="Q190"/>
    </row>
    <row r="191" spans="1:17" s="233" customFormat="1">
      <c r="A191" s="581" t="s">
        <v>2220</v>
      </c>
      <c r="B191" s="797">
        <v>456.1</v>
      </c>
      <c r="C191" s="797">
        <v>4198136</v>
      </c>
      <c r="D191" s="799" t="s">
        <v>2221</v>
      </c>
      <c r="E191" s="776"/>
      <c r="F191" s="776"/>
      <c r="G191" s="768"/>
      <c r="H191" s="769"/>
      <c r="I191" s="769"/>
      <c r="J191" s="768"/>
      <c r="K191" s="776"/>
      <c r="L191" s="769"/>
      <c r="M191" s="769"/>
      <c r="N191" s="768"/>
      <c r="O191" s="769"/>
      <c r="Q191"/>
    </row>
    <row r="192" spans="1:17">
      <c r="A192" s="581"/>
      <c r="B192" s="797"/>
      <c r="C192" s="799"/>
      <c r="D192" s="582"/>
      <c r="E192" s="893"/>
      <c r="F192" s="893"/>
      <c r="G192" s="889"/>
      <c r="H192" s="391"/>
      <c r="I192" s="391"/>
      <c r="J192" s="554"/>
      <c r="K192" s="893"/>
      <c r="L192" s="391"/>
      <c r="M192" s="391"/>
      <c r="N192" s="554"/>
      <c r="O192" s="583"/>
    </row>
    <row r="193" spans="1:15" ht="13">
      <c r="A193" s="499">
        <v>16</v>
      </c>
      <c r="B193" s="1213" t="s">
        <v>2222</v>
      </c>
      <c r="C193" s="1214"/>
      <c r="D193" s="1215"/>
      <c r="E193" s="158">
        <f>SUM(E166:E192)</f>
        <v>0</v>
      </c>
      <c r="F193" s="165"/>
      <c r="G193" s="158">
        <f>SUM(G166:G192)</f>
        <v>0</v>
      </c>
      <c r="H193" s="158">
        <f>SUM(H166:H192)</f>
        <v>0</v>
      </c>
      <c r="I193" s="158">
        <f>SUM(I166:I192)</f>
        <v>0</v>
      </c>
      <c r="J193" s="158">
        <f>SUM(J166:J192)</f>
        <v>0</v>
      </c>
      <c r="K193" s="165"/>
      <c r="L193" s="158">
        <f>SUM(L166:L192)</f>
        <v>0</v>
      </c>
      <c r="M193" s="158">
        <f>SUM(M166:M192)</f>
        <v>0</v>
      </c>
      <c r="N193" s="158">
        <f>SUM(N166:N192)</f>
        <v>0</v>
      </c>
      <c r="O193" s="106"/>
    </row>
    <row r="194" spans="1:15" ht="25.5" customHeight="1">
      <c r="A194" s="499">
        <v>17</v>
      </c>
      <c r="B194" s="1236" t="s">
        <v>2223</v>
      </c>
      <c r="C194" s="1237"/>
      <c r="D194" s="1238"/>
      <c r="E194" s="580"/>
      <c r="F194" s="157"/>
      <c r="G194" s="167"/>
      <c r="H194" s="157"/>
      <c r="I194" s="159"/>
      <c r="J194" s="152"/>
      <c r="K194" s="159"/>
      <c r="L194" s="152"/>
      <c r="M194" s="152"/>
      <c r="N194" s="152"/>
      <c r="O194" s="2"/>
    </row>
    <row r="195" spans="1:15" ht="13">
      <c r="A195" s="4"/>
      <c r="B195" s="1"/>
      <c r="C195" s="109"/>
      <c r="D195" s="109"/>
      <c r="E195" s="152"/>
      <c r="F195" s="152"/>
      <c r="G195" s="152"/>
      <c r="H195" s="159"/>
      <c r="I195" s="159"/>
      <c r="J195" s="152"/>
      <c r="K195" s="159"/>
      <c r="L195" s="152"/>
      <c r="M195" s="152"/>
      <c r="N195" s="152"/>
      <c r="O195" s="2"/>
    </row>
    <row r="196" spans="1:15" ht="13">
      <c r="A196" s="4"/>
      <c r="B196" s="1"/>
      <c r="C196" s="109"/>
      <c r="D196" s="109"/>
      <c r="E196" s="152"/>
      <c r="F196" s="152"/>
      <c r="G196" s="152"/>
      <c r="H196" s="159"/>
      <c r="I196" s="159"/>
      <c r="J196" s="152"/>
      <c r="K196" s="159"/>
      <c r="L196" s="152"/>
      <c r="M196" s="152"/>
      <c r="N196" s="152"/>
      <c r="O196" s="2"/>
    </row>
    <row r="197" spans="1:15" ht="13">
      <c r="A197" s="581"/>
      <c r="B197" s="764"/>
      <c r="C197" s="173"/>
      <c r="D197" s="173"/>
      <c r="E197" s="174"/>
      <c r="F197" s="174"/>
      <c r="G197" s="174"/>
      <c r="H197" s="174"/>
      <c r="I197" s="174"/>
      <c r="J197" s="174"/>
      <c r="K197" s="174"/>
      <c r="L197" s="174"/>
      <c r="M197" s="174"/>
      <c r="N197" s="174"/>
      <c r="O197" s="583"/>
    </row>
    <row r="198" spans="1:15" ht="13">
      <c r="A198" s="581"/>
      <c r="B198" s="175"/>
      <c r="C198" s="173"/>
      <c r="D198" s="173"/>
      <c r="E198" s="174"/>
      <c r="F198" s="174"/>
      <c r="G198" s="174"/>
      <c r="H198" s="174"/>
      <c r="I198" s="174"/>
      <c r="J198" s="174"/>
      <c r="K198" s="174"/>
      <c r="L198" s="174"/>
      <c r="M198" s="174"/>
      <c r="N198" s="174"/>
      <c r="O198" s="583"/>
    </row>
    <row r="199" spans="1:15" ht="13">
      <c r="A199" s="499">
        <v>19</v>
      </c>
      <c r="B199" s="1213" t="s">
        <v>2224</v>
      </c>
      <c r="C199" s="1214"/>
      <c r="D199" s="1215"/>
      <c r="E199" s="153">
        <f>SUM(E197:E198)</f>
        <v>0</v>
      </c>
      <c r="F199" s="179"/>
      <c r="G199" s="153">
        <f>SUM(G197:G198)</f>
        <v>0</v>
      </c>
      <c r="H199" s="153">
        <f>SUM(H197:H198)</f>
        <v>0</v>
      </c>
      <c r="I199" s="153">
        <f>SUM(I197:I198)</f>
        <v>0</v>
      </c>
      <c r="J199" s="153">
        <f>SUM(J197:J198)</f>
        <v>0</v>
      </c>
      <c r="K199" s="165"/>
      <c r="L199" s="153">
        <f>SUM(L197:L198)</f>
        <v>0</v>
      </c>
      <c r="M199" s="153">
        <f>SUM(M197:M198)</f>
        <v>0</v>
      </c>
      <c r="N199" s="153">
        <f>SUM(N197:N198)</f>
        <v>0</v>
      </c>
      <c r="O199" s="153"/>
    </row>
    <row r="200" spans="1:15" ht="26.25" customHeight="1">
      <c r="A200" s="499">
        <v>20</v>
      </c>
      <c r="B200" s="1223" t="s">
        <v>2225</v>
      </c>
      <c r="C200" s="1224"/>
      <c r="D200" s="1225"/>
      <c r="E200" s="156"/>
      <c r="F200" s="152"/>
      <c r="G200" s="154"/>
      <c r="H200" s="157"/>
      <c r="I200" s="157"/>
      <c r="J200" s="154"/>
      <c r="K200" s="157"/>
      <c r="L200" s="154"/>
      <c r="M200" s="154"/>
      <c r="N200" s="154"/>
      <c r="O200" s="110"/>
    </row>
    <row r="201" spans="1:15" ht="13">
      <c r="A201" s="4"/>
      <c r="B201" s="1"/>
      <c r="C201" s="109"/>
      <c r="D201" s="109"/>
      <c r="E201" s="152"/>
      <c r="F201" s="152"/>
      <c r="G201" s="154"/>
      <c r="H201" s="157"/>
      <c r="I201" s="157"/>
      <c r="J201" s="154"/>
      <c r="K201" s="157"/>
      <c r="L201" s="154"/>
      <c r="M201" s="154"/>
      <c r="N201" s="154"/>
      <c r="O201" s="110"/>
    </row>
    <row r="202" spans="1:15" ht="13">
      <c r="A202" s="581"/>
      <c r="B202" s="764"/>
      <c r="C202" s="173"/>
      <c r="D202" s="173"/>
      <c r="E202" s="174"/>
      <c r="F202" s="174"/>
      <c r="G202" s="156"/>
      <c r="H202" s="156"/>
      <c r="I202" s="156"/>
      <c r="J202" s="156"/>
      <c r="K202" s="156"/>
      <c r="L202" s="156"/>
      <c r="M202" s="156"/>
      <c r="N202" s="156"/>
      <c r="O202" s="391"/>
    </row>
    <row r="203" spans="1:15" ht="13">
      <c r="A203" s="581"/>
      <c r="B203" s="175"/>
      <c r="C203" s="173"/>
      <c r="D203" s="173"/>
      <c r="E203" s="174"/>
      <c r="F203" s="174"/>
      <c r="G203" s="156"/>
      <c r="H203" s="156"/>
      <c r="I203" s="156"/>
      <c r="J203" s="156"/>
      <c r="K203" s="156"/>
      <c r="L203" s="156"/>
      <c r="M203" s="156"/>
      <c r="N203" s="156"/>
      <c r="O203" s="391"/>
    </row>
    <row r="204" spans="1:15" ht="13">
      <c r="A204" s="499">
        <v>22</v>
      </c>
      <c r="B204" s="1213" t="s">
        <v>2226</v>
      </c>
      <c r="C204" s="1214"/>
      <c r="D204" s="1215"/>
      <c r="E204" s="153">
        <f>SUM(E202:E203)</f>
        <v>0</v>
      </c>
      <c r="F204" s="179"/>
      <c r="G204" s="153">
        <f>SUM(G202:G203)</f>
        <v>0</v>
      </c>
      <c r="H204" s="153">
        <f>SUM(H202:H203)</f>
        <v>0</v>
      </c>
      <c r="I204" s="153">
        <f>SUM(I202:I203)</f>
        <v>0</v>
      </c>
      <c r="J204" s="153">
        <f>SUM(J202:J203)</f>
        <v>0</v>
      </c>
      <c r="K204" s="165"/>
      <c r="L204" s="153">
        <f>SUM(L202:L203)</f>
        <v>0</v>
      </c>
      <c r="M204" s="153">
        <f>SUM(M202:M203)</f>
        <v>0</v>
      </c>
      <c r="N204" s="153">
        <f>SUM(N202:N203)</f>
        <v>0</v>
      </c>
      <c r="O204" s="153"/>
    </row>
    <row r="205" spans="1:15" ht="26.25" customHeight="1">
      <c r="A205" s="499">
        <v>23</v>
      </c>
      <c r="B205" s="1223" t="s">
        <v>2227</v>
      </c>
      <c r="C205" s="1224"/>
      <c r="D205" s="1225"/>
      <c r="E205" s="156"/>
      <c r="F205" s="152"/>
      <c r="G205" s="152"/>
      <c r="H205" s="159"/>
      <c r="I205" s="159"/>
      <c r="J205" s="152"/>
      <c r="K205" s="159"/>
      <c r="L205" s="152"/>
      <c r="M205" s="152"/>
      <c r="N205" s="152"/>
      <c r="O205" s="2"/>
    </row>
    <row r="206" spans="1:15" ht="13">
      <c r="A206" s="4"/>
      <c r="B206" s="1"/>
      <c r="C206" s="109"/>
      <c r="D206" s="109"/>
      <c r="E206" s="152"/>
      <c r="F206" s="152"/>
      <c r="G206" s="152"/>
      <c r="H206" s="159"/>
      <c r="I206" s="159"/>
      <c r="J206" s="152"/>
      <c r="K206" s="159"/>
      <c r="L206" s="152"/>
      <c r="M206" s="152"/>
      <c r="N206" s="152"/>
      <c r="O206" s="2"/>
    </row>
    <row r="207" spans="1:15" ht="13">
      <c r="A207" s="4"/>
      <c r="B207" s="1" t="s">
        <v>2228</v>
      </c>
      <c r="C207" s="109"/>
      <c r="D207" s="109"/>
      <c r="E207" s="761"/>
      <c r="F207" s="152"/>
      <c r="G207" s="152"/>
      <c r="H207" s="159"/>
      <c r="I207" s="159"/>
      <c r="J207" s="152"/>
      <c r="K207" s="159"/>
      <c r="L207" s="152"/>
      <c r="M207" s="152"/>
      <c r="N207" s="152"/>
      <c r="O207" s="2"/>
    </row>
    <row r="208" spans="1:15">
      <c r="A208" s="499" t="s">
        <v>2229</v>
      </c>
      <c r="B208" s="610">
        <v>417</v>
      </c>
      <c r="C208" s="1038">
        <v>4863130</v>
      </c>
      <c r="D208" s="281" t="s">
        <v>2230</v>
      </c>
      <c r="E208" s="529"/>
      <c r="F208" s="529"/>
      <c r="G208" s="886">
        <f t="shared" ref="G208:G220" si="103">IF(F208=$G$2,E208,0)</f>
        <v>0</v>
      </c>
      <c r="H208" s="496">
        <v>0</v>
      </c>
      <c r="I208" s="496">
        <f t="shared" ref="I208:I222" si="104">G208-H208</f>
        <v>0</v>
      </c>
      <c r="J208" s="886">
        <f t="shared" ref="J208:J220" si="105">IF(F208=$J$2,E208,0)</f>
        <v>0</v>
      </c>
      <c r="K208" s="280" t="s">
        <v>1905</v>
      </c>
      <c r="L208" s="529"/>
      <c r="M208" s="886">
        <f t="shared" ref="M208:M224" si="106">J208-L208</f>
        <v>0</v>
      </c>
      <c r="N208" s="886">
        <f>IF(F208=$N$2,E208,0)</f>
        <v>0</v>
      </c>
      <c r="O208" s="280">
        <v>2</v>
      </c>
    </row>
    <row r="209" spans="1:15">
      <c r="A209" s="499" t="s">
        <v>2231</v>
      </c>
      <c r="B209" s="610">
        <v>417</v>
      </c>
      <c r="C209" s="1038">
        <v>4862110</v>
      </c>
      <c r="D209" s="281" t="s">
        <v>2232</v>
      </c>
      <c r="E209" s="529"/>
      <c r="F209" s="529"/>
      <c r="G209" s="886">
        <f t="shared" si="103"/>
        <v>0</v>
      </c>
      <c r="H209" s="496">
        <v>0</v>
      </c>
      <c r="I209" s="496">
        <f t="shared" si="104"/>
        <v>0</v>
      </c>
      <c r="J209" s="886">
        <f t="shared" si="105"/>
        <v>0</v>
      </c>
      <c r="K209" s="280" t="s">
        <v>1653</v>
      </c>
      <c r="L209" s="529"/>
      <c r="M209" s="886">
        <f t="shared" si="106"/>
        <v>0</v>
      </c>
      <c r="N209" s="886">
        <f t="shared" ref="N209:N220" si="107">IF(F209=$N$2,E209,0)</f>
        <v>0</v>
      </c>
      <c r="O209" s="280">
        <v>2</v>
      </c>
    </row>
    <row r="210" spans="1:15">
      <c r="A210" s="499" t="s">
        <v>2233</v>
      </c>
      <c r="B210" s="610">
        <v>417</v>
      </c>
      <c r="C210" s="1038">
        <v>4862115</v>
      </c>
      <c r="D210" s="281" t="s">
        <v>2234</v>
      </c>
      <c r="E210" s="529"/>
      <c r="F210" s="529"/>
      <c r="G210" s="886">
        <f t="shared" si="103"/>
        <v>0</v>
      </c>
      <c r="H210" s="496">
        <v>0</v>
      </c>
      <c r="I210" s="496">
        <f t="shared" si="104"/>
        <v>0</v>
      </c>
      <c r="J210" s="886">
        <f t="shared" si="105"/>
        <v>0</v>
      </c>
      <c r="K210" s="280" t="s">
        <v>1653</v>
      </c>
      <c r="L210" s="529"/>
      <c r="M210" s="886">
        <f t="shared" si="106"/>
        <v>0</v>
      </c>
      <c r="N210" s="886">
        <f t="shared" si="107"/>
        <v>0</v>
      </c>
      <c r="O210" s="280">
        <v>2</v>
      </c>
    </row>
    <row r="211" spans="1:15">
      <c r="A211" s="499" t="s">
        <v>2235</v>
      </c>
      <c r="B211" s="610">
        <v>417</v>
      </c>
      <c r="C211" s="1038">
        <v>4862120</v>
      </c>
      <c r="D211" s="281" t="s">
        <v>2236</v>
      </c>
      <c r="E211" s="529"/>
      <c r="F211" s="529"/>
      <c r="G211" s="886">
        <f t="shared" si="103"/>
        <v>0</v>
      </c>
      <c r="H211" s="496">
        <v>0</v>
      </c>
      <c r="I211" s="496">
        <f t="shared" si="104"/>
        <v>0</v>
      </c>
      <c r="J211" s="886">
        <f t="shared" si="105"/>
        <v>0</v>
      </c>
      <c r="K211" s="280" t="s">
        <v>1653</v>
      </c>
      <c r="L211" s="529"/>
      <c r="M211" s="886">
        <f t="shared" si="106"/>
        <v>0</v>
      </c>
      <c r="N211" s="886">
        <f t="shared" si="107"/>
        <v>0</v>
      </c>
      <c r="O211" s="280">
        <v>2</v>
      </c>
    </row>
    <row r="212" spans="1:15">
      <c r="A212" s="499" t="s">
        <v>2237</v>
      </c>
      <c r="B212" s="610">
        <v>417</v>
      </c>
      <c r="C212" s="1038">
        <v>4862135</v>
      </c>
      <c r="D212" s="281" t="s">
        <v>2238</v>
      </c>
      <c r="E212" s="529"/>
      <c r="F212" s="529"/>
      <c r="G212" s="886">
        <f t="shared" si="103"/>
        <v>0</v>
      </c>
      <c r="H212" s="496">
        <v>0</v>
      </c>
      <c r="I212" s="496">
        <f t="shared" si="104"/>
        <v>0</v>
      </c>
      <c r="J212" s="886">
        <f t="shared" si="105"/>
        <v>0</v>
      </c>
      <c r="K212" s="280" t="s">
        <v>1653</v>
      </c>
      <c r="L212" s="529"/>
      <c r="M212" s="886">
        <f t="shared" si="106"/>
        <v>0</v>
      </c>
      <c r="N212" s="886">
        <f t="shared" si="107"/>
        <v>0</v>
      </c>
      <c r="O212" s="280">
        <v>2</v>
      </c>
    </row>
    <row r="213" spans="1:15">
      <c r="A213" s="499" t="s">
        <v>2239</v>
      </c>
      <c r="B213" s="610">
        <v>417</v>
      </c>
      <c r="C213" s="1038">
        <v>4864115</v>
      </c>
      <c r="D213" s="281" t="s">
        <v>2240</v>
      </c>
      <c r="E213" s="529"/>
      <c r="F213" s="529"/>
      <c r="G213" s="886">
        <f t="shared" si="103"/>
        <v>0</v>
      </c>
      <c r="H213" s="496">
        <v>0</v>
      </c>
      <c r="I213" s="496">
        <f t="shared" si="104"/>
        <v>0</v>
      </c>
      <c r="J213" s="886">
        <f t="shared" si="105"/>
        <v>0</v>
      </c>
      <c r="K213" s="280" t="s">
        <v>1653</v>
      </c>
      <c r="L213" s="529"/>
      <c r="M213" s="886">
        <f t="shared" si="106"/>
        <v>0</v>
      </c>
      <c r="N213" s="886">
        <f t="shared" si="107"/>
        <v>0</v>
      </c>
      <c r="O213" s="280">
        <v>2</v>
      </c>
    </row>
    <row r="214" spans="1:15">
      <c r="A214" s="499" t="s">
        <v>2241</v>
      </c>
      <c r="B214" s="610">
        <v>417</v>
      </c>
      <c r="C214" s="1038">
        <v>4862125</v>
      </c>
      <c r="D214" s="281" t="s">
        <v>2242</v>
      </c>
      <c r="E214" s="529"/>
      <c r="F214" s="529"/>
      <c r="G214" s="886">
        <f t="shared" si="103"/>
        <v>0</v>
      </c>
      <c r="H214" s="496">
        <v>0</v>
      </c>
      <c r="I214" s="496">
        <f t="shared" si="104"/>
        <v>0</v>
      </c>
      <c r="J214" s="886">
        <f t="shared" si="105"/>
        <v>0</v>
      </c>
      <c r="K214" s="280" t="s">
        <v>1653</v>
      </c>
      <c r="L214" s="529"/>
      <c r="M214" s="886">
        <f t="shared" si="106"/>
        <v>0</v>
      </c>
      <c r="N214" s="886">
        <f t="shared" si="107"/>
        <v>0</v>
      </c>
      <c r="O214" s="280">
        <v>2</v>
      </c>
    </row>
    <row r="215" spans="1:15">
      <c r="A215" s="499" t="s">
        <v>2243</v>
      </c>
      <c r="B215" s="610">
        <v>417</v>
      </c>
      <c r="C215" s="1038">
        <v>4862130</v>
      </c>
      <c r="D215" s="281" t="s">
        <v>2244</v>
      </c>
      <c r="E215" s="529"/>
      <c r="F215" s="529"/>
      <c r="G215" s="886">
        <f t="shared" si="103"/>
        <v>0</v>
      </c>
      <c r="H215" s="496">
        <v>0</v>
      </c>
      <c r="I215" s="496">
        <f t="shared" si="104"/>
        <v>0</v>
      </c>
      <c r="J215" s="886">
        <f t="shared" si="105"/>
        <v>0</v>
      </c>
      <c r="K215" s="280" t="s">
        <v>1653</v>
      </c>
      <c r="L215" s="529"/>
      <c r="M215" s="886">
        <f t="shared" si="106"/>
        <v>0</v>
      </c>
      <c r="N215" s="886">
        <f t="shared" si="107"/>
        <v>0</v>
      </c>
      <c r="O215" s="280">
        <v>2</v>
      </c>
    </row>
    <row r="216" spans="1:15">
      <c r="A216" s="499" t="s">
        <v>2245</v>
      </c>
      <c r="B216" s="610">
        <v>417</v>
      </c>
      <c r="C216" s="1038">
        <v>4863120</v>
      </c>
      <c r="D216" s="281" t="s">
        <v>2246</v>
      </c>
      <c r="E216" s="529"/>
      <c r="F216" s="529"/>
      <c r="G216" s="886">
        <f t="shared" si="103"/>
        <v>0</v>
      </c>
      <c r="H216" s="496">
        <v>0</v>
      </c>
      <c r="I216" s="496">
        <f t="shared" si="104"/>
        <v>0</v>
      </c>
      <c r="J216" s="886">
        <f t="shared" si="105"/>
        <v>0</v>
      </c>
      <c r="K216" s="280" t="s">
        <v>1905</v>
      </c>
      <c r="L216" s="529"/>
      <c r="M216" s="886">
        <f t="shared" si="106"/>
        <v>0</v>
      </c>
      <c r="N216" s="886">
        <f t="shared" si="107"/>
        <v>0</v>
      </c>
      <c r="O216" s="280">
        <v>2</v>
      </c>
    </row>
    <row r="217" spans="1:15">
      <c r="A217" s="499" t="s">
        <v>2247</v>
      </c>
      <c r="B217" s="610">
        <v>417</v>
      </c>
      <c r="C217" s="1038">
        <v>4863110</v>
      </c>
      <c r="D217" s="281" t="s">
        <v>2248</v>
      </c>
      <c r="E217" s="529"/>
      <c r="F217" s="529"/>
      <c r="G217" s="886">
        <f t="shared" si="103"/>
        <v>0</v>
      </c>
      <c r="H217" s="496">
        <v>0</v>
      </c>
      <c r="I217" s="496">
        <f t="shared" si="104"/>
        <v>0</v>
      </c>
      <c r="J217" s="886">
        <f t="shared" si="105"/>
        <v>0</v>
      </c>
      <c r="K217" s="280" t="s">
        <v>1905</v>
      </c>
      <c r="L217" s="529"/>
      <c r="M217" s="886">
        <f t="shared" si="106"/>
        <v>0</v>
      </c>
      <c r="N217" s="886">
        <f t="shared" si="107"/>
        <v>0</v>
      </c>
      <c r="O217" s="280">
        <v>2</v>
      </c>
    </row>
    <row r="218" spans="1:15">
      <c r="A218" s="499" t="s">
        <v>2249</v>
      </c>
      <c r="B218" s="610">
        <v>417</v>
      </c>
      <c r="C218" s="1038">
        <v>4863115</v>
      </c>
      <c r="D218" s="281" t="s">
        <v>2250</v>
      </c>
      <c r="E218" s="529"/>
      <c r="F218" s="529"/>
      <c r="G218" s="886">
        <f t="shared" si="103"/>
        <v>0</v>
      </c>
      <c r="H218" s="496">
        <v>0</v>
      </c>
      <c r="I218" s="496">
        <f t="shared" si="104"/>
        <v>0</v>
      </c>
      <c r="J218" s="886">
        <f t="shared" si="105"/>
        <v>0</v>
      </c>
      <c r="K218" s="280" t="s">
        <v>1905</v>
      </c>
      <c r="L218" s="529"/>
      <c r="M218" s="886">
        <f t="shared" si="106"/>
        <v>0</v>
      </c>
      <c r="N218" s="886">
        <f t="shared" si="107"/>
        <v>0</v>
      </c>
      <c r="O218" s="280">
        <v>2</v>
      </c>
    </row>
    <row r="219" spans="1:15">
      <c r="A219" s="499" t="s">
        <v>2251</v>
      </c>
      <c r="B219" s="610">
        <v>417</v>
      </c>
      <c r="C219" s="1038">
        <v>4863125</v>
      </c>
      <c r="D219" s="281" t="s">
        <v>2252</v>
      </c>
      <c r="E219" s="529"/>
      <c r="F219" s="529"/>
      <c r="G219" s="886">
        <f t="shared" si="103"/>
        <v>0</v>
      </c>
      <c r="H219" s="496">
        <v>0</v>
      </c>
      <c r="I219" s="496">
        <f t="shared" si="104"/>
        <v>0</v>
      </c>
      <c r="J219" s="886">
        <f t="shared" si="105"/>
        <v>0</v>
      </c>
      <c r="K219" s="280" t="s">
        <v>1905</v>
      </c>
      <c r="L219" s="529"/>
      <c r="M219" s="886">
        <f t="shared" si="106"/>
        <v>0</v>
      </c>
      <c r="N219" s="886">
        <f t="shared" si="107"/>
        <v>0</v>
      </c>
      <c r="O219" s="280">
        <v>2</v>
      </c>
    </row>
    <row r="220" spans="1:15">
      <c r="A220" s="499" t="s">
        <v>2253</v>
      </c>
      <c r="B220" s="610">
        <v>417</v>
      </c>
      <c r="C220" s="1038">
        <v>4864120</v>
      </c>
      <c r="D220" s="281" t="s">
        <v>2254</v>
      </c>
      <c r="E220" s="529"/>
      <c r="F220" s="529"/>
      <c r="G220" s="886">
        <f t="shared" si="103"/>
        <v>0</v>
      </c>
      <c r="H220" s="496">
        <v>0</v>
      </c>
      <c r="I220" s="496">
        <f t="shared" si="104"/>
        <v>0</v>
      </c>
      <c r="J220" s="886">
        <f t="shared" si="105"/>
        <v>0</v>
      </c>
      <c r="K220" s="280" t="s">
        <v>1653</v>
      </c>
      <c r="L220" s="529"/>
      <c r="M220" s="886">
        <f t="shared" si="106"/>
        <v>0</v>
      </c>
      <c r="N220" s="886">
        <f t="shared" si="107"/>
        <v>0</v>
      </c>
      <c r="O220" s="280">
        <v>2</v>
      </c>
    </row>
    <row r="221" spans="1:15">
      <c r="A221" s="499" t="s">
        <v>2255</v>
      </c>
      <c r="B221" s="610">
        <v>417</v>
      </c>
      <c r="C221" s="1038">
        <v>4864116</v>
      </c>
      <c r="D221" s="281" t="s">
        <v>2256</v>
      </c>
      <c r="E221" s="529"/>
      <c r="F221" s="529"/>
      <c r="G221" s="886">
        <f>IF(F221=$G$2,E221,0)</f>
        <v>0</v>
      </c>
      <c r="H221" s="496">
        <v>0</v>
      </c>
      <c r="I221" s="496">
        <f t="shared" si="104"/>
        <v>0</v>
      </c>
      <c r="J221" s="886">
        <f>IF(F221=$J$2,E221,0)</f>
        <v>0</v>
      </c>
      <c r="K221" s="280" t="s">
        <v>1653</v>
      </c>
      <c r="L221" s="529"/>
      <c r="M221" s="886">
        <f t="shared" si="106"/>
        <v>0</v>
      </c>
      <c r="N221" s="886">
        <f>IF(F221=$N$2,E221,0)</f>
        <v>0</v>
      </c>
      <c r="O221" s="280">
        <v>2</v>
      </c>
    </row>
    <row r="222" spans="1:15">
      <c r="A222" s="499" t="s">
        <v>2257</v>
      </c>
      <c r="B222" s="610">
        <v>417</v>
      </c>
      <c r="C222" s="1038">
        <v>4864121</v>
      </c>
      <c r="D222" s="281" t="s">
        <v>2258</v>
      </c>
      <c r="E222" s="529"/>
      <c r="F222" s="529"/>
      <c r="G222" s="886">
        <f>IF(F222=$G$2,E222,0)</f>
        <v>0</v>
      </c>
      <c r="H222" s="496">
        <v>0</v>
      </c>
      <c r="I222" s="496">
        <f t="shared" si="104"/>
        <v>0</v>
      </c>
      <c r="J222" s="886">
        <f>IF(F222=$J$2,E222,0)</f>
        <v>0</v>
      </c>
      <c r="K222" s="280" t="s">
        <v>1653</v>
      </c>
      <c r="L222" s="529"/>
      <c r="M222" s="886">
        <f t="shared" si="106"/>
        <v>0</v>
      </c>
      <c r="N222" s="886">
        <f>IF(F222=$N$2,E222,0)</f>
        <v>0</v>
      </c>
      <c r="O222" s="280">
        <v>2</v>
      </c>
    </row>
    <row r="223" spans="1:15">
      <c r="A223" s="499" t="s">
        <v>2259</v>
      </c>
      <c r="B223" s="747">
        <v>417</v>
      </c>
      <c r="C223" s="1038">
        <v>4864117</v>
      </c>
      <c r="D223" s="748" t="s">
        <v>2260</v>
      </c>
      <c r="E223" s="529"/>
      <c r="F223" s="529"/>
      <c r="G223" s="886">
        <f t="shared" ref="G223:G224" si="108">IF(F223=$G$2,E223,0)</f>
        <v>0</v>
      </c>
      <c r="H223" s="496">
        <v>0</v>
      </c>
      <c r="I223" s="496">
        <f t="shared" ref="I223:I224" si="109">G223-H223</f>
        <v>0</v>
      </c>
      <c r="J223" s="886">
        <f t="shared" ref="J223:J224" si="110">IF(F223=$J$2,E223,0)</f>
        <v>0</v>
      </c>
      <c r="K223" s="280" t="s">
        <v>1653</v>
      </c>
      <c r="L223" s="529"/>
      <c r="M223" s="886">
        <f t="shared" si="106"/>
        <v>0</v>
      </c>
      <c r="N223" s="886">
        <f t="shared" ref="N223:N224" si="111">IF(F223=$N$2,E223,0)</f>
        <v>0</v>
      </c>
      <c r="O223" s="280">
        <v>2</v>
      </c>
    </row>
    <row r="224" spans="1:15">
      <c r="A224" s="499" t="s">
        <v>2261</v>
      </c>
      <c r="B224" s="747">
        <v>417</v>
      </c>
      <c r="C224" s="1038">
        <v>4864122</v>
      </c>
      <c r="D224" s="748" t="s">
        <v>2262</v>
      </c>
      <c r="E224" s="529"/>
      <c r="F224" s="529"/>
      <c r="G224" s="886">
        <f t="shared" si="108"/>
        <v>0</v>
      </c>
      <c r="H224" s="496">
        <v>0</v>
      </c>
      <c r="I224" s="496">
        <f t="shared" si="109"/>
        <v>0</v>
      </c>
      <c r="J224" s="886">
        <f t="shared" si="110"/>
        <v>0</v>
      </c>
      <c r="K224" s="280" t="s">
        <v>1653</v>
      </c>
      <c r="L224" s="529"/>
      <c r="M224" s="886">
        <f t="shared" si="106"/>
        <v>0</v>
      </c>
      <c r="N224" s="886">
        <f t="shared" si="111"/>
        <v>0</v>
      </c>
      <c r="O224" s="280">
        <v>2</v>
      </c>
    </row>
    <row r="225" spans="1:17" s="233" customFormat="1">
      <c r="A225" s="499" t="s">
        <v>2263</v>
      </c>
      <c r="B225" s="610">
        <v>417</v>
      </c>
      <c r="C225" s="1038">
        <v>4864200</v>
      </c>
      <c r="D225" s="281" t="s">
        <v>2264</v>
      </c>
      <c r="E225" s="529"/>
      <c r="F225" s="529"/>
      <c r="G225" s="886">
        <f t="shared" ref="G225:G233" si="112">IF(F225=$G$2,E225,0)</f>
        <v>0</v>
      </c>
      <c r="H225" s="496">
        <v>0</v>
      </c>
      <c r="I225" s="496">
        <f t="shared" ref="I225:I233" si="113">G225-H225</f>
        <v>0</v>
      </c>
      <c r="J225" s="886">
        <f t="shared" ref="J225:J233" si="114">IF(F225=$J$2,E225,0)</f>
        <v>0</v>
      </c>
      <c r="K225" s="280" t="s">
        <v>1653</v>
      </c>
      <c r="L225" s="529"/>
      <c r="M225" s="886">
        <f t="shared" ref="M225:M233" si="115">J225-L225</f>
        <v>0</v>
      </c>
      <c r="N225" s="886">
        <f t="shared" ref="N225:N233" si="116">IF(F225=$N$2,E225,0)</f>
        <v>0</v>
      </c>
      <c r="O225" s="280">
        <v>2</v>
      </c>
      <c r="Q225"/>
    </row>
    <row r="226" spans="1:17" s="233" customFormat="1">
      <c r="A226" s="499" t="s">
        <v>2265</v>
      </c>
      <c r="B226" s="610">
        <v>417</v>
      </c>
      <c r="C226" s="1038">
        <v>4864201</v>
      </c>
      <c r="D226" s="281" t="s">
        <v>2266</v>
      </c>
      <c r="E226" s="529"/>
      <c r="F226" s="529"/>
      <c r="G226" s="886">
        <f t="shared" si="112"/>
        <v>0</v>
      </c>
      <c r="H226" s="496">
        <v>0</v>
      </c>
      <c r="I226" s="496">
        <f t="shared" si="113"/>
        <v>0</v>
      </c>
      <c r="J226" s="886">
        <f t="shared" si="114"/>
        <v>0</v>
      </c>
      <c r="K226" s="280" t="s">
        <v>1653</v>
      </c>
      <c r="L226" s="529"/>
      <c r="M226" s="886">
        <f t="shared" si="115"/>
        <v>0</v>
      </c>
      <c r="N226" s="886">
        <f t="shared" si="116"/>
        <v>0</v>
      </c>
      <c r="O226" s="280">
        <v>2</v>
      </c>
      <c r="Q226"/>
    </row>
    <row r="227" spans="1:17" s="233" customFormat="1">
      <c r="A227" s="499" t="s">
        <v>2267</v>
      </c>
      <c r="B227" s="610">
        <v>417</v>
      </c>
      <c r="C227" s="1038">
        <v>4864202</v>
      </c>
      <c r="D227" s="281" t="s">
        <v>2268</v>
      </c>
      <c r="E227" s="529"/>
      <c r="F227" s="529"/>
      <c r="G227" s="886">
        <f t="shared" si="112"/>
        <v>0</v>
      </c>
      <c r="H227" s="496">
        <v>0</v>
      </c>
      <c r="I227" s="496">
        <f t="shared" si="113"/>
        <v>0</v>
      </c>
      <c r="J227" s="886">
        <f t="shared" si="114"/>
        <v>0</v>
      </c>
      <c r="K227" s="280" t="s">
        <v>1653</v>
      </c>
      <c r="L227" s="529"/>
      <c r="M227" s="886">
        <f t="shared" si="115"/>
        <v>0</v>
      </c>
      <c r="N227" s="886">
        <f t="shared" si="116"/>
        <v>0</v>
      </c>
      <c r="O227" s="280">
        <v>2</v>
      </c>
      <c r="Q227"/>
    </row>
    <row r="228" spans="1:17" s="233" customFormat="1">
      <c r="A228" s="499" t="s">
        <v>2269</v>
      </c>
      <c r="B228" s="610">
        <v>417</v>
      </c>
      <c r="C228" s="1038">
        <v>4864203</v>
      </c>
      <c r="D228" s="281" t="s">
        <v>2270</v>
      </c>
      <c r="E228" s="529"/>
      <c r="F228" s="529"/>
      <c r="G228" s="886">
        <f t="shared" si="112"/>
        <v>0</v>
      </c>
      <c r="H228" s="496">
        <v>0</v>
      </c>
      <c r="I228" s="496">
        <f t="shared" si="113"/>
        <v>0</v>
      </c>
      <c r="J228" s="886">
        <f t="shared" si="114"/>
        <v>0</v>
      </c>
      <c r="K228" s="280" t="s">
        <v>1653</v>
      </c>
      <c r="L228" s="529"/>
      <c r="M228" s="886">
        <f t="shared" si="115"/>
        <v>0</v>
      </c>
      <c r="N228" s="886">
        <f t="shared" si="116"/>
        <v>0</v>
      </c>
      <c r="O228" s="280">
        <v>2</v>
      </c>
      <c r="Q228"/>
    </row>
    <row r="229" spans="1:17" s="233" customFormat="1">
      <c r="A229" s="499" t="s">
        <v>2271</v>
      </c>
      <c r="B229" s="610">
        <v>417</v>
      </c>
      <c r="C229" s="1038">
        <v>4862105</v>
      </c>
      <c r="D229" s="281" t="s">
        <v>2272</v>
      </c>
      <c r="E229" s="529"/>
      <c r="F229" s="529"/>
      <c r="G229" s="886">
        <f t="shared" si="112"/>
        <v>0</v>
      </c>
      <c r="H229" s="496">
        <v>0</v>
      </c>
      <c r="I229" s="496">
        <f t="shared" si="113"/>
        <v>0</v>
      </c>
      <c r="J229" s="886">
        <f t="shared" si="114"/>
        <v>0</v>
      </c>
      <c r="K229" s="280" t="s">
        <v>1653</v>
      </c>
      <c r="L229" s="529"/>
      <c r="M229" s="886">
        <f t="shared" si="115"/>
        <v>0</v>
      </c>
      <c r="N229" s="886">
        <f t="shared" si="116"/>
        <v>0</v>
      </c>
      <c r="O229" s="280">
        <v>2</v>
      </c>
      <c r="Q229"/>
    </row>
    <row r="230" spans="1:17" s="233" customFormat="1">
      <c r="A230" s="499" t="s">
        <v>2273</v>
      </c>
      <c r="B230" s="610">
        <v>417</v>
      </c>
      <c r="C230" s="1038">
        <v>4863135</v>
      </c>
      <c r="D230" s="281" t="s">
        <v>2274</v>
      </c>
      <c r="E230" s="529"/>
      <c r="F230" s="529"/>
      <c r="G230" s="886">
        <f t="shared" si="112"/>
        <v>0</v>
      </c>
      <c r="H230" s="496">
        <v>0</v>
      </c>
      <c r="I230" s="496">
        <f t="shared" si="113"/>
        <v>0</v>
      </c>
      <c r="J230" s="886">
        <f t="shared" si="114"/>
        <v>0</v>
      </c>
      <c r="K230" s="280" t="s">
        <v>1905</v>
      </c>
      <c r="L230" s="529"/>
      <c r="M230" s="886">
        <f t="shared" si="115"/>
        <v>0</v>
      </c>
      <c r="N230" s="886">
        <f t="shared" si="116"/>
        <v>0</v>
      </c>
      <c r="O230" s="280">
        <v>2</v>
      </c>
      <c r="Q230"/>
    </row>
    <row r="231" spans="1:17" s="233" customFormat="1">
      <c r="A231" s="499" t="s">
        <v>2275</v>
      </c>
      <c r="B231" s="610">
        <v>417</v>
      </c>
      <c r="C231" s="1038">
        <v>4864123</v>
      </c>
      <c r="D231" s="281" t="s">
        <v>2276</v>
      </c>
      <c r="E231" s="529"/>
      <c r="F231" s="529"/>
      <c r="G231" s="886">
        <f t="shared" si="112"/>
        <v>0</v>
      </c>
      <c r="H231" s="496">
        <v>0</v>
      </c>
      <c r="I231" s="496">
        <f t="shared" si="113"/>
        <v>0</v>
      </c>
      <c r="J231" s="886">
        <f t="shared" si="114"/>
        <v>0</v>
      </c>
      <c r="K231" s="280" t="s">
        <v>1653</v>
      </c>
      <c r="L231" s="529"/>
      <c r="M231" s="886">
        <f t="shared" si="115"/>
        <v>0</v>
      </c>
      <c r="N231" s="886">
        <f t="shared" si="116"/>
        <v>0</v>
      </c>
      <c r="O231" s="280">
        <v>2</v>
      </c>
      <c r="Q231"/>
    </row>
    <row r="232" spans="1:17" s="233" customFormat="1">
      <c r="A232" s="499" t="s">
        <v>2277</v>
      </c>
      <c r="B232" s="610">
        <v>417</v>
      </c>
      <c r="C232" s="1038">
        <v>4864124</v>
      </c>
      <c r="D232" s="281" t="s">
        <v>2278</v>
      </c>
      <c r="E232" s="529"/>
      <c r="F232" s="529"/>
      <c r="G232" s="886">
        <f t="shared" si="112"/>
        <v>0</v>
      </c>
      <c r="H232" s="496">
        <v>0</v>
      </c>
      <c r="I232" s="496">
        <f t="shared" si="113"/>
        <v>0</v>
      </c>
      <c r="J232" s="886">
        <f t="shared" si="114"/>
        <v>0</v>
      </c>
      <c r="K232" s="280" t="s">
        <v>1653</v>
      </c>
      <c r="L232" s="529"/>
      <c r="M232" s="886">
        <f t="shared" si="115"/>
        <v>0</v>
      </c>
      <c r="N232" s="886">
        <f t="shared" si="116"/>
        <v>0</v>
      </c>
      <c r="O232" s="280">
        <v>2</v>
      </c>
      <c r="Q232"/>
    </row>
    <row r="233" spans="1:17" s="233" customFormat="1">
      <c r="A233" s="499" t="s">
        <v>2279</v>
      </c>
      <c r="B233" s="610">
        <v>417</v>
      </c>
      <c r="C233" s="1038">
        <v>4864125</v>
      </c>
      <c r="D233" s="281" t="s">
        <v>2276</v>
      </c>
      <c r="E233" s="529"/>
      <c r="F233" s="529"/>
      <c r="G233" s="886">
        <f t="shared" si="112"/>
        <v>0</v>
      </c>
      <c r="H233" s="496">
        <v>0</v>
      </c>
      <c r="I233" s="496">
        <f t="shared" si="113"/>
        <v>0</v>
      </c>
      <c r="J233" s="886">
        <f t="shared" si="114"/>
        <v>0</v>
      </c>
      <c r="K233" s="280" t="s">
        <v>1653</v>
      </c>
      <c r="L233" s="529"/>
      <c r="M233" s="886">
        <f t="shared" si="115"/>
        <v>0</v>
      </c>
      <c r="N233" s="886">
        <f t="shared" si="116"/>
        <v>0</v>
      </c>
      <c r="O233" s="280">
        <v>2</v>
      </c>
      <c r="Q233"/>
    </row>
    <row r="234" spans="1:17" s="233" customFormat="1">
      <c r="A234" s="581"/>
      <c r="B234" s="764"/>
      <c r="C234" s="800"/>
      <c r="D234" s="582"/>
      <c r="E234" s="765"/>
      <c r="F234" s="554"/>
      <c r="G234" s="554"/>
      <c r="H234" s="391"/>
      <c r="I234" s="391"/>
      <c r="J234" s="554"/>
      <c r="K234" s="583"/>
      <c r="L234" s="554"/>
      <c r="M234" s="554"/>
      <c r="N234" s="554"/>
      <c r="O234" s="583"/>
      <c r="Q234"/>
    </row>
    <row r="235" spans="1:17" s="233" customFormat="1">
      <c r="A235" s="581"/>
      <c r="B235" s="764"/>
      <c r="C235" s="760"/>
      <c r="D235" s="582"/>
      <c r="E235" s="766"/>
      <c r="F235" s="554"/>
      <c r="G235" s="554"/>
      <c r="H235" s="391"/>
      <c r="I235" s="391"/>
      <c r="J235" s="554"/>
      <c r="K235" s="583"/>
      <c r="L235" s="762"/>
      <c r="M235" s="554"/>
      <c r="N235" s="554"/>
      <c r="O235" s="583"/>
      <c r="Q235"/>
    </row>
    <row r="236" spans="1:17" ht="13">
      <c r="A236" s="499">
        <v>25</v>
      </c>
      <c r="B236" s="1213" t="s">
        <v>2280</v>
      </c>
      <c r="C236" s="1214"/>
      <c r="D236" s="1215"/>
      <c r="E236" s="158">
        <f>SUM(E208:E235)</f>
        <v>0</v>
      </c>
      <c r="F236" s="165"/>
      <c r="G236" s="158">
        <f>SUM(G208:G235)</f>
        <v>0</v>
      </c>
      <c r="H236" s="158">
        <f>SUM(H208:H235)</f>
        <v>0</v>
      </c>
      <c r="I236" s="158">
        <f>SUM(I208:I235)</f>
        <v>0</v>
      </c>
      <c r="J236" s="158">
        <f>SUM(J208:J235)</f>
        <v>0</v>
      </c>
      <c r="K236" s="165"/>
      <c r="L236" s="158">
        <f>SUM(L208:L235)</f>
        <v>0</v>
      </c>
      <c r="M236" s="158">
        <f>SUM(M208:M235)</f>
        <v>0</v>
      </c>
      <c r="N236" s="158">
        <f>SUM(N208:N235)</f>
        <v>0</v>
      </c>
      <c r="O236" s="106"/>
    </row>
    <row r="237" spans="1:17" ht="13">
      <c r="A237" s="499">
        <v>26</v>
      </c>
      <c r="B237" s="1213" t="s">
        <v>2281</v>
      </c>
      <c r="C237" s="1214"/>
      <c r="D237" s="1215"/>
      <c r="E237" s="580"/>
      <c r="F237" s="154"/>
      <c r="G237" s="152"/>
      <c r="H237" s="159"/>
      <c r="I237" s="159"/>
      <c r="J237" s="152"/>
      <c r="K237" s="159"/>
      <c r="L237" s="152"/>
      <c r="M237" s="152"/>
      <c r="N237" s="152"/>
      <c r="O237" s="2"/>
    </row>
    <row r="238" spans="1:17" ht="25.5" customHeight="1">
      <c r="A238" s="499">
        <v>27</v>
      </c>
      <c r="B238" s="1236" t="s">
        <v>2282</v>
      </c>
      <c r="C238" s="1237"/>
      <c r="D238" s="1238"/>
      <c r="E238" s="580"/>
      <c r="F238" s="176" t="s">
        <v>132</v>
      </c>
      <c r="G238" s="894"/>
      <c r="H238" s="234"/>
      <c r="I238" s="234"/>
      <c r="J238" s="894"/>
      <c r="K238" s="895"/>
      <c r="L238" s="896"/>
      <c r="M238" s="234"/>
      <c r="N238" s="894"/>
      <c r="O238" s="234"/>
    </row>
    <row r="239" spans="1:17">
      <c r="A239" s="234"/>
      <c r="B239" s="233"/>
      <c r="C239" s="233"/>
      <c r="D239" s="233"/>
      <c r="E239" s="894"/>
      <c r="F239" s="894"/>
      <c r="G239" s="894"/>
      <c r="H239" s="234"/>
      <c r="I239" s="234"/>
      <c r="J239" s="894"/>
      <c r="K239" s="895"/>
      <c r="L239" s="896"/>
      <c r="M239" s="234"/>
      <c r="N239" s="894"/>
      <c r="O239" s="234"/>
    </row>
    <row r="240" spans="1:17" ht="13">
      <c r="A240" s="233"/>
      <c r="B240" s="1" t="s">
        <v>2283</v>
      </c>
      <c r="C240" s="233"/>
      <c r="D240" s="233"/>
      <c r="E240" s="894"/>
      <c r="F240" s="894"/>
      <c r="G240" s="894"/>
      <c r="H240" s="234"/>
      <c r="I240" s="234"/>
      <c r="J240" s="894"/>
      <c r="K240" s="895"/>
      <c r="L240" s="896"/>
      <c r="M240" s="234"/>
      <c r="N240" s="894"/>
      <c r="O240" s="234"/>
    </row>
    <row r="241" spans="1:17">
      <c r="A241" s="280" t="s">
        <v>709</v>
      </c>
      <c r="B241" s="1227">
        <v>418.1</v>
      </c>
      <c r="C241" s="1228"/>
      <c r="D241" s="281" t="s">
        <v>2284</v>
      </c>
      <c r="E241" s="529"/>
      <c r="F241" s="529"/>
      <c r="G241" s="886">
        <f>IF(F241=$G$2,E241,0)</f>
        <v>0</v>
      </c>
      <c r="H241" s="280">
        <v>0</v>
      </c>
      <c r="I241" s="496">
        <f t="shared" ref="I241:I244" si="117">G241-H241</f>
        <v>0</v>
      </c>
      <c r="J241" s="886">
        <f>IF(F241=$J$2,E241,0)</f>
        <v>0</v>
      </c>
      <c r="K241" s="282" t="s">
        <v>1653</v>
      </c>
      <c r="L241" s="554"/>
      <c r="M241" s="496">
        <f>J241-L241</f>
        <v>0</v>
      </c>
      <c r="N241" s="886">
        <f>IF(F241=$N$2,E241,0)</f>
        <v>0</v>
      </c>
      <c r="O241" s="280" t="s">
        <v>2285</v>
      </c>
    </row>
    <row r="242" spans="1:17">
      <c r="A242" s="280" t="s">
        <v>2286</v>
      </c>
      <c r="B242" s="1227">
        <v>418.1</v>
      </c>
      <c r="C242" s="1228"/>
      <c r="D242" s="281" t="s">
        <v>2287</v>
      </c>
      <c r="E242" s="529"/>
      <c r="F242" s="529"/>
      <c r="G242" s="886">
        <f>IF(F242=$G$2,E242,0)</f>
        <v>0</v>
      </c>
      <c r="H242" s="280">
        <v>0</v>
      </c>
      <c r="I242" s="496">
        <f t="shared" si="117"/>
        <v>0</v>
      </c>
      <c r="J242" s="886">
        <f>IF(F242=$J$2,E242,0)</f>
        <v>0</v>
      </c>
      <c r="K242" s="282" t="s">
        <v>1905</v>
      </c>
      <c r="L242" s="554"/>
      <c r="M242" s="496">
        <f>J242-L242</f>
        <v>0</v>
      </c>
      <c r="N242" s="886">
        <f>IF(F242=$N$2,E242,0)</f>
        <v>0</v>
      </c>
      <c r="O242" s="280" t="s">
        <v>2285</v>
      </c>
    </row>
    <row r="243" spans="1:17">
      <c r="A243" s="280" t="s">
        <v>2288</v>
      </c>
      <c r="B243" s="1227">
        <v>418.1</v>
      </c>
      <c r="C243" s="1228"/>
      <c r="D243" s="281" t="s">
        <v>2289</v>
      </c>
      <c r="E243" s="529"/>
      <c r="F243" s="529"/>
      <c r="G243" s="886">
        <f>IF(F243=$G$2,E243,0)</f>
        <v>0</v>
      </c>
      <c r="H243" s="280">
        <v>0</v>
      </c>
      <c r="I243" s="496">
        <f t="shared" si="117"/>
        <v>0</v>
      </c>
      <c r="J243" s="886">
        <f>IF(F243=$J$2,E243,0)</f>
        <v>0</v>
      </c>
      <c r="K243" s="282" t="s">
        <v>1905</v>
      </c>
      <c r="L243" s="554"/>
      <c r="M243" s="496">
        <f>J243-L243</f>
        <v>0</v>
      </c>
      <c r="N243" s="886">
        <f>IF(F243=$N$2,E243,0)</f>
        <v>0</v>
      </c>
      <c r="O243" s="280" t="s">
        <v>2290</v>
      </c>
    </row>
    <row r="244" spans="1:17">
      <c r="A244" s="280" t="s">
        <v>2291</v>
      </c>
      <c r="B244" s="1227">
        <v>418.1</v>
      </c>
      <c r="C244" s="1228"/>
      <c r="D244" s="281" t="s">
        <v>2292</v>
      </c>
      <c r="E244" s="529"/>
      <c r="F244" s="529"/>
      <c r="G244" s="886">
        <f>IF(F244=$G$2,E244,0)</f>
        <v>0</v>
      </c>
      <c r="H244" s="280">
        <v>0</v>
      </c>
      <c r="I244" s="496">
        <f t="shared" si="117"/>
        <v>0</v>
      </c>
      <c r="J244" s="886">
        <f>IF(F244=$J$2,E244,0)</f>
        <v>0</v>
      </c>
      <c r="K244" s="282"/>
      <c r="L244" s="554"/>
      <c r="M244" s="496">
        <f>J244-L244</f>
        <v>0</v>
      </c>
      <c r="N244" s="886">
        <f>IF(F244=$N$2,E244,0)</f>
        <v>0</v>
      </c>
      <c r="O244" s="280">
        <v>13</v>
      </c>
    </row>
    <row r="245" spans="1:17">
      <c r="A245" s="280" t="s">
        <v>2293</v>
      </c>
      <c r="B245" s="1227">
        <v>418.1</v>
      </c>
      <c r="C245" s="1228"/>
      <c r="D245" s="281" t="s">
        <v>2294</v>
      </c>
      <c r="E245" s="529"/>
      <c r="F245" s="768"/>
      <c r="G245" s="774">
        <f>IF(F245=$G$2,E245,0)</f>
        <v>0</v>
      </c>
      <c r="H245" s="775">
        <f>E245*$D$294</f>
        <v>0</v>
      </c>
      <c r="I245" s="775">
        <f>G245-H245</f>
        <v>0</v>
      </c>
      <c r="J245" s="774">
        <f>IF(F245=$J$2,E245,0)</f>
        <v>0</v>
      </c>
      <c r="K245" s="282"/>
      <c r="L245" s="554"/>
      <c r="M245" s="496">
        <f>J245-L245</f>
        <v>0</v>
      </c>
      <c r="N245" s="886">
        <f>IF(F245=$N$2,E245,0)</f>
        <v>0</v>
      </c>
      <c r="O245" s="280" t="s">
        <v>2295</v>
      </c>
    </row>
    <row r="246" spans="1:17">
      <c r="A246" s="583"/>
      <c r="B246" s="897"/>
      <c r="C246" s="798"/>
      <c r="D246" s="582"/>
      <c r="E246" s="529"/>
      <c r="F246" s="773"/>
      <c r="G246" s="773"/>
      <c r="H246" s="769"/>
      <c r="I246" s="769"/>
      <c r="J246" s="773"/>
      <c r="K246" s="898"/>
      <c r="L246" s="554"/>
      <c r="M246" s="899"/>
      <c r="N246" s="554"/>
      <c r="O246" s="583"/>
    </row>
    <row r="247" spans="1:17">
      <c r="A247" s="583"/>
      <c r="B247" s="897"/>
      <c r="C247" s="798"/>
      <c r="D247" s="582"/>
      <c r="E247" s="529"/>
      <c r="F247" s="773"/>
      <c r="G247" s="773"/>
      <c r="H247" s="769"/>
      <c r="I247" s="769"/>
      <c r="J247" s="773"/>
      <c r="K247" s="898"/>
      <c r="L247" s="554"/>
      <c r="M247" s="899"/>
      <c r="N247" s="554"/>
      <c r="O247" s="583"/>
    </row>
    <row r="248" spans="1:17" ht="13">
      <c r="A248" s="280">
        <v>29</v>
      </c>
      <c r="B248" s="1213" t="s">
        <v>2296</v>
      </c>
      <c r="C248" s="1214"/>
      <c r="D248" s="1215"/>
      <c r="E248" s="990"/>
      <c r="F248" s="780"/>
      <c r="G248" s="779">
        <f>SUM(G241:G247)</f>
        <v>0</v>
      </c>
      <c r="H248" s="779">
        <f>SUM(H241:H247)</f>
        <v>0</v>
      </c>
      <c r="I248" s="779">
        <f>SUM(I241:I247)</f>
        <v>0</v>
      </c>
      <c r="J248" s="779">
        <f>SUM(J241:J247)</f>
        <v>0</v>
      </c>
      <c r="K248" s="166"/>
      <c r="L248" s="204">
        <f>SUM(L241:L247)</f>
        <v>0</v>
      </c>
      <c r="M248" s="204">
        <f>SUM(M241:M247)</f>
        <v>0</v>
      </c>
      <c r="N248" s="204">
        <f>SUM(N241:N247)</f>
        <v>0</v>
      </c>
      <c r="O248" s="106"/>
    </row>
    <row r="249" spans="1:17" ht="13">
      <c r="A249" s="280">
        <v>30</v>
      </c>
      <c r="B249" s="1213" t="s">
        <v>2297</v>
      </c>
      <c r="C249" s="1214"/>
      <c r="D249" s="1215"/>
      <c r="E249" s="990"/>
      <c r="F249" s="781"/>
      <c r="G249" s="781"/>
      <c r="H249" s="781"/>
      <c r="I249" s="781"/>
      <c r="J249" s="782"/>
      <c r="K249" s="178"/>
      <c r="L249" s="177"/>
      <c r="M249" s="177"/>
      <c r="N249" s="177"/>
      <c r="O249" s="2"/>
    </row>
    <row r="250" spans="1:17" ht="25.5" customHeight="1">
      <c r="A250" s="280">
        <v>31</v>
      </c>
      <c r="B250" s="1229" t="s">
        <v>2298</v>
      </c>
      <c r="C250" s="1230"/>
      <c r="D250" s="1230"/>
      <c r="E250" s="990"/>
      <c r="F250" s="781"/>
      <c r="G250" s="781"/>
      <c r="H250" s="781"/>
      <c r="I250" s="781"/>
      <c r="J250" s="782"/>
      <c r="K250" s="178"/>
      <c r="L250" s="177"/>
      <c r="M250" s="177"/>
      <c r="N250" s="177"/>
      <c r="O250" s="2"/>
    </row>
    <row r="251" spans="1:17" ht="13">
      <c r="A251" s="234"/>
      <c r="B251" s="52"/>
      <c r="C251" s="850"/>
      <c r="D251" s="850"/>
      <c r="E251" s="851"/>
      <c r="F251" s="781"/>
      <c r="G251" s="781"/>
      <c r="H251" s="781"/>
      <c r="I251" s="781"/>
      <c r="J251" s="782"/>
      <c r="K251" s="178"/>
      <c r="L251" s="177"/>
      <c r="M251" s="177"/>
      <c r="N251" s="177"/>
      <c r="O251" s="2"/>
    </row>
    <row r="252" spans="1:17" s="590" customFormat="1" ht="13">
      <c r="A252" s="835"/>
      <c r="B252" s="1" t="s">
        <v>2299</v>
      </c>
      <c r="E252" s="852"/>
      <c r="F252" s="852"/>
      <c r="G252" s="852"/>
      <c r="H252" s="835"/>
      <c r="I252" s="835"/>
      <c r="J252" s="852"/>
      <c r="K252" s="853"/>
      <c r="L252" s="854"/>
      <c r="M252" s="835"/>
      <c r="N252" s="852"/>
      <c r="O252" s="835"/>
      <c r="Q252"/>
    </row>
    <row r="253" spans="1:17" s="590" customFormat="1" ht="13">
      <c r="A253" s="499" t="s">
        <v>713</v>
      </c>
      <c r="B253" s="1234">
        <v>412</v>
      </c>
      <c r="C253" s="1234"/>
      <c r="D253" s="498" t="s">
        <v>2300</v>
      </c>
      <c r="E253" s="158">
        <f>'35-Other Formula Revenue'!G105</f>
        <v>0</v>
      </c>
      <c r="F253" s="951" t="s">
        <v>1875</v>
      </c>
      <c r="G253" s="886">
        <f>IF(F253=$G$2,E253,0)</f>
        <v>0</v>
      </c>
      <c r="H253" s="280">
        <v>0</v>
      </c>
      <c r="I253" s="496">
        <f t="shared" ref="I253" si="118">G253-H253</f>
        <v>0</v>
      </c>
      <c r="J253" s="886">
        <f>IF(F253=$J$2,E253,0)</f>
        <v>0</v>
      </c>
      <c r="K253" s="952"/>
      <c r="L253" s="554"/>
      <c r="M253" s="496">
        <f>J253-L253</f>
        <v>0</v>
      </c>
      <c r="N253" s="774">
        <f t="shared" ref="N253" si="119">IF(F253=$N$2,E253,0)</f>
        <v>0</v>
      </c>
      <c r="O253" s="280">
        <v>18</v>
      </c>
      <c r="Q253"/>
    </row>
    <row r="254" spans="1:17" s="590" customFormat="1" ht="13">
      <c r="A254" s="861"/>
      <c r="B254" s="1220"/>
      <c r="C254" s="1220"/>
      <c r="D254" s="862"/>
      <c r="E254" s="847"/>
      <c r="F254" s="846"/>
      <c r="G254" s="762"/>
      <c r="H254" s="763"/>
      <c r="I254" s="807"/>
      <c r="J254" s="762"/>
      <c r="K254" s="846"/>
      <c r="L254" s="174"/>
      <c r="M254" s="391"/>
      <c r="N254" s="773"/>
      <c r="O254" s="955"/>
      <c r="Q254"/>
    </row>
    <row r="255" spans="1:17" s="590" customFormat="1" ht="13">
      <c r="A255" s="499" t="s">
        <v>2301</v>
      </c>
      <c r="B255" s="1213" t="s">
        <v>2302</v>
      </c>
      <c r="C255" s="1221"/>
      <c r="D255" s="1222"/>
      <c r="E255" s="779">
        <f>SUM(E253:E254)</f>
        <v>0</v>
      </c>
      <c r="F255" s="860"/>
      <c r="G255" s="779">
        <f>SUM(G253:G254)</f>
        <v>0</v>
      </c>
      <c r="H255" s="779">
        <f t="shared" ref="H255:J255" si="120">SUM(H253:H254)</f>
        <v>0</v>
      </c>
      <c r="I255" s="779">
        <f t="shared" si="120"/>
        <v>0</v>
      </c>
      <c r="J255" s="779">
        <f t="shared" si="120"/>
        <v>0</v>
      </c>
      <c r="K255" s="855"/>
      <c r="L255" s="779">
        <f>SUM(L253:L254)</f>
        <v>0</v>
      </c>
      <c r="M255" s="779">
        <f t="shared" ref="M255" si="121">SUM(M253:M254)</f>
        <v>0</v>
      </c>
      <c r="N255" s="779">
        <f t="shared" ref="N255" si="122">SUM(N253:N254)</f>
        <v>0</v>
      </c>
      <c r="O255" s="779"/>
      <c r="Q255"/>
    </row>
    <row r="256" spans="1:17" s="590" customFormat="1" ht="13">
      <c r="A256" s="953" t="s">
        <v>2303</v>
      </c>
      <c r="B256" s="1231" t="s">
        <v>2304</v>
      </c>
      <c r="C256" s="1232"/>
      <c r="D256" s="1233"/>
      <c r="E256" s="954"/>
      <c r="F256" s="856"/>
      <c r="G256" s="856"/>
      <c r="H256" s="856"/>
      <c r="I256" s="856"/>
      <c r="J256" s="857"/>
      <c r="K256" s="858"/>
      <c r="L256" s="859"/>
      <c r="M256" s="859"/>
      <c r="N256" s="859"/>
      <c r="O256" s="608"/>
    </row>
    <row r="257" spans="1:15" s="590" customFormat="1" ht="13">
      <c r="A257" s="499" t="s">
        <v>2305</v>
      </c>
      <c r="B257" s="1229" t="s">
        <v>2306</v>
      </c>
      <c r="C257" s="1229"/>
      <c r="D257" s="1229"/>
      <c r="E257" s="991"/>
      <c r="F257" s="781"/>
      <c r="G257" s="856"/>
      <c r="H257" s="856"/>
      <c r="I257" s="856"/>
      <c r="J257" s="857"/>
      <c r="K257" s="858"/>
      <c r="L257" s="859"/>
      <c r="M257" s="859"/>
      <c r="N257" s="859"/>
      <c r="O257" s="608"/>
    </row>
    <row r="258" spans="1:15" s="590" customFormat="1" ht="13">
      <c r="A258" s="837"/>
      <c r="B258" s="833"/>
      <c r="C258" s="819"/>
      <c r="D258" s="819"/>
      <c r="E258" s="848"/>
      <c r="F258" s="849"/>
      <c r="G258" s="849"/>
      <c r="H258" s="849"/>
      <c r="I258" s="849"/>
      <c r="J258" s="849"/>
      <c r="K258" s="849"/>
      <c r="L258" s="849"/>
      <c r="M258" s="849"/>
      <c r="N258" s="849"/>
      <c r="O258" s="608"/>
    </row>
    <row r="259" spans="1:15">
      <c r="A259" s="234"/>
      <c r="B259" s="233"/>
      <c r="C259" s="233"/>
      <c r="D259" s="233"/>
      <c r="E259" s="894"/>
      <c r="F259" s="894"/>
      <c r="G259" s="894"/>
      <c r="H259" s="234"/>
      <c r="I259" s="234"/>
      <c r="J259" s="894"/>
      <c r="K259" s="895"/>
      <c r="L259" s="896"/>
      <c r="M259" s="234"/>
      <c r="N259" s="894"/>
      <c r="O259" s="234"/>
    </row>
    <row r="260" spans="1:15" ht="13">
      <c r="A260" s="280">
        <v>32</v>
      </c>
      <c r="B260" s="169"/>
      <c r="C260" s="168"/>
      <c r="D260" s="111" t="s">
        <v>2307</v>
      </c>
      <c r="E260" s="613">
        <f>E8+E44+E52+E89+E163+E193+E199+E204+E236+E248+E255</f>
        <v>0</v>
      </c>
      <c r="F260" s="205"/>
      <c r="G260" s="613">
        <f>G8+G44+G52+G89+G163+G193+G199+G204+G236+G248+G255</f>
        <v>0</v>
      </c>
      <c r="H260" s="613">
        <f>H8+H44+H52+H89+H163+H193+H199+H204+H236+H248+H255</f>
        <v>0</v>
      </c>
      <c r="I260" s="613">
        <f>I8+I44+I52+I89+I163+I193+I199+I204+I236+I248+I255</f>
        <v>0</v>
      </c>
      <c r="J260" s="613">
        <f>J8+J44+J52+J89+J163+J193+J199+J204+J236+J248+J255</f>
        <v>0</v>
      </c>
      <c r="K260" s="205"/>
      <c r="L260" s="613">
        <f>L8+L44+L52+L89+L163+L193+L199+L204+L236+L248+L255</f>
        <v>0</v>
      </c>
      <c r="M260" s="613">
        <f>M8+M44+M52+M89+M163+M193+M199+M204+M236+M248+M255</f>
        <v>0</v>
      </c>
      <c r="N260" s="613">
        <f>N8+N44+N52+N89+N163+N193+N199+N204+N236+N248+N255</f>
        <v>0</v>
      </c>
      <c r="O260" s="106"/>
    </row>
    <row r="261" spans="1:15">
      <c r="A261" s="243"/>
      <c r="B261" s="243"/>
      <c r="C261" s="243"/>
      <c r="D261" s="233"/>
      <c r="E261" s="234"/>
      <c r="F261" s="234"/>
      <c r="G261" s="900"/>
      <c r="H261" s="234"/>
      <c r="I261" s="234"/>
      <c r="J261" s="162"/>
      <c r="K261" s="901"/>
      <c r="L261" s="896"/>
      <c r="M261" s="234"/>
      <c r="N261" s="900"/>
      <c r="O261" s="234"/>
    </row>
    <row r="262" spans="1:15">
      <c r="A262" s="243"/>
      <c r="B262" s="243"/>
      <c r="C262" s="243"/>
      <c r="D262" s="233"/>
      <c r="E262" s="234"/>
      <c r="F262" s="234" t="s">
        <v>480</v>
      </c>
      <c r="G262" s="894"/>
      <c r="H262" s="891"/>
      <c r="I262" s="234"/>
      <c r="J262" s="162"/>
      <c r="K262" s="901"/>
      <c r="L262" s="896"/>
      <c r="M262" s="234"/>
      <c r="N262" s="900"/>
      <c r="O262" s="234"/>
    </row>
    <row r="263" spans="1:15">
      <c r="A263" s="280">
        <v>33</v>
      </c>
      <c r="B263" s="902"/>
      <c r="C263" s="902"/>
      <c r="D263" s="903" t="s">
        <v>2308</v>
      </c>
      <c r="E263" s="892">
        <f>L260</f>
        <v>0</v>
      </c>
      <c r="F263" s="904" t="s">
        <v>2309</v>
      </c>
      <c r="G263" s="900"/>
      <c r="H263" s="234"/>
      <c r="I263" s="234"/>
      <c r="J263" s="894"/>
      <c r="K263" s="895"/>
      <c r="L263" s="896"/>
      <c r="M263" s="234"/>
      <c r="N263" s="900"/>
      <c r="O263" s="234"/>
    </row>
    <row r="264" spans="1:15">
      <c r="A264" s="280">
        <v>34</v>
      </c>
      <c r="B264" s="902"/>
      <c r="C264" s="902"/>
      <c r="D264" s="903" t="s">
        <v>2310</v>
      </c>
      <c r="E264" s="892">
        <f>E263*(5.425/16.671)</f>
        <v>0</v>
      </c>
      <c r="F264" s="500" t="s">
        <v>2311</v>
      </c>
      <c r="G264" s="901"/>
      <c r="H264" s="234"/>
      <c r="I264" s="234"/>
      <c r="J264" s="894"/>
      <c r="K264" s="895"/>
      <c r="L264" s="896"/>
      <c r="M264" s="234"/>
      <c r="N264" s="900"/>
      <c r="O264" s="234"/>
    </row>
    <row r="265" spans="1:15">
      <c r="A265" s="280">
        <v>35</v>
      </c>
      <c r="B265" s="902"/>
      <c r="C265" s="902"/>
      <c r="D265" s="905"/>
      <c r="E265" s="887"/>
      <c r="F265" s="906"/>
      <c r="G265" s="901"/>
      <c r="H265" s="234"/>
      <c r="I265" s="234"/>
      <c r="J265" s="894"/>
      <c r="K265" s="895"/>
      <c r="L265" s="896"/>
      <c r="M265" s="234"/>
      <c r="N265" s="900"/>
      <c r="O265" s="234"/>
    </row>
    <row r="266" spans="1:15">
      <c r="A266" s="280">
        <v>36</v>
      </c>
      <c r="B266" s="902"/>
      <c r="C266" s="902"/>
      <c r="D266" s="903" t="s">
        <v>2312</v>
      </c>
      <c r="E266" s="892">
        <f>SUMIF(K4:K247,"=A",M4:M247)</f>
        <v>0</v>
      </c>
      <c r="F266" s="500" t="s">
        <v>2313</v>
      </c>
      <c r="G266" s="901"/>
      <c r="H266" s="234"/>
      <c r="I266" s="234"/>
      <c r="J266" s="894"/>
      <c r="K266" s="895"/>
      <c r="L266" s="896"/>
      <c r="M266" s="234"/>
      <c r="N266" s="900"/>
      <c r="O266" s="234"/>
    </row>
    <row r="267" spans="1:15">
      <c r="A267" s="280">
        <v>37</v>
      </c>
      <c r="B267" s="883"/>
      <c r="C267" s="883"/>
      <c r="D267" s="903" t="s">
        <v>2314</v>
      </c>
      <c r="E267" s="892">
        <f>0.1*E266</f>
        <v>0</v>
      </c>
      <c r="F267" s="276" t="str">
        <f>"= Line "&amp;A266&amp;"D * 10%"</f>
        <v>= Line 36D * 10%</v>
      </c>
      <c r="G267" s="233"/>
      <c r="H267" s="163"/>
      <c r="I267" s="164"/>
      <c r="J267" s="894"/>
      <c r="K267" s="895"/>
      <c r="L267" s="896"/>
      <c r="M267" s="234"/>
      <c r="N267" s="894"/>
      <c r="O267" s="234"/>
    </row>
    <row r="268" spans="1:15">
      <c r="A268" s="280">
        <v>38</v>
      </c>
      <c r="B268" s="883"/>
      <c r="C268" s="883"/>
      <c r="D268" s="903" t="s">
        <v>2315</v>
      </c>
      <c r="E268" s="892">
        <f>SUMIF(K4:K247,"=P",M4:M247)</f>
        <v>0</v>
      </c>
      <c r="F268" s="907" t="s">
        <v>2316</v>
      </c>
      <c r="G268" s="233"/>
      <c r="H268" s="234"/>
      <c r="I268" s="164"/>
      <c r="J268" s="894"/>
      <c r="K268" s="895"/>
      <c r="L268" s="896"/>
      <c r="M268" s="234"/>
      <c r="N268" s="894"/>
      <c r="O268" s="234"/>
    </row>
    <row r="269" spans="1:15">
      <c r="A269" s="280">
        <v>39</v>
      </c>
      <c r="B269" s="883"/>
      <c r="C269" s="883"/>
      <c r="D269" s="903" t="s">
        <v>2317</v>
      </c>
      <c r="E269" s="892">
        <f>0.3*E268</f>
        <v>0</v>
      </c>
      <c r="F269" s="276" t="str">
        <f>"= Line "&amp;A268&amp;"D * 30%"</f>
        <v>= Line 38D * 30%</v>
      </c>
      <c r="G269" s="233"/>
      <c r="H269" s="163"/>
      <c r="I269" s="164"/>
      <c r="J269" s="894"/>
      <c r="K269" s="895"/>
      <c r="L269" s="896"/>
      <c r="M269" s="234"/>
      <c r="N269" s="894"/>
      <c r="O269" s="234"/>
    </row>
    <row r="270" spans="1:15">
      <c r="A270" s="280">
        <v>40</v>
      </c>
      <c r="B270" s="883"/>
      <c r="C270" s="883"/>
      <c r="D270" s="903" t="s">
        <v>2318</v>
      </c>
      <c r="E270" s="892">
        <f>E267+E269</f>
        <v>0</v>
      </c>
      <c r="F270" s="276" t="str">
        <f>"= Line "&amp;A267&amp;"D + Line "&amp;A269&amp;"D"</f>
        <v>= Line 37D + Line 39D</v>
      </c>
      <c r="G270" s="895"/>
      <c r="H270" s="234"/>
      <c r="I270" s="234"/>
      <c r="J270" s="894"/>
      <c r="K270" s="895"/>
      <c r="L270" s="896"/>
      <c r="M270" s="234"/>
      <c r="N270" s="894"/>
      <c r="O270" s="234"/>
    </row>
    <row r="271" spans="1:15">
      <c r="A271" s="280">
        <v>41</v>
      </c>
      <c r="B271" s="883"/>
      <c r="C271" s="883"/>
      <c r="D271" s="903" t="s">
        <v>2319</v>
      </c>
      <c r="E271" s="908">
        <f>5.425/16.671</f>
        <v>0.32541539199808051</v>
      </c>
      <c r="F271" s="500" t="s">
        <v>2320</v>
      </c>
      <c r="G271" s="895"/>
      <c r="H271" s="234"/>
      <c r="I271" s="234"/>
      <c r="J271" s="894"/>
      <c r="K271" s="895"/>
      <c r="L271" s="896"/>
      <c r="M271" s="234"/>
      <c r="N271" s="894"/>
      <c r="O271" s="234"/>
    </row>
    <row r="272" spans="1:15">
      <c r="A272" s="280">
        <v>42</v>
      </c>
      <c r="B272" s="883"/>
      <c r="C272" s="883"/>
      <c r="D272" s="903" t="s">
        <v>2321</v>
      </c>
      <c r="E272" s="892">
        <f>E270*E271</f>
        <v>0</v>
      </c>
      <c r="F272" s="276" t="str">
        <f>"= Line "&amp;A270&amp;"D * Line "&amp;A271&amp;"D"</f>
        <v>= Line 40D * Line 41D</v>
      </c>
      <c r="G272" s="895"/>
      <c r="H272" s="234"/>
      <c r="I272" s="234"/>
      <c r="J272" s="894"/>
      <c r="K272" s="895"/>
      <c r="L272" s="896"/>
      <c r="M272" s="234"/>
      <c r="N272" s="894"/>
      <c r="O272" s="234"/>
    </row>
    <row r="273" spans="1:254" ht="12.75" customHeight="1">
      <c r="A273" s="280">
        <v>43</v>
      </c>
      <c r="B273" s="883"/>
      <c r="C273" s="883"/>
      <c r="D273" s="172" t="s">
        <v>2322</v>
      </c>
      <c r="E273" s="204">
        <f>E272+E264</f>
        <v>0</v>
      </c>
      <c r="F273" s="276" t="str">
        <f>"= Line "&amp;A264&amp;"D + Line "&amp;A272&amp;"D"</f>
        <v>= Line 34D + Line 42D</v>
      </c>
      <c r="G273" s="895"/>
      <c r="H273" s="234"/>
      <c r="I273" s="234"/>
      <c r="J273" s="894"/>
      <c r="K273" s="895"/>
      <c r="L273" s="896"/>
      <c r="M273" s="234"/>
      <c r="N273" s="894"/>
      <c r="O273" s="234"/>
    </row>
    <row r="274" spans="1:254">
      <c r="A274" s="233"/>
      <c r="B274" s="233"/>
      <c r="C274" s="233"/>
      <c r="D274" s="895"/>
      <c r="E274" s="909"/>
      <c r="F274" s="500"/>
      <c r="G274" s="895"/>
      <c r="H274" s="234"/>
      <c r="I274" s="234"/>
      <c r="J274" s="894"/>
      <c r="K274" s="895"/>
      <c r="L274" s="896"/>
      <c r="M274" s="234"/>
      <c r="N274" s="894"/>
      <c r="O274" s="234"/>
    </row>
    <row r="275" spans="1:254">
      <c r="A275" s="233"/>
      <c r="B275" s="233"/>
      <c r="C275" s="233"/>
      <c r="D275" s="910"/>
      <c r="E275" s="62" t="s">
        <v>81</v>
      </c>
      <c r="F275" s="62" t="s">
        <v>480</v>
      </c>
      <c r="G275" s="911"/>
      <c r="H275" s="234"/>
      <c r="I275" s="233"/>
      <c r="J275" s="233"/>
      <c r="K275" s="233"/>
      <c r="L275" s="910"/>
      <c r="M275" s="62"/>
      <c r="N275" s="62"/>
      <c r="O275" s="911"/>
      <c r="P275" s="234"/>
      <c r="Q275" s="233"/>
      <c r="R275" s="910"/>
      <c r="S275" s="62"/>
      <c r="T275" s="62"/>
      <c r="U275" s="911"/>
      <c r="V275" s="234"/>
      <c r="W275" s="233"/>
      <c r="X275" s="233"/>
      <c r="Y275" s="233"/>
      <c r="Z275" s="910"/>
      <c r="AA275" s="62"/>
      <c r="AB275" s="62"/>
      <c r="AC275" s="911"/>
      <c r="AD275" s="234"/>
      <c r="AE275" s="233"/>
      <c r="AF275" s="233"/>
      <c r="AG275" s="233"/>
      <c r="AH275" s="910"/>
      <c r="AI275" s="62"/>
      <c r="AJ275" s="62"/>
      <c r="AK275" s="911"/>
      <c r="AL275" s="234"/>
      <c r="AM275" s="233"/>
      <c r="AN275" s="233"/>
      <c r="AO275" s="233"/>
      <c r="AP275" s="910"/>
      <c r="AQ275" s="62"/>
      <c r="AR275" s="62"/>
      <c r="AS275" s="911"/>
      <c r="AT275" s="234"/>
      <c r="AU275" s="233"/>
      <c r="AV275" s="233"/>
      <c r="AW275" s="233"/>
      <c r="AX275" s="910"/>
      <c r="AY275" s="62"/>
      <c r="AZ275" s="62"/>
      <c r="BA275" s="911"/>
      <c r="BB275" s="234"/>
      <c r="BC275" s="233"/>
      <c r="BD275" s="233"/>
      <c r="BE275" s="233"/>
      <c r="BF275" s="910"/>
      <c r="BG275" s="62"/>
      <c r="BH275" s="62"/>
      <c r="BI275" s="911"/>
      <c r="BJ275" s="234"/>
      <c r="BK275" s="233"/>
      <c r="BL275" s="233"/>
      <c r="BM275" s="233"/>
      <c r="BN275" s="910"/>
      <c r="BO275" s="62"/>
      <c r="BP275" s="62"/>
      <c r="BQ275" s="911"/>
      <c r="BR275" s="234"/>
      <c r="BS275" s="233"/>
      <c r="BT275" s="233"/>
      <c r="BU275" s="233"/>
      <c r="BV275" s="910"/>
      <c r="BW275" s="62"/>
      <c r="BX275" s="62"/>
      <c r="BY275" s="911"/>
      <c r="BZ275" s="234"/>
      <c r="CA275" s="233"/>
      <c r="CB275" s="233"/>
      <c r="CC275" s="233"/>
      <c r="CD275" s="910"/>
      <c r="CE275" s="62"/>
      <c r="CF275" s="62"/>
      <c r="CG275" s="911"/>
      <c r="CH275" s="234"/>
      <c r="CI275" s="233"/>
      <c r="CJ275" s="233"/>
      <c r="CK275" s="233"/>
      <c r="CL275" s="910"/>
      <c r="CM275" s="62"/>
      <c r="CN275" s="62"/>
      <c r="CO275" s="911"/>
      <c r="CP275" s="234"/>
      <c r="CQ275" s="233"/>
      <c r="CR275" s="233"/>
      <c r="CS275" s="233"/>
      <c r="CT275" s="910"/>
      <c r="CU275" s="62"/>
      <c r="CV275" s="62"/>
      <c r="CW275" s="911"/>
      <c r="CX275" s="234"/>
      <c r="CY275" s="233"/>
      <c r="CZ275" s="233"/>
      <c r="DA275" s="233"/>
      <c r="DB275" s="910"/>
      <c r="DC275" s="62"/>
      <c r="DD275" s="62"/>
      <c r="DE275" s="911"/>
      <c r="DF275" s="234"/>
      <c r="DG275" s="233"/>
      <c r="DH275" s="233"/>
      <c r="DI275" s="233"/>
      <c r="DJ275" s="910"/>
      <c r="DK275" s="62"/>
      <c r="DL275" s="62"/>
      <c r="DM275" s="911"/>
      <c r="DN275" s="234"/>
      <c r="DO275" s="233"/>
      <c r="DP275" s="233"/>
      <c r="DQ275" s="233"/>
      <c r="DR275" s="910"/>
      <c r="DS275" s="62"/>
      <c r="DT275" s="62"/>
      <c r="DU275" s="911"/>
      <c r="DV275" s="234"/>
      <c r="DW275" s="233"/>
      <c r="DX275" s="233"/>
      <c r="DY275" s="233"/>
      <c r="DZ275" s="910"/>
      <c r="EA275" s="62"/>
      <c r="EB275" s="62"/>
      <c r="EC275" s="911"/>
      <c r="ED275" s="234"/>
      <c r="EE275" s="233"/>
      <c r="EF275" s="233"/>
      <c r="EG275" s="233"/>
      <c r="EH275" s="910"/>
      <c r="EI275" s="62"/>
      <c r="EJ275" s="62"/>
      <c r="EK275" s="911"/>
      <c r="EL275" s="234"/>
      <c r="EM275" s="233"/>
      <c r="EN275" s="233"/>
      <c r="EO275" s="233"/>
      <c r="EP275" s="910"/>
      <c r="EQ275" s="62"/>
      <c r="ER275" s="62"/>
      <c r="ES275" s="911"/>
      <c r="ET275" s="234"/>
      <c r="EU275" s="233"/>
      <c r="EV275" s="233"/>
      <c r="EW275" s="233"/>
      <c r="EX275" s="910"/>
      <c r="EY275" s="62"/>
      <c r="EZ275" s="62"/>
      <c r="FA275" s="911"/>
      <c r="FB275" s="234"/>
      <c r="FC275" s="233"/>
      <c r="FD275" s="233"/>
      <c r="FE275" s="233"/>
      <c r="FF275" s="910"/>
      <c r="FG275" s="62"/>
      <c r="FH275" s="62"/>
      <c r="FI275" s="911"/>
      <c r="FJ275" s="234"/>
      <c r="FK275" s="233"/>
      <c r="FL275" s="233"/>
      <c r="FM275" s="233"/>
      <c r="FN275" s="910"/>
      <c r="FO275" s="62"/>
      <c r="FP275" s="62"/>
      <c r="FQ275" s="911"/>
      <c r="FR275" s="234"/>
      <c r="FS275" s="233"/>
      <c r="FT275" s="233"/>
      <c r="FU275" s="233"/>
      <c r="FV275" s="910"/>
      <c r="FW275" s="62"/>
      <c r="FX275" s="62"/>
      <c r="FY275" s="911"/>
      <c r="FZ275" s="234"/>
      <c r="GA275" s="233"/>
      <c r="GB275" s="233"/>
      <c r="GC275" s="233"/>
      <c r="GD275" s="910"/>
      <c r="GE275" s="62"/>
      <c r="GF275" s="62"/>
      <c r="GG275" s="911"/>
      <c r="GH275" s="234"/>
      <c r="GI275" s="233"/>
      <c r="GJ275" s="233"/>
      <c r="GK275" s="233"/>
      <c r="GL275" s="910"/>
      <c r="GM275" s="62"/>
      <c r="GN275" s="62"/>
      <c r="GO275" s="911"/>
      <c r="GP275" s="234"/>
      <c r="GQ275" s="233"/>
      <c r="GR275" s="233"/>
      <c r="GS275" s="233"/>
      <c r="GT275" s="910"/>
      <c r="GU275" s="62"/>
      <c r="GV275" s="62"/>
      <c r="GW275" s="911"/>
      <c r="GX275" s="234"/>
      <c r="GY275" s="233"/>
      <c r="GZ275" s="233"/>
      <c r="HA275" s="233"/>
      <c r="HB275" s="910"/>
      <c r="HC275" s="62"/>
      <c r="HD275" s="62"/>
      <c r="HE275" s="911"/>
      <c r="HF275" s="234"/>
      <c r="HG275" s="233"/>
      <c r="HH275" s="233"/>
      <c r="HI275" s="233"/>
      <c r="HJ275" s="910"/>
      <c r="HK275" s="62"/>
      <c r="HL275" s="62"/>
      <c r="HM275" s="911"/>
      <c r="HN275" s="234"/>
      <c r="HO275" s="233"/>
      <c r="HP275" s="233"/>
      <c r="HQ275" s="233"/>
      <c r="HR275" s="910"/>
      <c r="HS275" s="62"/>
      <c r="HT275" s="62"/>
      <c r="HU275" s="911"/>
      <c r="HV275" s="234"/>
      <c r="HW275" s="233"/>
      <c r="HX275" s="233"/>
      <c r="HY275" s="233"/>
      <c r="HZ275" s="910"/>
      <c r="IA275" s="62"/>
      <c r="IB275" s="62"/>
      <c r="IC275" s="911"/>
      <c r="ID275" s="234"/>
      <c r="IE275" s="233"/>
      <c r="IF275" s="233"/>
      <c r="IG275" s="233"/>
      <c r="IH275" s="910"/>
      <c r="II275" s="62"/>
      <c r="IJ275" s="62"/>
      <c r="IK275" s="911"/>
      <c r="IL275" s="234"/>
      <c r="IM275" s="233"/>
      <c r="IN275" s="233"/>
      <c r="IO275" s="233"/>
      <c r="IP275" s="910"/>
      <c r="IQ275" s="62"/>
      <c r="IR275" s="62"/>
      <c r="IS275" s="911"/>
      <c r="IT275" s="234"/>
    </row>
    <row r="276" spans="1:254" ht="13">
      <c r="A276" s="280">
        <v>44</v>
      </c>
      <c r="B276" s="1" t="s">
        <v>2323</v>
      </c>
      <c r="C276" s="233"/>
      <c r="D276" s="910"/>
      <c r="E276" s="912">
        <f>H260+E273</f>
        <v>0</v>
      </c>
      <c r="F276" s="389" t="s">
        <v>2324</v>
      </c>
      <c r="G276" s="911"/>
      <c r="H276" s="234"/>
      <c r="I276" s="234"/>
      <c r="J276" s="1"/>
      <c r="K276" s="233"/>
      <c r="L276" s="910"/>
      <c r="M276" s="913"/>
      <c r="N276" s="389"/>
      <c r="O276" s="911"/>
      <c r="P276" s="234"/>
      <c r="Q276" s="233"/>
      <c r="R276" s="910"/>
      <c r="S276" s="913"/>
      <c r="T276" s="389"/>
      <c r="U276" s="911"/>
      <c r="V276" s="234"/>
      <c r="W276" s="234"/>
      <c r="X276" s="1"/>
      <c r="Y276" s="233"/>
      <c r="Z276" s="910"/>
      <c r="AA276" s="913"/>
      <c r="AB276" s="389"/>
      <c r="AC276" s="911"/>
      <c r="AD276" s="234"/>
      <c r="AE276" s="234"/>
      <c r="AF276" s="1"/>
      <c r="AG276" s="233"/>
      <c r="AH276" s="910"/>
      <c r="AI276" s="913"/>
      <c r="AJ276" s="389"/>
      <c r="AK276" s="911"/>
      <c r="AL276" s="234"/>
      <c r="AM276" s="280"/>
      <c r="AN276" s="1"/>
      <c r="AO276" s="233"/>
      <c r="AP276" s="910"/>
      <c r="AQ276" s="913"/>
      <c r="AR276" s="389"/>
      <c r="AS276" s="911"/>
      <c r="AT276" s="234"/>
      <c r="AU276" s="280"/>
      <c r="AV276" s="1"/>
      <c r="AW276" s="233"/>
      <c r="AX276" s="910"/>
      <c r="AY276" s="913"/>
      <c r="AZ276" s="389"/>
      <c r="BA276" s="911"/>
      <c r="BB276" s="234"/>
      <c r="BC276" s="280"/>
      <c r="BD276" s="1"/>
      <c r="BE276" s="233"/>
      <c r="BF276" s="910"/>
      <c r="BG276" s="913"/>
      <c r="BH276" s="389"/>
      <c r="BI276" s="911"/>
      <c r="BJ276" s="234"/>
      <c r="BK276" s="280"/>
      <c r="BL276" s="1"/>
      <c r="BM276" s="233"/>
      <c r="BN276" s="910"/>
      <c r="BO276" s="913"/>
      <c r="BP276" s="389"/>
      <c r="BQ276" s="911"/>
      <c r="BR276" s="234"/>
      <c r="BS276" s="280"/>
      <c r="BT276" s="1"/>
      <c r="BU276" s="233"/>
      <c r="BV276" s="910"/>
      <c r="BW276" s="913"/>
      <c r="BX276" s="389"/>
      <c r="BY276" s="911"/>
      <c r="BZ276" s="234"/>
      <c r="CA276" s="280"/>
      <c r="CB276" s="1"/>
      <c r="CC276" s="233"/>
      <c r="CD276" s="910"/>
      <c r="CE276" s="913"/>
      <c r="CF276" s="389"/>
      <c r="CG276" s="911"/>
      <c r="CH276" s="234"/>
      <c r="CI276" s="280"/>
      <c r="CJ276" s="1"/>
      <c r="CK276" s="233"/>
      <c r="CL276" s="910"/>
      <c r="CM276" s="913"/>
      <c r="CN276" s="389"/>
      <c r="CO276" s="911"/>
      <c r="CP276" s="234"/>
      <c r="CQ276" s="280"/>
      <c r="CR276" s="1"/>
      <c r="CS276" s="233"/>
      <c r="CT276" s="910"/>
      <c r="CU276" s="913"/>
      <c r="CV276" s="389"/>
      <c r="CW276" s="911"/>
      <c r="CX276" s="234"/>
      <c r="CY276" s="280"/>
      <c r="CZ276" s="1"/>
      <c r="DA276" s="233"/>
      <c r="DB276" s="910"/>
      <c r="DC276" s="913"/>
      <c r="DD276" s="389"/>
      <c r="DE276" s="911"/>
      <c r="DF276" s="234"/>
      <c r="DG276" s="280"/>
      <c r="DH276" s="1"/>
      <c r="DI276" s="233"/>
      <c r="DJ276" s="910"/>
      <c r="DK276" s="913"/>
      <c r="DL276" s="389"/>
      <c r="DM276" s="911"/>
      <c r="DN276" s="234"/>
      <c r="DO276" s="280"/>
      <c r="DP276" s="1"/>
      <c r="DQ276" s="233"/>
      <c r="DR276" s="910"/>
      <c r="DS276" s="913"/>
      <c r="DT276" s="389"/>
      <c r="DU276" s="911"/>
      <c r="DV276" s="234"/>
      <c r="DW276" s="280"/>
      <c r="DX276" s="1"/>
      <c r="DY276" s="233"/>
      <c r="DZ276" s="910"/>
      <c r="EA276" s="913"/>
      <c r="EB276" s="389"/>
      <c r="EC276" s="911"/>
      <c r="ED276" s="234"/>
      <c r="EE276" s="280"/>
      <c r="EF276" s="1"/>
      <c r="EG276" s="233"/>
      <c r="EH276" s="910"/>
      <c r="EI276" s="913"/>
      <c r="EJ276" s="389"/>
      <c r="EK276" s="911"/>
      <c r="EL276" s="234"/>
      <c r="EM276" s="280"/>
      <c r="EN276" s="1"/>
      <c r="EO276" s="233"/>
      <c r="EP276" s="910"/>
      <c r="EQ276" s="913"/>
      <c r="ER276" s="389"/>
      <c r="ES276" s="911"/>
      <c r="ET276" s="234"/>
      <c r="EU276" s="280"/>
      <c r="EV276" s="1"/>
      <c r="EW276" s="233"/>
      <c r="EX276" s="910"/>
      <c r="EY276" s="913"/>
      <c r="EZ276" s="389"/>
      <c r="FA276" s="911"/>
      <c r="FB276" s="234"/>
      <c r="FC276" s="280"/>
      <c r="FD276" s="1"/>
      <c r="FE276" s="233"/>
      <c r="FF276" s="910"/>
      <c r="FG276" s="913"/>
      <c r="FH276" s="389"/>
      <c r="FI276" s="911"/>
      <c r="FJ276" s="234"/>
      <c r="FK276" s="280"/>
      <c r="FL276" s="1"/>
      <c r="FM276" s="233"/>
      <c r="FN276" s="910"/>
      <c r="FO276" s="913"/>
      <c r="FP276" s="389"/>
      <c r="FQ276" s="911"/>
      <c r="FR276" s="234"/>
      <c r="FS276" s="280"/>
      <c r="FT276" s="1"/>
      <c r="FU276" s="233"/>
      <c r="FV276" s="910"/>
      <c r="FW276" s="913"/>
      <c r="FX276" s="389"/>
      <c r="FY276" s="911"/>
      <c r="FZ276" s="234"/>
      <c r="GA276" s="280"/>
      <c r="GB276" s="1"/>
      <c r="GC276" s="233"/>
      <c r="GD276" s="910"/>
      <c r="GE276" s="913"/>
      <c r="GF276" s="389"/>
      <c r="GG276" s="911"/>
      <c r="GH276" s="234"/>
      <c r="GI276" s="280"/>
      <c r="GJ276" s="1"/>
      <c r="GK276" s="233"/>
      <c r="GL276" s="910"/>
      <c r="GM276" s="913"/>
      <c r="GN276" s="389"/>
      <c r="GO276" s="911"/>
      <c r="GP276" s="234"/>
      <c r="GQ276" s="280"/>
      <c r="GR276" s="1"/>
      <c r="GS276" s="233"/>
      <c r="GT276" s="910"/>
      <c r="GU276" s="913"/>
      <c r="GV276" s="389"/>
      <c r="GW276" s="911"/>
      <c r="GX276" s="234"/>
      <c r="GY276" s="280"/>
      <c r="GZ276" s="1"/>
      <c r="HA276" s="233"/>
      <c r="HB276" s="910"/>
      <c r="HC276" s="913"/>
      <c r="HD276" s="389"/>
      <c r="HE276" s="911"/>
      <c r="HF276" s="234"/>
      <c r="HG276" s="280"/>
      <c r="HH276" s="1"/>
      <c r="HI276" s="233"/>
      <c r="HJ276" s="910"/>
      <c r="HK276" s="913"/>
      <c r="HL276" s="389"/>
      <c r="HM276" s="911"/>
      <c r="HN276" s="234"/>
      <c r="HO276" s="280"/>
      <c r="HP276" s="1"/>
      <c r="HQ276" s="233"/>
      <c r="HR276" s="910"/>
      <c r="HS276" s="913"/>
      <c r="HT276" s="389"/>
      <c r="HU276" s="911"/>
      <c r="HV276" s="234"/>
      <c r="HW276" s="280"/>
      <c r="HX276" s="1"/>
      <c r="HY276" s="233"/>
      <c r="HZ276" s="910"/>
      <c r="IA276" s="913"/>
      <c r="IB276" s="389"/>
      <c r="IC276" s="911"/>
      <c r="ID276" s="234"/>
      <c r="IE276" s="280"/>
      <c r="IF276" s="1"/>
      <c r="IG276" s="233"/>
      <c r="IH276" s="910"/>
      <c r="II276" s="913"/>
      <c r="IJ276" s="389"/>
      <c r="IK276" s="911"/>
      <c r="IL276" s="234"/>
      <c r="IM276" s="280"/>
      <c r="IN276" s="1"/>
      <c r="IO276" s="233"/>
      <c r="IP276" s="910"/>
      <c r="IQ276" s="913"/>
      <c r="IR276" s="389"/>
      <c r="IS276" s="911"/>
      <c r="IT276" s="234"/>
    </row>
    <row r="277" spans="1:254">
      <c r="A277" s="233"/>
      <c r="B277" s="233"/>
      <c r="C277" s="233"/>
      <c r="D277" s="895"/>
      <c r="E277" s="896"/>
      <c r="F277" s="904"/>
      <c r="G277" s="894"/>
      <c r="H277" s="234"/>
      <c r="I277" s="234"/>
      <c r="J277" s="894"/>
      <c r="K277" s="895"/>
      <c r="L277" s="896"/>
      <c r="M277" s="234"/>
      <c r="N277" s="894"/>
      <c r="O277" s="234"/>
    </row>
    <row r="279" spans="1:254">
      <c r="A279" s="233" t="s">
        <v>233</v>
      </c>
      <c r="B279" s="233"/>
      <c r="C279" s="233"/>
      <c r="D279" s="233"/>
      <c r="E279" s="894"/>
      <c r="F279" s="894"/>
      <c r="G279" s="894"/>
      <c r="H279" s="234"/>
      <c r="I279" s="234"/>
      <c r="J279" s="894"/>
      <c r="K279" s="895"/>
      <c r="L279" s="896"/>
      <c r="M279" s="234"/>
      <c r="N279" s="894"/>
      <c r="O279" s="234"/>
    </row>
    <row r="280" spans="1:254" ht="12.75" customHeight="1">
      <c r="A280" s="283" t="s">
        <v>2325</v>
      </c>
      <c r="B280" s="1226" t="s">
        <v>2326</v>
      </c>
      <c r="C280" s="1218"/>
      <c r="D280" s="1218"/>
      <c r="E280" s="894"/>
      <c r="F280" s="894"/>
      <c r="G280" s="894"/>
      <c r="H280" s="234"/>
      <c r="I280" s="234"/>
      <c r="J280" s="894"/>
      <c r="K280" s="895"/>
      <c r="L280" s="896"/>
      <c r="M280" s="234"/>
      <c r="N280" s="894"/>
      <c r="O280" s="234"/>
    </row>
    <row r="281" spans="1:254" ht="77.25" customHeight="1">
      <c r="A281" s="283" t="s">
        <v>2327</v>
      </c>
      <c r="B281" s="1216" t="s">
        <v>2328</v>
      </c>
      <c r="C281" s="1217"/>
      <c r="D281" s="1217"/>
      <c r="E281" s="1219"/>
      <c r="F281" s="1219"/>
      <c r="G281" s="894"/>
      <c r="H281" s="234"/>
      <c r="I281" s="234"/>
      <c r="J281" s="894"/>
      <c r="K281" s="895"/>
      <c r="L281" s="896"/>
      <c r="M281" s="234"/>
      <c r="N281" s="894"/>
      <c r="O281" s="234"/>
    </row>
    <row r="282" spans="1:254" ht="12.75" customHeight="1">
      <c r="A282" s="283" t="s">
        <v>2329</v>
      </c>
      <c r="B282" s="1216" t="s">
        <v>2330</v>
      </c>
      <c r="C282" s="1217"/>
      <c r="D282" s="1217"/>
      <c r="E282" s="1219"/>
      <c r="F282" s="1219"/>
      <c r="G282" s="894"/>
      <c r="H282" s="234"/>
      <c r="I282" s="234"/>
      <c r="J282" s="894"/>
      <c r="K282" s="895"/>
      <c r="L282" s="896"/>
      <c r="M282" s="234"/>
      <c r="N282" s="894"/>
      <c r="O282" s="234"/>
    </row>
    <row r="283" spans="1:254" ht="12.75" customHeight="1">
      <c r="A283" s="283" t="s">
        <v>2331</v>
      </c>
      <c r="B283" s="1216" t="s">
        <v>2332</v>
      </c>
      <c r="C283" s="1217"/>
      <c r="D283" s="1217"/>
      <c r="E283" s="1219"/>
      <c r="F283" s="1219"/>
      <c r="G283" s="894"/>
      <c r="H283" s="234"/>
      <c r="I283" s="234"/>
      <c r="J283" s="894"/>
      <c r="K283" s="895"/>
      <c r="L283" s="896"/>
      <c r="M283" s="234"/>
      <c r="N283" s="894"/>
      <c r="O283" s="234"/>
    </row>
    <row r="284" spans="1:254" ht="12.75" customHeight="1">
      <c r="A284" s="283" t="s">
        <v>2333</v>
      </c>
      <c r="B284" s="1216" t="s">
        <v>2334</v>
      </c>
      <c r="C284" s="1217"/>
      <c r="D284" s="1217"/>
      <c r="E284" s="1219"/>
      <c r="F284" s="1219"/>
      <c r="G284" s="894"/>
      <c r="H284" s="234"/>
      <c r="I284" s="234"/>
      <c r="J284" s="894"/>
      <c r="K284" s="895"/>
      <c r="L284" s="896"/>
      <c r="M284" s="234"/>
      <c r="N284" s="894"/>
      <c r="O284" s="234"/>
    </row>
    <row r="285" spans="1:254" ht="12.75" customHeight="1">
      <c r="A285" s="283" t="s">
        <v>2335</v>
      </c>
      <c r="B285" s="1216" t="s">
        <v>2336</v>
      </c>
      <c r="C285" s="1217"/>
      <c r="D285" s="1217"/>
      <c r="E285" s="1219"/>
      <c r="F285" s="1219"/>
      <c r="G285" s="894"/>
      <c r="H285" s="234"/>
      <c r="I285" s="234"/>
      <c r="J285" s="894"/>
      <c r="K285" s="895"/>
      <c r="L285" s="896"/>
      <c r="M285" s="234"/>
      <c r="N285" s="894"/>
      <c r="O285" s="234"/>
    </row>
    <row r="286" spans="1:254" ht="12.75" customHeight="1">
      <c r="A286" s="283" t="s">
        <v>2337</v>
      </c>
      <c r="B286" s="1216" t="s">
        <v>2338</v>
      </c>
      <c r="C286" s="1217"/>
      <c r="D286" s="1217"/>
      <c r="E286" s="1218"/>
      <c r="F286" s="1218"/>
      <c r="G286" s="894"/>
      <c r="H286" s="234"/>
      <c r="I286" s="234"/>
      <c r="J286" s="894"/>
      <c r="K286" s="895"/>
      <c r="L286" s="896"/>
      <c r="M286" s="234"/>
      <c r="N286" s="894"/>
      <c r="O286" s="234"/>
    </row>
    <row r="287" spans="1:254" ht="12.75" customHeight="1">
      <c r="A287" s="283"/>
      <c r="B287" s="1218"/>
      <c r="C287" s="1218"/>
      <c r="D287" s="1218"/>
      <c r="E287" s="1218"/>
      <c r="F287" s="1218"/>
      <c r="G287" s="894"/>
      <c r="H287" s="234"/>
      <c r="I287" s="234"/>
      <c r="J287" s="894"/>
      <c r="K287" s="895"/>
      <c r="L287" s="896"/>
      <c r="M287" s="234"/>
      <c r="N287" s="894"/>
      <c r="O287" s="234"/>
    </row>
    <row r="288" spans="1:254" ht="12.75" customHeight="1">
      <c r="A288" s="283"/>
      <c r="B288" s="1216" t="s">
        <v>2339</v>
      </c>
      <c r="C288" s="1217"/>
      <c r="D288" s="530">
        <v>6.6600000000000006E-2</v>
      </c>
      <c r="E288" s="808" t="s">
        <v>2340</v>
      </c>
      <c r="F288" s="240" t="s">
        <v>2341</v>
      </c>
      <c r="G288" s="914"/>
      <c r="H288" s="234"/>
      <c r="I288" s="234"/>
      <c r="J288" s="894"/>
      <c r="K288" s="895"/>
      <c r="L288" s="896"/>
      <c r="M288" s="234"/>
      <c r="N288" s="894"/>
      <c r="O288" s="234"/>
    </row>
    <row r="289" spans="1:15" ht="26.25" customHeight="1">
      <c r="A289" s="283" t="s">
        <v>2342</v>
      </c>
      <c r="B289" s="1216" t="s">
        <v>2343</v>
      </c>
      <c r="C289" s="1217"/>
      <c r="D289" s="1217"/>
      <c r="E289" s="1219"/>
      <c r="F289" s="1219"/>
      <c r="G289" s="894"/>
      <c r="H289" s="234"/>
      <c r="I289" s="234"/>
      <c r="J289" s="894"/>
      <c r="K289" s="895"/>
      <c r="L289" s="896"/>
      <c r="M289" s="234"/>
      <c r="N289" s="894"/>
      <c r="O289" s="234"/>
    </row>
    <row r="290" spans="1:15" ht="27.75" customHeight="1">
      <c r="A290" s="283" t="s">
        <v>2344</v>
      </c>
      <c r="B290" s="1216" t="s">
        <v>2345</v>
      </c>
      <c r="C290" s="1217"/>
      <c r="D290" s="1217"/>
      <c r="E290" s="1219"/>
      <c r="F290" s="1219"/>
      <c r="G290" s="894"/>
      <c r="H290" s="234"/>
      <c r="I290" s="234"/>
      <c r="J290" s="894"/>
      <c r="K290" s="895"/>
      <c r="L290" s="896"/>
      <c r="M290" s="234"/>
      <c r="N290" s="894"/>
      <c r="O290" s="234"/>
    </row>
    <row r="291" spans="1:15" ht="25.5" customHeight="1">
      <c r="A291" s="283" t="s">
        <v>2346</v>
      </c>
      <c r="B291" s="1216" t="s">
        <v>2347</v>
      </c>
      <c r="C291" s="1217"/>
      <c r="D291" s="1217"/>
      <c r="E291" s="1219"/>
      <c r="F291" s="1219"/>
      <c r="G291" s="894"/>
      <c r="H291" s="234"/>
      <c r="I291" s="234"/>
      <c r="J291" s="894"/>
      <c r="K291" s="895"/>
      <c r="L291" s="896"/>
      <c r="M291" s="234"/>
      <c r="N291" s="894"/>
      <c r="O291" s="234"/>
    </row>
    <row r="292" spans="1:15" ht="40.5" customHeight="1">
      <c r="A292" s="283" t="s">
        <v>2348</v>
      </c>
      <c r="B292" s="1216" t="s">
        <v>2349</v>
      </c>
      <c r="C292" s="1217"/>
      <c r="D292" s="1217"/>
      <c r="E292" s="1219"/>
      <c r="F292" s="1219"/>
      <c r="G292" s="895"/>
      <c r="H292" s="234"/>
      <c r="I292" s="234"/>
      <c r="J292" s="894"/>
      <c r="K292" s="895"/>
      <c r="L292" s="896"/>
      <c r="M292" s="234"/>
      <c r="N292" s="894"/>
      <c r="O292" s="234"/>
    </row>
    <row r="293" spans="1:15" ht="38.25" customHeight="1">
      <c r="A293" s="283" t="s">
        <v>2350</v>
      </c>
      <c r="B293" s="1216" t="s">
        <v>2351</v>
      </c>
      <c r="C293" s="1217"/>
      <c r="D293" s="1217"/>
      <c r="E293" s="1218"/>
      <c r="F293" s="1218"/>
      <c r="G293" s="1218"/>
      <c r="H293" s="234"/>
      <c r="I293" s="234"/>
      <c r="J293" s="894"/>
      <c r="K293" s="895"/>
      <c r="L293" s="896"/>
      <c r="M293" s="234"/>
      <c r="N293" s="894"/>
      <c r="O293" s="234"/>
    </row>
    <row r="294" spans="1:15" ht="12.75" customHeight="1">
      <c r="A294" s="283"/>
      <c r="B294" s="1216" t="s">
        <v>2339</v>
      </c>
      <c r="C294" s="1217"/>
      <c r="D294" s="530">
        <v>6.6600000000000006E-2</v>
      </c>
      <c r="E294" s="808" t="s">
        <v>2340</v>
      </c>
      <c r="F294" s="240" t="s">
        <v>2341</v>
      </c>
      <c r="G294" s="914"/>
      <c r="H294" s="234"/>
      <c r="I294" s="234"/>
      <c r="J294" s="894"/>
      <c r="K294" s="895"/>
      <c r="L294" s="896"/>
      <c r="M294" s="234"/>
      <c r="N294" s="894"/>
      <c r="O294" s="234"/>
    </row>
    <row r="295" spans="1:15" ht="12.75" customHeight="1">
      <c r="A295" s="283" t="s">
        <v>2352</v>
      </c>
      <c r="B295" s="1216" t="s">
        <v>2353</v>
      </c>
      <c r="C295" s="1217"/>
      <c r="D295" s="1217"/>
      <c r="E295" s="1218"/>
      <c r="F295" s="1218"/>
      <c r="G295" s="1218"/>
      <c r="H295" s="1218"/>
      <c r="I295" s="234"/>
      <c r="J295" s="894"/>
      <c r="K295" s="895"/>
      <c r="L295" s="896"/>
      <c r="M295" s="234"/>
      <c r="N295" s="894"/>
      <c r="O295" s="234"/>
    </row>
    <row r="296" spans="1:15" ht="12.75" customHeight="1">
      <c r="A296" s="283" t="s">
        <v>2354</v>
      </c>
      <c r="B296" s="1216" t="s">
        <v>2355</v>
      </c>
      <c r="C296" s="1217"/>
      <c r="D296" s="1217"/>
      <c r="E296" s="1218"/>
      <c r="F296" s="1218"/>
      <c r="G296" s="1218"/>
      <c r="H296" s="234"/>
      <c r="I296" s="234"/>
      <c r="J296" s="894"/>
      <c r="K296" s="895"/>
      <c r="L296" s="896"/>
      <c r="M296" s="234"/>
      <c r="N296" s="894"/>
      <c r="O296" s="234"/>
    </row>
    <row r="297" spans="1:15" ht="27" customHeight="1">
      <c r="A297" s="283" t="s">
        <v>2356</v>
      </c>
      <c r="B297" s="1216" t="s">
        <v>2357</v>
      </c>
      <c r="C297" s="1217"/>
      <c r="D297" s="1217"/>
      <c r="E297" s="1219"/>
      <c r="F297" s="1219"/>
      <c r="G297" s="895"/>
      <c r="H297" s="234"/>
      <c r="I297" s="234"/>
      <c r="J297" s="894"/>
      <c r="K297" s="895"/>
      <c r="L297" s="896"/>
      <c r="M297" s="234"/>
      <c r="N297" s="894"/>
      <c r="O297" s="234"/>
    </row>
    <row r="298" spans="1:15">
      <c r="A298" s="283" t="s">
        <v>2358</v>
      </c>
      <c r="B298" s="233" t="s">
        <v>2359</v>
      </c>
      <c r="C298" s="233"/>
      <c r="D298" s="233"/>
      <c r="E298" s="233"/>
      <c r="F298" s="233"/>
      <c r="G298" s="895"/>
      <c r="H298" s="234"/>
      <c r="I298" s="234"/>
      <c r="J298" s="894"/>
      <c r="K298" s="895"/>
      <c r="L298" s="896"/>
      <c r="M298" s="234"/>
      <c r="N298" s="894"/>
      <c r="O298" s="234"/>
    </row>
    <row r="299" spans="1:15">
      <c r="A299" s="283" t="s">
        <v>2360</v>
      </c>
      <c r="B299" s="233" t="s">
        <v>2361</v>
      </c>
      <c r="C299" s="233"/>
      <c r="D299" s="233"/>
      <c r="E299" s="895"/>
      <c r="F299" s="895"/>
      <c r="G299" s="895"/>
      <c r="H299" s="234"/>
      <c r="I299" s="234"/>
      <c r="J299" s="894"/>
      <c r="K299" s="895"/>
      <c r="L299" s="896"/>
      <c r="M299" s="234"/>
      <c r="N299" s="894"/>
      <c r="O299" s="234"/>
    </row>
    <row r="300" spans="1:15">
      <c r="A300" s="233"/>
      <c r="B300" s="233" t="s">
        <v>2362</v>
      </c>
      <c r="C300" s="233"/>
      <c r="D300" s="233"/>
      <c r="E300" s="895"/>
      <c r="F300" s="895"/>
      <c r="G300" s="895"/>
      <c r="H300" s="234"/>
      <c r="I300" s="234"/>
      <c r="J300" s="894"/>
      <c r="K300" s="895"/>
      <c r="L300" s="896"/>
      <c r="M300" s="234"/>
      <c r="N300" s="894"/>
      <c r="O300" s="234"/>
    </row>
    <row r="301" spans="1:15">
      <c r="A301" s="233"/>
      <c r="B301" s="233" t="s">
        <v>2363</v>
      </c>
      <c r="C301" s="233"/>
      <c r="D301" s="233"/>
      <c r="E301" s="895"/>
      <c r="F301" s="895"/>
      <c r="G301" s="895"/>
      <c r="H301" s="234"/>
      <c r="I301" s="234"/>
      <c r="J301" s="894"/>
      <c r="K301" s="895"/>
      <c r="L301" s="896"/>
      <c r="M301" s="234"/>
      <c r="N301" s="894"/>
      <c r="O301" s="234"/>
    </row>
    <row r="302" spans="1:15">
      <c r="A302" s="233"/>
      <c r="B302" s="233" t="s">
        <v>2364</v>
      </c>
      <c r="C302" s="233"/>
      <c r="D302" s="233"/>
      <c r="E302" s="895"/>
      <c r="F302" s="895"/>
      <c r="G302" s="895"/>
      <c r="H302" s="234"/>
      <c r="I302" s="234"/>
      <c r="J302" s="894"/>
      <c r="K302" s="895"/>
      <c r="L302" s="896"/>
      <c r="M302" s="234"/>
      <c r="N302" s="894"/>
      <c r="O302" s="234"/>
    </row>
    <row r="303" spans="1:15">
      <c r="A303" s="283" t="s">
        <v>2365</v>
      </c>
      <c r="B303" s="233" t="s">
        <v>2366</v>
      </c>
      <c r="C303" s="233"/>
      <c r="D303" s="233"/>
      <c r="E303" s="894"/>
      <c r="F303" s="821"/>
      <c r="G303" s="843"/>
      <c r="H303" s="844"/>
      <c r="I303" s="844"/>
      <c r="J303" s="894"/>
      <c r="K303" s="895"/>
      <c r="L303" s="896"/>
      <c r="M303" s="234"/>
      <c r="N303" s="894"/>
      <c r="O303" s="234"/>
    </row>
    <row r="304" spans="1:15">
      <c r="A304" s="233"/>
      <c r="B304" s="233" t="s">
        <v>2367</v>
      </c>
      <c r="C304" s="233"/>
      <c r="D304" s="233"/>
      <c r="E304" s="894"/>
      <c r="F304" s="894"/>
      <c r="G304" s="894"/>
      <c r="H304" s="234"/>
      <c r="I304" s="234"/>
      <c r="J304" s="894"/>
      <c r="K304" s="895"/>
      <c r="L304" s="896"/>
      <c r="M304" s="234"/>
      <c r="N304" s="894"/>
      <c r="O304" s="234"/>
    </row>
    <row r="305" spans="1:15">
      <c r="A305" s="233"/>
      <c r="B305" s="842"/>
      <c r="C305" s="233"/>
      <c r="D305" s="233"/>
      <c r="E305" s="821"/>
      <c r="F305" s="894"/>
      <c r="G305" s="894"/>
      <c r="H305" s="234"/>
      <c r="I305" s="234"/>
      <c r="J305" s="894"/>
      <c r="K305" s="895"/>
      <c r="L305" s="896"/>
      <c r="M305" s="234"/>
      <c r="N305" s="894"/>
      <c r="O305" s="234"/>
    </row>
  </sheetData>
  <autoFilter ref="A1:O302" xr:uid="{00000000-0009-0000-0000-00001A000000}"/>
  <mergeCells count="51">
    <mergeCell ref="B297:F297"/>
    <mergeCell ref="B290:F290"/>
    <mergeCell ref="B281:F281"/>
    <mergeCell ref="B282:F282"/>
    <mergeCell ref="B283:F283"/>
    <mergeCell ref="B285:F285"/>
    <mergeCell ref="B284:F284"/>
    <mergeCell ref="B289:F289"/>
    <mergeCell ref="B295:H295"/>
    <mergeCell ref="B296:G296"/>
    <mergeCell ref="B291:F291"/>
    <mergeCell ref="B294:C294"/>
    <mergeCell ref="B293:G293"/>
    <mergeCell ref="J2:M2"/>
    <mergeCell ref="G2:I2"/>
    <mergeCell ref="B238:D238"/>
    <mergeCell ref="B194:D194"/>
    <mergeCell ref="B90:D90"/>
    <mergeCell ref="B53:D53"/>
    <mergeCell ref="B45:D45"/>
    <mergeCell ref="B237:D237"/>
    <mergeCell ref="B204:D204"/>
    <mergeCell ref="B8:D8"/>
    <mergeCell ref="B9:D9"/>
    <mergeCell ref="B52:D52"/>
    <mergeCell ref="B44:D44"/>
    <mergeCell ref="B89:D89"/>
    <mergeCell ref="B164:D164"/>
    <mergeCell ref="B163:D163"/>
    <mergeCell ref="B249:D249"/>
    <mergeCell ref="B243:C243"/>
    <mergeCell ref="B256:D256"/>
    <mergeCell ref="B257:D257"/>
    <mergeCell ref="B253:C253"/>
    <mergeCell ref="B245:C245"/>
    <mergeCell ref="B199:D199"/>
    <mergeCell ref="B193:D193"/>
    <mergeCell ref="B288:C288"/>
    <mergeCell ref="B286:F287"/>
    <mergeCell ref="B292:F292"/>
    <mergeCell ref="B254:C254"/>
    <mergeCell ref="B255:D255"/>
    <mergeCell ref="B200:D200"/>
    <mergeCell ref="B236:D236"/>
    <mergeCell ref="B205:D205"/>
    <mergeCell ref="B280:D280"/>
    <mergeCell ref="B241:C241"/>
    <mergeCell ref="B242:C242"/>
    <mergeCell ref="B244:C244"/>
    <mergeCell ref="B248:D248"/>
    <mergeCell ref="B250:D250"/>
  </mergeCells>
  <conditionalFormatting sqref="A284:A290">
    <cfRule type="cellIs" dxfId="15" priority="24" stopIfTrue="1" operator="between">
      <formula>4990000</formula>
      <formula>4999999</formula>
    </cfRule>
  </conditionalFormatting>
  <conditionalFormatting sqref="A292:A299">
    <cfRule type="cellIs" dxfId="14" priority="21" stopIfTrue="1" operator="between">
      <formula>4990000</formula>
      <formula>4999999</formula>
    </cfRule>
  </conditionalFormatting>
  <conditionalFormatting sqref="A303">
    <cfRule type="cellIs" dxfId="13" priority="8" stopIfTrue="1" operator="between">
      <formula>4990000</formula>
      <formula>4999999</formula>
    </cfRule>
  </conditionalFormatting>
  <conditionalFormatting sqref="C2:C3 C6:C7 C46:C51 D95 C195:C198 C201:C203 C205:C207 C299:C302">
    <cfRule type="cellIs" dxfId="12" priority="26" stopIfTrue="1" operator="between">
      <formula>4990000</formula>
      <formula>4999999</formula>
    </cfRule>
  </conditionalFormatting>
  <conditionalFormatting sqref="C10">
    <cfRule type="cellIs" dxfId="11" priority="15" stopIfTrue="1" operator="between">
      <formula>4990000</formula>
      <formula>4999999</formula>
    </cfRule>
  </conditionalFormatting>
  <conditionalFormatting sqref="C39:C43">
    <cfRule type="cellIs" dxfId="10" priority="4" stopIfTrue="1" operator="between">
      <formula>4990000</formula>
      <formula>4999999</formula>
    </cfRule>
  </conditionalFormatting>
  <conditionalFormatting sqref="C54">
    <cfRule type="cellIs" dxfId="9" priority="20" stopIfTrue="1" operator="between">
      <formula>4990000</formula>
      <formula>4999999</formula>
    </cfRule>
  </conditionalFormatting>
  <conditionalFormatting sqref="C87:C88">
    <cfRule type="cellIs" dxfId="8" priority="12" stopIfTrue="1" operator="between">
      <formula>4990000</formula>
      <formula>4999999</formula>
    </cfRule>
  </conditionalFormatting>
  <conditionalFormatting sqref="C91">
    <cfRule type="cellIs" dxfId="7" priority="19" stopIfTrue="1" operator="between">
      <formula>4990000</formula>
      <formula>4999999</formula>
    </cfRule>
  </conditionalFormatting>
  <conditionalFormatting sqref="C160:C162">
    <cfRule type="cellIs" dxfId="6" priority="3" stopIfTrue="1" operator="between">
      <formula>4990000</formula>
      <formula>4999999</formula>
    </cfRule>
  </conditionalFormatting>
  <conditionalFormatting sqref="C165">
    <cfRule type="cellIs" dxfId="5" priority="17" stopIfTrue="1" operator="between">
      <formula>4990000</formula>
      <formula>4999999</formula>
    </cfRule>
  </conditionalFormatting>
  <conditionalFormatting sqref="C190:C192">
    <cfRule type="cellIs" dxfId="4" priority="1" stopIfTrue="1" operator="between">
      <formula>4990000</formula>
      <formula>4999999</formula>
    </cfRule>
  </conditionalFormatting>
  <conditionalFormatting sqref="C258">
    <cfRule type="cellIs" dxfId="3" priority="6" stopIfTrue="1" operator="between">
      <formula>4990000</formula>
      <formula>4999999</formula>
    </cfRule>
  </conditionalFormatting>
  <conditionalFormatting sqref="C260:C279">
    <cfRule type="cellIs" dxfId="2" priority="22" stopIfTrue="1" operator="between">
      <formula>4990000</formula>
      <formula>4999999</formula>
    </cfRule>
  </conditionalFormatting>
  <conditionalFormatting sqref="C305:C65608">
    <cfRule type="cellIs" dxfId="1" priority="9" stopIfTrue="1" operator="between">
      <formula>4990000</formula>
      <formula>4999999</formula>
    </cfRule>
  </conditionalFormatting>
  <conditionalFormatting sqref="K275:K276 Q275:Q276 Y275:Y276 AG275:AG276 AO275:AO276 AW275:AW276 BE275:BE276 BM275:BM276 BU275:BU276 CC275:CC276 CK275:CK276 CS275:CS276 DA275:DA276 DI275:DI276 DQ275:DQ276 DY275:DY276 EG275:EG276 EO275:EO276 EW275:EW276 FE275:FE276 FM275:FM276 FU275:FU276 GC275:GC276 GK275:GK276 GS275:GS276 HA275:HA276 HI275:HI276 HQ275:HQ276 HY275:HY276 IG275:IG276 IO275:IO276">
    <cfRule type="cellIs" dxfId="0" priority="23" stopIfTrue="1" operator="between">
      <formula>4990000</formula>
      <formula>4999999</formula>
    </cfRule>
  </conditionalFormatting>
  <pageMargins left="0.7" right="0.7" top="0.75" bottom="0.75" header="0.3" footer="0.3"/>
  <pageSetup scale="40" fitToHeight="0" orientation="landscape" cellComments="asDisplayed" r:id="rId1"/>
  <headerFooter>
    <oddHeader xml:space="preserve">&amp;CSchedule 21
Revenue Credits
</oddHeader>
    <oddFooter>&amp;R&amp;A</oddFooter>
  </headerFooter>
  <rowBreaks count="3" manualBreakCount="3">
    <brk id="90" max="14" man="1"/>
    <brk id="164" max="14" man="1"/>
    <brk id="238" max="14" man="1"/>
  </rowBreaks>
  <ignoredErrors>
    <ignoredError sqref="G145"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51"/>
  <sheetViews>
    <sheetView topLeftCell="B1" zoomScaleNormal="100" workbookViewId="0">
      <selection activeCell="L41" sqref="L41"/>
    </sheetView>
  </sheetViews>
  <sheetFormatPr defaultColWidth="9.453125" defaultRowHeight="12.5"/>
  <cols>
    <col min="1" max="1" width="4.54296875" style="234" customWidth="1"/>
    <col min="2" max="2" width="14" style="233" customWidth="1"/>
    <col min="3" max="3" width="26.54296875" style="233" customWidth="1"/>
    <col min="4" max="4" width="28.54296875" style="233" customWidth="1"/>
    <col min="5" max="5" width="16.453125" style="233" bestFit="1" customWidth="1"/>
    <col min="6" max="6" width="20.54296875" style="597" customWidth="1"/>
    <col min="7" max="7" width="9.54296875" style="233" customWidth="1"/>
    <col min="8" max="16384" width="9.453125" style="233"/>
  </cols>
  <sheetData>
    <row r="1" spans="1:8" ht="13">
      <c r="A1" s="47" t="s">
        <v>2368</v>
      </c>
      <c r="C1" s="47"/>
      <c r="D1" s="47"/>
      <c r="E1" s="47"/>
    </row>
    <row r="2" spans="1:8" ht="13">
      <c r="A2" s="47"/>
      <c r="C2" s="39" t="s">
        <v>200</v>
      </c>
      <c r="D2" s="240" t="s">
        <v>2369</v>
      </c>
      <c r="E2" s="113" t="s">
        <v>657</v>
      </c>
      <c r="F2" s="810"/>
    </row>
    <row r="3" spans="1:8" ht="13">
      <c r="B3" s="47" t="s">
        <v>2370</v>
      </c>
      <c r="C3" s="47"/>
      <c r="D3" s="662"/>
      <c r="E3" s="47"/>
    </row>
    <row r="4" spans="1:8" ht="13">
      <c r="A4" s="30" t="s">
        <v>284</v>
      </c>
      <c r="C4" s="666"/>
      <c r="D4" s="662"/>
      <c r="E4" s="3" t="s">
        <v>864</v>
      </c>
      <c r="F4" s="605" t="s">
        <v>103</v>
      </c>
    </row>
    <row r="5" spans="1:8" ht="13">
      <c r="A5" s="115">
        <v>1</v>
      </c>
      <c r="B5" s="276" t="s">
        <v>2371</v>
      </c>
      <c r="C5" s="276"/>
      <c r="E5" s="396"/>
      <c r="F5" s="553" t="s">
        <v>592</v>
      </c>
    </row>
    <row r="6" spans="1:8" ht="13">
      <c r="A6" s="115">
        <v>2</v>
      </c>
      <c r="B6" s="233" t="s">
        <v>2372</v>
      </c>
      <c r="E6" s="36">
        <f>E7-E5</f>
        <v>0</v>
      </c>
      <c r="F6" s="553" t="s">
        <v>2373</v>
      </c>
      <c r="H6" s="553"/>
    </row>
    <row r="7" spans="1:8" ht="13">
      <c r="A7" s="115">
        <v>3</v>
      </c>
      <c r="B7" s="233" t="s">
        <v>2374</v>
      </c>
      <c r="C7" s="276"/>
      <c r="D7" s="276"/>
      <c r="E7" s="263"/>
      <c r="F7" s="232" t="s">
        <v>2375</v>
      </c>
      <c r="H7" s="553"/>
    </row>
    <row r="8" spans="1:8" ht="14">
      <c r="A8" s="606"/>
      <c r="B8" s="598"/>
      <c r="C8" s="599"/>
      <c r="D8" s="599"/>
      <c r="E8" s="596"/>
      <c r="F8" s="600"/>
      <c r="G8" s="601"/>
    </row>
    <row r="9" spans="1:8" ht="14">
      <c r="A9" s="606"/>
      <c r="B9" s="47" t="s">
        <v>2376</v>
      </c>
      <c r="C9" s="599"/>
      <c r="D9" s="599"/>
      <c r="E9" s="596"/>
      <c r="F9" s="602"/>
      <c r="G9" s="601"/>
    </row>
    <row r="10" spans="1:8" ht="14">
      <c r="A10" s="2"/>
      <c r="B10" s="276"/>
      <c r="C10" s="276"/>
      <c r="D10" s="276"/>
      <c r="E10" s="261"/>
      <c r="F10" s="602"/>
      <c r="G10" s="601"/>
    </row>
    <row r="11" spans="1:8" ht="14">
      <c r="A11" s="2">
        <v>4</v>
      </c>
      <c r="B11" s="276" t="s">
        <v>2371</v>
      </c>
      <c r="C11" s="276"/>
      <c r="D11" s="276"/>
      <c r="E11" s="520"/>
      <c r="F11" s="553" t="s">
        <v>358</v>
      </c>
      <c r="G11" s="601"/>
    </row>
    <row r="12" spans="1:8" ht="14">
      <c r="A12" s="2">
        <v>5</v>
      </c>
      <c r="B12" s="276" t="s">
        <v>2372</v>
      </c>
      <c r="C12" s="276"/>
      <c r="D12" s="276"/>
      <c r="E12" s="36">
        <f>E13-E11</f>
        <v>0</v>
      </c>
      <c r="F12" s="553" t="s">
        <v>2377</v>
      </c>
      <c r="G12" s="601"/>
    </row>
    <row r="13" spans="1:8" ht="14">
      <c r="A13" s="2">
        <v>6</v>
      </c>
      <c r="B13" s="233" t="s">
        <v>2374</v>
      </c>
      <c r="C13" s="276"/>
      <c r="D13" s="276"/>
      <c r="E13" s="263"/>
      <c r="F13" s="232" t="s">
        <v>2378</v>
      </c>
      <c r="G13" s="601"/>
    </row>
    <row r="14" spans="1:8" ht="13">
      <c r="A14" s="115"/>
      <c r="B14" s="276"/>
      <c r="C14" s="276"/>
      <c r="D14" s="276"/>
      <c r="E14" s="261"/>
      <c r="F14" s="553"/>
    </row>
    <row r="15" spans="1:8" ht="13">
      <c r="A15" s="115">
        <v>7</v>
      </c>
      <c r="B15" s="276" t="s">
        <v>2379</v>
      </c>
      <c r="C15" s="276"/>
      <c r="D15" s="276"/>
      <c r="E15" s="261">
        <f>(E5+E11)/2</f>
        <v>0</v>
      </c>
      <c r="F15" s="232" t="str">
        <f>"(Line "&amp;A5&amp;" + Line "&amp;A11&amp;") / 2"</f>
        <v>(Line 1 + Line 4) / 2</v>
      </c>
      <c r="G15" s="361"/>
    </row>
    <row r="16" spans="1:8" ht="13">
      <c r="A16" s="115"/>
      <c r="D16" s="192"/>
      <c r="E16" s="261"/>
      <c r="F16" s="553"/>
    </row>
    <row r="17" spans="1:6" ht="13">
      <c r="A17" s="115">
        <v>8</v>
      </c>
      <c r="B17" s="233" t="s">
        <v>2380</v>
      </c>
      <c r="E17" s="1044"/>
      <c r="F17" s="553" t="s">
        <v>359</v>
      </c>
    </row>
    <row r="18" spans="1:6" ht="13">
      <c r="A18" s="115">
        <v>9</v>
      </c>
      <c r="B18" s="233" t="s">
        <v>2381</v>
      </c>
      <c r="E18" s="36">
        <f>E19-E17</f>
        <v>0</v>
      </c>
      <c r="F18" s="553" t="s">
        <v>2382</v>
      </c>
    </row>
    <row r="19" spans="1:6" ht="13">
      <c r="A19" s="115">
        <v>10</v>
      </c>
      <c r="B19" s="233" t="s">
        <v>2383</v>
      </c>
      <c r="E19" s="263"/>
      <c r="F19" s="232" t="s">
        <v>2384</v>
      </c>
    </row>
    <row r="22" spans="1:6" ht="13">
      <c r="A22" s="30" t="s">
        <v>233</v>
      </c>
    </row>
    <row r="23" spans="1:6">
      <c r="A23" s="234">
        <v>1</v>
      </c>
      <c r="B23" s="233" t="s">
        <v>2385</v>
      </c>
    </row>
    <row r="24" spans="1:6">
      <c r="A24" s="234">
        <v>2</v>
      </c>
      <c r="B24" s="233" t="s">
        <v>2386</v>
      </c>
    </row>
    <row r="25" spans="1:6">
      <c r="A25" s="234">
        <v>3</v>
      </c>
      <c r="B25" s="233" t="s">
        <v>2387</v>
      </c>
    </row>
    <row r="26" spans="1:6">
      <c r="A26" s="234">
        <v>4</v>
      </c>
      <c r="B26" s="233" t="s">
        <v>2388</v>
      </c>
      <c r="E26" s="603"/>
    </row>
    <row r="27" spans="1:6">
      <c r="B27" s="233" t="s">
        <v>2389</v>
      </c>
      <c r="E27" s="603"/>
    </row>
    <row r="28" spans="1:6">
      <c r="E28" s="603"/>
    </row>
    <row r="29" spans="1:6">
      <c r="A29" s="233"/>
      <c r="E29" s="603"/>
    </row>
    <row r="30" spans="1:6">
      <c r="A30" s="233"/>
      <c r="E30" s="603"/>
    </row>
    <row r="31" spans="1:6">
      <c r="A31" s="233"/>
      <c r="E31" s="603"/>
    </row>
    <row r="32" spans="1:6">
      <c r="A32" s="233"/>
      <c r="E32" s="603"/>
    </row>
    <row r="36" spans="1:5">
      <c r="A36" s="233"/>
      <c r="C36" s="604"/>
      <c r="D36" s="604"/>
      <c r="E36" s="604"/>
    </row>
    <row r="37" spans="1:5">
      <c r="A37" s="233"/>
      <c r="C37" s="604"/>
      <c r="D37" s="604"/>
      <c r="E37" s="604"/>
    </row>
    <row r="38" spans="1:5">
      <c r="A38" s="233"/>
      <c r="C38" s="604"/>
      <c r="D38" s="604"/>
      <c r="E38" s="604"/>
    </row>
    <row r="39" spans="1:5">
      <c r="A39" s="233"/>
      <c r="C39" s="604"/>
      <c r="D39" s="604"/>
      <c r="E39" s="604"/>
    </row>
    <row r="40" spans="1:5">
      <c r="A40" s="233"/>
      <c r="C40" s="604"/>
      <c r="D40" s="604"/>
      <c r="E40" s="604"/>
    </row>
    <row r="41" spans="1:5">
      <c r="A41" s="233"/>
      <c r="C41" s="604"/>
      <c r="D41" s="604"/>
      <c r="E41" s="604"/>
    </row>
    <row r="42" spans="1:5">
      <c r="A42" s="233"/>
      <c r="C42" s="604"/>
      <c r="D42" s="604"/>
      <c r="E42" s="604"/>
    </row>
    <row r="43" spans="1:5">
      <c r="A43" s="233"/>
      <c r="C43" s="604"/>
      <c r="D43" s="604"/>
      <c r="E43" s="604"/>
    </row>
    <row r="44" spans="1:5">
      <c r="A44" s="233"/>
      <c r="C44" s="604"/>
      <c r="D44" s="604"/>
      <c r="E44" s="604"/>
    </row>
    <row r="45" spans="1:5">
      <c r="A45" s="233"/>
      <c r="C45" s="604"/>
      <c r="D45" s="604"/>
      <c r="E45" s="604"/>
    </row>
    <row r="46" spans="1:5">
      <c r="A46" s="233"/>
      <c r="C46" s="604"/>
      <c r="D46" s="604"/>
      <c r="E46" s="604"/>
    </row>
    <row r="47" spans="1:5">
      <c r="A47" s="233"/>
      <c r="C47" s="604"/>
      <c r="D47" s="604"/>
      <c r="E47" s="604"/>
    </row>
    <row r="48" spans="1:5">
      <c r="A48" s="233"/>
      <c r="C48" s="604"/>
      <c r="D48" s="604"/>
      <c r="E48" s="604"/>
    </row>
    <row r="51" spans="1:5">
      <c r="A51" s="233"/>
      <c r="E51" s="604"/>
    </row>
  </sheetData>
  <pageMargins left="0.7" right="0.7" top="0.75" bottom="0.75" header="0.3" footer="0.3"/>
  <pageSetup scale="75" orientation="portrait" cellComments="asDisplayed" r:id="rId1"/>
  <headerFooter>
    <oddHeader xml:space="preserve">&amp;CSchedule 22
Network Upgrade Credits and Interest Expense
</oddHeader>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9"/>
  <sheetViews>
    <sheetView zoomScaleNormal="100" workbookViewId="0">
      <selection activeCell="L41" sqref="L41"/>
    </sheetView>
  </sheetViews>
  <sheetFormatPr defaultRowHeight="12.5"/>
  <cols>
    <col min="1" max="1" width="4.54296875" customWidth="1"/>
    <col min="2" max="2" width="30.54296875" customWidth="1"/>
    <col min="3" max="5" width="15.54296875" customWidth="1"/>
    <col min="6" max="6" width="3.54296875" customWidth="1"/>
    <col min="7" max="8" width="10.54296875" customWidth="1"/>
  </cols>
  <sheetData>
    <row r="1" spans="1:7" ht="13">
      <c r="A1" s="288" t="s">
        <v>2390</v>
      </c>
      <c r="B1" s="289"/>
      <c r="C1" s="289"/>
      <c r="D1" s="289"/>
      <c r="E1" s="289"/>
      <c r="F1" s="289"/>
      <c r="G1" s="289"/>
    </row>
    <row r="3" spans="1:7" ht="13">
      <c r="A3" s="290" t="s">
        <v>284</v>
      </c>
      <c r="B3" s="289"/>
      <c r="C3" s="289"/>
      <c r="D3" s="289"/>
      <c r="E3" s="289"/>
      <c r="F3" s="289"/>
      <c r="G3" s="289"/>
    </row>
    <row r="4" spans="1:7" ht="13">
      <c r="A4" s="291">
        <v>1</v>
      </c>
      <c r="B4" s="289" t="s">
        <v>2391</v>
      </c>
      <c r="C4" s="289"/>
      <c r="D4" s="289"/>
      <c r="E4" s="289"/>
      <c r="F4" s="289"/>
      <c r="G4" s="289"/>
    </row>
    <row r="5" spans="1:7" ht="13">
      <c r="A5" s="291">
        <v>2</v>
      </c>
      <c r="B5" s="289" t="s">
        <v>2392</v>
      </c>
      <c r="C5" s="289"/>
      <c r="D5" s="289"/>
      <c r="E5" s="289"/>
      <c r="F5" s="289"/>
      <c r="G5" s="289"/>
    </row>
    <row r="6" spans="1:7" ht="13">
      <c r="A6" s="291">
        <v>3</v>
      </c>
      <c r="B6" s="289" t="s">
        <v>2393</v>
      </c>
      <c r="C6" s="289"/>
      <c r="D6" s="289"/>
      <c r="E6" s="289"/>
      <c r="F6" s="289"/>
      <c r="G6" s="289"/>
    </row>
    <row r="7" spans="1:7" ht="13">
      <c r="A7" s="291">
        <v>4</v>
      </c>
      <c r="B7" s="289"/>
      <c r="C7" s="289"/>
      <c r="D7" s="289"/>
      <c r="E7" s="289"/>
      <c r="F7" s="289"/>
      <c r="G7" s="289"/>
    </row>
    <row r="8" spans="1:7" ht="13">
      <c r="A8" s="291">
        <v>5</v>
      </c>
      <c r="B8" s="289" t="s">
        <v>2394</v>
      </c>
      <c r="C8" s="289"/>
      <c r="D8" s="289"/>
      <c r="E8" s="289"/>
      <c r="F8" s="289"/>
      <c r="G8" s="289"/>
    </row>
    <row r="9" spans="1:7" ht="13">
      <c r="A9" s="291">
        <v>6</v>
      </c>
      <c r="B9" s="289" t="s">
        <v>2395</v>
      </c>
      <c r="C9" s="289"/>
      <c r="D9" s="289"/>
      <c r="E9" s="289"/>
      <c r="F9" s="289"/>
      <c r="G9" s="289"/>
    </row>
    <row r="10" spans="1:7" ht="13">
      <c r="A10" s="291">
        <v>7</v>
      </c>
      <c r="B10" s="289"/>
      <c r="C10" s="289"/>
      <c r="D10" s="289"/>
      <c r="E10" s="289"/>
      <c r="F10" s="289"/>
      <c r="G10" s="289"/>
    </row>
    <row r="11" spans="1:7" ht="13">
      <c r="A11" s="291">
        <v>8</v>
      </c>
      <c r="B11" s="289" t="s">
        <v>2396</v>
      </c>
      <c r="C11" s="289"/>
      <c r="D11" s="289"/>
      <c r="E11" s="289"/>
      <c r="F11" s="289"/>
      <c r="G11" s="289"/>
    </row>
    <row r="12" spans="1:7" ht="13">
      <c r="A12" s="291">
        <v>9</v>
      </c>
      <c r="B12" s="289" t="s">
        <v>2397</v>
      </c>
      <c r="C12" s="289"/>
      <c r="D12" s="289"/>
      <c r="E12" s="289"/>
      <c r="F12" s="289"/>
      <c r="G12" s="289"/>
    </row>
    <row r="13" spans="1:7" ht="13">
      <c r="A13" s="291">
        <v>10</v>
      </c>
      <c r="B13" s="289" t="s">
        <v>2398</v>
      </c>
      <c r="C13" s="289"/>
      <c r="D13" s="289"/>
      <c r="E13" s="289"/>
      <c r="F13" s="289"/>
      <c r="G13" s="289"/>
    </row>
    <row r="14" spans="1:7" ht="13">
      <c r="A14" s="291">
        <v>11</v>
      </c>
      <c r="B14" s="289"/>
      <c r="C14" s="289"/>
      <c r="D14" s="289"/>
      <c r="E14" s="289"/>
      <c r="F14" s="289"/>
      <c r="G14" s="289"/>
    </row>
    <row r="15" spans="1:7" ht="13">
      <c r="A15" s="291">
        <v>12</v>
      </c>
      <c r="B15" s="289"/>
      <c r="C15" s="289"/>
      <c r="D15" s="289"/>
      <c r="E15" s="291" t="s">
        <v>933</v>
      </c>
      <c r="F15" s="289"/>
      <c r="G15" s="289"/>
    </row>
    <row r="16" spans="1:7" ht="13">
      <c r="A16" s="291">
        <v>13</v>
      </c>
      <c r="B16" s="289"/>
      <c r="C16" s="289"/>
      <c r="D16" s="289"/>
      <c r="E16" s="292" t="s">
        <v>81</v>
      </c>
      <c r="F16" s="289"/>
      <c r="G16" s="293" t="s">
        <v>2399</v>
      </c>
    </row>
    <row r="17" spans="1:8" ht="13">
      <c r="A17" s="291">
        <v>14</v>
      </c>
      <c r="B17" s="289" t="s">
        <v>2400</v>
      </c>
      <c r="C17" s="289"/>
      <c r="D17" s="289"/>
      <c r="E17" s="294">
        <f>D29</f>
        <v>0</v>
      </c>
      <c r="F17" s="289"/>
      <c r="G17" s="289" t="s">
        <v>2401</v>
      </c>
    </row>
    <row r="18" spans="1:8" ht="13">
      <c r="A18" s="291">
        <v>15</v>
      </c>
      <c r="B18" s="289" t="s">
        <v>2402</v>
      </c>
      <c r="C18" s="289"/>
      <c r="D18" s="289"/>
      <c r="E18" s="294">
        <f>(C29+D29)/2</f>
        <v>0</v>
      </c>
      <c r="F18" s="289"/>
      <c r="G18" s="289" t="s">
        <v>2403</v>
      </c>
    </row>
    <row r="19" spans="1:8" ht="13">
      <c r="A19" s="291">
        <v>16</v>
      </c>
      <c r="B19" s="289" t="s">
        <v>2404</v>
      </c>
      <c r="C19" s="289"/>
      <c r="D19" s="289"/>
      <c r="E19" s="294">
        <f>E29</f>
        <v>0</v>
      </c>
      <c r="F19" s="289"/>
      <c r="G19" s="289" t="s">
        <v>2405</v>
      </c>
    </row>
    <row r="20" spans="1:8" ht="13">
      <c r="A20" s="291"/>
      <c r="B20" s="289"/>
      <c r="C20" s="289"/>
      <c r="D20" s="289"/>
      <c r="E20" s="294"/>
      <c r="F20" s="289"/>
      <c r="G20" s="289"/>
    </row>
    <row r="21" spans="1:8" ht="13">
      <c r="A21" s="291"/>
      <c r="B21" s="289"/>
      <c r="C21" s="371" t="s">
        <v>347</v>
      </c>
      <c r="D21" s="371" t="s">
        <v>348</v>
      </c>
      <c r="E21" s="371" t="s">
        <v>349</v>
      </c>
      <c r="F21" s="289"/>
      <c r="G21" s="289"/>
    </row>
    <row r="22" spans="1:8" ht="13">
      <c r="A22" s="291"/>
      <c r="B22" s="289"/>
      <c r="C22" s="291" t="s">
        <v>933</v>
      </c>
      <c r="D22" s="291" t="s">
        <v>933</v>
      </c>
      <c r="E22" s="291" t="s">
        <v>933</v>
      </c>
      <c r="F22" s="289"/>
      <c r="G22" s="289"/>
    </row>
    <row r="23" spans="1:8" ht="14.5">
      <c r="A23" s="291"/>
      <c r="B23" s="291" t="s">
        <v>2406</v>
      </c>
      <c r="C23" s="291" t="s">
        <v>873</v>
      </c>
      <c r="D23" s="291" t="s">
        <v>1205</v>
      </c>
      <c r="E23" s="186" t="s">
        <v>2407</v>
      </c>
      <c r="F23" s="289"/>
      <c r="G23" s="288" t="s">
        <v>2408</v>
      </c>
      <c r="H23" s="233"/>
    </row>
    <row r="24" spans="1:8" ht="13">
      <c r="A24" s="291"/>
      <c r="B24" s="291" t="s">
        <v>2409</v>
      </c>
      <c r="C24" s="291" t="s">
        <v>2410</v>
      </c>
      <c r="D24" s="291" t="s">
        <v>2410</v>
      </c>
      <c r="E24" s="291" t="s">
        <v>2411</v>
      </c>
      <c r="F24" s="289"/>
      <c r="G24" s="288" t="s">
        <v>2412</v>
      </c>
      <c r="H24" s="233"/>
    </row>
    <row r="25" spans="1:8" ht="13">
      <c r="A25" s="291"/>
      <c r="B25" s="292" t="s">
        <v>2413</v>
      </c>
      <c r="C25" s="292" t="s">
        <v>2413</v>
      </c>
      <c r="D25" s="292" t="s">
        <v>2413</v>
      </c>
      <c r="E25" s="292" t="s">
        <v>2414</v>
      </c>
      <c r="F25" s="289"/>
      <c r="G25" s="290" t="s">
        <v>2415</v>
      </c>
      <c r="H25" s="233"/>
    </row>
    <row r="26" spans="1:8" ht="13">
      <c r="A26" s="291">
        <v>17</v>
      </c>
      <c r="B26" s="295"/>
      <c r="C26" s="296"/>
      <c r="D26" s="296"/>
      <c r="E26" s="296"/>
      <c r="F26" s="289"/>
      <c r="G26" s="295"/>
      <c r="H26" s="54"/>
    </row>
    <row r="27" spans="1:8" ht="13">
      <c r="A27" s="291">
        <v>18</v>
      </c>
      <c r="B27" s="295"/>
      <c r="C27" s="296"/>
      <c r="D27" s="296"/>
      <c r="E27" s="296"/>
      <c r="F27" s="289"/>
      <c r="G27" s="295"/>
      <c r="H27" s="54"/>
    </row>
    <row r="28" spans="1:8" ht="13">
      <c r="A28" s="291">
        <v>19</v>
      </c>
      <c r="B28" s="295"/>
      <c r="C28" s="297"/>
      <c r="D28" s="297"/>
      <c r="E28" s="297"/>
      <c r="F28" s="289"/>
      <c r="G28" s="295"/>
      <c r="H28" s="54"/>
    </row>
    <row r="29" spans="1:8" ht="13">
      <c r="A29" s="291">
        <v>20</v>
      </c>
      <c r="B29" s="289" t="s">
        <v>442</v>
      </c>
      <c r="C29" s="294">
        <f>SUM(C26:C28)</f>
        <v>0</v>
      </c>
      <c r="D29" s="294">
        <f>SUM(D26:D28)</f>
        <v>0</v>
      </c>
      <c r="E29" s="294">
        <f>SUM(E26:E28)</f>
        <v>0</v>
      </c>
      <c r="F29" s="289"/>
      <c r="G29" s="289" t="s">
        <v>2416</v>
      </c>
    </row>
    <row r="30" spans="1:8" ht="13">
      <c r="A30" s="291"/>
      <c r="B30" s="289"/>
      <c r="C30" s="289"/>
      <c r="D30" s="289"/>
      <c r="E30" s="289"/>
      <c r="F30" s="289"/>
      <c r="G30" s="289"/>
    </row>
    <row r="31" spans="1:8" ht="13">
      <c r="A31" s="291"/>
      <c r="B31" s="288" t="s">
        <v>444</v>
      </c>
      <c r="C31" s="289"/>
      <c r="D31" s="289"/>
      <c r="E31" s="289"/>
      <c r="F31" s="289"/>
      <c r="G31" s="289"/>
    </row>
    <row r="32" spans="1:8" ht="13">
      <c r="A32" s="291"/>
      <c r="B32" s="289" t="s">
        <v>2417</v>
      </c>
      <c r="C32" s="289"/>
      <c r="D32" s="289"/>
      <c r="E32" s="289"/>
      <c r="F32" s="289"/>
      <c r="G32" s="289"/>
    </row>
    <row r="33" spans="1:5" ht="13">
      <c r="A33" s="291"/>
      <c r="B33" s="289" t="s">
        <v>2418</v>
      </c>
    </row>
    <row r="34" spans="1:5" ht="13">
      <c r="A34" s="291"/>
      <c r="B34" s="501" t="s">
        <v>2419</v>
      </c>
    </row>
    <row r="35" spans="1:5" ht="13">
      <c r="A35" s="291"/>
      <c r="B35" s="501" t="s">
        <v>2420</v>
      </c>
      <c r="E35" s="233"/>
    </row>
    <row r="36" spans="1:5" ht="13">
      <c r="A36" s="291"/>
      <c r="B36" s="289" t="s">
        <v>2421</v>
      </c>
    </row>
    <row r="37" spans="1:5" ht="13">
      <c r="A37" s="291"/>
    </row>
    <row r="38" spans="1:5" ht="13">
      <c r="A38" s="291"/>
      <c r="B38" s="289"/>
    </row>
    <row r="39" spans="1:5" ht="13">
      <c r="A39" s="291"/>
      <c r="B39" s="289"/>
    </row>
  </sheetData>
  <pageMargins left="0.7" right="0.7" top="0.75" bottom="0.75" header="0.3" footer="0.3"/>
  <pageSetup orientation="landscape" cellComments="asDisplayed" r:id="rId1"/>
  <headerFooter>
    <oddHeader xml:space="preserve">&amp;CSchedule 23
Regulatory Assets and Liabilities
</oddHead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7"/>
  <sheetViews>
    <sheetView zoomScaleNormal="100" workbookViewId="0">
      <selection activeCell="L41" sqref="L41"/>
    </sheetView>
  </sheetViews>
  <sheetFormatPr defaultRowHeight="12.5"/>
  <cols>
    <col min="1" max="1" width="3.54296875" customWidth="1"/>
    <col min="2" max="2" width="45.54296875" customWidth="1"/>
    <col min="3" max="3" width="15.08984375" customWidth="1"/>
  </cols>
  <sheetData>
    <row r="1" spans="1:5" ht="13">
      <c r="A1" s="1" t="s">
        <v>78</v>
      </c>
    </row>
    <row r="3" spans="1:5">
      <c r="A3" s="233" t="s">
        <v>79</v>
      </c>
    </row>
    <row r="5" spans="1:5" ht="13">
      <c r="B5" s="3" t="s">
        <v>80</v>
      </c>
      <c r="C5" s="3" t="s">
        <v>81</v>
      </c>
    </row>
    <row r="6" spans="1:5">
      <c r="B6" t="s">
        <v>82</v>
      </c>
      <c r="C6" s="6" t="e">
        <f>'1-BaseTRR'!K144</f>
        <v>#DIV/0!</v>
      </c>
    </row>
    <row r="7" spans="1:5">
      <c r="B7" t="s">
        <v>83</v>
      </c>
      <c r="C7" s="6" t="e">
        <f>'1-BaseTRR'!K150</f>
        <v>#DIV/0!</v>
      </c>
    </row>
    <row r="8" spans="1:5" ht="13">
      <c r="B8" t="s">
        <v>84</v>
      </c>
      <c r="C8" s="235" t="e">
        <f>'1-BaseTRR'!K151</f>
        <v>#DIV/0!</v>
      </c>
      <c r="E8" s="1"/>
    </row>
    <row r="9" spans="1:5" ht="13">
      <c r="B9" s="233" t="s">
        <v>85</v>
      </c>
      <c r="C9" s="235">
        <f>'1-BaseTRR'!K152</f>
        <v>0</v>
      </c>
      <c r="E9" s="1"/>
    </row>
    <row r="10" spans="1:5" ht="13">
      <c r="B10" s="233" t="s">
        <v>86</v>
      </c>
      <c r="C10" s="53">
        <f>'1-BaseTRR'!K153</f>
        <v>0</v>
      </c>
      <c r="E10" s="1"/>
    </row>
    <row r="11" spans="1:5">
      <c r="B11" t="s">
        <v>87</v>
      </c>
      <c r="C11" s="6" t="e">
        <f>SUM(C6:C10)</f>
        <v>#DIV/0!</v>
      </c>
    </row>
    <row r="13" spans="1:5">
      <c r="A13" t="s">
        <v>88</v>
      </c>
    </row>
    <row r="15" spans="1:5">
      <c r="B15" t="s">
        <v>89</v>
      </c>
    </row>
    <row r="16" spans="1:5">
      <c r="B16" s="232" t="s">
        <v>90</v>
      </c>
    </row>
    <row r="17" spans="2:7">
      <c r="B17" s="12"/>
    </row>
    <row r="18" spans="2:7">
      <c r="B18" t="s">
        <v>91</v>
      </c>
    </row>
    <row r="19" spans="2:7">
      <c r="B19" s="233" t="s">
        <v>92</v>
      </c>
    </row>
    <row r="20" spans="2:7">
      <c r="B20" s="12"/>
    </row>
    <row r="21" spans="2:7">
      <c r="B21" s="38" t="s">
        <v>93</v>
      </c>
    </row>
    <row r="22" spans="2:7">
      <c r="B22" s="232" t="s">
        <v>94</v>
      </c>
    </row>
    <row r="23" spans="2:7">
      <c r="B23" s="232"/>
    </row>
    <row r="24" spans="2:7">
      <c r="B24" s="276" t="s">
        <v>95</v>
      </c>
      <c r="C24" s="233"/>
      <c r="D24" s="233"/>
      <c r="E24" s="233"/>
      <c r="F24" s="233"/>
      <c r="G24" s="233"/>
    </row>
    <row r="25" spans="2:7">
      <c r="B25" s="232" t="s">
        <v>96</v>
      </c>
      <c r="C25" s="233"/>
      <c r="D25" s="233"/>
      <c r="E25" s="233"/>
      <c r="F25" s="233"/>
      <c r="G25" s="233"/>
    </row>
    <row r="27" spans="2:7">
      <c r="B27" s="233" t="s">
        <v>97</v>
      </c>
    </row>
  </sheetData>
  <phoneticPr fontId="24" type="noConversion"/>
  <pageMargins left="0.75" right="0.75" top="1.25" bottom="1" header="0.5" footer="0.5"/>
  <pageSetup orientation="landscape" r:id="rId1"/>
  <headerFooter alignWithMargins="0">
    <oddHeader xml:space="preserve">&amp;COverview
</oddHeader>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13"/>
  <sheetViews>
    <sheetView zoomScaleNormal="100" workbookViewId="0">
      <selection activeCell="L41" sqref="L41"/>
    </sheetView>
  </sheetViews>
  <sheetFormatPr defaultRowHeight="12.5"/>
  <cols>
    <col min="1" max="2" width="4.54296875" customWidth="1"/>
    <col min="3" max="3" width="28.54296875" customWidth="1"/>
    <col min="4" max="8" width="14.54296875" customWidth="1"/>
  </cols>
  <sheetData>
    <row r="1" spans="1:9" ht="14.5">
      <c r="A1" s="1" t="s">
        <v>2422</v>
      </c>
      <c r="I1" s="186"/>
    </row>
    <row r="3" spans="1:9" ht="13">
      <c r="B3" s="1" t="s">
        <v>2423</v>
      </c>
    </row>
    <row r="4" spans="1:9" ht="13">
      <c r="B4" s="1"/>
    </row>
    <row r="5" spans="1:9" ht="13">
      <c r="B5" s="1"/>
      <c r="C5" s="1" t="s">
        <v>2424</v>
      </c>
      <c r="D5" s="48" t="s">
        <v>347</v>
      </c>
      <c r="E5" s="48" t="s">
        <v>348</v>
      </c>
      <c r="F5" s="48" t="s">
        <v>349</v>
      </c>
    </row>
    <row r="6" spans="1:9" ht="14.5">
      <c r="D6" s="120" t="s">
        <v>933</v>
      </c>
      <c r="E6" s="120" t="s">
        <v>933</v>
      </c>
      <c r="F6" s="120" t="s">
        <v>1093</v>
      </c>
    </row>
    <row r="7" spans="1:9" ht="14.5">
      <c r="C7" s="1"/>
      <c r="D7" s="120" t="s">
        <v>1205</v>
      </c>
      <c r="E7" s="120" t="s">
        <v>875</v>
      </c>
      <c r="F7" s="120" t="s">
        <v>635</v>
      </c>
    </row>
    <row r="8" spans="1:9" ht="13">
      <c r="A8" s="3" t="s">
        <v>284</v>
      </c>
      <c r="C8" s="3" t="s">
        <v>1187</v>
      </c>
      <c r="D8" s="3" t="s">
        <v>81</v>
      </c>
      <c r="E8" s="3" t="s">
        <v>81</v>
      </c>
      <c r="F8" s="3" t="s">
        <v>81</v>
      </c>
      <c r="G8" s="3" t="s">
        <v>686</v>
      </c>
    </row>
    <row r="9" spans="1:9" ht="13">
      <c r="A9" s="2">
        <v>1</v>
      </c>
      <c r="C9" s="231" t="s">
        <v>2425</v>
      </c>
      <c r="D9" s="6">
        <f>'10-CWIP'!E25</f>
        <v>0</v>
      </c>
      <c r="E9" s="6">
        <f>'10-CWIP'!E26</f>
        <v>0</v>
      </c>
      <c r="F9" s="6">
        <f>'10-CWIP'!K113</f>
        <v>0</v>
      </c>
      <c r="G9" s="232" t="str">
        <f>"10-CWIP, Lines "&amp;'10-CWIP'!A25&amp;", "&amp;'10-CWIP'!A26&amp;", "&amp;'10-CWIP'!A113&amp;""</f>
        <v>10-CWIP, Lines 13, 14, 80</v>
      </c>
    </row>
    <row r="10" spans="1:9" ht="13">
      <c r="A10" s="2">
        <f>A9+1</f>
        <v>2</v>
      </c>
      <c r="C10" s="231" t="s">
        <v>2426</v>
      </c>
      <c r="D10" s="6">
        <f>'10-CWIP'!F25</f>
        <v>0</v>
      </c>
      <c r="E10" s="6">
        <f>'10-CWIP'!F26</f>
        <v>0</v>
      </c>
      <c r="F10" s="6">
        <f>'10-CWIP'!K146</f>
        <v>0</v>
      </c>
      <c r="G10" s="232" t="str">
        <f>"10-CWIP, Lines "&amp;'10-CWIP'!A25&amp;", "&amp;'10-CWIP'!A26&amp;", "&amp;'10-CWIP'!A146&amp;""</f>
        <v>10-CWIP, Lines 13, 14, 106</v>
      </c>
    </row>
    <row r="11" spans="1:9" ht="13">
      <c r="A11" s="2">
        <f t="shared" ref="A11:A20" si="0">A10+1</f>
        <v>3</v>
      </c>
      <c r="C11" s="231" t="s">
        <v>2427</v>
      </c>
      <c r="D11" s="6">
        <f>'10-CWIP'!G25</f>
        <v>0</v>
      </c>
      <c r="E11" s="6">
        <f>'10-CWIP'!G26</f>
        <v>0</v>
      </c>
      <c r="F11" s="6">
        <f>'10-CWIP'!K179</f>
        <v>0</v>
      </c>
      <c r="G11" s="232" t="str">
        <f>"10-CWIP, Lines "&amp;'10-CWIP'!A25&amp;", "&amp;'10-CWIP'!A26&amp;", "&amp;'10-CWIP'!A179&amp;""</f>
        <v>10-CWIP, Lines 13, 14, 132</v>
      </c>
    </row>
    <row r="12" spans="1:9" ht="13">
      <c r="A12" s="2">
        <f t="shared" si="0"/>
        <v>4</v>
      </c>
      <c r="C12" s="231" t="s">
        <v>2428</v>
      </c>
      <c r="D12" s="6">
        <f>'10-CWIP'!H25</f>
        <v>0</v>
      </c>
      <c r="E12" s="6">
        <f>'10-CWIP'!H26</f>
        <v>0</v>
      </c>
      <c r="F12" s="6">
        <f>'10-CWIP'!K212</f>
        <v>0</v>
      </c>
      <c r="G12" s="232" t="str">
        <f>"10-CWIP, Lines "&amp;'10-CWIP'!A25&amp;", "&amp;'10-CWIP'!A26&amp;", "&amp;'10-CWIP'!A212&amp;""</f>
        <v>10-CWIP, Lines 13, 14, 158</v>
      </c>
    </row>
    <row r="13" spans="1:9" ht="13">
      <c r="A13" s="2">
        <f t="shared" si="0"/>
        <v>5</v>
      </c>
      <c r="C13" s="231" t="s">
        <v>2429</v>
      </c>
      <c r="D13" s="6">
        <f>'10-CWIP'!I25</f>
        <v>0</v>
      </c>
      <c r="E13" s="6">
        <f>'10-CWIP'!I26</f>
        <v>0</v>
      </c>
      <c r="F13" s="6">
        <f>'10-CWIP'!K245</f>
        <v>0</v>
      </c>
      <c r="G13" s="232" t="str">
        <f>"10-CWIP, Lines "&amp;'10-CWIP'!A25&amp;", "&amp;'10-CWIP'!A26&amp;", "&amp;'10-CWIP'!A245&amp;""</f>
        <v>10-CWIP, Lines 13, 14, 184</v>
      </c>
    </row>
    <row r="14" spans="1:9" ht="13">
      <c r="A14" s="2">
        <f t="shared" si="0"/>
        <v>6</v>
      </c>
      <c r="C14" s="231" t="s">
        <v>2430</v>
      </c>
      <c r="D14" s="6">
        <f>'10-CWIP'!D45</f>
        <v>0</v>
      </c>
      <c r="E14" s="6">
        <f>'10-CWIP'!D46</f>
        <v>0</v>
      </c>
      <c r="F14" s="6">
        <f>'10-CWIP'!K278</f>
        <v>0</v>
      </c>
      <c r="G14" s="232" t="str">
        <f>"10-CWIP, Lines "&amp;'10-CWIP'!A45&amp;", "&amp;'10-CWIP'!A46&amp;", "&amp;'10-CWIP'!A278&amp;""</f>
        <v>10-CWIP, Lines 27, 28, 210</v>
      </c>
    </row>
    <row r="15" spans="1:9" ht="13">
      <c r="A15" s="2">
        <f t="shared" si="0"/>
        <v>7</v>
      </c>
      <c r="C15" s="231" t="s">
        <v>2431</v>
      </c>
      <c r="D15" s="6">
        <f>'10-CWIP'!E45</f>
        <v>0</v>
      </c>
      <c r="E15" s="6">
        <f>'10-CWIP'!E46</f>
        <v>0</v>
      </c>
      <c r="F15" s="6">
        <f>'10-CWIP'!K311</f>
        <v>0</v>
      </c>
      <c r="G15" s="232" t="str">
        <f>"10-CWIP, Lines "&amp;'10-CWIP'!A45&amp;", "&amp;'10-CWIP'!A46&amp;", "&amp;'10-CWIP'!A311&amp;""</f>
        <v>10-CWIP, Lines 27, 28, 236</v>
      </c>
    </row>
    <row r="16" spans="1:9" ht="13">
      <c r="A16" s="2">
        <f t="shared" si="0"/>
        <v>8</v>
      </c>
      <c r="C16" s="231" t="s">
        <v>2432</v>
      </c>
      <c r="D16" s="6">
        <f>'10-CWIP'!F45</f>
        <v>0</v>
      </c>
      <c r="E16" s="6">
        <f>'10-CWIP'!F46</f>
        <v>0</v>
      </c>
      <c r="F16" s="6">
        <f>'10-CWIP'!K344</f>
        <v>0</v>
      </c>
      <c r="G16" s="232" t="str">
        <f>"10-CWIP, Lines "&amp;'10-CWIP'!A45&amp;", "&amp;'10-CWIP'!A46&amp;", "&amp;'10-CWIP'!A344&amp;""</f>
        <v>10-CWIP, Lines 27, 28, 262</v>
      </c>
    </row>
    <row r="17" spans="1:7" ht="13">
      <c r="A17" s="2">
        <f t="shared" si="0"/>
        <v>9</v>
      </c>
      <c r="C17" s="231" t="s">
        <v>2433</v>
      </c>
      <c r="D17" s="6">
        <f>'10-CWIP'!G45</f>
        <v>0</v>
      </c>
      <c r="E17" s="6">
        <f>'10-CWIP'!G46</f>
        <v>0</v>
      </c>
      <c r="F17" s="6">
        <f>'10-CWIP'!K377</f>
        <v>0</v>
      </c>
      <c r="G17" s="232" t="str">
        <f>"10-CWIP, Lines "&amp;'10-CWIP'!A45&amp;", "&amp;'10-CWIP'!A46&amp;", "&amp;'10-CWIP'!A377&amp;""</f>
        <v>10-CWIP, Lines 27, 28, 288</v>
      </c>
    </row>
    <row r="18" spans="1:7" ht="13">
      <c r="A18" s="2">
        <f t="shared" si="0"/>
        <v>10</v>
      </c>
      <c r="C18" s="231" t="s">
        <v>2434</v>
      </c>
      <c r="D18" s="489">
        <f>'10-CWIP'!H45</f>
        <v>0</v>
      </c>
      <c r="E18" s="489">
        <f>'10-CWIP'!H46</f>
        <v>0</v>
      </c>
      <c r="F18" s="489">
        <f>'10-CWIP'!K410</f>
        <v>0</v>
      </c>
      <c r="G18" s="232" t="str">
        <f>"10-CWIP, Lines "&amp;'10-CWIP'!A45&amp;", "&amp;'10-CWIP'!A46&amp;", "&amp;'10-CWIP'!A410&amp;""</f>
        <v>10-CWIP, Lines 27, 28, 314</v>
      </c>
    </row>
    <row r="19" spans="1:7" ht="13">
      <c r="A19" s="2">
        <f t="shared" si="0"/>
        <v>11</v>
      </c>
      <c r="C19" s="231" t="s">
        <v>2435</v>
      </c>
      <c r="D19" s="261">
        <f>'10-CWIP'!I45</f>
        <v>0</v>
      </c>
      <c r="E19" s="261">
        <f>'10-CWIP'!I46</f>
        <v>0</v>
      </c>
      <c r="F19" s="261">
        <f>'10-CWIP'!K443</f>
        <v>0</v>
      </c>
      <c r="G19" s="232" t="str">
        <f>"10-CWIP, Lines "&amp;'10-CWIP'!A45&amp;", "&amp;'10-CWIP'!A46&amp;", "&amp;'10-CWIP'!A443&amp;""</f>
        <v>10-CWIP, Lines 27, 28, 340</v>
      </c>
    </row>
    <row r="20" spans="1:7" ht="13">
      <c r="A20" s="2">
        <f t="shared" si="0"/>
        <v>12</v>
      </c>
      <c r="C20" s="796" t="s">
        <v>2436</v>
      </c>
      <c r="D20" s="261">
        <f>'10-CWIP'!J45</f>
        <v>0</v>
      </c>
      <c r="E20" s="261">
        <f>'10-CWIP'!J46</f>
        <v>0</v>
      </c>
      <c r="F20" s="261">
        <f>'10-CWIP'!K476</f>
        <v>0</v>
      </c>
      <c r="G20" s="232" t="str">
        <f>"10-CWIP, Lines "&amp;'10-CWIP'!A45&amp;", "&amp;'10-CWIP'!A46&amp;", "&amp;'10-CWIP'!A476&amp;""</f>
        <v>10-CWIP, Lines 27, 28, 366</v>
      </c>
    </row>
    <row r="21" spans="1:7" ht="13">
      <c r="A21" s="2" t="s">
        <v>2031</v>
      </c>
      <c r="C21" s="796" t="s">
        <v>1090</v>
      </c>
      <c r="D21" s="261">
        <f>'10-CWIP'!K45</f>
        <v>0</v>
      </c>
      <c r="E21" s="261">
        <f>'10-CWIP'!K46</f>
        <v>0</v>
      </c>
      <c r="F21" s="261">
        <f>'10-CWIP'!K509</f>
        <v>0</v>
      </c>
      <c r="G21" s="232" t="str">
        <f>"10-CWIP, Lines "&amp;'10-CWIP'!A45&amp;", "&amp;'10-CWIP'!A46&amp;", "&amp;'10-CWIP'!A509&amp;""</f>
        <v>10-CWIP, Lines 27, 28, 392</v>
      </c>
    </row>
    <row r="22" spans="1:7" ht="13">
      <c r="A22" s="2" t="s">
        <v>2033</v>
      </c>
      <c r="C22" s="796"/>
      <c r="D22" s="36">
        <f>'10-CWIP'!L45</f>
        <v>0</v>
      </c>
      <c r="E22" s="36">
        <f>'10-CWIP'!L45</f>
        <v>0</v>
      </c>
      <c r="F22" s="36">
        <v>0</v>
      </c>
      <c r="G22" s="232" t="str">
        <f>"10-CWIP, Lines "&amp;'10-CWIP'!A45&amp;", "&amp;'10-CWIP'!A46&amp;", "&amp;'10-CWIP'!A542&amp;""</f>
        <v>10-CWIP, Lines 27, 28, 418</v>
      </c>
    </row>
    <row r="23" spans="1:7" ht="13">
      <c r="A23" s="2">
        <f>A20+1</f>
        <v>13</v>
      </c>
      <c r="C23" s="231" t="s">
        <v>442</v>
      </c>
      <c r="D23" s="6">
        <f>SUM(D9:D21)</f>
        <v>0</v>
      </c>
      <c r="E23" s="6">
        <f>SUM(E9:E21)</f>
        <v>0</v>
      </c>
      <c r="F23" s="6">
        <f>SUM(F9:F21)</f>
        <v>0</v>
      </c>
      <c r="G23" s="232" t="str">
        <f>"Sum of Lines "&amp;A9&amp;" to "&amp;A20&amp;""</f>
        <v>Sum of Lines 1 to 12</v>
      </c>
    </row>
    <row r="24" spans="1:7" ht="13">
      <c r="A24" s="2"/>
      <c r="C24" s="1"/>
    </row>
    <row r="25" spans="1:7" ht="14.5">
      <c r="A25" s="2"/>
      <c r="C25" s="1" t="s">
        <v>2437</v>
      </c>
      <c r="D25" s="120" t="s">
        <v>1205</v>
      </c>
      <c r="E25" s="120" t="s">
        <v>875</v>
      </c>
      <c r="F25" s="232"/>
    </row>
    <row r="26" spans="1:7" ht="13">
      <c r="D26" s="3" t="s">
        <v>81</v>
      </c>
      <c r="E26" s="3" t="s">
        <v>81</v>
      </c>
      <c r="F26" s="3" t="s">
        <v>686</v>
      </c>
    </row>
    <row r="27" spans="1:7" ht="13">
      <c r="A27" s="2">
        <f>A23+1</f>
        <v>14</v>
      </c>
      <c r="C27" s="231" t="s">
        <v>2438</v>
      </c>
      <c r="D27" s="6">
        <f>D23</f>
        <v>0</v>
      </c>
      <c r="E27" s="6">
        <f>E23</f>
        <v>0</v>
      </c>
      <c r="F27" s="12" t="str">
        <f>"Line "&amp;A23&amp;""</f>
        <v>Line 13</v>
      </c>
    </row>
    <row r="28" spans="1:7" ht="13">
      <c r="A28" s="2">
        <f>A27+1</f>
        <v>15</v>
      </c>
      <c r="C28" s="231" t="s">
        <v>2439</v>
      </c>
      <c r="D28" s="7" t="e">
        <f>'1-BaseTRR'!K93</f>
        <v>#DIV/0!</v>
      </c>
      <c r="E28" s="7" t="e">
        <f>'1-BaseTRR'!K93</f>
        <v>#DIV/0!</v>
      </c>
      <c r="F28" s="12" t="str">
        <f>"1-BaseTRR, Line "&amp;'1-BaseTRR'!A93&amp;""</f>
        <v>1-BaseTRR, Line 54</v>
      </c>
    </row>
    <row r="29" spans="1:7" ht="13">
      <c r="A29" s="2">
        <f>A28+1</f>
        <v>16</v>
      </c>
      <c r="C29" s="25" t="s">
        <v>2440</v>
      </c>
      <c r="D29" s="6" t="e">
        <f>D27*D28</f>
        <v>#DIV/0!</v>
      </c>
      <c r="E29" s="6" t="e">
        <f>E27*E28</f>
        <v>#DIV/0!</v>
      </c>
      <c r="F29" s="12" t="str">
        <f>"Line "&amp;A27&amp;" * Line "&amp;A28&amp;""</f>
        <v>Line 14 * Line 15</v>
      </c>
    </row>
    <row r="31" spans="1:7" ht="13">
      <c r="C31" s="1" t="s">
        <v>2441</v>
      </c>
    </row>
    <row r="32" spans="1:7" ht="14.5">
      <c r="D32" s="120" t="s">
        <v>1205</v>
      </c>
      <c r="E32" s="120" t="s">
        <v>875</v>
      </c>
    </row>
    <row r="33" spans="1:7" ht="13">
      <c r="D33" s="3" t="s">
        <v>81</v>
      </c>
      <c r="E33" s="3" t="s">
        <v>81</v>
      </c>
      <c r="F33" s="3" t="s">
        <v>686</v>
      </c>
    </row>
    <row r="34" spans="1:7" ht="14.5">
      <c r="A34" s="120">
        <f>A29+1</f>
        <v>17</v>
      </c>
      <c r="C34" s="231" t="s">
        <v>2438</v>
      </c>
      <c r="D34" s="6">
        <f>D23</f>
        <v>0</v>
      </c>
      <c r="E34" s="6">
        <f>E23</f>
        <v>0</v>
      </c>
      <c r="F34" s="12" t="str">
        <f>"Line "&amp;A23&amp;""</f>
        <v>Line 13</v>
      </c>
    </row>
    <row r="35" spans="1:7" ht="13">
      <c r="A35" s="2">
        <f t="shared" ref="A35:A41" si="1">A34+1</f>
        <v>18</v>
      </c>
      <c r="C35" s="231" t="s">
        <v>2442</v>
      </c>
      <c r="D35" s="7" t="e">
        <f>'1-BaseTRR'!K95</f>
        <v>#DIV/0!</v>
      </c>
      <c r="E35" s="7" t="e">
        <f>'1-BaseTRR'!K95</f>
        <v>#DIV/0!</v>
      </c>
      <c r="F35" s="12" t="str">
        <f>"1-BaseTRR, Line "&amp;'1-BaseTRR'!A95&amp;""</f>
        <v>1-BaseTRR, Line 55</v>
      </c>
    </row>
    <row r="36" spans="1:7" ht="13">
      <c r="A36" s="2">
        <f t="shared" si="1"/>
        <v>19</v>
      </c>
      <c r="C36" s="231" t="s">
        <v>294</v>
      </c>
      <c r="D36" s="7">
        <f>'1-BaseTRR'!K104</f>
        <v>0</v>
      </c>
      <c r="E36" s="7">
        <f>'1-BaseTRR'!K104</f>
        <v>0</v>
      </c>
      <c r="F36" s="12" t="str">
        <f>"1-BaseTRR, Line "&amp;'1-BaseTRR'!A104&amp;""</f>
        <v>1-BaseTRR, Line 59</v>
      </c>
    </row>
    <row r="37" spans="1:7" ht="13">
      <c r="A37" s="2">
        <f t="shared" si="1"/>
        <v>20</v>
      </c>
      <c r="C37" s="231" t="s">
        <v>192</v>
      </c>
      <c r="D37" s="6" t="e">
        <f>((D27*D35)*(D36/(1-D36)))</f>
        <v>#DIV/0!</v>
      </c>
      <c r="E37" s="6" t="e">
        <f>((E27*E35)*(E36/(1-E36)))</f>
        <v>#DIV/0!</v>
      </c>
      <c r="F37" s="232" t="str">
        <f>"Formula on Line "&amp;A39&amp;""</f>
        <v>Formula on Line 22</v>
      </c>
    </row>
    <row r="38" spans="1:7" ht="13">
      <c r="A38" s="2">
        <f t="shared" si="1"/>
        <v>21</v>
      </c>
    </row>
    <row r="39" spans="1:7" ht="13">
      <c r="A39" s="2">
        <f t="shared" si="1"/>
        <v>22</v>
      </c>
      <c r="C39" s="232" t="str">
        <f>"Income Taxes = [(RB * ER) * (CTR/(1 – CTR)], or [(L"&amp;A27&amp;" * L"&amp;A35&amp;") * (L"&amp;A36&amp;" / (1 - L"&amp;A36&amp;")]"</f>
        <v>Income Taxes = [(RB * ER) * (CTR/(1 – CTR)], or [(L14 * L18) * (L19 / (1 - L19)]</v>
      </c>
      <c r="E39" s="6"/>
      <c r="F39" s="233"/>
    </row>
    <row r="40" spans="1:7" ht="13">
      <c r="A40" s="2">
        <f t="shared" si="1"/>
        <v>23</v>
      </c>
      <c r="C40" s="232" t="s">
        <v>2443</v>
      </c>
      <c r="E40" s="6"/>
      <c r="F40" s="233"/>
    </row>
    <row r="41" spans="1:7" ht="13">
      <c r="A41" s="2">
        <f t="shared" si="1"/>
        <v>24</v>
      </c>
      <c r="D41" s="232"/>
      <c r="E41" s="6"/>
      <c r="F41" s="233"/>
      <c r="G41" s="232"/>
    </row>
    <row r="42" spans="1:7" ht="13">
      <c r="C42" s="1" t="s">
        <v>2444</v>
      </c>
    </row>
    <row r="43" spans="1:7" ht="13">
      <c r="D43" s="3" t="s">
        <v>105</v>
      </c>
      <c r="E43" s="3" t="s">
        <v>686</v>
      </c>
    </row>
    <row r="44" spans="1:7" ht="13">
      <c r="A44" s="2">
        <f>A41+1</f>
        <v>25</v>
      </c>
      <c r="C44" s="231" t="s">
        <v>1394</v>
      </c>
      <c r="D44" s="6" t="e">
        <f>'15-IncentiveAdder'!G17</f>
        <v>#DIV/0!</v>
      </c>
      <c r="E44" s="12" t="str">
        <f>"15-IncentiveAdder, Line "&amp;'15-IncentiveAdder'!A17&amp;""</f>
        <v>15-IncentiveAdder, Line 3</v>
      </c>
    </row>
    <row r="46" spans="1:7" ht="13">
      <c r="C46" s="34" t="s">
        <v>1273</v>
      </c>
    </row>
    <row r="47" spans="1:7" ht="14.5">
      <c r="D47" s="120" t="s">
        <v>1205</v>
      </c>
      <c r="E47" s="120" t="s">
        <v>875</v>
      </c>
    </row>
    <row r="48" spans="1:7" ht="13">
      <c r="D48" s="3" t="s">
        <v>81</v>
      </c>
      <c r="E48" s="3" t="s">
        <v>81</v>
      </c>
    </row>
    <row r="49" spans="1:6" ht="13">
      <c r="A49" s="2">
        <f>A44+1</f>
        <v>26</v>
      </c>
      <c r="C49" s="231" t="s">
        <v>314</v>
      </c>
      <c r="D49" s="6">
        <f>D9</f>
        <v>0</v>
      </c>
      <c r="E49" s="6">
        <f>E9</f>
        <v>0</v>
      </c>
      <c r="F49" s="12" t="str">
        <f>"Line "&amp;A9&amp;""</f>
        <v>Line 1</v>
      </c>
    </row>
    <row r="50" spans="1:6" ht="13">
      <c r="A50" s="2">
        <f>A49+1</f>
        <v>27</v>
      </c>
      <c r="C50" s="231" t="s">
        <v>2445</v>
      </c>
      <c r="D50" s="26">
        <f>'15-IncentiveAdder'!E26</f>
        <v>1.2500000000000001E-2</v>
      </c>
      <c r="E50" s="26">
        <f>'15-IncentiveAdder'!E26</f>
        <v>1.2500000000000001E-2</v>
      </c>
      <c r="F50" s="12" t="str">
        <f>"15-IncentiveAdder, Line "&amp;'15-IncentiveAdder'!A26&amp;""</f>
        <v>15-IncentiveAdder, Line 5</v>
      </c>
    </row>
    <row r="51" spans="1:6" ht="13">
      <c r="A51" s="2">
        <f>A50+1</f>
        <v>28</v>
      </c>
      <c r="C51" s="231" t="s">
        <v>2446</v>
      </c>
      <c r="D51" s="6" t="e">
        <f>(D49/1000000)*($D$44*(D50/0.01))</f>
        <v>#DIV/0!</v>
      </c>
      <c r="E51" s="6" t="e">
        <f>(E49/1000000)*($D$44*(E50/0.01))</f>
        <v>#DIV/0!</v>
      </c>
      <c r="F51" s="232" t="str">
        <f>"Formula on Line "&amp;A60&amp;""</f>
        <v>Formula on Line 33</v>
      </c>
    </row>
    <row r="52" spans="1:6">
      <c r="C52" s="188"/>
    </row>
    <row r="53" spans="1:6" ht="13">
      <c r="C53" s="34" t="s">
        <v>2447</v>
      </c>
      <c r="E53" s="3"/>
      <c r="F53" s="3"/>
    </row>
    <row r="54" spans="1:6" ht="14.5">
      <c r="D54" s="120" t="s">
        <v>1205</v>
      </c>
      <c r="E54" s="120" t="s">
        <v>875</v>
      </c>
    </row>
    <row r="55" spans="1:6" ht="13">
      <c r="D55" s="3" t="s">
        <v>81</v>
      </c>
      <c r="E55" s="3" t="s">
        <v>81</v>
      </c>
    </row>
    <row r="56" spans="1:6" ht="13">
      <c r="A56" s="2">
        <f>A51+1</f>
        <v>29</v>
      </c>
      <c r="C56" s="231" t="s">
        <v>317</v>
      </c>
      <c r="D56" s="6">
        <f>D10</f>
        <v>0</v>
      </c>
      <c r="E56" s="6">
        <f>E10</f>
        <v>0</v>
      </c>
      <c r="F56" s="12" t="str">
        <f>"Line "&amp;A10&amp;""</f>
        <v>Line 2</v>
      </c>
    </row>
    <row r="57" spans="1:6" ht="13">
      <c r="A57" s="2">
        <f>A56+1</f>
        <v>30</v>
      </c>
      <c r="C57" s="231" t="s">
        <v>2445</v>
      </c>
      <c r="D57" s="26">
        <f>'15-IncentiveAdder'!E27</f>
        <v>0.01</v>
      </c>
      <c r="E57" s="26">
        <f>'15-IncentiveAdder'!E27</f>
        <v>0.01</v>
      </c>
      <c r="F57" s="12" t="str">
        <f>"15-IncentiveAdder, Line "&amp;'15-IncentiveAdder'!A27&amp;""</f>
        <v>15-IncentiveAdder, Line 6</v>
      </c>
    </row>
    <row r="58" spans="1:6" ht="13">
      <c r="A58" s="2">
        <f>A57+1</f>
        <v>31</v>
      </c>
      <c r="C58" s="231" t="s">
        <v>2446</v>
      </c>
      <c r="D58" s="6" t="e">
        <f>(D56/1000000)*($D$44*(D57/0.01))</f>
        <v>#DIV/0!</v>
      </c>
      <c r="E58" s="6" t="e">
        <f>(E56/1000000)*($D$44*(E57/0.01))</f>
        <v>#DIV/0!</v>
      </c>
      <c r="F58" s="232" t="str">
        <f>"Formula on Line "&amp;A60&amp;""</f>
        <v>Formula on Line 33</v>
      </c>
    </row>
    <row r="59" spans="1:6" ht="13">
      <c r="A59" s="2">
        <f>A58+1</f>
        <v>32</v>
      </c>
      <c r="D59" s="276"/>
      <c r="E59" s="6"/>
      <c r="F59" s="232"/>
    </row>
    <row r="60" spans="1:6" ht="13">
      <c r="A60" s="2">
        <f>A59+1</f>
        <v>33</v>
      </c>
      <c r="C60" s="276" t="s">
        <v>2448</v>
      </c>
      <c r="D60" s="6"/>
      <c r="E60" s="232"/>
    </row>
    <row r="62" spans="1:6" ht="13">
      <c r="C62" s="1" t="s">
        <v>2449</v>
      </c>
    </row>
    <row r="63" spans="1:6" ht="13">
      <c r="C63" s="1"/>
    </row>
    <row r="64" spans="1:6" ht="14.5">
      <c r="C64" s="1"/>
      <c r="E64" s="120" t="s">
        <v>377</v>
      </c>
    </row>
    <row r="65" spans="1:9" ht="14.5">
      <c r="C65" s="1"/>
      <c r="D65" s="120" t="s">
        <v>2450</v>
      </c>
      <c r="E65" s="120" t="s">
        <v>384</v>
      </c>
    </row>
    <row r="66" spans="1:9" ht="13">
      <c r="D66" s="3" t="s">
        <v>81</v>
      </c>
      <c r="E66" s="3" t="s">
        <v>81</v>
      </c>
      <c r="F66" s="3" t="s">
        <v>686</v>
      </c>
    </row>
    <row r="67" spans="1:9" ht="13">
      <c r="A67" s="2">
        <f>A60+1</f>
        <v>34</v>
      </c>
      <c r="C67" s="231" t="s">
        <v>2451</v>
      </c>
      <c r="D67" s="6" t="e">
        <f>D29</f>
        <v>#DIV/0!</v>
      </c>
      <c r="E67" s="6" t="e">
        <f>E29</f>
        <v>#DIV/0!</v>
      </c>
      <c r="F67" s="12" t="str">
        <f>"Line "&amp;A29&amp;""</f>
        <v>Line 16</v>
      </c>
    </row>
    <row r="68" spans="1:9" ht="13">
      <c r="A68" s="2">
        <f>A67+1</f>
        <v>35</v>
      </c>
      <c r="C68" s="231" t="s">
        <v>192</v>
      </c>
      <c r="D68" s="6" t="e">
        <f>D37</f>
        <v>#DIV/0!</v>
      </c>
      <c r="E68" s="6" t="e">
        <f>E37</f>
        <v>#DIV/0!</v>
      </c>
      <c r="F68" s="12" t="str">
        <f>"Line "&amp;A37&amp;""</f>
        <v>Line 20</v>
      </c>
    </row>
    <row r="69" spans="1:9" ht="13">
      <c r="A69" s="2">
        <f>A68+1</f>
        <v>36</v>
      </c>
      <c r="C69" s="231" t="s">
        <v>2452</v>
      </c>
      <c r="D69" s="6" t="e">
        <f>D51</f>
        <v>#DIV/0!</v>
      </c>
      <c r="E69" s="6" t="e">
        <f>E51</f>
        <v>#DIV/0!</v>
      </c>
      <c r="F69" s="12" t="str">
        <f>"Line "&amp;A51&amp;""</f>
        <v>Line 28</v>
      </c>
    </row>
    <row r="70" spans="1:9" ht="13">
      <c r="A70" s="2">
        <f>A69+1</f>
        <v>37</v>
      </c>
      <c r="C70" s="231" t="s">
        <v>2453</v>
      </c>
      <c r="D70" s="235" t="e">
        <f>D58</f>
        <v>#DIV/0!</v>
      </c>
      <c r="E70" s="114" t="e">
        <f>E58</f>
        <v>#DIV/0!</v>
      </c>
      <c r="F70" s="12" t="str">
        <f>"Line "&amp;A58&amp;""</f>
        <v>Line 31</v>
      </c>
    </row>
    <row r="71" spans="1:9" ht="13">
      <c r="A71" s="2">
        <f t="shared" ref="A71:A72" si="2">A70+1</f>
        <v>38</v>
      </c>
      <c r="C71" s="231" t="s">
        <v>2454</v>
      </c>
      <c r="D71" s="53" t="e">
        <f>SUM(D67:D70)*('28-FFU'!D22+'28-FFU'!E22)</f>
        <v>#DIV/0!</v>
      </c>
      <c r="E71" s="53" t="e">
        <f>SUM(E67:E70)*('28-FFU'!D22)</f>
        <v>#DIV/0!</v>
      </c>
      <c r="F71" s="232" t="s">
        <v>147</v>
      </c>
    </row>
    <row r="72" spans="1:9" ht="13">
      <c r="A72" s="2">
        <f t="shared" si="2"/>
        <v>39</v>
      </c>
      <c r="C72" s="231" t="s">
        <v>420</v>
      </c>
      <c r="D72" s="6" t="e">
        <f>SUM(D67:D71)</f>
        <v>#DIV/0!</v>
      </c>
      <c r="E72" s="6" t="e">
        <f>SUM(E67:E71)</f>
        <v>#DIV/0!</v>
      </c>
      <c r="F72" s="232" t="str">
        <f>"Sum Lines "&amp;A67&amp;" to "&amp;A71&amp;""</f>
        <v>Sum Lines 34 to 38</v>
      </c>
    </row>
    <row r="73" spans="1:9" ht="13">
      <c r="A73" s="2"/>
      <c r="D73" s="231"/>
      <c r="E73" s="6"/>
      <c r="F73" s="232"/>
    </row>
    <row r="74" spans="1:9" ht="12.75" customHeight="1">
      <c r="A74" s="2"/>
      <c r="C74" s="186" t="s">
        <v>2455</v>
      </c>
      <c r="D74" s="231"/>
      <c r="E74" s="6"/>
      <c r="F74" s="232"/>
    </row>
    <row r="75" spans="1:9" ht="13">
      <c r="A75" s="2"/>
      <c r="D75" s="231"/>
      <c r="E75" s="6"/>
      <c r="F75" s="232"/>
    </row>
    <row r="76" spans="1:9" ht="12.75" customHeight="1">
      <c r="A76" s="2"/>
      <c r="C76" s="186" t="s">
        <v>2456</v>
      </c>
      <c r="D76" s="231"/>
      <c r="E76" s="6"/>
      <c r="F76" s="232"/>
    </row>
    <row r="77" spans="1:9" ht="14.5">
      <c r="A77" s="2"/>
      <c r="C77" s="186"/>
      <c r="D77" s="48" t="s">
        <v>347</v>
      </c>
      <c r="E77" s="48" t="s">
        <v>348</v>
      </c>
      <c r="F77" s="48" t="s">
        <v>349</v>
      </c>
      <c r="G77" s="48" t="s">
        <v>350</v>
      </c>
      <c r="H77" s="48" t="s">
        <v>351</v>
      </c>
    </row>
    <row r="78" spans="1:9" ht="14.5">
      <c r="A78" s="2"/>
      <c r="C78" s="186"/>
      <c r="D78" s="2" t="s">
        <v>2457</v>
      </c>
      <c r="E78" s="230" t="s">
        <v>2458</v>
      </c>
      <c r="F78" s="2"/>
      <c r="H78" s="239" t="s">
        <v>2459</v>
      </c>
    </row>
    <row r="79" spans="1:9" ht="14.5">
      <c r="A79" s="2"/>
      <c r="C79" s="3" t="s">
        <v>1187</v>
      </c>
      <c r="D79" s="3" t="s">
        <v>2460</v>
      </c>
      <c r="E79" s="202" t="s">
        <v>2461</v>
      </c>
      <c r="F79" s="3" t="s">
        <v>1400</v>
      </c>
      <c r="G79" s="3" t="s">
        <v>2462</v>
      </c>
      <c r="H79" s="3" t="s">
        <v>252</v>
      </c>
      <c r="I79" s="3" t="s">
        <v>686</v>
      </c>
    </row>
    <row r="80" spans="1:9" ht="13">
      <c r="A80" s="2">
        <f>A72+1</f>
        <v>40</v>
      </c>
      <c r="C80" s="231" t="s">
        <v>2425</v>
      </c>
      <c r="D80" s="235" t="e">
        <f t="shared" ref="D80:D90" si="3">$D$29*(D9/$D$23)</f>
        <v>#DIV/0!</v>
      </c>
      <c r="E80" s="235" t="e">
        <f t="shared" ref="E80:E89" si="4">$D$37*(D9/$D$23)</f>
        <v>#DIV/0!</v>
      </c>
      <c r="F80" s="235" t="e">
        <f>D51</f>
        <v>#DIV/0!</v>
      </c>
      <c r="G80" s="6" t="e">
        <f>(D80+E80+F80)*('28-FFU'!$D$22+'28-FFU'!$E$22)</f>
        <v>#DIV/0!</v>
      </c>
      <c r="H80" s="6" t="e">
        <f>SUM(D80:G80)</f>
        <v>#DIV/0!</v>
      </c>
      <c r="I80" s="232" t="s">
        <v>168</v>
      </c>
    </row>
    <row r="81" spans="1:9" ht="13">
      <c r="A81" s="2">
        <f t="shared" ref="A81:A94" si="5">A80+1</f>
        <v>41</v>
      </c>
      <c r="C81" s="231" t="s">
        <v>2426</v>
      </c>
      <c r="D81" s="235" t="e">
        <f t="shared" si="3"/>
        <v>#DIV/0!</v>
      </c>
      <c r="E81" s="235" t="e">
        <f t="shared" si="4"/>
        <v>#DIV/0!</v>
      </c>
      <c r="F81" s="235" t="e">
        <f>D58</f>
        <v>#DIV/0!</v>
      </c>
      <c r="G81" s="6" t="e">
        <f>(D81+E81+F81)*('28-FFU'!$D$22+'28-FFU'!$E$22)</f>
        <v>#DIV/0!</v>
      </c>
      <c r="H81" s="6" t="e">
        <f t="shared" ref="H81:H89" si="6">SUM(D81:G81)</f>
        <v>#DIV/0!</v>
      </c>
      <c r="I81" s="232" t="s">
        <v>168</v>
      </c>
    </row>
    <row r="82" spans="1:9" ht="13">
      <c r="A82" s="2">
        <f t="shared" si="5"/>
        <v>42</v>
      </c>
      <c r="C82" s="231" t="s">
        <v>2427</v>
      </c>
      <c r="D82" s="235" t="e">
        <f t="shared" si="3"/>
        <v>#DIV/0!</v>
      </c>
      <c r="E82" s="235" t="e">
        <f t="shared" si="4"/>
        <v>#DIV/0!</v>
      </c>
      <c r="F82" s="235">
        <v>0</v>
      </c>
      <c r="G82" s="6" t="e">
        <f>(D82+E82+F82)*('28-FFU'!$D$22+'28-FFU'!$E$22)</f>
        <v>#DIV/0!</v>
      </c>
      <c r="H82" s="6" t="e">
        <f t="shared" si="6"/>
        <v>#DIV/0!</v>
      </c>
      <c r="I82" s="232" t="s">
        <v>168</v>
      </c>
    </row>
    <row r="83" spans="1:9" ht="13">
      <c r="A83" s="2">
        <f t="shared" si="5"/>
        <v>43</v>
      </c>
      <c r="C83" s="231" t="s">
        <v>2428</v>
      </c>
      <c r="D83" s="235" t="e">
        <f t="shared" si="3"/>
        <v>#DIV/0!</v>
      </c>
      <c r="E83" s="235" t="e">
        <f t="shared" si="4"/>
        <v>#DIV/0!</v>
      </c>
      <c r="F83" s="235">
        <v>0</v>
      </c>
      <c r="G83" s="6" t="e">
        <f>(D83+E83+F83)*('28-FFU'!$D$22+'28-FFU'!$E$22)</f>
        <v>#DIV/0!</v>
      </c>
      <c r="H83" s="6" t="e">
        <f t="shared" si="6"/>
        <v>#DIV/0!</v>
      </c>
      <c r="I83" s="232" t="s">
        <v>168</v>
      </c>
    </row>
    <row r="84" spans="1:9" ht="13">
      <c r="A84" s="2">
        <f t="shared" si="5"/>
        <v>44</v>
      </c>
      <c r="C84" s="231" t="s">
        <v>2429</v>
      </c>
      <c r="D84" s="235" t="e">
        <f t="shared" si="3"/>
        <v>#DIV/0!</v>
      </c>
      <c r="E84" s="235" t="e">
        <f t="shared" si="4"/>
        <v>#DIV/0!</v>
      </c>
      <c r="F84" s="235">
        <v>0</v>
      </c>
      <c r="G84" s="6" t="e">
        <f>(D84+E84+F84)*('28-FFU'!$D$22+'28-FFU'!$E$22)</f>
        <v>#DIV/0!</v>
      </c>
      <c r="H84" s="6" t="e">
        <f t="shared" si="6"/>
        <v>#DIV/0!</v>
      </c>
      <c r="I84" s="232" t="s">
        <v>168</v>
      </c>
    </row>
    <row r="85" spans="1:9" ht="13">
      <c r="A85" s="2">
        <f t="shared" si="5"/>
        <v>45</v>
      </c>
      <c r="C85" s="231" t="s">
        <v>2430</v>
      </c>
      <c r="D85" s="235" t="e">
        <f t="shared" si="3"/>
        <v>#DIV/0!</v>
      </c>
      <c r="E85" s="235" t="e">
        <f t="shared" si="4"/>
        <v>#DIV/0!</v>
      </c>
      <c r="F85" s="235">
        <v>0</v>
      </c>
      <c r="G85" s="6" t="e">
        <f>(D85+E85+F85)*('28-FFU'!$D$22+'28-FFU'!$E$22)</f>
        <v>#DIV/0!</v>
      </c>
      <c r="H85" s="6" t="e">
        <f t="shared" si="6"/>
        <v>#DIV/0!</v>
      </c>
      <c r="I85" s="232" t="s">
        <v>168</v>
      </c>
    </row>
    <row r="86" spans="1:9" ht="13">
      <c r="A86" s="2">
        <f t="shared" si="5"/>
        <v>46</v>
      </c>
      <c r="C86" s="231" t="s">
        <v>2431</v>
      </c>
      <c r="D86" s="235" t="e">
        <f t="shared" si="3"/>
        <v>#DIV/0!</v>
      </c>
      <c r="E86" s="235" t="e">
        <f t="shared" si="4"/>
        <v>#DIV/0!</v>
      </c>
      <c r="F86" s="235">
        <v>0</v>
      </c>
      <c r="G86" s="6" t="e">
        <f>(D86+E86+F86)*('28-FFU'!$D$22+'28-FFU'!$E$22)</f>
        <v>#DIV/0!</v>
      </c>
      <c r="H86" s="6" t="e">
        <f t="shared" si="6"/>
        <v>#DIV/0!</v>
      </c>
      <c r="I86" s="232" t="s">
        <v>168</v>
      </c>
    </row>
    <row r="87" spans="1:9" ht="13">
      <c r="A87" s="2">
        <f t="shared" si="5"/>
        <v>47</v>
      </c>
      <c r="C87" s="231" t="s">
        <v>2432</v>
      </c>
      <c r="D87" s="235" t="e">
        <f t="shared" si="3"/>
        <v>#DIV/0!</v>
      </c>
      <c r="E87" s="235" t="e">
        <f t="shared" si="4"/>
        <v>#DIV/0!</v>
      </c>
      <c r="F87" s="235">
        <v>0</v>
      </c>
      <c r="G87" s="6" t="e">
        <f>(D87+E87+F87)*('28-FFU'!$D$22+'28-FFU'!$E$22)</f>
        <v>#DIV/0!</v>
      </c>
      <c r="H87" s="6" t="e">
        <f t="shared" si="6"/>
        <v>#DIV/0!</v>
      </c>
      <c r="I87" s="232" t="s">
        <v>168</v>
      </c>
    </row>
    <row r="88" spans="1:9" ht="13">
      <c r="A88" s="2">
        <f t="shared" si="5"/>
        <v>48</v>
      </c>
      <c r="C88" s="231" t="s">
        <v>2433</v>
      </c>
      <c r="D88" s="235" t="e">
        <f t="shared" si="3"/>
        <v>#DIV/0!</v>
      </c>
      <c r="E88" s="235" t="e">
        <f t="shared" si="4"/>
        <v>#DIV/0!</v>
      </c>
      <c r="F88" s="235">
        <v>0</v>
      </c>
      <c r="G88" s="6" t="e">
        <f>(D88+E88+F88)*('28-FFU'!$D$22+'28-FFU'!$E$22)</f>
        <v>#DIV/0!</v>
      </c>
      <c r="H88" s="6" t="e">
        <f t="shared" si="6"/>
        <v>#DIV/0!</v>
      </c>
      <c r="I88" s="232" t="s">
        <v>168</v>
      </c>
    </row>
    <row r="89" spans="1:9" ht="13">
      <c r="A89" s="2">
        <f t="shared" si="5"/>
        <v>49</v>
      </c>
      <c r="C89" s="231" t="s">
        <v>2434</v>
      </c>
      <c r="D89" s="235" t="e">
        <f t="shared" si="3"/>
        <v>#DIV/0!</v>
      </c>
      <c r="E89" s="235" t="e">
        <f t="shared" si="4"/>
        <v>#DIV/0!</v>
      </c>
      <c r="F89" s="235">
        <v>0</v>
      </c>
      <c r="G89" s="6" t="e">
        <f>(D89+E89+F89)*('28-FFU'!$D$22+'28-FFU'!$E$22)</f>
        <v>#DIV/0!</v>
      </c>
      <c r="H89" s="6" t="e">
        <f t="shared" si="6"/>
        <v>#DIV/0!</v>
      </c>
      <c r="I89" s="232" t="s">
        <v>168</v>
      </c>
    </row>
    <row r="90" spans="1:9" ht="13">
      <c r="A90" s="2">
        <f t="shared" si="5"/>
        <v>50</v>
      </c>
      <c r="C90" s="231" t="s">
        <v>2435</v>
      </c>
      <c r="D90" s="235" t="e">
        <f t="shared" si="3"/>
        <v>#DIV/0!</v>
      </c>
      <c r="E90" s="235" t="e">
        <f t="shared" ref="E90:E92" si="7">$D$37*(D19/$D$23)</f>
        <v>#DIV/0!</v>
      </c>
      <c r="F90" s="235">
        <v>0</v>
      </c>
      <c r="G90" s="6" t="e">
        <f>(D90+E90+F90)*('28-FFU'!$D$22+'28-FFU'!$E$22)</f>
        <v>#DIV/0!</v>
      </c>
      <c r="H90" s="6" t="e">
        <f t="shared" ref="H90:H92" si="8">SUM(D90:G90)</f>
        <v>#DIV/0!</v>
      </c>
      <c r="I90" s="232" t="s">
        <v>168</v>
      </c>
    </row>
    <row r="91" spans="1:9" ht="13">
      <c r="A91" s="2" t="s">
        <v>2463</v>
      </c>
      <c r="C91" s="796" t="s">
        <v>2436</v>
      </c>
      <c r="D91" s="235" t="e">
        <f t="shared" ref="D91:D92" si="9">$D$29*(D20/$D$23)</f>
        <v>#DIV/0!</v>
      </c>
      <c r="E91" s="235" t="e">
        <f t="shared" si="7"/>
        <v>#DIV/0!</v>
      </c>
      <c r="F91" s="235">
        <v>0</v>
      </c>
      <c r="G91" s="6" t="e">
        <f>(D91+E91+F91)*('28-FFU'!$D$22+'28-FFU'!$E$22)</f>
        <v>#DIV/0!</v>
      </c>
      <c r="H91" s="6" t="e">
        <f t="shared" si="8"/>
        <v>#DIV/0!</v>
      </c>
      <c r="I91" s="232" t="s">
        <v>168</v>
      </c>
    </row>
    <row r="92" spans="1:9" ht="13">
      <c r="A92" s="2" t="s">
        <v>2464</v>
      </c>
      <c r="C92" s="796" t="s">
        <v>1090</v>
      </c>
      <c r="D92" s="235" t="e">
        <f t="shared" si="9"/>
        <v>#DIV/0!</v>
      </c>
      <c r="E92" s="235" t="e">
        <f t="shared" si="7"/>
        <v>#DIV/0!</v>
      </c>
      <c r="F92" s="235">
        <v>0</v>
      </c>
      <c r="G92" s="6" t="e">
        <f>(D92+E92+F92)*('28-FFU'!$D$22+'28-FFU'!$E$22)</f>
        <v>#DIV/0!</v>
      </c>
      <c r="H92" s="6" t="e">
        <f t="shared" si="8"/>
        <v>#DIV/0!</v>
      </c>
      <c r="I92" s="232" t="s">
        <v>168</v>
      </c>
    </row>
    <row r="93" spans="1:9" ht="13">
      <c r="A93" s="2">
        <f>A90+1</f>
        <v>51</v>
      </c>
      <c r="C93" s="796"/>
      <c r="D93" s="333" t="s">
        <v>391</v>
      </c>
      <c r="E93" s="333" t="s">
        <v>391</v>
      </c>
      <c r="F93" s="333" t="s">
        <v>391</v>
      </c>
      <c r="G93" s="333" t="s">
        <v>391</v>
      </c>
      <c r="H93" s="333" t="s">
        <v>391</v>
      </c>
      <c r="I93" s="232" t="s">
        <v>168</v>
      </c>
    </row>
    <row r="94" spans="1:9" ht="13">
      <c r="A94" s="2">
        <f t="shared" si="5"/>
        <v>52</v>
      </c>
      <c r="C94" s="231" t="s">
        <v>442</v>
      </c>
      <c r="D94" s="261" t="e">
        <f>SUM(D80:D93)</f>
        <v>#DIV/0!</v>
      </c>
      <c r="E94" s="261" t="e">
        <f>SUM(E80:E93)</f>
        <v>#DIV/0!</v>
      </c>
      <c r="F94" s="261" t="e">
        <f>SUM(F80:F93)</f>
        <v>#DIV/0!</v>
      </c>
      <c r="G94" s="261" t="e">
        <f>SUM(G80:G93)</f>
        <v>#DIV/0!</v>
      </c>
      <c r="H94" s="261" t="e">
        <f>SUM(H80:H93)</f>
        <v>#DIV/0!</v>
      </c>
      <c r="I94" s="232" t="str">
        <f>"Sum L "&amp;A80&amp;" to L "&amp;A93&amp;""</f>
        <v>Sum L 40 to L 51</v>
      </c>
    </row>
    <row r="95" spans="1:9" ht="13">
      <c r="A95" s="2"/>
      <c r="C95" s="231"/>
      <c r="D95" s="231"/>
      <c r="E95" s="6"/>
      <c r="F95" s="232"/>
    </row>
    <row r="96" spans="1:9" ht="14.5">
      <c r="A96" s="2"/>
      <c r="C96" s="186" t="s">
        <v>2465</v>
      </c>
      <c r="D96" s="231"/>
      <c r="E96" s="6"/>
      <c r="F96" s="232"/>
    </row>
    <row r="97" spans="1:9" ht="14.5">
      <c r="A97" s="2"/>
      <c r="C97" s="186"/>
      <c r="D97" s="48" t="s">
        <v>347</v>
      </c>
      <c r="E97" s="48" t="s">
        <v>348</v>
      </c>
      <c r="F97" s="48" t="s">
        <v>349</v>
      </c>
      <c r="G97" s="48" t="s">
        <v>350</v>
      </c>
      <c r="H97" s="48" t="s">
        <v>351</v>
      </c>
    </row>
    <row r="98" spans="1:9" ht="14.5">
      <c r="A98" s="2"/>
      <c r="C98" s="186"/>
      <c r="D98" s="2" t="s">
        <v>2457</v>
      </c>
      <c r="E98" s="230" t="s">
        <v>2458</v>
      </c>
      <c r="F98" s="2"/>
      <c r="H98" s="239" t="s">
        <v>2459</v>
      </c>
    </row>
    <row r="99" spans="1:9" ht="14.5">
      <c r="A99" s="2"/>
      <c r="C99" s="3" t="s">
        <v>1187</v>
      </c>
      <c r="D99" s="3" t="s">
        <v>2460</v>
      </c>
      <c r="E99" s="202" t="s">
        <v>2461</v>
      </c>
      <c r="F99" s="3" t="s">
        <v>1400</v>
      </c>
      <c r="G99" s="3" t="s">
        <v>2462</v>
      </c>
      <c r="H99" s="3" t="s">
        <v>252</v>
      </c>
      <c r="I99" s="3" t="s">
        <v>686</v>
      </c>
    </row>
    <row r="100" spans="1:9" ht="13">
      <c r="A100" s="2">
        <f>A94+1</f>
        <v>53</v>
      </c>
      <c r="C100" s="231" t="s">
        <v>2425</v>
      </c>
      <c r="D100" s="261" t="e">
        <f t="shared" ref="D100:D108" si="10">$E$29*(E9/$E$23)</f>
        <v>#DIV/0!</v>
      </c>
      <c r="E100" s="261" t="e">
        <f t="shared" ref="E100:E110" si="11">$E$37*(E9/$E$23)</f>
        <v>#DIV/0!</v>
      </c>
      <c r="F100" s="915" t="e">
        <f>E51</f>
        <v>#DIV/0!</v>
      </c>
      <c r="G100" s="6" t="e">
        <f>(D100+E100+F100)*('28-FFU'!$D$22+'28-FFU'!$E$22)</f>
        <v>#DIV/0!</v>
      </c>
      <c r="H100" s="489" t="e">
        <f>SUM(D100:G100)</f>
        <v>#DIV/0!</v>
      </c>
      <c r="I100" s="232" t="s">
        <v>2466</v>
      </c>
    </row>
    <row r="101" spans="1:9" ht="13">
      <c r="A101" s="2">
        <f t="shared" ref="A101:A114" si="12">A100+1</f>
        <v>54</v>
      </c>
      <c r="C101" s="231" t="s">
        <v>2426</v>
      </c>
      <c r="D101" s="261" t="e">
        <f t="shared" si="10"/>
        <v>#DIV/0!</v>
      </c>
      <c r="E101" s="261" t="e">
        <f t="shared" si="11"/>
        <v>#DIV/0!</v>
      </c>
      <c r="F101" s="915" t="e">
        <f>E58</f>
        <v>#DIV/0!</v>
      </c>
      <c r="G101" s="6" t="e">
        <f>(D101+E101+F101)*('28-FFU'!$D$22+'28-FFU'!$E$22)</f>
        <v>#DIV/0!</v>
      </c>
      <c r="H101" s="489" t="e">
        <f t="shared" ref="H101:H108" si="13">SUM(D101:G101)</f>
        <v>#DIV/0!</v>
      </c>
      <c r="I101" s="232" t="s">
        <v>2466</v>
      </c>
    </row>
    <row r="102" spans="1:9" ht="13">
      <c r="A102" s="2">
        <f t="shared" si="12"/>
        <v>55</v>
      </c>
      <c r="C102" s="231" t="s">
        <v>2427</v>
      </c>
      <c r="D102" s="261" t="e">
        <f t="shared" si="10"/>
        <v>#DIV/0!</v>
      </c>
      <c r="E102" s="261" t="e">
        <f t="shared" si="11"/>
        <v>#DIV/0!</v>
      </c>
      <c r="F102" s="915">
        <v>0</v>
      </c>
      <c r="G102" s="6" t="e">
        <f>(D102+E102+F102)*('28-FFU'!$D$22+'28-FFU'!$E$22)</f>
        <v>#DIV/0!</v>
      </c>
      <c r="H102" s="489" t="e">
        <f t="shared" si="13"/>
        <v>#DIV/0!</v>
      </c>
      <c r="I102" s="232" t="s">
        <v>2466</v>
      </c>
    </row>
    <row r="103" spans="1:9" ht="13">
      <c r="A103" s="2">
        <f t="shared" si="12"/>
        <v>56</v>
      </c>
      <c r="C103" s="231" t="s">
        <v>2428</v>
      </c>
      <c r="D103" s="261" t="e">
        <f t="shared" si="10"/>
        <v>#DIV/0!</v>
      </c>
      <c r="E103" s="261" t="e">
        <f t="shared" si="11"/>
        <v>#DIV/0!</v>
      </c>
      <c r="F103" s="915">
        <v>0</v>
      </c>
      <c r="G103" s="6" t="e">
        <f>(D103+E103+F103)*('28-FFU'!$D$22+'28-FFU'!$E$22)</f>
        <v>#DIV/0!</v>
      </c>
      <c r="H103" s="489" t="e">
        <f t="shared" si="13"/>
        <v>#DIV/0!</v>
      </c>
      <c r="I103" s="232" t="s">
        <v>2466</v>
      </c>
    </row>
    <row r="104" spans="1:9" ht="13">
      <c r="A104" s="2">
        <f t="shared" si="12"/>
        <v>57</v>
      </c>
      <c r="C104" s="231" t="s">
        <v>2429</v>
      </c>
      <c r="D104" s="261" t="e">
        <f t="shared" si="10"/>
        <v>#DIV/0!</v>
      </c>
      <c r="E104" s="261" t="e">
        <f t="shared" si="11"/>
        <v>#DIV/0!</v>
      </c>
      <c r="F104" s="915">
        <v>0</v>
      </c>
      <c r="G104" s="6" t="e">
        <f>(D104+E104+F104)*('28-FFU'!$D$22+'28-FFU'!$E$22)</f>
        <v>#DIV/0!</v>
      </c>
      <c r="H104" s="489" t="e">
        <f t="shared" si="13"/>
        <v>#DIV/0!</v>
      </c>
      <c r="I104" s="232" t="s">
        <v>2466</v>
      </c>
    </row>
    <row r="105" spans="1:9" ht="13">
      <c r="A105" s="2">
        <f t="shared" si="12"/>
        <v>58</v>
      </c>
      <c r="C105" s="231" t="s">
        <v>2430</v>
      </c>
      <c r="D105" s="261" t="e">
        <f t="shared" si="10"/>
        <v>#DIV/0!</v>
      </c>
      <c r="E105" s="261" t="e">
        <f t="shared" si="11"/>
        <v>#DIV/0!</v>
      </c>
      <c r="F105" s="915">
        <v>0</v>
      </c>
      <c r="G105" s="6" t="e">
        <f>(D105+E105+F105)*('28-FFU'!$D$22+'28-FFU'!$E$22)</f>
        <v>#DIV/0!</v>
      </c>
      <c r="H105" s="489" t="e">
        <f t="shared" si="13"/>
        <v>#DIV/0!</v>
      </c>
      <c r="I105" s="232" t="s">
        <v>2466</v>
      </c>
    </row>
    <row r="106" spans="1:9" ht="13">
      <c r="A106" s="2">
        <f t="shared" si="12"/>
        <v>59</v>
      </c>
      <c r="C106" s="231" t="s">
        <v>2431</v>
      </c>
      <c r="D106" s="261" t="e">
        <f t="shared" si="10"/>
        <v>#DIV/0!</v>
      </c>
      <c r="E106" s="261" t="e">
        <f t="shared" si="11"/>
        <v>#DIV/0!</v>
      </c>
      <c r="F106" s="915">
        <v>0</v>
      </c>
      <c r="G106" s="6" t="e">
        <f>(D106+E106+F106)*('28-FFU'!$D$22+'28-FFU'!$E$22)</f>
        <v>#DIV/0!</v>
      </c>
      <c r="H106" s="489" t="e">
        <f t="shared" si="13"/>
        <v>#DIV/0!</v>
      </c>
      <c r="I106" s="232" t="s">
        <v>2466</v>
      </c>
    </row>
    <row r="107" spans="1:9" ht="13">
      <c r="A107" s="2">
        <f t="shared" si="12"/>
        <v>60</v>
      </c>
      <c r="C107" s="231" t="s">
        <v>2432</v>
      </c>
      <c r="D107" s="261" t="e">
        <f t="shared" si="10"/>
        <v>#DIV/0!</v>
      </c>
      <c r="E107" s="261" t="e">
        <f t="shared" si="11"/>
        <v>#DIV/0!</v>
      </c>
      <c r="F107" s="915">
        <v>0</v>
      </c>
      <c r="G107" s="6" t="e">
        <f>(D107+E107+F107)*('28-FFU'!$D$22+'28-FFU'!$E$22)</f>
        <v>#DIV/0!</v>
      </c>
      <c r="H107" s="489" t="e">
        <f t="shared" si="13"/>
        <v>#DIV/0!</v>
      </c>
      <c r="I107" s="232" t="s">
        <v>2466</v>
      </c>
    </row>
    <row r="108" spans="1:9" ht="13">
      <c r="A108" s="2">
        <f t="shared" si="12"/>
        <v>61</v>
      </c>
      <c r="C108" s="231" t="s">
        <v>2433</v>
      </c>
      <c r="D108" s="261" t="e">
        <f t="shared" si="10"/>
        <v>#DIV/0!</v>
      </c>
      <c r="E108" s="261" t="e">
        <f t="shared" si="11"/>
        <v>#DIV/0!</v>
      </c>
      <c r="F108" s="915">
        <v>0</v>
      </c>
      <c r="G108" s="6" t="e">
        <f>(D108+E108+F108)*('28-FFU'!$D$22+'28-FFU'!$E$22)</f>
        <v>#DIV/0!</v>
      </c>
      <c r="H108" s="489" t="e">
        <f t="shared" si="13"/>
        <v>#DIV/0!</v>
      </c>
      <c r="I108" s="232" t="s">
        <v>2466</v>
      </c>
    </row>
    <row r="109" spans="1:9" ht="13">
      <c r="A109" s="2">
        <f t="shared" si="12"/>
        <v>62</v>
      </c>
      <c r="C109" s="231" t="s">
        <v>2434</v>
      </c>
      <c r="D109" s="261" t="e">
        <f t="shared" ref="D109" si="14">$E$29*(E18/$E$23)</f>
        <v>#DIV/0!</v>
      </c>
      <c r="E109" s="261" t="e">
        <f t="shared" si="11"/>
        <v>#DIV/0!</v>
      </c>
      <c r="F109" s="915">
        <v>0</v>
      </c>
      <c r="G109" s="6" t="e">
        <f>(D109+E109+F109)*('28-FFU'!$D$22+'28-FFU'!$E$22)</f>
        <v>#DIV/0!</v>
      </c>
      <c r="H109" s="489" t="e">
        <f t="shared" ref="H109" si="15">SUM(D109:G109)</f>
        <v>#DIV/0!</v>
      </c>
      <c r="I109" s="232" t="s">
        <v>2466</v>
      </c>
    </row>
    <row r="110" spans="1:9" ht="13">
      <c r="A110" s="2">
        <f t="shared" si="12"/>
        <v>63</v>
      </c>
      <c r="C110" s="231" t="s">
        <v>2435</v>
      </c>
      <c r="D110" s="261" t="e">
        <f>$E$29*(E19/$E$23)</f>
        <v>#DIV/0!</v>
      </c>
      <c r="E110" s="261" t="e">
        <f t="shared" si="11"/>
        <v>#DIV/0!</v>
      </c>
      <c r="F110" s="915">
        <v>0</v>
      </c>
      <c r="G110" s="6" t="e">
        <f>(D110+E110+F110)*('28-FFU'!$D$22+'28-FFU'!$E$22)</f>
        <v>#DIV/0!</v>
      </c>
      <c r="H110" s="489" t="e">
        <f t="shared" ref="H110" si="16">SUM(D110:G110)</f>
        <v>#DIV/0!</v>
      </c>
      <c r="I110" s="232" t="s">
        <v>2466</v>
      </c>
    </row>
    <row r="111" spans="1:9" ht="13">
      <c r="A111" s="2" t="s">
        <v>2467</v>
      </c>
      <c r="C111" s="796" t="s">
        <v>2436</v>
      </c>
      <c r="D111" s="261" t="e">
        <f t="shared" ref="D111:D112" si="17">$E$29*(E20/$E$23)</f>
        <v>#DIV/0!</v>
      </c>
      <c r="E111" s="261" t="e">
        <f t="shared" ref="E111:E112" si="18">$E$37*(E20/$E$23)</f>
        <v>#DIV/0!</v>
      </c>
      <c r="F111" s="915">
        <v>0</v>
      </c>
      <c r="G111" s="6" t="e">
        <f>(D111+E111+F111)*('28-FFU'!$D$22+'28-FFU'!$E$22)</f>
        <v>#DIV/0!</v>
      </c>
      <c r="H111" s="489" t="e">
        <f t="shared" ref="H111:H112" si="19">SUM(D111:G111)</f>
        <v>#DIV/0!</v>
      </c>
      <c r="I111" s="232" t="s">
        <v>2466</v>
      </c>
    </row>
    <row r="112" spans="1:9" ht="13">
      <c r="A112" s="2" t="s">
        <v>2468</v>
      </c>
      <c r="C112" s="796" t="s">
        <v>1090</v>
      </c>
      <c r="D112" s="261" t="e">
        <f t="shared" si="17"/>
        <v>#DIV/0!</v>
      </c>
      <c r="E112" s="261" t="e">
        <f t="shared" si="18"/>
        <v>#DIV/0!</v>
      </c>
      <c r="F112" s="915">
        <v>0</v>
      </c>
      <c r="G112" s="6" t="e">
        <f>(D112+E112+F112)*('28-FFU'!$D$22+'28-FFU'!$E$22)</f>
        <v>#DIV/0!</v>
      </c>
      <c r="H112" s="489" t="e">
        <f t="shared" si="19"/>
        <v>#DIV/0!</v>
      </c>
      <c r="I112" s="232" t="s">
        <v>2466</v>
      </c>
    </row>
    <row r="113" spans="1:9" ht="13">
      <c r="A113" s="2">
        <f>A110+1</f>
        <v>64</v>
      </c>
      <c r="C113" s="796"/>
      <c r="D113" s="333" t="s">
        <v>391</v>
      </c>
      <c r="E113" s="333" t="s">
        <v>391</v>
      </c>
      <c r="F113" s="333" t="s">
        <v>391</v>
      </c>
      <c r="G113" s="333" t="s">
        <v>391</v>
      </c>
      <c r="H113" s="333" t="s">
        <v>391</v>
      </c>
      <c r="I113" s="232" t="s">
        <v>2466</v>
      </c>
    </row>
    <row r="114" spans="1:9" ht="13">
      <c r="A114" s="2">
        <f t="shared" si="12"/>
        <v>65</v>
      </c>
      <c r="C114" s="231" t="s">
        <v>442</v>
      </c>
      <c r="D114" s="6" t="e">
        <f>SUM(D100:D113)</f>
        <v>#DIV/0!</v>
      </c>
      <c r="E114" s="6" t="e">
        <f>SUM(E100:E113)</f>
        <v>#DIV/0!</v>
      </c>
      <c r="F114" s="6" t="e">
        <f>SUM(F100:F113)</f>
        <v>#DIV/0!</v>
      </c>
      <c r="G114" s="261" t="e">
        <f>SUM(G100:G113)</f>
        <v>#DIV/0!</v>
      </c>
      <c r="H114" s="6" t="e">
        <f>SUM(H100:H113)</f>
        <v>#DIV/0!</v>
      </c>
      <c r="I114" s="232" t="str">
        <f>"Sum of L "&amp;A100&amp;" to "&amp;A113&amp;""</f>
        <v>Sum of L 53 to 64</v>
      </c>
    </row>
    <row r="115" spans="1:9">
      <c r="C115" s="231"/>
    </row>
    <row r="116" spans="1:9" ht="13">
      <c r="B116" s="1" t="s">
        <v>2469</v>
      </c>
    </row>
    <row r="117" spans="1:9" ht="13">
      <c r="B117" s="1"/>
    </row>
    <row r="118" spans="1:9" ht="14.5">
      <c r="B118" s="1"/>
      <c r="C118" s="186" t="s">
        <v>2470</v>
      </c>
    </row>
    <row r="119" spans="1:9" ht="13">
      <c r="E119" s="3" t="s">
        <v>105</v>
      </c>
      <c r="F119" s="3" t="s">
        <v>686</v>
      </c>
    </row>
    <row r="120" spans="1:9" ht="13">
      <c r="A120" s="2">
        <f>A114+1</f>
        <v>66</v>
      </c>
      <c r="D120" s="231" t="s">
        <v>332</v>
      </c>
      <c r="E120" s="6">
        <f>F23</f>
        <v>0</v>
      </c>
      <c r="F120" s="12" t="str">
        <f>"Line "&amp;A23&amp;", Col 3"</f>
        <v>Line 13, Col 3</v>
      </c>
    </row>
    <row r="121" spans="1:9" ht="13">
      <c r="A121" s="2">
        <f>A120+1</f>
        <v>67</v>
      </c>
      <c r="D121" s="231" t="s">
        <v>310</v>
      </c>
      <c r="E121" s="190" t="e">
        <f>'2-IFPTRR'!D25</f>
        <v>#DIV/0!</v>
      </c>
      <c r="F121" s="232" t="str">
        <f>"2-IFPTRR, Line "&amp;'2-IFPTRR'!A25&amp;""</f>
        <v>2-IFPTRR, Line 16</v>
      </c>
    </row>
    <row r="122" spans="1:9" ht="13">
      <c r="A122" s="2">
        <f>A121+1</f>
        <v>68</v>
      </c>
      <c r="D122" s="231" t="s">
        <v>2471</v>
      </c>
      <c r="E122" s="6" t="e">
        <f>E120*E121</f>
        <v>#DIV/0!</v>
      </c>
      <c r="F122" s="12" t="str">
        <f>"Line "&amp;A120&amp;" * Line "&amp;A121&amp;""</f>
        <v>Line 66 * Line 67</v>
      </c>
    </row>
    <row r="123" spans="1:9" ht="13">
      <c r="A123" s="2">
        <f>A122+1</f>
        <v>69</v>
      </c>
      <c r="D123" s="231" t="s">
        <v>2454</v>
      </c>
      <c r="E123" s="53" t="e">
        <f>E122*('28-FFU'!D22+'28-FFU'!E22)</f>
        <v>#DIV/0!</v>
      </c>
      <c r="F123" s="232" t="str">
        <f>"Line "&amp;A122&amp;" * (28-FFU, L"&amp;'28-FFU'!A22&amp;" FF Factor + U Factor)"</f>
        <v>Line 68 * (28-FFU, L5 FF Factor + U Factor)</v>
      </c>
    </row>
    <row r="124" spans="1:9" ht="13">
      <c r="A124" s="2">
        <f>A123+1</f>
        <v>70</v>
      </c>
      <c r="D124" s="231" t="s">
        <v>2472</v>
      </c>
      <c r="E124" s="6" t="e">
        <f>SUM(E122:E123)</f>
        <v>#DIV/0!</v>
      </c>
      <c r="F124" s="12" t="str">
        <f>"Line "&amp;A122&amp;" + Line "&amp;A123&amp;""</f>
        <v>Line 68 + Line 69</v>
      </c>
    </row>
    <row r="125" spans="1:9" ht="13">
      <c r="A125" s="2"/>
      <c r="D125" s="231"/>
      <c r="E125" s="6"/>
    </row>
    <row r="126" spans="1:9" ht="14.5">
      <c r="A126" s="2"/>
      <c r="C126" s="186" t="s">
        <v>2473</v>
      </c>
      <c r="D126" s="231"/>
      <c r="E126" s="6"/>
      <c r="F126" s="12"/>
    </row>
    <row r="127" spans="1:9" ht="13">
      <c r="A127" s="2"/>
      <c r="D127" s="2" t="s">
        <v>81</v>
      </c>
      <c r="E127" s="2" t="s">
        <v>81</v>
      </c>
    </row>
    <row r="128" spans="1:9" ht="13">
      <c r="A128" s="2"/>
      <c r="C128" s="3" t="s">
        <v>1187</v>
      </c>
      <c r="D128" s="3" t="s">
        <v>2474</v>
      </c>
      <c r="E128" s="3" t="s">
        <v>2475</v>
      </c>
      <c r="F128" s="3" t="s">
        <v>686</v>
      </c>
    </row>
    <row r="129" spans="1:6" ht="13">
      <c r="A129" s="2">
        <f>A124+1</f>
        <v>71</v>
      </c>
      <c r="C129" s="231" t="s">
        <v>2425</v>
      </c>
      <c r="D129" s="261" t="e">
        <f t="shared" ref="D129:D137" si="20">$E$122*(F9/$F$23)</f>
        <v>#DIV/0!</v>
      </c>
      <c r="E129" s="261" t="e">
        <f t="shared" ref="E129:E137" si="21">$E$124*(F9/$F$23)</f>
        <v>#DIV/0!</v>
      </c>
      <c r="F129" s="232" t="s">
        <v>226</v>
      </c>
    </row>
    <row r="130" spans="1:6" ht="13">
      <c r="A130" s="2">
        <f t="shared" ref="A130:A143" si="22">A129+1</f>
        <v>72</v>
      </c>
      <c r="C130" s="231" t="s">
        <v>2426</v>
      </c>
      <c r="D130" s="261" t="e">
        <f t="shared" si="20"/>
        <v>#DIV/0!</v>
      </c>
      <c r="E130" s="261" t="e">
        <f t="shared" si="21"/>
        <v>#DIV/0!</v>
      </c>
      <c r="F130" s="232" t="s">
        <v>226</v>
      </c>
    </row>
    <row r="131" spans="1:6" ht="13">
      <c r="A131" s="2">
        <f t="shared" si="22"/>
        <v>73</v>
      </c>
      <c r="C131" s="231" t="s">
        <v>2427</v>
      </c>
      <c r="D131" s="261" t="e">
        <f t="shared" si="20"/>
        <v>#DIV/0!</v>
      </c>
      <c r="E131" s="261" t="e">
        <f t="shared" si="21"/>
        <v>#DIV/0!</v>
      </c>
      <c r="F131" s="232" t="s">
        <v>226</v>
      </c>
    </row>
    <row r="132" spans="1:6" ht="13">
      <c r="A132" s="2">
        <f t="shared" si="22"/>
        <v>74</v>
      </c>
      <c r="C132" s="231" t="s">
        <v>2428</v>
      </c>
      <c r="D132" s="261" t="e">
        <f t="shared" si="20"/>
        <v>#DIV/0!</v>
      </c>
      <c r="E132" s="261" t="e">
        <f t="shared" si="21"/>
        <v>#DIV/0!</v>
      </c>
      <c r="F132" s="232" t="s">
        <v>226</v>
      </c>
    </row>
    <row r="133" spans="1:6" ht="13">
      <c r="A133" s="2">
        <f t="shared" si="22"/>
        <v>75</v>
      </c>
      <c r="C133" s="231" t="s">
        <v>2429</v>
      </c>
      <c r="D133" s="261" t="e">
        <f t="shared" si="20"/>
        <v>#DIV/0!</v>
      </c>
      <c r="E133" s="261" t="e">
        <f t="shared" si="21"/>
        <v>#DIV/0!</v>
      </c>
      <c r="F133" s="232" t="s">
        <v>226</v>
      </c>
    </row>
    <row r="134" spans="1:6" ht="13">
      <c r="A134" s="2">
        <f t="shared" si="22"/>
        <v>76</v>
      </c>
      <c r="C134" s="231" t="s">
        <v>2430</v>
      </c>
      <c r="D134" s="261" t="e">
        <f t="shared" si="20"/>
        <v>#DIV/0!</v>
      </c>
      <c r="E134" s="261" t="e">
        <f t="shared" si="21"/>
        <v>#DIV/0!</v>
      </c>
      <c r="F134" s="232" t="s">
        <v>226</v>
      </c>
    </row>
    <row r="135" spans="1:6" ht="13">
      <c r="A135" s="2">
        <f t="shared" si="22"/>
        <v>77</v>
      </c>
      <c r="C135" s="231" t="s">
        <v>2431</v>
      </c>
      <c r="D135" s="261" t="e">
        <f t="shared" si="20"/>
        <v>#DIV/0!</v>
      </c>
      <c r="E135" s="261" t="e">
        <f t="shared" si="21"/>
        <v>#DIV/0!</v>
      </c>
      <c r="F135" s="232" t="s">
        <v>226</v>
      </c>
    </row>
    <row r="136" spans="1:6" ht="13">
      <c r="A136" s="2">
        <f t="shared" si="22"/>
        <v>78</v>
      </c>
      <c r="C136" s="231" t="s">
        <v>2432</v>
      </c>
      <c r="D136" s="261" t="e">
        <f t="shared" si="20"/>
        <v>#DIV/0!</v>
      </c>
      <c r="E136" s="261" t="e">
        <f t="shared" si="21"/>
        <v>#DIV/0!</v>
      </c>
      <c r="F136" s="232" t="s">
        <v>226</v>
      </c>
    </row>
    <row r="137" spans="1:6" ht="13">
      <c r="A137" s="2">
        <f t="shared" si="22"/>
        <v>79</v>
      </c>
      <c r="C137" s="231" t="s">
        <v>2433</v>
      </c>
      <c r="D137" s="261" t="e">
        <f t="shared" si="20"/>
        <v>#DIV/0!</v>
      </c>
      <c r="E137" s="261" t="e">
        <f t="shared" si="21"/>
        <v>#DIV/0!</v>
      </c>
      <c r="F137" s="232" t="s">
        <v>226</v>
      </c>
    </row>
    <row r="138" spans="1:6" ht="13">
      <c r="A138" s="2">
        <f t="shared" si="22"/>
        <v>80</v>
      </c>
      <c r="C138" s="231" t="s">
        <v>2434</v>
      </c>
      <c r="D138" s="261" t="e">
        <f t="shared" ref="D138" si="23">$E$122*(F18/$F$23)</f>
        <v>#DIV/0!</v>
      </c>
      <c r="E138" s="261" t="e">
        <f t="shared" ref="E138" si="24">$E$124*(F18/$F$23)</f>
        <v>#DIV/0!</v>
      </c>
      <c r="F138" s="232" t="s">
        <v>226</v>
      </c>
    </row>
    <row r="139" spans="1:6" ht="13">
      <c r="A139" s="2">
        <f t="shared" si="22"/>
        <v>81</v>
      </c>
      <c r="C139" s="231" t="s">
        <v>2435</v>
      </c>
      <c r="D139" s="261" t="e">
        <f t="shared" ref="D139:D141" si="25">$E$122*(F19/$F$23)</f>
        <v>#DIV/0!</v>
      </c>
      <c r="E139" s="261" t="e">
        <f t="shared" ref="E139:E141" si="26">$E$124*(F19/$F$23)</f>
        <v>#DIV/0!</v>
      </c>
      <c r="F139" s="232" t="s">
        <v>226</v>
      </c>
    </row>
    <row r="140" spans="1:6" ht="13">
      <c r="A140" s="2" t="s">
        <v>2476</v>
      </c>
      <c r="C140" s="796" t="s">
        <v>2436</v>
      </c>
      <c r="D140" s="261" t="e">
        <f t="shared" si="25"/>
        <v>#DIV/0!</v>
      </c>
      <c r="E140" s="261" t="e">
        <f t="shared" si="26"/>
        <v>#DIV/0!</v>
      </c>
      <c r="F140" s="232" t="s">
        <v>226</v>
      </c>
    </row>
    <row r="141" spans="1:6" ht="13">
      <c r="A141" s="2" t="s">
        <v>2477</v>
      </c>
      <c r="C141" s="796" t="s">
        <v>1090</v>
      </c>
      <c r="D141" s="261" t="e">
        <f t="shared" si="25"/>
        <v>#DIV/0!</v>
      </c>
      <c r="E141" s="261" t="e">
        <f t="shared" si="26"/>
        <v>#DIV/0!</v>
      </c>
      <c r="F141" s="232" t="s">
        <v>226</v>
      </c>
    </row>
    <row r="142" spans="1:6" ht="13">
      <c r="A142" s="2">
        <f>A139+1</f>
        <v>82</v>
      </c>
      <c r="C142" s="796"/>
      <c r="D142" s="1005" t="s">
        <v>391</v>
      </c>
      <c r="E142" s="1005" t="s">
        <v>391</v>
      </c>
      <c r="F142" s="232" t="s">
        <v>226</v>
      </c>
    </row>
    <row r="143" spans="1:6" ht="13">
      <c r="A143" s="2">
        <f t="shared" si="22"/>
        <v>83</v>
      </c>
      <c r="C143" s="231" t="s">
        <v>442</v>
      </c>
      <c r="D143" s="6" t="e">
        <f>SUM(D129:D142)</f>
        <v>#DIV/0!</v>
      </c>
      <c r="E143" s="6" t="e">
        <f>SUM(E129:E142)</f>
        <v>#DIV/0!</v>
      </c>
      <c r="F143" s="232" t="str">
        <f>"Sum of Lines "&amp;A129&amp;" to "&amp;A142&amp;""</f>
        <v>Sum of Lines 71 to 82</v>
      </c>
    </row>
    <row r="145" spans="1:8" ht="13">
      <c r="B145" s="1" t="s">
        <v>2478</v>
      </c>
    </row>
    <row r="146" spans="1:8" ht="13">
      <c r="B146" s="1"/>
    </row>
    <row r="147" spans="1:8" ht="14.5">
      <c r="C147" s="186" t="s">
        <v>2470</v>
      </c>
    </row>
    <row r="148" spans="1:8" ht="13">
      <c r="E148" s="3" t="s">
        <v>105</v>
      </c>
      <c r="F148" s="3" t="s">
        <v>686</v>
      </c>
      <c r="H148" s="1"/>
    </row>
    <row r="149" spans="1:8" ht="13">
      <c r="A149" s="2">
        <f>A143+1</f>
        <v>84</v>
      </c>
      <c r="D149" s="231" t="s">
        <v>2479</v>
      </c>
      <c r="E149" s="6" t="e">
        <f>SUM(D67:D70)</f>
        <v>#DIV/0!</v>
      </c>
      <c r="F149" s="12" t="str">
        <f>"Sum Line "&amp;A67&amp;" to "&amp;A70&amp;""</f>
        <v>Sum Line 34 to 37</v>
      </c>
    </row>
    <row r="150" spans="1:8" ht="13">
      <c r="A150" s="2">
        <f t="shared" ref="A150:A157" si="27">A149+1</f>
        <v>85</v>
      </c>
      <c r="D150" s="231" t="s">
        <v>2480</v>
      </c>
      <c r="E150" s="6" t="e">
        <f>E122</f>
        <v>#DIV/0!</v>
      </c>
      <c r="F150" s="12" t="str">
        <f>"Line "&amp;A122&amp;""</f>
        <v>Line 68</v>
      </c>
    </row>
    <row r="151" spans="1:8" ht="13">
      <c r="A151" s="2">
        <f t="shared" si="27"/>
        <v>86</v>
      </c>
      <c r="D151" s="231" t="s">
        <v>2481</v>
      </c>
      <c r="E151" s="6" t="e">
        <f>SUM(E149:E150)</f>
        <v>#DIV/0!</v>
      </c>
      <c r="F151" s="12" t="str">
        <f>"Line "&amp;A149&amp;" + Line "&amp;A150&amp;""</f>
        <v>Line 84 + Line 85</v>
      </c>
    </row>
    <row r="152" spans="1:8" ht="13">
      <c r="A152" s="2">
        <f t="shared" si="27"/>
        <v>87</v>
      </c>
      <c r="D152" s="231" t="s">
        <v>2482</v>
      </c>
      <c r="E152" s="7" t="e">
        <f>'28-FFU'!D22</f>
        <v>#DIV/0!</v>
      </c>
      <c r="F152" s="232" t="str">
        <f>"28-FFU, Line "&amp;'28-FFU'!A22&amp;""</f>
        <v>28-FFU, Line 5</v>
      </c>
    </row>
    <row r="153" spans="1:8" ht="13">
      <c r="A153" s="2">
        <f t="shared" si="27"/>
        <v>88</v>
      </c>
      <c r="D153" s="231" t="s">
        <v>2483</v>
      </c>
      <c r="E153" s="7" t="e">
        <f>'28-FFU'!E22</f>
        <v>#DIV/0!</v>
      </c>
      <c r="F153" s="232" t="str">
        <f>"28-FFU, Line "&amp;'28-FFU'!A22&amp;""</f>
        <v>28-FFU, Line 5</v>
      </c>
    </row>
    <row r="154" spans="1:8" ht="13">
      <c r="A154" s="2">
        <f t="shared" si="27"/>
        <v>89</v>
      </c>
      <c r="D154" s="231" t="s">
        <v>2484</v>
      </c>
      <c r="E154" s="6" t="e">
        <f>E151*E152</f>
        <v>#DIV/0!</v>
      </c>
      <c r="F154" s="12" t="str">
        <f>"Line "&amp;A151&amp;" * Line "&amp;A152&amp;""</f>
        <v>Line 86 * Line 87</v>
      </c>
    </row>
    <row r="155" spans="1:8" ht="13">
      <c r="A155" s="2">
        <f t="shared" si="27"/>
        <v>90</v>
      </c>
      <c r="D155" s="231" t="s">
        <v>2485</v>
      </c>
      <c r="E155" s="6" t="e">
        <f>E151*E153</f>
        <v>#DIV/0!</v>
      </c>
      <c r="F155" s="12" t="str">
        <f>"Line "&amp;A151&amp;" * Line "&amp;A153&amp;""</f>
        <v>Line 86 * Line 88</v>
      </c>
    </row>
    <row r="156" spans="1:8" ht="13">
      <c r="A156" s="2">
        <f t="shared" si="27"/>
        <v>91</v>
      </c>
      <c r="D156" s="231" t="s">
        <v>2486</v>
      </c>
      <c r="E156" s="6" t="e">
        <f>E151+E154+E155</f>
        <v>#DIV/0!</v>
      </c>
      <c r="F156" s="232" t="str">
        <f>"Line "&amp;A151&amp;" + Line "&amp;A154&amp;" + Line "&amp;A155&amp;""</f>
        <v>Line 86 + Line 89 + Line 90</v>
      </c>
    </row>
    <row r="157" spans="1:8" ht="13">
      <c r="A157" s="2">
        <f t="shared" si="27"/>
        <v>92</v>
      </c>
      <c r="D157" s="231" t="s">
        <v>2487</v>
      </c>
      <c r="E157" s="6" t="e">
        <f>E151+E154</f>
        <v>#DIV/0!</v>
      </c>
      <c r="F157" s="232" t="str">
        <f>"Line "&amp;A151&amp;" + Line "&amp;A154&amp;""</f>
        <v>Line 86 + Line 89</v>
      </c>
    </row>
    <row r="159" spans="1:8" ht="14.5">
      <c r="C159" s="186" t="s">
        <v>2488</v>
      </c>
    </row>
    <row r="160" spans="1:8" ht="14.5">
      <c r="C160" s="186"/>
      <c r="D160" s="48" t="s">
        <v>347</v>
      </c>
      <c r="E160" s="48" t="s">
        <v>348</v>
      </c>
      <c r="F160" s="48" t="s">
        <v>349</v>
      </c>
      <c r="G160" s="48" t="s">
        <v>350</v>
      </c>
    </row>
    <row r="161" spans="1:8" ht="12.75" customHeight="1">
      <c r="D161" s="120" t="s">
        <v>2450</v>
      </c>
      <c r="E161" s="120" t="s">
        <v>10</v>
      </c>
    </row>
    <row r="162" spans="1:8" ht="12.75" customHeight="1">
      <c r="D162" s="3" t="s">
        <v>2474</v>
      </c>
      <c r="E162" s="3" t="s">
        <v>2474</v>
      </c>
      <c r="F162" s="3" t="s">
        <v>2462</v>
      </c>
      <c r="G162" s="121" t="s">
        <v>252</v>
      </c>
      <c r="H162" s="3" t="s">
        <v>686</v>
      </c>
    </row>
    <row r="163" spans="1:8" ht="13">
      <c r="A163" s="2">
        <f>A157+1</f>
        <v>93</v>
      </c>
      <c r="C163" s="231" t="s">
        <v>2425</v>
      </c>
      <c r="D163" s="6" t="e">
        <f t="shared" ref="D163:D173" si="28">D80+E80+F80</f>
        <v>#DIV/0!</v>
      </c>
      <c r="E163" s="6" t="e">
        <f t="shared" ref="E163:E171" si="29">D129</f>
        <v>#DIV/0!</v>
      </c>
      <c r="F163" s="6" t="e">
        <f>(D163+E163)*('28-FFU'!$D$22+'28-FFU'!$E$22)</f>
        <v>#DIV/0!</v>
      </c>
      <c r="G163" s="6" t="e">
        <f>SUM(D163:F163)</f>
        <v>#DIV/0!</v>
      </c>
      <c r="H163" s="232" t="s">
        <v>217</v>
      </c>
    </row>
    <row r="164" spans="1:8" ht="13">
      <c r="A164" s="2">
        <f t="shared" ref="A164:A177" si="30">A163+1</f>
        <v>94</v>
      </c>
      <c r="C164" s="231" t="s">
        <v>2426</v>
      </c>
      <c r="D164" s="6" t="e">
        <f t="shared" si="28"/>
        <v>#DIV/0!</v>
      </c>
      <c r="E164" s="6" t="e">
        <f t="shared" si="29"/>
        <v>#DIV/0!</v>
      </c>
      <c r="F164" s="6" t="e">
        <f>(D164+E164)*('28-FFU'!$D$22+'28-FFU'!$E$22)</f>
        <v>#DIV/0!</v>
      </c>
      <c r="G164" s="6" t="e">
        <f t="shared" ref="G164:G171" si="31">SUM(D164:F164)</f>
        <v>#DIV/0!</v>
      </c>
      <c r="H164" s="232" t="s">
        <v>217</v>
      </c>
    </row>
    <row r="165" spans="1:8" ht="13">
      <c r="A165" s="2">
        <f t="shared" si="30"/>
        <v>95</v>
      </c>
      <c r="C165" s="231" t="s">
        <v>2427</v>
      </c>
      <c r="D165" s="6" t="e">
        <f t="shared" si="28"/>
        <v>#DIV/0!</v>
      </c>
      <c r="E165" s="6" t="e">
        <f t="shared" si="29"/>
        <v>#DIV/0!</v>
      </c>
      <c r="F165" s="6" t="e">
        <f>(D165+E165)*('28-FFU'!$D$22+'28-FFU'!$E$22)</f>
        <v>#DIV/0!</v>
      </c>
      <c r="G165" s="6" t="e">
        <f t="shared" si="31"/>
        <v>#DIV/0!</v>
      </c>
      <c r="H165" s="232" t="s">
        <v>217</v>
      </c>
    </row>
    <row r="166" spans="1:8" ht="13">
      <c r="A166" s="2">
        <f t="shared" si="30"/>
        <v>96</v>
      </c>
      <c r="C166" s="231" t="s">
        <v>2428</v>
      </c>
      <c r="D166" s="6" t="e">
        <f t="shared" si="28"/>
        <v>#DIV/0!</v>
      </c>
      <c r="E166" s="6" t="e">
        <f t="shared" si="29"/>
        <v>#DIV/0!</v>
      </c>
      <c r="F166" s="6" t="e">
        <f>(D166+E166)*('28-FFU'!$D$22+'28-FFU'!$E$22)</f>
        <v>#DIV/0!</v>
      </c>
      <c r="G166" s="6" t="e">
        <f t="shared" si="31"/>
        <v>#DIV/0!</v>
      </c>
      <c r="H166" s="232" t="s">
        <v>217</v>
      </c>
    </row>
    <row r="167" spans="1:8" ht="13">
      <c r="A167" s="2">
        <f t="shared" si="30"/>
        <v>97</v>
      </c>
      <c r="C167" s="231" t="s">
        <v>2429</v>
      </c>
      <c r="D167" s="6" t="e">
        <f t="shared" si="28"/>
        <v>#DIV/0!</v>
      </c>
      <c r="E167" s="6" t="e">
        <f t="shared" si="29"/>
        <v>#DIV/0!</v>
      </c>
      <c r="F167" s="6" t="e">
        <f>(D167+E167)*('28-FFU'!$D$22+'28-FFU'!$E$22)</f>
        <v>#DIV/0!</v>
      </c>
      <c r="G167" s="6" t="e">
        <f t="shared" si="31"/>
        <v>#DIV/0!</v>
      </c>
      <c r="H167" s="232" t="s">
        <v>217</v>
      </c>
    </row>
    <row r="168" spans="1:8" ht="13">
      <c r="A168" s="2">
        <f t="shared" si="30"/>
        <v>98</v>
      </c>
      <c r="C168" s="231" t="s">
        <v>2430</v>
      </c>
      <c r="D168" s="6" t="e">
        <f t="shared" si="28"/>
        <v>#DIV/0!</v>
      </c>
      <c r="E168" s="6" t="e">
        <f t="shared" si="29"/>
        <v>#DIV/0!</v>
      </c>
      <c r="F168" s="6" t="e">
        <f>(D168+E168)*('28-FFU'!$D$22+'28-FFU'!$E$22)</f>
        <v>#DIV/0!</v>
      </c>
      <c r="G168" s="6" t="e">
        <f t="shared" si="31"/>
        <v>#DIV/0!</v>
      </c>
      <c r="H168" s="232" t="s">
        <v>217</v>
      </c>
    </row>
    <row r="169" spans="1:8" ht="13">
      <c r="A169" s="2">
        <f t="shared" si="30"/>
        <v>99</v>
      </c>
      <c r="C169" s="231" t="s">
        <v>2431</v>
      </c>
      <c r="D169" s="6" t="e">
        <f t="shared" si="28"/>
        <v>#DIV/0!</v>
      </c>
      <c r="E169" s="6" t="e">
        <f t="shared" si="29"/>
        <v>#DIV/0!</v>
      </c>
      <c r="F169" s="6" t="e">
        <f>(D169+E169)*('28-FFU'!$D$22+'28-FFU'!$E$22)</f>
        <v>#DIV/0!</v>
      </c>
      <c r="G169" s="6" t="e">
        <f t="shared" si="31"/>
        <v>#DIV/0!</v>
      </c>
      <c r="H169" s="232" t="s">
        <v>217</v>
      </c>
    </row>
    <row r="170" spans="1:8" ht="13">
      <c r="A170" s="2">
        <f t="shared" si="30"/>
        <v>100</v>
      </c>
      <c r="C170" s="231" t="s">
        <v>2432</v>
      </c>
      <c r="D170" s="6" t="e">
        <f t="shared" si="28"/>
        <v>#DIV/0!</v>
      </c>
      <c r="E170" s="6" t="e">
        <f t="shared" si="29"/>
        <v>#DIV/0!</v>
      </c>
      <c r="F170" s="6" t="e">
        <f>(D170+E170)*('28-FFU'!$D$22+'28-FFU'!$E$22)</f>
        <v>#DIV/0!</v>
      </c>
      <c r="G170" s="6" t="e">
        <f t="shared" si="31"/>
        <v>#DIV/0!</v>
      </c>
      <c r="H170" s="232" t="s">
        <v>217</v>
      </c>
    </row>
    <row r="171" spans="1:8" ht="13">
      <c r="A171" s="2">
        <f t="shared" si="30"/>
        <v>101</v>
      </c>
      <c r="C171" s="231" t="s">
        <v>2433</v>
      </c>
      <c r="D171" s="6" t="e">
        <f t="shared" si="28"/>
        <v>#DIV/0!</v>
      </c>
      <c r="E171" s="6" t="e">
        <f t="shared" si="29"/>
        <v>#DIV/0!</v>
      </c>
      <c r="F171" s="6" t="e">
        <f>(D171+E171)*('28-FFU'!$D$22+'28-FFU'!$E$22)</f>
        <v>#DIV/0!</v>
      </c>
      <c r="G171" s="6" t="e">
        <f t="shared" si="31"/>
        <v>#DIV/0!</v>
      </c>
      <c r="H171" s="232" t="s">
        <v>217</v>
      </c>
    </row>
    <row r="172" spans="1:8" ht="13">
      <c r="A172" s="2">
        <f t="shared" si="30"/>
        <v>102</v>
      </c>
      <c r="C172" s="231" t="s">
        <v>2434</v>
      </c>
      <c r="D172" s="6" t="e">
        <f t="shared" si="28"/>
        <v>#DIV/0!</v>
      </c>
      <c r="E172" s="6" t="e">
        <f t="shared" ref="E172" si="32">D138</f>
        <v>#DIV/0!</v>
      </c>
      <c r="F172" s="6" t="e">
        <f>(D172+E172)*('28-FFU'!$D$22+'28-FFU'!$E$22)</f>
        <v>#DIV/0!</v>
      </c>
      <c r="G172" s="6" t="e">
        <f t="shared" ref="G172" si="33">SUM(D172:F172)</f>
        <v>#DIV/0!</v>
      </c>
      <c r="H172" s="232" t="s">
        <v>217</v>
      </c>
    </row>
    <row r="173" spans="1:8" ht="13">
      <c r="A173" s="2">
        <f t="shared" si="30"/>
        <v>103</v>
      </c>
      <c r="C173" s="231" t="s">
        <v>2435</v>
      </c>
      <c r="D173" s="6" t="e">
        <f t="shared" si="28"/>
        <v>#DIV/0!</v>
      </c>
      <c r="E173" s="6" t="e">
        <f t="shared" ref="E173:E175" si="34">D139</f>
        <v>#DIV/0!</v>
      </c>
      <c r="F173" s="6" t="e">
        <f>(D173+E173)*('28-FFU'!$D$22+'28-FFU'!$E$22)</f>
        <v>#DIV/0!</v>
      </c>
      <c r="G173" s="6" t="e">
        <f t="shared" ref="G173:G175" si="35">SUM(D173:F173)</f>
        <v>#DIV/0!</v>
      </c>
      <c r="H173" s="232" t="s">
        <v>217</v>
      </c>
    </row>
    <row r="174" spans="1:8" ht="13">
      <c r="A174" s="2" t="s">
        <v>2489</v>
      </c>
      <c r="C174" s="796" t="s">
        <v>2436</v>
      </c>
      <c r="D174" s="6" t="e">
        <f t="shared" ref="D174:D175" si="36">D91+E91+F91</f>
        <v>#DIV/0!</v>
      </c>
      <c r="E174" s="6" t="e">
        <f t="shared" si="34"/>
        <v>#DIV/0!</v>
      </c>
      <c r="F174" s="6" t="e">
        <f>(D174+E174)*('28-FFU'!$D$22+'28-FFU'!$E$22)</f>
        <v>#DIV/0!</v>
      </c>
      <c r="G174" s="6" t="e">
        <f t="shared" si="35"/>
        <v>#DIV/0!</v>
      </c>
      <c r="H174" s="232" t="s">
        <v>217</v>
      </c>
    </row>
    <row r="175" spans="1:8" ht="13">
      <c r="A175" s="2" t="s">
        <v>2490</v>
      </c>
      <c r="C175" s="796" t="s">
        <v>1090</v>
      </c>
      <c r="D175" s="6" t="e">
        <f t="shared" si="36"/>
        <v>#DIV/0!</v>
      </c>
      <c r="E175" s="6" t="e">
        <f t="shared" si="34"/>
        <v>#DIV/0!</v>
      </c>
      <c r="F175" s="6" t="e">
        <f>(D175+E175)*('28-FFU'!$D$22+'28-FFU'!$E$22)</f>
        <v>#DIV/0!</v>
      </c>
      <c r="G175" s="6" t="e">
        <f t="shared" si="35"/>
        <v>#DIV/0!</v>
      </c>
      <c r="H175" s="232" t="s">
        <v>217</v>
      </c>
    </row>
    <row r="176" spans="1:8" ht="13">
      <c r="A176" s="2">
        <f>A173+1</f>
        <v>104</v>
      </c>
      <c r="C176" s="796"/>
      <c r="D176" s="1005" t="s">
        <v>391</v>
      </c>
      <c r="E176" s="1005" t="s">
        <v>391</v>
      </c>
      <c r="F176" s="1005" t="s">
        <v>391</v>
      </c>
      <c r="G176" s="1005" t="s">
        <v>391</v>
      </c>
      <c r="H176" s="232" t="s">
        <v>217</v>
      </c>
    </row>
    <row r="177" spans="1:8" ht="13">
      <c r="A177" s="2">
        <f t="shared" si="30"/>
        <v>105</v>
      </c>
      <c r="C177" s="231" t="s">
        <v>442</v>
      </c>
      <c r="D177" s="6" t="e">
        <f>SUM(D163:D176)</f>
        <v>#DIV/0!</v>
      </c>
      <c r="E177" s="6" t="e">
        <f>SUM(E163:E176)</f>
        <v>#DIV/0!</v>
      </c>
      <c r="F177" s="6" t="e">
        <f>SUM(F163:F176)</f>
        <v>#DIV/0!</v>
      </c>
      <c r="G177" s="6" t="e">
        <f>SUM(G163:G176)</f>
        <v>#DIV/0!</v>
      </c>
    </row>
    <row r="179" spans="1:8" ht="14.5">
      <c r="C179" s="186" t="s">
        <v>2491</v>
      </c>
    </row>
    <row r="180" spans="1:8" ht="14.5">
      <c r="C180" s="186"/>
    </row>
    <row r="181" spans="1:8" ht="13">
      <c r="D181" s="48" t="s">
        <v>347</v>
      </c>
      <c r="E181" s="48" t="s">
        <v>348</v>
      </c>
      <c r="F181" s="48" t="s">
        <v>349</v>
      </c>
      <c r="G181" s="48" t="s">
        <v>350</v>
      </c>
    </row>
    <row r="182" spans="1:8" ht="12.75" customHeight="1">
      <c r="D182" s="120" t="s">
        <v>2450</v>
      </c>
      <c r="E182" s="120" t="s">
        <v>10</v>
      </c>
      <c r="F182" s="48"/>
      <c r="G182" s="48"/>
    </row>
    <row r="183" spans="1:8" ht="12.75" customHeight="1">
      <c r="D183" s="3" t="s">
        <v>2474</v>
      </c>
      <c r="E183" s="3" t="s">
        <v>2474</v>
      </c>
      <c r="F183" s="3" t="s">
        <v>2492</v>
      </c>
      <c r="G183" s="121" t="s">
        <v>252</v>
      </c>
      <c r="H183" s="3" t="s">
        <v>686</v>
      </c>
    </row>
    <row r="184" spans="1:8" ht="13">
      <c r="A184" s="2">
        <f>A177+1</f>
        <v>106</v>
      </c>
      <c r="C184" s="231" t="s">
        <v>2425</v>
      </c>
      <c r="D184" s="6" t="e">
        <f t="shared" ref="D184:D192" si="37">D80+E80+F80</f>
        <v>#DIV/0!</v>
      </c>
      <c r="E184" s="6" t="e">
        <f t="shared" ref="E184:E192" si="38">D129</f>
        <v>#DIV/0!</v>
      </c>
      <c r="F184" s="6" t="e">
        <f>(D184+E184)*('28-FFU'!$D$22)</f>
        <v>#DIV/0!</v>
      </c>
      <c r="G184" s="6" t="e">
        <f>SUM(D184:F184)</f>
        <v>#DIV/0!</v>
      </c>
      <c r="H184" s="232" t="s">
        <v>129</v>
      </c>
    </row>
    <row r="185" spans="1:8" ht="13">
      <c r="A185" s="2">
        <f t="shared" ref="A185:A198" si="39">A184+1</f>
        <v>107</v>
      </c>
      <c r="C185" s="231" t="s">
        <v>2426</v>
      </c>
      <c r="D185" s="6" t="e">
        <f t="shared" si="37"/>
        <v>#DIV/0!</v>
      </c>
      <c r="E185" s="6" t="e">
        <f t="shared" si="38"/>
        <v>#DIV/0!</v>
      </c>
      <c r="F185" s="6" t="e">
        <f>(D185+E185)*('28-FFU'!$D$22)</f>
        <v>#DIV/0!</v>
      </c>
      <c r="G185" s="6" t="e">
        <f t="shared" ref="G185:G192" si="40">SUM(D185:F185)</f>
        <v>#DIV/0!</v>
      </c>
      <c r="H185" s="232" t="s">
        <v>129</v>
      </c>
    </row>
    <row r="186" spans="1:8" ht="13">
      <c r="A186" s="2">
        <f t="shared" si="39"/>
        <v>108</v>
      </c>
      <c r="C186" s="231" t="s">
        <v>2427</v>
      </c>
      <c r="D186" s="6" t="e">
        <f t="shared" si="37"/>
        <v>#DIV/0!</v>
      </c>
      <c r="E186" s="6" t="e">
        <f t="shared" si="38"/>
        <v>#DIV/0!</v>
      </c>
      <c r="F186" s="6" t="e">
        <f>(D186+E186)*('28-FFU'!$D$22)</f>
        <v>#DIV/0!</v>
      </c>
      <c r="G186" s="6" t="e">
        <f t="shared" si="40"/>
        <v>#DIV/0!</v>
      </c>
      <c r="H186" s="232" t="s">
        <v>129</v>
      </c>
    </row>
    <row r="187" spans="1:8" ht="13">
      <c r="A187" s="2">
        <f t="shared" si="39"/>
        <v>109</v>
      </c>
      <c r="C187" s="231" t="s">
        <v>2428</v>
      </c>
      <c r="D187" s="6" t="e">
        <f t="shared" si="37"/>
        <v>#DIV/0!</v>
      </c>
      <c r="E187" s="6" t="e">
        <f t="shared" si="38"/>
        <v>#DIV/0!</v>
      </c>
      <c r="F187" s="6" t="e">
        <f>(D187+E187)*('28-FFU'!$D$22)</f>
        <v>#DIV/0!</v>
      </c>
      <c r="G187" s="6" t="e">
        <f t="shared" si="40"/>
        <v>#DIV/0!</v>
      </c>
      <c r="H187" s="232" t="s">
        <v>129</v>
      </c>
    </row>
    <row r="188" spans="1:8" ht="13">
      <c r="A188" s="2">
        <f t="shared" si="39"/>
        <v>110</v>
      </c>
      <c r="C188" s="231" t="s">
        <v>2429</v>
      </c>
      <c r="D188" s="6" t="e">
        <f t="shared" si="37"/>
        <v>#DIV/0!</v>
      </c>
      <c r="E188" s="6" t="e">
        <f t="shared" si="38"/>
        <v>#DIV/0!</v>
      </c>
      <c r="F188" s="6" t="e">
        <f>(D188+E188)*('28-FFU'!$D$22)</f>
        <v>#DIV/0!</v>
      </c>
      <c r="G188" s="6" t="e">
        <f t="shared" si="40"/>
        <v>#DIV/0!</v>
      </c>
      <c r="H188" s="232" t="s">
        <v>129</v>
      </c>
    </row>
    <row r="189" spans="1:8" ht="13">
      <c r="A189" s="2">
        <f t="shared" si="39"/>
        <v>111</v>
      </c>
      <c r="C189" s="231" t="s">
        <v>2430</v>
      </c>
      <c r="D189" s="6" t="e">
        <f t="shared" si="37"/>
        <v>#DIV/0!</v>
      </c>
      <c r="E189" s="6" t="e">
        <f t="shared" si="38"/>
        <v>#DIV/0!</v>
      </c>
      <c r="F189" s="6" t="e">
        <f>(D189+E189)*('28-FFU'!$D$22)</f>
        <v>#DIV/0!</v>
      </c>
      <c r="G189" s="6" t="e">
        <f t="shared" si="40"/>
        <v>#DIV/0!</v>
      </c>
      <c r="H189" s="232" t="s">
        <v>129</v>
      </c>
    </row>
    <row r="190" spans="1:8" ht="13">
      <c r="A190" s="2">
        <f t="shared" si="39"/>
        <v>112</v>
      </c>
      <c r="C190" s="231" t="s">
        <v>2431</v>
      </c>
      <c r="D190" s="6" t="e">
        <f t="shared" si="37"/>
        <v>#DIV/0!</v>
      </c>
      <c r="E190" s="6" t="e">
        <f t="shared" si="38"/>
        <v>#DIV/0!</v>
      </c>
      <c r="F190" s="6" t="e">
        <f>(D190+E190)*('28-FFU'!$D$22)</f>
        <v>#DIV/0!</v>
      </c>
      <c r="G190" s="6" t="e">
        <f t="shared" si="40"/>
        <v>#DIV/0!</v>
      </c>
      <c r="H190" s="232" t="s">
        <v>129</v>
      </c>
    </row>
    <row r="191" spans="1:8" ht="13">
      <c r="A191" s="2">
        <f t="shared" si="39"/>
        <v>113</v>
      </c>
      <c r="C191" s="231" t="s">
        <v>2432</v>
      </c>
      <c r="D191" s="6" t="e">
        <f t="shared" si="37"/>
        <v>#DIV/0!</v>
      </c>
      <c r="E191" s="6" t="e">
        <f t="shared" si="38"/>
        <v>#DIV/0!</v>
      </c>
      <c r="F191" s="6" t="e">
        <f>(D191+E191)*('28-FFU'!$D$22)</f>
        <v>#DIV/0!</v>
      </c>
      <c r="G191" s="6" t="e">
        <f t="shared" si="40"/>
        <v>#DIV/0!</v>
      </c>
      <c r="H191" s="232" t="s">
        <v>129</v>
      </c>
    </row>
    <row r="192" spans="1:8" ht="13">
      <c r="A192" s="2">
        <f t="shared" si="39"/>
        <v>114</v>
      </c>
      <c r="C192" s="231" t="s">
        <v>2433</v>
      </c>
      <c r="D192" s="6" t="e">
        <f t="shared" si="37"/>
        <v>#DIV/0!</v>
      </c>
      <c r="E192" s="6" t="e">
        <f t="shared" si="38"/>
        <v>#DIV/0!</v>
      </c>
      <c r="F192" s="6" t="e">
        <f>(D192+E192)*('28-FFU'!$D$22)</f>
        <v>#DIV/0!</v>
      </c>
      <c r="G192" s="6" t="e">
        <f t="shared" si="40"/>
        <v>#DIV/0!</v>
      </c>
      <c r="H192" s="232" t="s">
        <v>129</v>
      </c>
    </row>
    <row r="193" spans="1:8" ht="13">
      <c r="A193" s="2">
        <f t="shared" si="39"/>
        <v>115</v>
      </c>
      <c r="C193" s="231" t="s">
        <v>2434</v>
      </c>
      <c r="D193" s="6" t="e">
        <f t="shared" ref="D193" si="41">D89+E89+F89</f>
        <v>#DIV/0!</v>
      </c>
      <c r="E193" s="6" t="e">
        <f t="shared" ref="E193" si="42">D138</f>
        <v>#DIV/0!</v>
      </c>
      <c r="F193" s="6" t="e">
        <f>(D193+E193)*('28-FFU'!$D$22)</f>
        <v>#DIV/0!</v>
      </c>
      <c r="G193" s="6" t="e">
        <f t="shared" ref="G193" si="43">SUM(D193:F193)</f>
        <v>#DIV/0!</v>
      </c>
      <c r="H193" s="232" t="s">
        <v>129</v>
      </c>
    </row>
    <row r="194" spans="1:8" ht="13">
      <c r="A194" s="2">
        <f t="shared" si="39"/>
        <v>116</v>
      </c>
      <c r="C194" s="231" t="s">
        <v>2435</v>
      </c>
      <c r="D194" s="6" t="e">
        <f t="shared" ref="D194:D196" si="44">D90+E90+F90</f>
        <v>#DIV/0!</v>
      </c>
      <c r="E194" s="6" t="e">
        <f t="shared" ref="E194:E196" si="45">D139</f>
        <v>#DIV/0!</v>
      </c>
      <c r="F194" s="6" t="e">
        <f>(D194+E194)*('28-FFU'!$D$22)</f>
        <v>#DIV/0!</v>
      </c>
      <c r="G194" s="6" t="e">
        <f t="shared" ref="G194:G196" si="46">SUM(D194:F194)</f>
        <v>#DIV/0!</v>
      </c>
      <c r="H194" s="232" t="s">
        <v>129</v>
      </c>
    </row>
    <row r="195" spans="1:8" ht="13">
      <c r="A195" s="2" t="s">
        <v>2493</v>
      </c>
      <c r="C195" s="796" t="s">
        <v>2436</v>
      </c>
      <c r="D195" s="6" t="e">
        <f t="shared" si="44"/>
        <v>#DIV/0!</v>
      </c>
      <c r="E195" s="6" t="e">
        <f t="shared" si="45"/>
        <v>#DIV/0!</v>
      </c>
      <c r="F195" s="6" t="e">
        <f>(D195+E195)*('28-FFU'!$D$22)</f>
        <v>#DIV/0!</v>
      </c>
      <c r="G195" s="6" t="e">
        <f t="shared" si="46"/>
        <v>#DIV/0!</v>
      </c>
      <c r="H195" s="232" t="s">
        <v>129</v>
      </c>
    </row>
    <row r="196" spans="1:8" ht="13">
      <c r="A196" s="2" t="s">
        <v>2494</v>
      </c>
      <c r="C196" s="796" t="s">
        <v>1090</v>
      </c>
      <c r="D196" s="6" t="e">
        <f t="shared" si="44"/>
        <v>#DIV/0!</v>
      </c>
      <c r="E196" s="6" t="e">
        <f t="shared" si="45"/>
        <v>#DIV/0!</v>
      </c>
      <c r="F196" s="6" t="e">
        <f>(D196+E196)*('28-FFU'!$D$22)</f>
        <v>#DIV/0!</v>
      </c>
      <c r="G196" s="6" t="e">
        <f t="shared" si="46"/>
        <v>#DIV/0!</v>
      </c>
      <c r="H196" s="232" t="s">
        <v>129</v>
      </c>
    </row>
    <row r="197" spans="1:8" ht="13">
      <c r="A197" s="2">
        <f>A194+1</f>
        <v>117</v>
      </c>
      <c r="C197" s="796"/>
      <c r="D197" s="1005" t="s">
        <v>391</v>
      </c>
      <c r="E197" s="1005" t="s">
        <v>391</v>
      </c>
      <c r="F197" s="1005" t="s">
        <v>391</v>
      </c>
      <c r="G197" s="1005" t="s">
        <v>391</v>
      </c>
      <c r="H197" s="232" t="s">
        <v>129</v>
      </c>
    </row>
    <row r="198" spans="1:8" ht="13">
      <c r="A198" s="2">
        <f t="shared" si="39"/>
        <v>118</v>
      </c>
      <c r="C198" s="231" t="s">
        <v>442</v>
      </c>
      <c r="D198" s="6" t="e">
        <f>SUM(D184:D197)</f>
        <v>#DIV/0!</v>
      </c>
      <c r="E198" s="6" t="e">
        <f>SUM(E184:E197)</f>
        <v>#DIV/0!</v>
      </c>
      <c r="F198" s="6" t="e">
        <f>SUM(F184:F197)</f>
        <v>#DIV/0!</v>
      </c>
      <c r="G198" s="6" t="e">
        <f>SUM(G184:G197)</f>
        <v>#DIV/0!</v>
      </c>
    </row>
    <row r="200" spans="1:8" ht="13">
      <c r="B200" s="1" t="s">
        <v>233</v>
      </c>
    </row>
    <row r="201" spans="1:8">
      <c r="B201" s="276" t="str">
        <f>"1) (Sum Lines "&amp;A67&amp;" to "&amp;A70&amp;") * (FF + U Factors from 28-FFU) for Prior Year TRR"</f>
        <v>1) (Sum Lines 34 to 37) * (FF + U Factors from 28-FFU) for Prior Year TRR</v>
      </c>
    </row>
    <row r="202" spans="1:8">
      <c r="B202" s="232" t="str">
        <f>"(Sum Lines "&amp;A67&amp;" to "&amp;A70&amp;") * (FF Factor from 28-FFU) for True Up TRR"</f>
        <v>(Sum Lines 34 to 37) * (FF Factor from 28-FFU) for True Up TRR</v>
      </c>
    </row>
    <row r="203" spans="1:8">
      <c r="B203" s="233" t="str">
        <f>"2) Project Cost of capital is a fraction of total Cost of Capital on Line "&amp;A29&amp;" based on fraction of project CWIP Balances on Lines "&amp;A9&amp;" to "&amp;A23&amp;", Col 1."</f>
        <v>2) Project Cost of capital is a fraction of total Cost of Capital on Line 16 based on fraction of project CWIP Balances on Lines 1 to 13, Col 1.</v>
      </c>
    </row>
    <row r="204" spans="1:8">
      <c r="B204" s="232" t="str">
        <f>"Project Income Taxes is a fraction of total Income on Line "&amp;A37&amp;" based on fraction of project CWIP Balances on Lines "&amp;A9&amp;" to "&amp;A23&amp;", Col 1."</f>
        <v>Project Income Taxes is a fraction of total Income on Line 20 based on fraction of project CWIP Balances on Lines 1 to 13, Col 1.</v>
      </c>
    </row>
    <row r="205" spans="1:8">
      <c r="B205" s="12" t="str">
        <f>"ROE Adder is from Lines "&amp;A69&amp;" and "&amp;A70&amp;".  FF&amp;U Expenses are based on FF&amp;U Factors on 28-FFU."</f>
        <v>ROE Adder is from Lines 36 and 37.  FF&amp;U Expenses are based on FF&amp;U Factors on 28-FFU.</v>
      </c>
    </row>
    <row r="206" spans="1:8">
      <c r="B206" s="233" t="str">
        <f>"3) Project Cost of capital is a fraction of total Cost of Capital on Line "&amp;A29&amp;" based on fraction of project CWIP Balances on Lines "&amp;A9&amp;" to "&amp;A23&amp;", Col 2."</f>
        <v>3) Project Cost of capital is a fraction of total Cost of Capital on Line 16 based on fraction of project CWIP Balances on Lines 1 to 13, Col 2.</v>
      </c>
    </row>
    <row r="207" spans="1:8">
      <c r="B207" s="232" t="str">
        <f>"Project Income Taxes is a fraction of total Income on Line "&amp;A37&amp;" based on fraction of project CWIP Balances on Lines "&amp;A9&amp;" to "&amp;A23&amp;", Col 2."</f>
        <v>Project Income Taxes is a fraction of total Income on Line 20 based on fraction of project CWIP Balances on Lines 1 to 13, Col 2.</v>
      </c>
    </row>
    <row r="208" spans="1:8">
      <c r="B208" s="12" t="str">
        <f>"ROE Adder is from Lines "&amp;A69&amp;" and "&amp;A70&amp;".  FF&amp;U Expenses are based on FF&amp;U Factors on 28-FFU."</f>
        <v>ROE Adder is from Lines 36 and 37.  FF&amp;U Expenses are based on FF&amp;U Factors on 28-FFU.</v>
      </c>
    </row>
    <row r="209" spans="2:2">
      <c r="B209" s="233" t="str">
        <f>"4) Project contribution to total IFPTRR is based on fraction of Forecast Period CWIP Balances on Lines "&amp;A9&amp;" to "&amp;A23&amp;", Col 3."</f>
        <v>4) Project contribution to total IFPTRR is based on fraction of Forecast Period CWIP Balances on Lines 1 to 13, Col 3.</v>
      </c>
    </row>
    <row r="210" spans="2:2">
      <c r="B210" s="233" t="str">
        <f>"5) Column 1 is from Lines "&amp;A80&amp;" to "&amp;A93&amp;", Sum of Column 1-3 (no FF&amp;U)."</f>
        <v>5) Column 1 is from Lines 40 to 51, Sum of Column 1-3 (no FF&amp;U).</v>
      </c>
    </row>
    <row r="211" spans="2:2">
      <c r="B211" s="232" t="str">
        <f>"Column 2 is from Lines "&amp;A129&amp;" to "&amp;A142&amp;" (no FF&amp;U)."</f>
        <v>Column 2 is from Lines 71 to 82 (no FF&amp;U).</v>
      </c>
    </row>
    <row r="212" spans="2:2">
      <c r="B212" s="232" t="str">
        <f>"Column 3 is the product of (C1 + C2) and the sum of FF and U factors (28-FFU, L"&amp;'28-FFU'!A22&amp;")"</f>
        <v>Column 3 is the product of (C1 + C2) and the sum of FF and U factors (28-FFU, L5)</v>
      </c>
    </row>
    <row r="213" spans="2:2">
      <c r="B213" s="233" t="s">
        <v>2495</v>
      </c>
    </row>
  </sheetData>
  <phoneticPr fontId="24" type="noConversion"/>
  <pageMargins left="0.7" right="0.7" top="0.75" bottom="0.75" header="0.3" footer="0.3"/>
  <pageSetup scale="70" orientation="portrait" cellComments="asDisplayed" r:id="rId1"/>
  <headerFooter>
    <oddHeader xml:space="preserve">&amp;CSchedule 24
CWIP TRR
</oddHeader>
    <oddFooter>&amp;R&amp;A</oddFooter>
  </headerFooter>
  <rowBreaks count="2" manualBreakCount="2">
    <brk id="73" max="16383" man="1"/>
    <brk id="144"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8CE9-C0C2-442D-954D-5650409D9AAC}">
  <dimension ref="A1:L80"/>
  <sheetViews>
    <sheetView zoomScaleNormal="100" workbookViewId="0">
      <selection activeCell="L41" sqref="L41"/>
    </sheetView>
  </sheetViews>
  <sheetFormatPr defaultRowHeight="12.5"/>
  <cols>
    <col min="1" max="1" width="4.54296875" customWidth="1"/>
    <col min="6" max="6" width="17.90625" customWidth="1"/>
    <col min="7" max="7" width="23.08984375" customWidth="1"/>
    <col min="8" max="8" width="15.54296875" customWidth="1"/>
    <col min="9" max="9" width="16.54296875" bestFit="1" customWidth="1"/>
    <col min="10" max="10" width="7.36328125" customWidth="1"/>
  </cols>
  <sheetData>
    <row r="1" spans="1:12" ht="13">
      <c r="A1" s="1" t="s">
        <v>2496</v>
      </c>
      <c r="B1" s="112"/>
      <c r="C1" s="112"/>
      <c r="D1" s="112"/>
      <c r="E1" s="112"/>
      <c r="F1" s="112"/>
      <c r="G1" s="112"/>
      <c r="H1" s="112"/>
      <c r="I1" s="112"/>
      <c r="J1" s="112"/>
      <c r="K1" s="112"/>
      <c r="L1" s="112"/>
    </row>
    <row r="2" spans="1:12" ht="13">
      <c r="A2" s="1"/>
      <c r="B2" s="112"/>
      <c r="C2" s="39" t="s">
        <v>200</v>
      </c>
      <c r="D2" s="240" t="s">
        <v>2497</v>
      </c>
      <c r="E2" s="801"/>
      <c r="F2" s="198"/>
      <c r="G2" s="112"/>
      <c r="H2" s="226" t="s">
        <v>652</v>
      </c>
      <c r="I2" s="198"/>
      <c r="J2" s="112"/>
      <c r="K2" s="112"/>
      <c r="L2" s="112"/>
    </row>
    <row r="3" spans="1:12" ht="13">
      <c r="A3" s="1"/>
      <c r="B3" s="112" t="s">
        <v>2498</v>
      </c>
      <c r="C3" s="112"/>
      <c r="D3" s="112"/>
      <c r="E3" s="112"/>
      <c r="F3" s="112"/>
      <c r="G3" s="112"/>
      <c r="H3" s="112"/>
      <c r="I3" s="112"/>
      <c r="J3" s="112"/>
      <c r="K3" s="112"/>
      <c r="L3" s="112"/>
    </row>
    <row r="4" spans="1:12" ht="13">
      <c r="A4" s="1"/>
      <c r="B4" s="112" t="s">
        <v>2499</v>
      </c>
      <c r="C4" s="112"/>
      <c r="D4" s="112"/>
      <c r="E4" s="112"/>
      <c r="F4" s="112"/>
      <c r="G4" s="112"/>
      <c r="H4" s="112"/>
      <c r="I4" s="112"/>
      <c r="J4" s="112"/>
      <c r="K4" s="112"/>
      <c r="L4" s="112"/>
    </row>
    <row r="5" spans="1:12" ht="13">
      <c r="A5" s="1"/>
      <c r="B5" s="112"/>
      <c r="C5" s="112"/>
      <c r="D5" s="112"/>
      <c r="E5" s="112"/>
      <c r="F5" s="112"/>
      <c r="G5" s="112"/>
      <c r="H5" s="112"/>
      <c r="I5" s="112"/>
      <c r="J5" s="112"/>
      <c r="K5" s="112"/>
      <c r="L5" s="112"/>
    </row>
    <row r="6" spans="1:12" ht="13">
      <c r="A6" s="1"/>
      <c r="B6" s="112"/>
      <c r="C6" s="112"/>
      <c r="D6" s="112"/>
      <c r="E6" s="112"/>
      <c r="F6" s="112"/>
      <c r="G6" s="112"/>
      <c r="H6" s="112"/>
      <c r="I6" s="112"/>
      <c r="J6" s="112"/>
      <c r="K6" s="112"/>
      <c r="L6" s="112"/>
    </row>
    <row r="7" spans="1:12" ht="13">
      <c r="A7" s="30" t="s">
        <v>284</v>
      </c>
      <c r="B7" s="40" t="s">
        <v>2500</v>
      </c>
      <c r="G7" s="232"/>
      <c r="H7" s="6"/>
    </row>
    <row r="8" spans="1:12" ht="13">
      <c r="A8" s="4">
        <v>1</v>
      </c>
      <c r="B8" s="123"/>
      <c r="G8" s="18" t="s">
        <v>686</v>
      </c>
      <c r="H8" s="6"/>
      <c r="I8" s="32" t="s">
        <v>2501</v>
      </c>
    </row>
    <row r="9" spans="1:12" ht="13">
      <c r="A9" s="4">
        <v>2</v>
      </c>
      <c r="B9" s="123" t="s">
        <v>2502</v>
      </c>
      <c r="G9" s="232" t="s">
        <v>969</v>
      </c>
      <c r="H9" s="59"/>
      <c r="I9" s="232" t="s">
        <v>147</v>
      </c>
    </row>
    <row r="10" spans="1:12" ht="13">
      <c r="A10" s="4">
        <v>3</v>
      </c>
      <c r="B10" s="123" t="s">
        <v>2503</v>
      </c>
      <c r="G10" s="232" t="s">
        <v>969</v>
      </c>
      <c r="H10" s="61"/>
      <c r="I10" s="232" t="s">
        <v>147</v>
      </c>
    </row>
    <row r="11" spans="1:12" ht="13">
      <c r="A11" s="4">
        <v>4</v>
      </c>
      <c r="B11" s="123" t="s">
        <v>2504</v>
      </c>
      <c r="G11" s="279" t="s">
        <v>2505</v>
      </c>
      <c r="H11" s="235">
        <f>SUM(H9:H10)</f>
        <v>0</v>
      </c>
    </row>
    <row r="12" spans="1:12" ht="13">
      <c r="A12" s="4">
        <v>5</v>
      </c>
      <c r="B12" s="123" t="s">
        <v>145</v>
      </c>
      <c r="G12" s="123" t="str">
        <f>"27-Allocators, Line "&amp;'27-Allocators'!A15&amp;""</f>
        <v>27-Allocators, Line 9</v>
      </c>
      <c r="H12" s="29" t="e">
        <f>'27-Allocators'!G15</f>
        <v>#DIV/0!</v>
      </c>
    </row>
    <row r="13" spans="1:12" ht="13">
      <c r="A13" s="4">
        <v>6</v>
      </c>
      <c r="B13" s="123" t="s">
        <v>2506</v>
      </c>
      <c r="G13" s="279" t="s">
        <v>2507</v>
      </c>
      <c r="H13" s="6" t="e">
        <f>H11*H12</f>
        <v>#DIV/0!</v>
      </c>
    </row>
    <row r="14" spans="1:12" ht="13">
      <c r="A14" s="2">
        <v>7</v>
      </c>
      <c r="B14" s="232" t="s">
        <v>2508</v>
      </c>
      <c r="C14" s="615"/>
      <c r="D14" s="615"/>
      <c r="E14" s="615"/>
      <c r="F14" s="615"/>
      <c r="G14" s="1031"/>
      <c r="H14" s="116"/>
      <c r="I14" s="232" t="s">
        <v>168</v>
      </c>
    </row>
    <row r="15" spans="1:12" ht="13">
      <c r="A15" s="2">
        <v>8</v>
      </c>
      <c r="B15" s="123"/>
      <c r="G15" s="231" t="s">
        <v>2509</v>
      </c>
      <c r="H15" s="235" t="e">
        <f>SUM(H13:H14)</f>
        <v>#DIV/0!</v>
      </c>
      <c r="I15" s="232" t="s">
        <v>2510</v>
      </c>
    </row>
    <row r="16" spans="1:12">
      <c r="A16" s="233"/>
      <c r="B16" s="112"/>
      <c r="C16" s="112"/>
      <c r="D16" s="112"/>
      <c r="E16" s="112"/>
      <c r="F16" s="112"/>
      <c r="G16" s="112"/>
      <c r="H16" s="112"/>
      <c r="I16" s="112"/>
      <c r="J16" s="112"/>
      <c r="K16" s="112"/>
      <c r="L16" s="112"/>
    </row>
    <row r="17" spans="1:12" ht="13">
      <c r="A17" s="233"/>
      <c r="B17" s="40" t="s">
        <v>2511</v>
      </c>
      <c r="C17" s="112"/>
      <c r="D17" s="112"/>
      <c r="E17" s="112"/>
      <c r="F17" s="112"/>
      <c r="G17" s="112"/>
      <c r="H17" s="112"/>
      <c r="I17" s="112"/>
      <c r="J17" s="112"/>
      <c r="K17" s="112"/>
      <c r="L17" s="112"/>
    </row>
    <row r="18" spans="1:12" ht="13">
      <c r="A18" s="233"/>
      <c r="C18" s="112"/>
      <c r="D18" s="112"/>
      <c r="E18" s="112"/>
      <c r="F18" s="112"/>
      <c r="G18" s="18" t="s">
        <v>686</v>
      </c>
      <c r="H18" s="3" t="s">
        <v>105</v>
      </c>
      <c r="I18" s="32" t="s">
        <v>2501</v>
      </c>
      <c r="J18" s="112"/>
      <c r="K18" s="112"/>
      <c r="L18" s="112"/>
    </row>
    <row r="19" spans="1:12" ht="13">
      <c r="A19" s="4">
        <v>9</v>
      </c>
      <c r="B19" s="112" t="s">
        <v>2512</v>
      </c>
      <c r="C19" s="112"/>
      <c r="D19" s="112"/>
      <c r="E19" s="112"/>
      <c r="F19" s="112"/>
      <c r="G19" s="279" t="s">
        <v>2513</v>
      </c>
      <c r="H19" s="114" t="e">
        <f>-H15</f>
        <v>#DIV/0!</v>
      </c>
      <c r="I19" s="112"/>
      <c r="J19" s="112"/>
      <c r="K19" s="112"/>
      <c r="L19" s="112"/>
    </row>
    <row r="20" spans="1:12" ht="13">
      <c r="A20" s="4">
        <v>10</v>
      </c>
      <c r="B20" s="233" t="s">
        <v>2514</v>
      </c>
      <c r="C20" s="112"/>
      <c r="D20" s="112"/>
      <c r="E20" s="112"/>
      <c r="F20" s="112"/>
      <c r="G20" s="123" t="s">
        <v>2515</v>
      </c>
      <c r="H20" s="114" t="e">
        <f>-'1-BaseTRR'!K142</f>
        <v>#DIV/0!</v>
      </c>
      <c r="I20" s="112"/>
      <c r="J20" s="112"/>
      <c r="K20" s="112"/>
      <c r="L20" s="112"/>
    </row>
    <row r="21" spans="1:12" ht="13">
      <c r="A21" s="4">
        <v>11</v>
      </c>
      <c r="B21" s="233" t="s">
        <v>2516</v>
      </c>
      <c r="C21" s="112"/>
      <c r="D21" s="112"/>
      <c r="E21" s="112"/>
      <c r="F21" s="112"/>
      <c r="G21" s="123" t="s">
        <v>2517</v>
      </c>
      <c r="H21" s="183" t="e">
        <f>-'2-IFPTRR'!D89</f>
        <v>#DIV/0!</v>
      </c>
      <c r="I21" s="112"/>
      <c r="J21" s="112"/>
      <c r="K21" s="112"/>
      <c r="L21" s="112"/>
    </row>
    <row r="22" spans="1:12" ht="13">
      <c r="A22" s="4">
        <v>12</v>
      </c>
      <c r="B22" s="233" t="s">
        <v>2518</v>
      </c>
      <c r="C22" s="112"/>
      <c r="D22" s="112"/>
      <c r="E22" s="112"/>
      <c r="F22" s="112"/>
      <c r="G22" s="232" t="s">
        <v>2519</v>
      </c>
      <c r="H22" s="114" t="e">
        <f>SUM(H19:H21)</f>
        <v>#DIV/0!</v>
      </c>
      <c r="I22" s="112"/>
      <c r="J22" s="112"/>
      <c r="K22" s="112"/>
      <c r="L22" s="112"/>
    </row>
    <row r="23" spans="1:12" ht="13">
      <c r="A23" s="4">
        <v>13</v>
      </c>
      <c r="B23" s="233" t="s">
        <v>2520</v>
      </c>
      <c r="C23" s="112"/>
      <c r="D23" s="112"/>
      <c r="E23" s="112"/>
      <c r="F23" s="112"/>
      <c r="H23" s="183" t="e">
        <f>'28-FFU'!D22*H19</f>
        <v>#DIV/0!</v>
      </c>
      <c r="I23" s="232" t="s">
        <v>2466</v>
      </c>
      <c r="J23" s="112"/>
      <c r="K23" s="112"/>
      <c r="L23" s="112"/>
    </row>
    <row r="24" spans="1:12" ht="13">
      <c r="A24" s="4">
        <v>14</v>
      </c>
      <c r="B24" t="s">
        <v>2521</v>
      </c>
      <c r="C24" s="112"/>
      <c r="D24" s="112"/>
      <c r="E24" s="112"/>
      <c r="F24" s="112"/>
      <c r="G24" s="232" t="s">
        <v>2522</v>
      </c>
      <c r="H24" s="114" t="e">
        <f>H22+H23</f>
        <v>#DIV/0!</v>
      </c>
      <c r="I24" s="1032"/>
      <c r="J24" s="112"/>
      <c r="K24" s="112"/>
      <c r="L24" s="112"/>
    </row>
    <row r="25" spans="1:12">
      <c r="A25" s="112"/>
      <c r="C25" s="112"/>
      <c r="D25" s="112"/>
      <c r="E25" s="112"/>
      <c r="F25" s="112"/>
      <c r="G25" s="112"/>
      <c r="H25" s="112"/>
      <c r="I25" s="112"/>
      <c r="J25" s="112"/>
      <c r="K25" s="112"/>
      <c r="L25" s="112"/>
    </row>
    <row r="26" spans="1:12" ht="13">
      <c r="A26" s="112"/>
      <c r="B26" s="197" t="s">
        <v>2523</v>
      </c>
      <c r="C26" s="112"/>
      <c r="D26" s="112"/>
      <c r="E26" s="112"/>
      <c r="F26" s="112"/>
      <c r="G26" s="112"/>
      <c r="H26" s="112"/>
      <c r="I26" s="112"/>
      <c r="J26" s="112"/>
      <c r="K26" s="112"/>
      <c r="L26" s="112"/>
    </row>
    <row r="27" spans="1:12">
      <c r="A27" s="112"/>
      <c r="B27" s="232" t="s">
        <v>2524</v>
      </c>
      <c r="C27" s="615"/>
      <c r="D27" s="615"/>
      <c r="E27" s="615"/>
      <c r="F27" s="615"/>
      <c r="G27" s="615"/>
      <c r="H27" s="819"/>
      <c r="I27" s="112"/>
      <c r="J27" s="590"/>
      <c r="K27" s="112"/>
      <c r="L27" s="112"/>
    </row>
    <row r="28" spans="1:12" ht="13">
      <c r="A28" s="112"/>
      <c r="B28" s="232" t="s">
        <v>2525</v>
      </c>
      <c r="C28" s="615"/>
      <c r="D28" s="615"/>
      <c r="E28" s="615"/>
      <c r="F28" s="615"/>
      <c r="G28" s="666"/>
      <c r="I28" s="112"/>
      <c r="J28" s="112"/>
      <c r="K28" s="112"/>
      <c r="L28" s="112"/>
    </row>
    <row r="29" spans="1:12">
      <c r="A29" s="112"/>
      <c r="B29" s="232" t="s">
        <v>2526</v>
      </c>
      <c r="C29" s="615"/>
      <c r="D29" s="615"/>
      <c r="E29" s="615"/>
      <c r="F29" s="615"/>
      <c r="G29" s="615"/>
      <c r="I29" s="112"/>
      <c r="J29" s="112"/>
      <c r="K29" s="112"/>
      <c r="L29" s="112"/>
    </row>
    <row r="30" spans="1:12">
      <c r="A30" s="112"/>
      <c r="B30" s="247" t="s">
        <v>2527</v>
      </c>
      <c r="C30" s="615"/>
      <c r="D30" s="615"/>
      <c r="E30" s="615"/>
      <c r="F30" s="615"/>
      <c r="G30" s="615"/>
      <c r="I30" s="112"/>
      <c r="J30" s="112"/>
      <c r="K30" s="112"/>
      <c r="L30" s="112"/>
    </row>
    <row r="31" spans="1:12">
      <c r="A31" s="112"/>
      <c r="B31" s="112"/>
      <c r="C31" s="112"/>
      <c r="D31" s="112"/>
      <c r="E31" s="112"/>
      <c r="F31" s="112"/>
      <c r="G31" s="112"/>
      <c r="H31" s="112"/>
      <c r="I31" s="112"/>
      <c r="J31" s="112"/>
      <c r="K31" s="112"/>
      <c r="L31" s="112"/>
    </row>
    <row r="32" spans="1:12">
      <c r="A32" s="112"/>
      <c r="B32" s="112"/>
      <c r="C32" s="112"/>
      <c r="D32" s="112"/>
      <c r="E32" s="112"/>
      <c r="F32" s="112"/>
      <c r="G32" s="112"/>
      <c r="H32" s="112"/>
      <c r="I32" s="112"/>
      <c r="J32" s="112"/>
      <c r="K32" s="112"/>
      <c r="L32" s="112"/>
    </row>
    <row r="33" spans="1:12">
      <c r="A33" s="112"/>
      <c r="B33" s="112"/>
      <c r="C33" s="112"/>
      <c r="D33" s="112"/>
      <c r="E33" s="112"/>
      <c r="F33" s="112"/>
      <c r="G33" s="112"/>
      <c r="H33" s="112"/>
      <c r="I33" s="112"/>
      <c r="J33" s="112"/>
      <c r="K33" s="112"/>
      <c r="L33" s="112"/>
    </row>
    <row r="34" spans="1:12">
      <c r="A34" s="112"/>
      <c r="B34" s="112"/>
      <c r="C34" s="112"/>
      <c r="D34" s="112"/>
      <c r="E34" s="112"/>
      <c r="F34" s="112"/>
      <c r="G34" s="112"/>
      <c r="H34" s="112"/>
      <c r="I34" s="112"/>
      <c r="J34" s="112"/>
      <c r="K34" s="112"/>
      <c r="L34" s="112"/>
    </row>
    <row r="35" spans="1:12">
      <c r="A35" s="112"/>
      <c r="B35" s="112"/>
      <c r="C35" s="112"/>
      <c r="D35" s="112"/>
      <c r="E35" s="112"/>
      <c r="F35" s="112"/>
      <c r="G35" s="112"/>
      <c r="H35" s="112"/>
      <c r="I35" s="112"/>
      <c r="J35" s="112"/>
      <c r="K35" s="112"/>
      <c r="L35" s="112"/>
    </row>
    <row r="36" spans="1:12">
      <c r="A36" s="112"/>
      <c r="B36" s="112"/>
      <c r="C36" s="112"/>
      <c r="D36" s="112"/>
      <c r="E36" s="112"/>
      <c r="F36" s="112"/>
      <c r="G36" s="112"/>
      <c r="H36" s="112"/>
      <c r="I36" s="112"/>
      <c r="J36" s="112"/>
      <c r="K36" s="112"/>
      <c r="L36" s="112"/>
    </row>
    <row r="37" spans="1:12">
      <c r="A37" s="112"/>
      <c r="B37" s="112"/>
      <c r="C37" s="112"/>
      <c r="D37" s="112"/>
      <c r="E37" s="112"/>
      <c r="F37" s="112"/>
      <c r="G37" s="112"/>
      <c r="H37" s="112"/>
      <c r="I37" s="112"/>
      <c r="J37" s="112"/>
      <c r="K37" s="112"/>
      <c r="L37" s="112"/>
    </row>
    <row r="38" spans="1:12">
      <c r="A38" s="112"/>
      <c r="B38" s="112"/>
      <c r="C38" s="112"/>
      <c r="D38" s="112"/>
      <c r="E38" s="112"/>
      <c r="F38" s="112"/>
      <c r="G38" s="112"/>
      <c r="H38" s="112"/>
      <c r="I38" s="112"/>
      <c r="J38" s="112"/>
      <c r="K38" s="112"/>
      <c r="L38" s="112"/>
    </row>
    <row r="39" spans="1:12">
      <c r="A39" s="112"/>
      <c r="B39" s="112"/>
      <c r="C39" s="112"/>
      <c r="D39" s="112"/>
      <c r="E39" s="112"/>
      <c r="F39" s="112"/>
      <c r="G39" s="112"/>
      <c r="H39" s="112"/>
      <c r="I39" s="112"/>
      <c r="J39" s="112"/>
      <c r="K39" s="112"/>
      <c r="L39" s="112"/>
    </row>
    <row r="40" spans="1:12">
      <c r="A40" s="112"/>
      <c r="B40" s="112"/>
      <c r="C40" s="112"/>
      <c r="D40" s="112"/>
      <c r="E40" s="112"/>
      <c r="F40" s="112"/>
      <c r="G40" s="112"/>
      <c r="H40" s="112"/>
      <c r="I40" s="112"/>
      <c r="J40" s="112"/>
      <c r="K40" s="112"/>
      <c r="L40" s="112"/>
    </row>
    <row r="41" spans="1:12">
      <c r="A41" s="112"/>
      <c r="B41" s="112"/>
      <c r="C41" s="112"/>
      <c r="D41" s="112"/>
      <c r="E41" s="112"/>
      <c r="F41" s="112"/>
      <c r="G41" s="112"/>
      <c r="H41" s="112"/>
      <c r="I41" s="112"/>
      <c r="J41" s="112"/>
      <c r="K41" s="112"/>
      <c r="L41" s="112"/>
    </row>
    <row r="42" spans="1:12">
      <c r="A42" s="112"/>
      <c r="B42" s="112"/>
      <c r="C42" s="112"/>
      <c r="D42" s="112"/>
      <c r="E42" s="112"/>
      <c r="F42" s="112"/>
      <c r="G42" s="112"/>
      <c r="H42" s="112"/>
      <c r="I42" s="112"/>
      <c r="J42" s="112"/>
      <c r="K42" s="112"/>
      <c r="L42" s="112"/>
    </row>
    <row r="43" spans="1:12">
      <c r="A43" s="112"/>
      <c r="B43" s="112"/>
      <c r="C43" s="112"/>
      <c r="D43" s="112"/>
      <c r="E43" s="112"/>
      <c r="F43" s="112"/>
      <c r="G43" s="112"/>
      <c r="H43" s="112"/>
      <c r="I43" s="112"/>
      <c r="J43" s="112"/>
      <c r="K43" s="112"/>
      <c r="L43" s="112"/>
    </row>
    <row r="44" spans="1:12">
      <c r="A44" s="112"/>
      <c r="B44" s="112"/>
      <c r="C44" s="112"/>
      <c r="D44" s="112"/>
      <c r="E44" s="112"/>
      <c r="F44" s="112"/>
      <c r="G44" s="112"/>
      <c r="H44" s="112"/>
      <c r="I44" s="112"/>
      <c r="J44" s="112"/>
      <c r="K44" s="112"/>
      <c r="L44" s="112"/>
    </row>
    <row r="45" spans="1:12">
      <c r="A45" s="112"/>
      <c r="B45" s="112"/>
      <c r="C45" s="112"/>
      <c r="D45" s="112"/>
      <c r="E45" s="112"/>
      <c r="F45" s="112"/>
      <c r="G45" s="112"/>
      <c r="H45" s="112"/>
      <c r="I45" s="112"/>
      <c r="J45" s="112"/>
      <c r="K45" s="112"/>
      <c r="L45" s="112"/>
    </row>
    <row r="46" spans="1:12">
      <c r="A46" s="112"/>
      <c r="B46" s="112"/>
      <c r="C46" s="112"/>
      <c r="D46" s="112"/>
      <c r="E46" s="112"/>
      <c r="F46" s="112"/>
      <c r="G46" s="112"/>
      <c r="H46" s="112"/>
      <c r="I46" s="112"/>
      <c r="J46" s="112"/>
      <c r="K46" s="112"/>
      <c r="L46" s="112"/>
    </row>
    <row r="47" spans="1:12">
      <c r="A47" s="112"/>
      <c r="B47" s="112"/>
      <c r="C47" s="112"/>
      <c r="D47" s="112"/>
      <c r="E47" s="112"/>
      <c r="F47" s="112"/>
      <c r="G47" s="112"/>
      <c r="H47" s="112"/>
      <c r="I47" s="112"/>
      <c r="J47" s="112"/>
      <c r="K47" s="112"/>
      <c r="L47" s="112"/>
    </row>
    <row r="48" spans="1:12">
      <c r="A48" s="112"/>
      <c r="B48" s="112"/>
      <c r="C48" s="112"/>
      <c r="D48" s="112"/>
      <c r="E48" s="112"/>
      <c r="F48" s="112"/>
      <c r="G48" s="112"/>
      <c r="H48" s="112"/>
      <c r="I48" s="112"/>
      <c r="J48" s="112"/>
      <c r="K48" s="112"/>
      <c r="L48" s="112"/>
    </row>
    <row r="49" spans="1:12">
      <c r="A49" s="112"/>
      <c r="B49" s="112"/>
      <c r="C49" s="112"/>
      <c r="D49" s="112"/>
      <c r="E49" s="112"/>
      <c r="F49" s="112"/>
      <c r="G49" s="112"/>
      <c r="H49" s="112"/>
      <c r="I49" s="112"/>
      <c r="J49" s="112"/>
      <c r="K49" s="112"/>
      <c r="L49" s="112"/>
    </row>
    <row r="50" spans="1:12">
      <c r="A50" s="112"/>
      <c r="B50" s="112"/>
      <c r="C50" s="112"/>
      <c r="D50" s="112"/>
      <c r="E50" s="112"/>
      <c r="F50" s="112"/>
      <c r="G50" s="112"/>
      <c r="H50" s="112"/>
      <c r="I50" s="112"/>
      <c r="J50" s="112"/>
      <c r="K50" s="112"/>
      <c r="L50" s="112"/>
    </row>
    <row r="51" spans="1:12">
      <c r="A51" s="112"/>
      <c r="B51" s="112"/>
      <c r="C51" s="112"/>
      <c r="D51" s="112"/>
      <c r="E51" s="112"/>
      <c r="F51" s="112"/>
      <c r="G51" s="112"/>
      <c r="H51" s="112"/>
      <c r="I51" s="112"/>
      <c r="J51" s="112"/>
      <c r="K51" s="112"/>
      <c r="L51" s="112"/>
    </row>
    <row r="52" spans="1:12">
      <c r="A52" s="112"/>
      <c r="B52" s="112"/>
      <c r="C52" s="112"/>
      <c r="D52" s="112"/>
      <c r="E52" s="112"/>
      <c r="F52" s="112"/>
      <c r="G52" s="112"/>
      <c r="H52" s="112"/>
      <c r="I52" s="112"/>
      <c r="J52" s="112"/>
      <c r="K52" s="112"/>
      <c r="L52" s="112"/>
    </row>
    <row r="53" spans="1:12">
      <c r="A53" s="112"/>
      <c r="B53" s="112"/>
      <c r="C53" s="112"/>
      <c r="D53" s="112"/>
      <c r="E53" s="112"/>
      <c r="F53" s="112"/>
      <c r="G53" s="112"/>
      <c r="H53" s="112"/>
      <c r="I53" s="112"/>
      <c r="J53" s="112"/>
      <c r="K53" s="112"/>
      <c r="L53" s="112"/>
    </row>
    <row r="54" spans="1:12">
      <c r="A54" s="112"/>
      <c r="B54" s="112"/>
      <c r="C54" s="112"/>
      <c r="D54" s="112"/>
      <c r="E54" s="112"/>
      <c r="F54" s="112"/>
      <c r="G54" s="112"/>
      <c r="H54" s="112"/>
      <c r="I54" s="112"/>
      <c r="J54" s="112"/>
      <c r="K54" s="112"/>
      <c r="L54" s="112"/>
    </row>
    <row r="55" spans="1:12">
      <c r="A55" s="112"/>
      <c r="B55" s="112"/>
      <c r="C55" s="112"/>
      <c r="D55" s="112"/>
      <c r="E55" s="112"/>
      <c r="F55" s="112"/>
      <c r="G55" s="112"/>
      <c r="H55" s="112"/>
      <c r="I55" s="112"/>
      <c r="J55" s="112"/>
      <c r="K55" s="112"/>
      <c r="L55" s="112"/>
    </row>
    <row r="56" spans="1:12">
      <c r="A56" s="112"/>
      <c r="B56" s="112"/>
      <c r="C56" s="112"/>
      <c r="D56" s="112"/>
      <c r="E56" s="112"/>
      <c r="F56" s="112"/>
      <c r="G56" s="112"/>
      <c r="H56" s="112"/>
      <c r="I56" s="112"/>
      <c r="J56" s="112"/>
      <c r="K56" s="112"/>
      <c r="L56" s="112"/>
    </row>
    <row r="57" spans="1:12">
      <c r="A57" s="112"/>
      <c r="B57" s="112"/>
      <c r="C57" s="112"/>
      <c r="D57" s="112"/>
      <c r="E57" s="112"/>
      <c r="F57" s="112"/>
      <c r="G57" s="112"/>
      <c r="H57" s="112"/>
      <c r="I57" s="112"/>
      <c r="J57" s="112"/>
      <c r="K57" s="112"/>
      <c r="L57" s="112"/>
    </row>
    <row r="58" spans="1:12">
      <c r="A58" s="112"/>
      <c r="B58" s="112"/>
      <c r="C58" s="112"/>
      <c r="D58" s="112"/>
      <c r="E58" s="112"/>
      <c r="F58" s="112"/>
      <c r="G58" s="112"/>
      <c r="H58" s="112"/>
      <c r="I58" s="112"/>
      <c r="J58" s="112"/>
      <c r="K58" s="112"/>
      <c r="L58" s="112"/>
    </row>
    <row r="59" spans="1:12">
      <c r="A59" s="112"/>
      <c r="B59" s="112"/>
      <c r="C59" s="112"/>
      <c r="D59" s="112"/>
      <c r="E59" s="112"/>
      <c r="F59" s="112"/>
      <c r="G59" s="112"/>
      <c r="H59" s="112"/>
      <c r="I59" s="112"/>
      <c r="J59" s="112"/>
      <c r="K59" s="112"/>
      <c r="L59" s="112"/>
    </row>
    <row r="60" spans="1:12">
      <c r="A60" s="112"/>
      <c r="B60" s="112"/>
      <c r="C60" s="112"/>
      <c r="D60" s="112"/>
      <c r="E60" s="112"/>
      <c r="F60" s="112"/>
      <c r="G60" s="112"/>
      <c r="H60" s="112"/>
      <c r="I60" s="112"/>
      <c r="J60" s="112"/>
      <c r="K60" s="112"/>
      <c r="L60" s="112"/>
    </row>
    <row r="61" spans="1:12">
      <c r="A61" s="112"/>
      <c r="B61" s="112"/>
      <c r="C61" s="112"/>
      <c r="D61" s="112"/>
      <c r="E61" s="112"/>
      <c r="F61" s="112"/>
      <c r="G61" s="112"/>
      <c r="H61" s="112"/>
      <c r="I61" s="112"/>
      <c r="J61" s="112"/>
      <c r="K61" s="112"/>
      <c r="L61" s="112"/>
    </row>
    <row r="62" spans="1:12">
      <c r="A62" s="112"/>
      <c r="B62" s="112"/>
      <c r="C62" s="112"/>
      <c r="D62" s="112"/>
      <c r="E62" s="112"/>
      <c r="F62" s="112"/>
      <c r="G62" s="112"/>
      <c r="H62" s="112"/>
      <c r="I62" s="112"/>
      <c r="J62" s="112"/>
      <c r="K62" s="112"/>
      <c r="L62" s="112"/>
    </row>
    <row r="63" spans="1:12">
      <c r="A63" s="112"/>
      <c r="B63" s="112"/>
      <c r="C63" s="112"/>
      <c r="D63" s="112"/>
      <c r="E63" s="112"/>
      <c r="F63" s="112"/>
      <c r="G63" s="112"/>
      <c r="H63" s="112"/>
      <c r="I63" s="112"/>
      <c r="J63" s="112"/>
      <c r="K63" s="112"/>
      <c r="L63" s="112"/>
    </row>
    <row r="64" spans="1:12">
      <c r="A64" s="112"/>
      <c r="B64" s="112"/>
      <c r="C64" s="112"/>
      <c r="D64" s="112"/>
      <c r="E64" s="112"/>
      <c r="F64" s="112"/>
      <c r="G64" s="112"/>
      <c r="H64" s="112"/>
      <c r="I64" s="112"/>
      <c r="J64" s="112"/>
      <c r="K64" s="112"/>
      <c r="L64" s="112"/>
    </row>
    <row r="65" spans="1:12">
      <c r="A65" s="112"/>
      <c r="B65" s="112"/>
      <c r="C65" s="112"/>
      <c r="D65" s="112"/>
      <c r="E65" s="112"/>
      <c r="F65" s="112"/>
      <c r="G65" s="112"/>
      <c r="H65" s="112"/>
      <c r="I65" s="112"/>
      <c r="J65" s="112"/>
      <c r="K65" s="112"/>
      <c r="L65" s="112"/>
    </row>
    <row r="66" spans="1:12">
      <c r="A66" s="112"/>
      <c r="B66" s="112"/>
      <c r="C66" s="112"/>
      <c r="D66" s="112"/>
      <c r="E66" s="112"/>
      <c r="F66" s="112"/>
      <c r="G66" s="112"/>
      <c r="H66" s="112"/>
      <c r="I66" s="112"/>
      <c r="J66" s="112"/>
      <c r="K66" s="112"/>
      <c r="L66" s="112"/>
    </row>
    <row r="67" spans="1:12">
      <c r="A67" s="112"/>
      <c r="B67" s="112"/>
      <c r="C67" s="112"/>
      <c r="D67" s="112"/>
      <c r="E67" s="112"/>
      <c r="F67" s="112"/>
      <c r="G67" s="112"/>
      <c r="H67" s="112"/>
      <c r="I67" s="112"/>
      <c r="J67" s="112"/>
      <c r="K67" s="112"/>
      <c r="L67" s="112"/>
    </row>
    <row r="68" spans="1:12">
      <c r="A68" s="112"/>
      <c r="B68" s="112"/>
      <c r="C68" s="112"/>
      <c r="D68" s="112"/>
      <c r="E68" s="112"/>
      <c r="F68" s="112"/>
      <c r="G68" s="112"/>
      <c r="H68" s="112"/>
      <c r="I68" s="112"/>
      <c r="J68" s="112"/>
      <c r="K68" s="112"/>
      <c r="L68" s="112"/>
    </row>
    <row r="69" spans="1:12">
      <c r="A69" s="112"/>
      <c r="B69" s="112"/>
      <c r="C69" s="112"/>
      <c r="D69" s="112"/>
      <c r="E69" s="112"/>
      <c r="F69" s="112"/>
      <c r="G69" s="112"/>
      <c r="H69" s="112"/>
      <c r="I69" s="112"/>
      <c r="J69" s="112"/>
      <c r="K69" s="112"/>
      <c r="L69" s="112"/>
    </row>
    <row r="70" spans="1:12">
      <c r="A70" s="112"/>
      <c r="B70" s="112"/>
      <c r="C70" s="112"/>
      <c r="D70" s="112"/>
      <c r="E70" s="112"/>
      <c r="F70" s="112"/>
      <c r="G70" s="112"/>
      <c r="H70" s="112"/>
      <c r="I70" s="112"/>
      <c r="J70" s="112"/>
      <c r="K70" s="112"/>
      <c r="L70" s="112"/>
    </row>
    <row r="71" spans="1:12">
      <c r="A71" s="112"/>
      <c r="B71" s="112"/>
      <c r="C71" s="112"/>
      <c r="D71" s="112"/>
      <c r="E71" s="112"/>
      <c r="F71" s="112"/>
      <c r="G71" s="112"/>
      <c r="H71" s="112"/>
      <c r="I71" s="112"/>
      <c r="J71" s="112"/>
      <c r="K71" s="112"/>
      <c r="L71" s="112"/>
    </row>
    <row r="72" spans="1:12">
      <c r="A72" s="112"/>
      <c r="B72" s="112"/>
      <c r="C72" s="112"/>
      <c r="D72" s="112"/>
      <c r="E72" s="112"/>
      <c r="F72" s="112"/>
      <c r="G72" s="112"/>
      <c r="H72" s="112"/>
      <c r="I72" s="112"/>
      <c r="J72" s="112"/>
      <c r="K72" s="112"/>
      <c r="L72" s="112"/>
    </row>
    <row r="73" spans="1:12">
      <c r="A73" s="112"/>
      <c r="B73" s="112"/>
      <c r="C73" s="112"/>
      <c r="D73" s="112"/>
      <c r="E73" s="112"/>
      <c r="F73" s="112"/>
      <c r="G73" s="112"/>
      <c r="H73" s="112"/>
      <c r="I73" s="112"/>
      <c r="J73" s="112"/>
      <c r="K73" s="112"/>
      <c r="L73" s="112"/>
    </row>
    <row r="74" spans="1:12">
      <c r="A74" s="112"/>
      <c r="B74" s="112"/>
      <c r="C74" s="112"/>
      <c r="D74" s="112"/>
      <c r="E74" s="112"/>
      <c r="F74" s="112"/>
      <c r="G74" s="112"/>
      <c r="H74" s="112"/>
      <c r="I74" s="112"/>
      <c r="J74" s="112"/>
      <c r="K74" s="112"/>
      <c r="L74" s="112"/>
    </row>
    <row r="75" spans="1:12">
      <c r="A75" s="112"/>
      <c r="B75" s="112"/>
      <c r="C75" s="112"/>
      <c r="D75" s="112"/>
      <c r="E75" s="112"/>
      <c r="F75" s="112"/>
      <c r="G75" s="112"/>
      <c r="H75" s="112"/>
      <c r="I75" s="112"/>
      <c r="J75" s="112"/>
      <c r="K75" s="112"/>
      <c r="L75" s="112"/>
    </row>
    <row r="76" spans="1:12">
      <c r="A76" s="112"/>
      <c r="B76" s="112"/>
      <c r="C76" s="112"/>
      <c r="D76" s="112"/>
      <c r="E76" s="112"/>
      <c r="F76" s="112"/>
      <c r="G76" s="112"/>
      <c r="H76" s="112"/>
      <c r="I76" s="112"/>
      <c r="J76" s="112"/>
      <c r="K76" s="112"/>
      <c r="L76" s="112"/>
    </row>
    <row r="77" spans="1:12">
      <c r="A77" s="112"/>
      <c r="B77" s="112"/>
      <c r="C77" s="112"/>
      <c r="D77" s="112"/>
      <c r="E77" s="112"/>
      <c r="F77" s="112"/>
      <c r="G77" s="112"/>
      <c r="H77" s="112"/>
      <c r="I77" s="112"/>
      <c r="J77" s="112"/>
      <c r="K77" s="112"/>
      <c r="L77" s="112"/>
    </row>
    <row r="78" spans="1:12">
      <c r="A78" s="112"/>
      <c r="B78" s="112"/>
      <c r="C78" s="112"/>
      <c r="D78" s="112"/>
      <c r="E78" s="112"/>
      <c r="F78" s="112"/>
      <c r="G78" s="112"/>
      <c r="H78" s="112"/>
      <c r="I78" s="112"/>
      <c r="J78" s="112"/>
      <c r="K78" s="112"/>
      <c r="L78" s="112"/>
    </row>
    <row r="79" spans="1:12">
      <c r="A79" s="112"/>
      <c r="B79" s="112"/>
      <c r="C79" s="112"/>
      <c r="D79" s="112"/>
      <c r="E79" s="112"/>
      <c r="F79" s="112"/>
      <c r="G79" s="112"/>
      <c r="H79" s="112"/>
      <c r="I79" s="112"/>
      <c r="J79" s="112"/>
      <c r="K79" s="112"/>
      <c r="L79" s="112"/>
    </row>
    <row r="80" spans="1:12">
      <c r="A80" s="112"/>
      <c r="B80" s="112"/>
      <c r="C80" s="112"/>
      <c r="D80" s="112"/>
      <c r="E80" s="112"/>
      <c r="F80" s="112"/>
      <c r="G80" s="112"/>
      <c r="H80" s="112"/>
      <c r="I80" s="112"/>
      <c r="J80" s="112"/>
      <c r="K80" s="112"/>
      <c r="L80" s="112"/>
    </row>
  </sheetData>
  <pageMargins left="0.7" right="0.7" top="0.75" bottom="0.75" header="0.3" footer="0.3"/>
  <pageSetup scale="74" orientation="portrait" horizontalDpi="1200" verticalDpi="1200" r:id="rId1"/>
  <headerFooter>
    <oddHeader xml:space="preserve">&amp;CSchedule 25
Wholesale Differences to Base TRR
</oddHeader>
    <oddFooter>&amp;R&amp;A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0"/>
  <sheetViews>
    <sheetView zoomScaleNormal="100" workbookViewId="0">
      <selection activeCell="L41" sqref="L41"/>
    </sheetView>
  </sheetViews>
  <sheetFormatPr defaultRowHeight="12.5"/>
  <cols>
    <col min="1" max="1" width="4.54296875" customWidth="1"/>
    <col min="2" max="2" width="3.54296875" customWidth="1"/>
    <col min="3" max="3" width="18.54296875" customWidth="1"/>
    <col min="4" max="4" width="14.54296875" customWidth="1"/>
    <col min="5" max="5" width="45.54296875" customWidth="1"/>
    <col min="6" max="6" width="12.453125" bestFit="1" customWidth="1"/>
  </cols>
  <sheetData>
    <row r="1" spans="1:5" ht="13">
      <c r="A1" s="1" t="s">
        <v>2528</v>
      </c>
    </row>
    <row r="3" spans="1:5" ht="13">
      <c r="B3" s="1" t="s">
        <v>2529</v>
      </c>
      <c r="E3" s="54" t="s">
        <v>652</v>
      </c>
    </row>
    <row r="4" spans="1:5" ht="13">
      <c r="D4" s="2" t="s">
        <v>2530</v>
      </c>
    </row>
    <row r="5" spans="1:5" ht="13">
      <c r="C5" s="2" t="s">
        <v>387</v>
      </c>
      <c r="D5" s="2" t="s">
        <v>2531</v>
      </c>
    </row>
    <row r="6" spans="1:5" ht="13">
      <c r="A6" s="3" t="s">
        <v>284</v>
      </c>
      <c r="C6" s="3" t="s">
        <v>383</v>
      </c>
      <c r="D6" s="3" t="s">
        <v>2532</v>
      </c>
      <c r="E6" s="3" t="s">
        <v>686</v>
      </c>
    </row>
    <row r="7" spans="1:5" ht="13">
      <c r="A7" s="2">
        <v>1</v>
      </c>
      <c r="C7" s="274"/>
      <c r="D7" s="614"/>
      <c r="E7" s="304" t="s">
        <v>2533</v>
      </c>
    </row>
    <row r="8" spans="1:5" ht="13">
      <c r="A8" s="2">
        <f>A7+1</f>
        <v>2</v>
      </c>
      <c r="D8">
        <v>0</v>
      </c>
      <c r="E8" s="232"/>
    </row>
    <row r="9" spans="1:5" ht="13">
      <c r="A9" s="2">
        <f t="shared" ref="A9:A23" si="0">A8+1</f>
        <v>3</v>
      </c>
      <c r="B9" s="1" t="s">
        <v>2534</v>
      </c>
    </row>
    <row r="10" spans="1:5" ht="13">
      <c r="A10" s="2">
        <f t="shared" si="0"/>
        <v>4</v>
      </c>
      <c r="B10" s="1"/>
      <c r="D10" s="2"/>
    </row>
    <row r="11" spans="1:5" ht="13">
      <c r="A11" s="2">
        <f t="shared" si="0"/>
        <v>5</v>
      </c>
      <c r="D11" s="2" t="s">
        <v>2535</v>
      </c>
    </row>
    <row r="12" spans="1:5" ht="13">
      <c r="A12" s="2">
        <f t="shared" si="0"/>
        <v>6</v>
      </c>
      <c r="C12" s="2" t="s">
        <v>387</v>
      </c>
      <c r="D12" s="2" t="s">
        <v>2531</v>
      </c>
    </row>
    <row r="13" spans="1:5" ht="13">
      <c r="A13" s="2">
        <f t="shared" si="0"/>
        <v>7</v>
      </c>
      <c r="C13" s="3" t="s">
        <v>383</v>
      </c>
      <c r="D13" s="3" t="s">
        <v>2536</v>
      </c>
      <c r="E13" s="3" t="s">
        <v>686</v>
      </c>
    </row>
    <row r="14" spans="1:5" ht="13">
      <c r="A14" s="2">
        <f t="shared" si="0"/>
        <v>8</v>
      </c>
      <c r="C14" s="274"/>
      <c r="D14" s="558"/>
      <c r="E14" s="304" t="s">
        <v>168</v>
      </c>
    </row>
    <row r="15" spans="1:5" ht="13">
      <c r="A15" s="2">
        <f t="shared" si="0"/>
        <v>9</v>
      </c>
      <c r="C15" s="33"/>
      <c r="E15" s="232"/>
    </row>
    <row r="16" spans="1:5" ht="13">
      <c r="A16" s="2">
        <f t="shared" si="0"/>
        <v>10</v>
      </c>
      <c r="C16" s="33"/>
      <c r="E16" s="12"/>
    </row>
    <row r="17" spans="1:9" ht="13">
      <c r="A17" s="2">
        <f t="shared" si="0"/>
        <v>11</v>
      </c>
      <c r="C17" s="37"/>
      <c r="E17" s="12"/>
    </row>
    <row r="18" spans="1:9" ht="12.75" customHeight="1">
      <c r="A18" s="2">
        <f t="shared" si="0"/>
        <v>12</v>
      </c>
      <c r="B18" s="1" t="s">
        <v>2537</v>
      </c>
      <c r="E18" s="12"/>
    </row>
    <row r="19" spans="1:9" ht="12.75" customHeight="1">
      <c r="A19" s="2">
        <f t="shared" si="0"/>
        <v>13</v>
      </c>
      <c r="E19" s="279"/>
      <c r="F19" s="3" t="s">
        <v>81</v>
      </c>
    </row>
    <row r="20" spans="1:9" ht="12.75" customHeight="1">
      <c r="A20" s="2">
        <f t="shared" si="0"/>
        <v>14</v>
      </c>
      <c r="C20" t="str">
        <f>"Total Electric Payroll Tax Expense (From 1-BaseTRR, Line "&amp;'1-BaseTRR'!A52&amp;")"</f>
        <v>Total Electric Payroll Tax Expense (From 1-BaseTRR, Line 31)</v>
      </c>
      <c r="F20" s="6">
        <f>'1-BaseTRR'!K52</f>
        <v>0</v>
      </c>
      <c r="G20" s="233"/>
    </row>
    <row r="21" spans="1:9" ht="12.75" customHeight="1">
      <c r="A21" s="2">
        <f t="shared" si="0"/>
        <v>15</v>
      </c>
      <c r="C21" s="233" t="s">
        <v>2538</v>
      </c>
      <c r="F21" s="299"/>
      <c r="G21" s="233"/>
    </row>
    <row r="22" spans="1:9" ht="12.75" customHeight="1">
      <c r="A22" s="2">
        <f t="shared" si="0"/>
        <v>16</v>
      </c>
      <c r="C22" s="233" t="str">
        <f>"Capitalized Overhead portion of Electric Payroll Tax Expense (Line "&amp;A20&amp;" * Line "&amp;A21&amp;")"</f>
        <v>Capitalized Overhead portion of Electric Payroll Tax Expense (Line 14 * Line 15)</v>
      </c>
      <c r="F22" s="183">
        <f>F20*F21</f>
        <v>0</v>
      </c>
      <c r="G22" s="233"/>
      <c r="I22" s="233"/>
    </row>
    <row r="23" spans="1:9" ht="13">
      <c r="A23" s="2">
        <f t="shared" si="0"/>
        <v>17</v>
      </c>
      <c r="C23" s="233" t="str">
        <f>"Non-Capitalized Overhead portion of Electric Payroll Tax Expense (Line "&amp;A20&amp;" - Line "&amp;A22&amp;")"</f>
        <v>Non-Capitalized Overhead portion of Electric Payroll Tax Expense (Line 14 - Line 16)</v>
      </c>
      <c r="F23" s="6">
        <f>F20-F22</f>
        <v>0</v>
      </c>
      <c r="G23" s="233"/>
    </row>
    <row r="25" spans="1:9" ht="13">
      <c r="B25" s="30" t="s">
        <v>233</v>
      </c>
    </row>
    <row r="26" spans="1:9">
      <c r="B26" s="276" t="s">
        <v>2539</v>
      </c>
      <c r="D26" s="240" t="s">
        <v>2540</v>
      </c>
      <c r="E26" s="240"/>
      <c r="F26" s="54"/>
    </row>
    <row r="27" spans="1:9">
      <c r="B27" s="276" t="s">
        <v>2541</v>
      </c>
    </row>
    <row r="28" spans="1:9">
      <c r="B28" s="232"/>
      <c r="D28" s="54" t="s">
        <v>2542</v>
      </c>
      <c r="E28" s="54"/>
      <c r="F28" s="54"/>
    </row>
    <row r="29" spans="1:9">
      <c r="B29" s="233" t="s">
        <v>2543</v>
      </c>
      <c r="E29" s="240" t="s">
        <v>2544</v>
      </c>
    </row>
    <row r="30" spans="1:9">
      <c r="B30" s="232" t="s">
        <v>2545</v>
      </c>
      <c r="E30" s="266" t="s">
        <v>2546</v>
      </c>
    </row>
    <row r="31" spans="1:9">
      <c r="B31" s="233" t="s">
        <v>2547</v>
      </c>
    </row>
    <row r="32" spans="1:9">
      <c r="B32" s="233" t="s">
        <v>2548</v>
      </c>
    </row>
    <row r="33" spans="2:2">
      <c r="B33" s="233" t="s">
        <v>2549</v>
      </c>
    </row>
    <row r="34" spans="2:2">
      <c r="B34" s="233" t="s">
        <v>2550</v>
      </c>
    </row>
    <row r="35" spans="2:2">
      <c r="B35" s="233" t="s">
        <v>2551</v>
      </c>
    </row>
    <row r="36" spans="2:2">
      <c r="B36" s="233" t="s">
        <v>2552</v>
      </c>
    </row>
    <row r="37" spans="2:2">
      <c r="B37" s="233" t="s">
        <v>2553</v>
      </c>
    </row>
    <row r="38" spans="2:2">
      <c r="B38" s="233" t="s">
        <v>2554</v>
      </c>
    </row>
    <row r="39" spans="2:2">
      <c r="B39" s="233" t="s">
        <v>2555</v>
      </c>
    </row>
    <row r="40" spans="2:2">
      <c r="B40" s="233" t="s">
        <v>2556</v>
      </c>
    </row>
  </sheetData>
  <phoneticPr fontId="24" type="noConversion"/>
  <pageMargins left="0.75" right="0.75" top="1" bottom="1" header="0.5" footer="0.5"/>
  <pageSetup scale="75" orientation="portrait" cellComments="asDisplayed" r:id="rId1"/>
  <headerFooter alignWithMargins="0">
    <oddHeader xml:space="preserve">&amp;CSchedule 26
Tax Rates
</oddHeader>
    <oddFooter>&amp;R&amp;A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CC"/>
  </sheetPr>
  <dimension ref="A1:I66"/>
  <sheetViews>
    <sheetView zoomScaleNormal="100" workbookViewId="0">
      <selection activeCell="L41" sqref="L41"/>
    </sheetView>
  </sheetViews>
  <sheetFormatPr defaultRowHeight="12.5"/>
  <cols>
    <col min="1" max="2" width="4.54296875" customWidth="1"/>
    <col min="3" max="3" width="40.54296875" customWidth="1"/>
    <col min="4" max="4" width="20.54296875" customWidth="1"/>
    <col min="5" max="5" width="28.54296875" customWidth="1"/>
    <col min="6" max="6" width="2.54296875" customWidth="1"/>
    <col min="7" max="7" width="16.54296875" customWidth="1"/>
  </cols>
  <sheetData>
    <row r="1" spans="1:9" ht="13">
      <c r="A1" s="1" t="s">
        <v>61</v>
      </c>
      <c r="B1" s="1"/>
      <c r="E1" s="54" t="s">
        <v>652</v>
      </c>
    </row>
    <row r="2" spans="1:9" ht="13">
      <c r="A2" s="1"/>
      <c r="B2" s="1"/>
      <c r="C2" s="39" t="s">
        <v>200</v>
      </c>
      <c r="D2" s="240" t="s">
        <v>2557</v>
      </c>
      <c r="E2" s="264"/>
    </row>
    <row r="3" spans="1:9" ht="13">
      <c r="A3" s="1"/>
      <c r="B3" s="1"/>
      <c r="C3" s="666"/>
      <c r="D3" s="666"/>
      <c r="E3" s="666"/>
    </row>
    <row r="4" spans="1:9" ht="13">
      <c r="A4" s="2"/>
      <c r="B4" s="1" t="s">
        <v>2558</v>
      </c>
      <c r="G4" s="56"/>
    </row>
    <row r="5" spans="1:9" ht="13">
      <c r="A5" s="2"/>
      <c r="C5" s="1"/>
      <c r="D5" s="2"/>
      <c r="E5" s="2" t="s">
        <v>101</v>
      </c>
      <c r="G5" s="4" t="s">
        <v>933</v>
      </c>
    </row>
    <row r="6" spans="1:9" ht="13">
      <c r="A6" s="30" t="s">
        <v>284</v>
      </c>
      <c r="C6" s="1"/>
      <c r="D6" s="3" t="s">
        <v>103</v>
      </c>
      <c r="E6" s="3" t="s">
        <v>104</v>
      </c>
      <c r="G6" s="3" t="s">
        <v>105</v>
      </c>
    </row>
    <row r="7" spans="1:9" ht="13">
      <c r="A7" s="2">
        <v>1</v>
      </c>
      <c r="C7" s="276" t="s">
        <v>2559</v>
      </c>
      <c r="E7" s="233" t="str">
        <f>"19-OandM Line "&amp;'19-OandM'!A124&amp;", Col. 7"</f>
        <v>19-OandM Line 91, Col. 7</v>
      </c>
      <c r="G7" s="6" t="e">
        <f>'19-OandM'!H124</f>
        <v>#DIV/0!</v>
      </c>
      <c r="I7" s="233"/>
    </row>
    <row r="8" spans="1:9" ht="13">
      <c r="A8" s="2">
        <f>A7+1</f>
        <v>2</v>
      </c>
      <c r="C8" s="276" t="s">
        <v>2560</v>
      </c>
      <c r="E8" s="233" t="s">
        <v>935</v>
      </c>
      <c r="G8" s="5"/>
    </row>
    <row r="9" spans="1:9" ht="13">
      <c r="A9" s="2">
        <f t="shared" ref="A9:A44" si="0">A8+1</f>
        <v>3</v>
      </c>
      <c r="C9" s="232" t="s">
        <v>2561</v>
      </c>
      <c r="E9" s="233" t="s">
        <v>2562</v>
      </c>
      <c r="G9" s="5"/>
    </row>
    <row r="10" spans="1:9" ht="13">
      <c r="A10" s="2">
        <f t="shared" si="0"/>
        <v>4</v>
      </c>
      <c r="C10" s="276" t="s">
        <v>2563</v>
      </c>
      <c r="E10" s="233" t="str">
        <f>"Line "&amp;A8&amp;" - Line "&amp;A9&amp;""</f>
        <v>Line 2 - Line 3</v>
      </c>
      <c r="G10" s="6">
        <f>G8-G9</f>
        <v>0</v>
      </c>
    </row>
    <row r="11" spans="1:9" ht="13">
      <c r="A11" s="2">
        <f t="shared" si="0"/>
        <v>5</v>
      </c>
      <c r="C11" s="276" t="s">
        <v>2564</v>
      </c>
      <c r="E11" s="233" t="str">
        <f>"20-AandG, Note 2"</f>
        <v>20-AandG, Note 2</v>
      </c>
      <c r="G11" s="6">
        <f>'20-AandG'!E71</f>
        <v>0</v>
      </c>
      <c r="I11" s="233"/>
    </row>
    <row r="12" spans="1:9" ht="13">
      <c r="A12" s="2">
        <f t="shared" si="0"/>
        <v>6</v>
      </c>
      <c r="C12" s="232" t="s">
        <v>2565</v>
      </c>
      <c r="E12" s="233" t="str">
        <f>"20-AandG, Note 2"</f>
        <v>20-AandG, Note 2</v>
      </c>
      <c r="G12" s="235">
        <f>'20-AandG'!E68</f>
        <v>0</v>
      </c>
    </row>
    <row r="13" spans="1:9" ht="13">
      <c r="A13" s="2">
        <f t="shared" si="0"/>
        <v>7</v>
      </c>
      <c r="C13" s="276" t="s">
        <v>2566</v>
      </c>
      <c r="E13" s="233" t="str">
        <f>"Line "&amp;A11&amp;" - Line "&amp;A12&amp;""</f>
        <v>Line 5 - Line 6</v>
      </c>
      <c r="G13" s="6">
        <f>G11-G12</f>
        <v>0</v>
      </c>
    </row>
    <row r="14" spans="1:9" ht="13">
      <c r="A14" s="2">
        <f t="shared" si="0"/>
        <v>8</v>
      </c>
      <c r="C14" s="276" t="s">
        <v>2567</v>
      </c>
      <c r="E14" s="233" t="str">
        <f>"Line "&amp;A10&amp;" + Line "&amp;A13&amp;""</f>
        <v>Line 4 + Line 7</v>
      </c>
      <c r="G14" s="6">
        <f>G10+G13</f>
        <v>0</v>
      </c>
    </row>
    <row r="15" spans="1:9" ht="13">
      <c r="A15" s="2">
        <f t="shared" si="0"/>
        <v>9</v>
      </c>
      <c r="C15" t="s">
        <v>2568</v>
      </c>
      <c r="E15" s="233" t="str">
        <f>"Line "&amp;A7&amp;" / Line "&amp;A14&amp;""</f>
        <v>Line 1 / Line 8</v>
      </c>
      <c r="G15" s="7" t="e">
        <f>G7/G14</f>
        <v>#DIV/0!</v>
      </c>
    </row>
    <row r="16" spans="1:9" ht="13">
      <c r="A16" s="2">
        <f t="shared" si="0"/>
        <v>10</v>
      </c>
    </row>
    <row r="17" spans="1:9" ht="13">
      <c r="A17" s="2">
        <f t="shared" si="0"/>
        <v>11</v>
      </c>
      <c r="B17" s="1" t="s">
        <v>2569</v>
      </c>
      <c r="G17" s="56"/>
    </row>
    <row r="18" spans="1:9" ht="13">
      <c r="A18" s="2">
        <f t="shared" si="0"/>
        <v>12</v>
      </c>
      <c r="D18" s="2"/>
      <c r="E18" s="2" t="s">
        <v>101</v>
      </c>
      <c r="G18" s="4" t="s">
        <v>933</v>
      </c>
    </row>
    <row r="19" spans="1:9" ht="13">
      <c r="A19" s="2">
        <f t="shared" si="0"/>
        <v>13</v>
      </c>
      <c r="D19" s="3" t="s">
        <v>103</v>
      </c>
      <c r="E19" s="3" t="s">
        <v>104</v>
      </c>
      <c r="G19" s="3" t="s">
        <v>105</v>
      </c>
    </row>
    <row r="20" spans="1:9" ht="13">
      <c r="A20" s="2">
        <f t="shared" si="0"/>
        <v>14</v>
      </c>
      <c r="C20" t="s">
        <v>661</v>
      </c>
      <c r="E20" s="233" t="s">
        <v>3062</v>
      </c>
      <c r="G20" s="6" t="e">
        <f>'7-PlantStudy'!E42</f>
        <v>#DIV/0!</v>
      </c>
    </row>
    <row r="21" spans="1:9" ht="13">
      <c r="A21" s="2">
        <f t="shared" si="0"/>
        <v>15</v>
      </c>
      <c r="C21" t="s">
        <v>2570</v>
      </c>
      <c r="E21" s="233" t="str">
        <f>"7-PlantStudy, Line "&amp;'7-PlantStudy'!A55&amp;""</f>
        <v>7-PlantStudy, Line 30</v>
      </c>
      <c r="G21" s="6">
        <f>'7-PlantStudy'!E55</f>
        <v>0</v>
      </c>
      <c r="I21" s="1129"/>
    </row>
    <row r="22" spans="1:9" ht="13">
      <c r="A22" s="2">
        <f t="shared" si="0"/>
        <v>16</v>
      </c>
      <c r="C22" t="s">
        <v>2571</v>
      </c>
      <c r="E22" s="233" t="str">
        <f>"6-PlantInService, Line "&amp;'6-PlantInService'!A75&amp;", C2"</f>
        <v>6-PlantInService, Line 21, C2</v>
      </c>
      <c r="G22" s="6">
        <f>'6-PlantInService'!G75</f>
        <v>0</v>
      </c>
      <c r="H22" s="56"/>
    </row>
    <row r="23" spans="1:9" ht="13">
      <c r="A23" s="2">
        <f t="shared" si="0"/>
        <v>17</v>
      </c>
      <c r="C23" t="s">
        <v>2572</v>
      </c>
      <c r="E23" t="str">
        <f>"Line "&amp;A22&amp;" * Line "&amp;A15&amp;""</f>
        <v>Line 16 * Line 9</v>
      </c>
      <c r="G23" s="6" t="e">
        <f>G22*G15</f>
        <v>#DIV/0!</v>
      </c>
    </row>
    <row r="24" spans="1:9" ht="13">
      <c r="A24" s="2">
        <f t="shared" si="0"/>
        <v>18</v>
      </c>
      <c r="C24" t="s">
        <v>2573</v>
      </c>
      <c r="E24" s="233" t="str">
        <f>"6-PlantInService, Line "&amp;'6-PlantInService'!A75&amp;", C1"</f>
        <v>6-PlantInService, Line 21, C1</v>
      </c>
      <c r="G24" s="6">
        <f>'6-PlantInService'!F75</f>
        <v>0</v>
      </c>
    </row>
    <row r="25" spans="1:9" ht="13">
      <c r="A25" s="2">
        <f t="shared" si="0"/>
        <v>19</v>
      </c>
      <c r="C25" t="s">
        <v>2574</v>
      </c>
      <c r="E25" t="str">
        <f>"Line "&amp;A24&amp;" * Line "&amp;A15&amp;""</f>
        <v>Line 18 * Line 9</v>
      </c>
      <c r="G25" s="6" t="e">
        <f>G24*G15</f>
        <v>#DIV/0!</v>
      </c>
    </row>
    <row r="26" spans="1:9" ht="13">
      <c r="A26" s="2">
        <f t="shared" si="0"/>
        <v>20</v>
      </c>
      <c r="C26" s="233" t="s">
        <v>2575</v>
      </c>
      <c r="E26" t="s">
        <v>946</v>
      </c>
      <c r="G26" s="5"/>
    </row>
    <row r="27" spans="1:9" ht="13">
      <c r="A27" s="2">
        <f t="shared" si="0"/>
        <v>21</v>
      </c>
      <c r="G27" s="56"/>
    </row>
    <row r="28" spans="1:9" ht="13">
      <c r="A28" s="2">
        <f t="shared" si="0"/>
        <v>22</v>
      </c>
      <c r="C28" t="s">
        <v>130</v>
      </c>
      <c r="E28" s="233" t="str">
        <f>"(L"&amp;A20&amp;" + L"&amp;A21&amp;" + L"&amp;A23&amp;" + L"&amp;A25&amp;") / L"&amp;A26&amp;""</f>
        <v>(L14 + L15 + L17 + L19) / L20</v>
      </c>
      <c r="G28" s="7" t="e">
        <f>(G20+G21+G23+G25)/G26</f>
        <v>#DIV/0!</v>
      </c>
    </row>
    <row r="29" spans="1:9" ht="13">
      <c r="A29" s="2">
        <f t="shared" si="0"/>
        <v>23</v>
      </c>
      <c r="E29" s="233"/>
      <c r="G29" s="7"/>
    </row>
    <row r="30" spans="1:9" ht="13">
      <c r="A30" s="2">
        <f t="shared" si="0"/>
        <v>24</v>
      </c>
      <c r="B30" s="1" t="s">
        <v>2576</v>
      </c>
    </row>
    <row r="31" spans="1:9" ht="13">
      <c r="A31" s="2">
        <f t="shared" si="0"/>
        <v>25</v>
      </c>
      <c r="B31" s="233"/>
    </row>
    <row r="32" spans="1:9" ht="13">
      <c r="A32" s="2">
        <f t="shared" si="0"/>
        <v>26</v>
      </c>
      <c r="B32" s="233" t="s">
        <v>2577</v>
      </c>
      <c r="D32" s="3" t="s">
        <v>2578</v>
      </c>
      <c r="E32" s="3" t="s">
        <v>103</v>
      </c>
      <c r="G32" s="32" t="s">
        <v>2579</v>
      </c>
    </row>
    <row r="33" spans="1:7" ht="13">
      <c r="A33" s="2">
        <f t="shared" si="0"/>
        <v>27</v>
      </c>
      <c r="C33" s="233" t="s">
        <v>2580</v>
      </c>
      <c r="D33" s="521"/>
      <c r="E33" s="3"/>
      <c r="G33" s="243" t="s">
        <v>2581</v>
      </c>
    </row>
    <row r="34" spans="1:7" ht="13">
      <c r="A34" s="2">
        <f t="shared" si="0"/>
        <v>28</v>
      </c>
      <c r="C34" s="233" t="s">
        <v>2582</v>
      </c>
      <c r="D34" s="57"/>
      <c r="E34" s="3"/>
      <c r="G34" s="243" t="s">
        <v>1670</v>
      </c>
    </row>
    <row r="35" spans="1:7" ht="13">
      <c r="A35" s="2">
        <f t="shared" si="0"/>
        <v>29</v>
      </c>
      <c r="C35" s="233" t="s">
        <v>2583</v>
      </c>
      <c r="D35" s="56">
        <f>SUM(D33:D34)</f>
        <v>0</v>
      </c>
      <c r="E35" s="233" t="str">
        <f>" = L"&amp;A33&amp;" + L"&amp;A34&amp;""</f>
        <v xml:space="preserve"> = L27 + L28</v>
      </c>
      <c r="G35" s="243" t="s">
        <v>2584</v>
      </c>
    </row>
    <row r="36" spans="1:7" ht="13">
      <c r="A36" s="2">
        <f t="shared" si="0"/>
        <v>30</v>
      </c>
      <c r="C36" s="233" t="s">
        <v>2585</v>
      </c>
      <c r="D36" s="502" t="e">
        <f>D33/D35</f>
        <v>#DIV/0!</v>
      </c>
      <c r="E36" s="233" t="str">
        <f>" = L"&amp;A33&amp;" / L"&amp;A35&amp;""</f>
        <v xml:space="preserve"> = L27 / L29</v>
      </c>
      <c r="G36" s="31"/>
    </row>
    <row r="37" spans="1:7" ht="13">
      <c r="A37" s="2">
        <f t="shared" si="0"/>
        <v>31</v>
      </c>
      <c r="B37" s="3"/>
      <c r="C37" s="3"/>
      <c r="E37" s="3"/>
      <c r="G37" s="3"/>
    </row>
    <row r="38" spans="1:7" ht="13">
      <c r="A38" s="2">
        <f t="shared" si="0"/>
        <v>32</v>
      </c>
      <c r="B38" s="233" t="s">
        <v>2586</v>
      </c>
      <c r="D38" s="3" t="s">
        <v>2578</v>
      </c>
      <c r="E38" s="3" t="s">
        <v>103</v>
      </c>
      <c r="G38" s="32" t="s">
        <v>2579</v>
      </c>
    </row>
    <row r="39" spans="1:7" ht="13">
      <c r="A39" s="2">
        <f t="shared" si="0"/>
        <v>33</v>
      </c>
      <c r="B39" s="37"/>
      <c r="C39" s="233" t="s">
        <v>2587</v>
      </c>
      <c r="D39" s="1130"/>
      <c r="E39" s="3"/>
      <c r="G39" s="31" t="s">
        <v>2588</v>
      </c>
    </row>
    <row r="40" spans="1:7" ht="13">
      <c r="A40" s="2">
        <f t="shared" si="0"/>
        <v>34</v>
      </c>
      <c r="B40" s="37"/>
      <c r="C40" s="233" t="s">
        <v>2589</v>
      </c>
      <c r="D40" s="1131"/>
      <c r="E40" s="3"/>
      <c r="G40" s="31" t="s">
        <v>2590</v>
      </c>
    </row>
    <row r="41" spans="1:7" ht="13">
      <c r="A41" s="2">
        <f t="shared" si="0"/>
        <v>35</v>
      </c>
      <c r="B41" s="37"/>
      <c r="C41" s="233" t="s">
        <v>2591</v>
      </c>
      <c r="D41" s="56">
        <f>SUM(D39:D40)</f>
        <v>0</v>
      </c>
      <c r="E41" s="233" t="str">
        <f>" = L"&amp;A39&amp;" + L"&amp;A40&amp;""</f>
        <v xml:space="preserve"> = L33 + L34</v>
      </c>
    </row>
    <row r="42" spans="1:7" ht="13">
      <c r="A42" s="2">
        <f t="shared" si="0"/>
        <v>36</v>
      </c>
      <c r="B42" s="37"/>
      <c r="C42" s="233" t="s">
        <v>2592</v>
      </c>
      <c r="D42" s="502" t="e">
        <f>D39/D41</f>
        <v>#DIV/0!</v>
      </c>
      <c r="E42" s="233" t="str">
        <f>" = L"&amp;A39&amp;" / L"&amp;A41&amp;""</f>
        <v xml:space="preserve"> = L33 / L35</v>
      </c>
    </row>
    <row r="43" spans="1:7" ht="13">
      <c r="A43" s="2">
        <f t="shared" si="0"/>
        <v>37</v>
      </c>
      <c r="B43" s="37"/>
      <c r="C43" s="12"/>
      <c r="E43" s="3"/>
      <c r="G43" s="6"/>
    </row>
    <row r="44" spans="1:7" ht="13">
      <c r="A44" s="2">
        <f t="shared" si="0"/>
        <v>38</v>
      </c>
      <c r="B44" s="233" t="s">
        <v>2593</v>
      </c>
      <c r="D44" s="3" t="s">
        <v>2578</v>
      </c>
      <c r="E44" s="3" t="s">
        <v>103</v>
      </c>
      <c r="G44" s="32" t="s">
        <v>2579</v>
      </c>
    </row>
    <row r="45" spans="1:7" ht="13">
      <c r="A45" s="2">
        <f t="shared" ref="A45:A54" si="1">A44+1</f>
        <v>39</v>
      </c>
      <c r="B45" s="37"/>
      <c r="C45" s="233" t="s">
        <v>2594</v>
      </c>
      <c r="D45" s="521"/>
      <c r="E45" s="3"/>
      <c r="G45" s="31" t="s">
        <v>2595</v>
      </c>
    </row>
    <row r="46" spans="1:7" ht="13">
      <c r="A46" s="2">
        <f t="shared" si="1"/>
        <v>40</v>
      </c>
      <c r="B46" s="37"/>
      <c r="C46" s="233" t="s">
        <v>2596</v>
      </c>
      <c r="D46" s="521"/>
      <c r="E46" s="3"/>
      <c r="G46" s="31"/>
    </row>
    <row r="47" spans="1:7" ht="13">
      <c r="A47" s="2">
        <f t="shared" si="1"/>
        <v>41</v>
      </c>
      <c r="B47" s="37"/>
      <c r="C47" s="233" t="s">
        <v>2597</v>
      </c>
      <c r="D47" s="56">
        <f>SUM(D45:D46)</f>
        <v>0</v>
      </c>
      <c r="E47" s="233" t="str">
        <f>" = L"&amp;A45&amp;" + L"&amp;A46&amp;""</f>
        <v xml:space="preserve"> = L39 + L40</v>
      </c>
    </row>
    <row r="48" spans="1:7" ht="13">
      <c r="A48" s="2">
        <f t="shared" si="1"/>
        <v>42</v>
      </c>
      <c r="B48" s="37"/>
      <c r="C48" s="233" t="s">
        <v>2598</v>
      </c>
      <c r="D48" s="502" t="e">
        <f>D45/D47</f>
        <v>#DIV/0!</v>
      </c>
      <c r="E48" s="233" t="str">
        <f>" = L"&amp;A45&amp;" / L"&amp;A47&amp;""</f>
        <v xml:space="preserve"> = L39 / L41</v>
      </c>
    </row>
    <row r="49" spans="1:7" ht="13">
      <c r="A49" s="2">
        <f t="shared" si="1"/>
        <v>43</v>
      </c>
      <c r="C49" s="25"/>
    </row>
    <row r="50" spans="1:7" ht="13">
      <c r="A50" s="2">
        <f t="shared" si="1"/>
        <v>44</v>
      </c>
      <c r="B50" s="233" t="s">
        <v>2599</v>
      </c>
      <c r="D50" s="3" t="s">
        <v>2578</v>
      </c>
      <c r="E50" s="3" t="s">
        <v>103</v>
      </c>
      <c r="G50" s="32" t="s">
        <v>2579</v>
      </c>
    </row>
    <row r="51" spans="1:7" ht="13">
      <c r="A51" s="2">
        <f t="shared" si="1"/>
        <v>45</v>
      </c>
      <c r="B51" s="37"/>
      <c r="C51" s="233" t="s">
        <v>2600</v>
      </c>
      <c r="D51" s="521"/>
      <c r="E51" s="3"/>
      <c r="G51" s="243" t="s">
        <v>1689</v>
      </c>
    </row>
    <row r="52" spans="1:7" ht="13">
      <c r="A52" s="2">
        <f t="shared" si="1"/>
        <v>46</v>
      </c>
      <c r="B52" s="37"/>
      <c r="C52" s="233" t="s">
        <v>2601</v>
      </c>
      <c r="D52" s="521"/>
      <c r="E52" s="3"/>
      <c r="G52" s="243" t="s">
        <v>1690</v>
      </c>
    </row>
    <row r="53" spans="1:7" ht="13">
      <c r="A53" s="2">
        <f t="shared" si="1"/>
        <v>47</v>
      </c>
      <c r="B53" s="37"/>
      <c r="C53" s="233" t="s">
        <v>2602</v>
      </c>
      <c r="D53" s="56">
        <f>D51+D52</f>
        <v>0</v>
      </c>
      <c r="E53" s="233" t="str">
        <f>" = L"&amp;A51&amp;" + L"&amp;A52&amp;""</f>
        <v xml:space="preserve"> = L45 + L46</v>
      </c>
      <c r="G53" s="243" t="s">
        <v>1691</v>
      </c>
    </row>
    <row r="54" spans="1:7" ht="13">
      <c r="A54" s="2">
        <f t="shared" si="1"/>
        <v>48</v>
      </c>
      <c r="B54" s="37"/>
      <c r="C54" s="233" t="s">
        <v>2603</v>
      </c>
      <c r="D54" s="502" t="e">
        <f>D51/D53</f>
        <v>#DIV/0!</v>
      </c>
      <c r="E54" s="233" t="str">
        <f>" = L"&amp;A51&amp;" / L"&amp;A53&amp;""</f>
        <v xml:space="preserve"> = L45 / L47</v>
      </c>
      <c r="G54" s="243" t="s">
        <v>1692</v>
      </c>
    </row>
    <row r="55" spans="1:7" ht="13">
      <c r="A55" s="2"/>
    </row>
    <row r="56" spans="1:7" ht="13">
      <c r="A56" s="2"/>
    </row>
    <row r="57" spans="1:7" ht="13">
      <c r="A57" s="2"/>
    </row>
    <row r="58" spans="1:7" ht="13">
      <c r="A58" s="2"/>
    </row>
    <row r="59" spans="1:7" ht="13">
      <c r="A59" s="2"/>
    </row>
    <row r="60" spans="1:7" ht="13">
      <c r="A60" s="2"/>
    </row>
    <row r="61" spans="1:7" ht="13">
      <c r="A61" s="2"/>
    </row>
    <row r="62" spans="1:7" ht="13">
      <c r="A62" s="2"/>
    </row>
    <row r="63" spans="1:7" ht="13">
      <c r="A63" s="2"/>
    </row>
    <row r="64" spans="1:7" ht="13">
      <c r="A64" s="2"/>
    </row>
    <row r="65" spans="1:1" ht="13">
      <c r="A65" s="2"/>
    </row>
    <row r="66" spans="1:1" ht="13">
      <c r="A66" s="2"/>
    </row>
  </sheetData>
  <phoneticPr fontId="24" type="noConversion"/>
  <pageMargins left="0.75" right="0.75" top="1" bottom="1" header="0.5" footer="0.5"/>
  <pageSetup scale="65" orientation="landscape" cellComments="asDisplayed" r:id="rId1"/>
  <headerFooter alignWithMargins="0">
    <oddHeader xml:space="preserve">&amp;CSchedule 27
Allocation Factors
</oddHeader>
    <oddFooter>&amp;R&amp;A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42"/>
  <sheetViews>
    <sheetView zoomScaleNormal="100" zoomScaleSheetLayoutView="100" workbookViewId="0">
      <selection activeCell="L41" sqref="L41"/>
    </sheetView>
  </sheetViews>
  <sheetFormatPr defaultRowHeight="12.5"/>
  <cols>
    <col min="1" max="1" width="4.54296875" customWidth="1"/>
    <col min="2" max="2" width="3.54296875" customWidth="1"/>
    <col min="3" max="6" width="10.54296875" customWidth="1"/>
    <col min="7" max="7" width="9.453125" bestFit="1" customWidth="1"/>
    <col min="8" max="8" width="4.54296875" customWidth="1"/>
    <col min="9" max="9" width="35.54296875" customWidth="1"/>
    <col min="14" max="14" width="24.453125" customWidth="1"/>
  </cols>
  <sheetData>
    <row r="1" spans="1:14" ht="13">
      <c r="A1" s="1" t="s">
        <v>2604</v>
      </c>
    </row>
    <row r="2" spans="1:14" ht="13">
      <c r="C2" s="663"/>
      <c r="D2" s="1" t="s">
        <v>200</v>
      </c>
      <c r="E2" s="240" t="s">
        <v>2605</v>
      </c>
      <c r="F2" s="264"/>
    </row>
    <row r="3" spans="1:14" ht="13">
      <c r="B3" s="1" t="s">
        <v>2606</v>
      </c>
      <c r="I3" s="54" t="s">
        <v>652</v>
      </c>
    </row>
    <row r="4" spans="1:14" ht="13">
      <c r="B4" s="1"/>
    </row>
    <row r="5" spans="1:14" ht="13">
      <c r="E5" s="2" t="s">
        <v>2607</v>
      </c>
    </row>
    <row r="6" spans="1:14" ht="13">
      <c r="A6" s="30" t="s">
        <v>284</v>
      </c>
      <c r="C6" s="3" t="s">
        <v>526</v>
      </c>
      <c r="D6" s="3" t="s">
        <v>527</v>
      </c>
      <c r="E6" s="30" t="s">
        <v>933</v>
      </c>
      <c r="G6" s="3" t="s">
        <v>2608</v>
      </c>
      <c r="I6" s="30" t="s">
        <v>254</v>
      </c>
    </row>
    <row r="7" spans="1:14" ht="13">
      <c r="A7" s="2">
        <v>1</v>
      </c>
      <c r="C7" s="83"/>
      <c r="D7" s="367"/>
      <c r="E7" s="84"/>
      <c r="G7" s="999"/>
      <c r="I7" s="397"/>
    </row>
    <row r="8" spans="1:14" ht="13">
      <c r="A8" s="2">
        <v>2</v>
      </c>
      <c r="C8" s="54"/>
      <c r="D8" s="54"/>
      <c r="E8" s="54"/>
      <c r="G8" s="54"/>
      <c r="I8" s="240"/>
    </row>
    <row r="10" spans="1:14" ht="13">
      <c r="B10" s="1" t="s">
        <v>2609</v>
      </c>
    </row>
    <row r="11" spans="1:14" ht="13">
      <c r="B11" s="1"/>
    </row>
    <row r="12" spans="1:14" ht="13">
      <c r="E12" s="2" t="s">
        <v>2607</v>
      </c>
    </row>
    <row r="13" spans="1:14" ht="13">
      <c r="C13" s="3" t="s">
        <v>526</v>
      </c>
      <c r="D13" s="3" t="s">
        <v>527</v>
      </c>
      <c r="E13" s="30" t="s">
        <v>933</v>
      </c>
      <c r="G13" s="3" t="s">
        <v>2610</v>
      </c>
      <c r="I13" s="30" t="s">
        <v>254</v>
      </c>
    </row>
    <row r="14" spans="1:14" ht="13">
      <c r="A14" s="2">
        <v>3</v>
      </c>
      <c r="C14" s="83"/>
      <c r="D14" s="84"/>
      <c r="E14" s="84"/>
      <c r="G14" s="1089"/>
      <c r="I14" s="240"/>
      <c r="N14" s="1139"/>
    </row>
    <row r="15" spans="1:14" ht="13">
      <c r="A15" s="2">
        <v>4</v>
      </c>
      <c r="C15" s="83"/>
      <c r="D15" s="54"/>
      <c r="E15" s="54"/>
      <c r="G15" s="51"/>
      <c r="I15" s="240"/>
    </row>
    <row r="18" spans="1:9" ht="13">
      <c r="B18" s="1" t="s">
        <v>2611</v>
      </c>
    </row>
    <row r="19" spans="1:9" ht="13">
      <c r="B19" s="1"/>
    </row>
    <row r="20" spans="1:9" ht="13">
      <c r="C20" s="2" t="s">
        <v>425</v>
      </c>
      <c r="D20" s="2"/>
      <c r="E20" s="2"/>
    </row>
    <row r="21" spans="1:9" ht="13">
      <c r="C21" s="3" t="s">
        <v>383</v>
      </c>
      <c r="D21" s="3" t="s">
        <v>2608</v>
      </c>
      <c r="E21" s="3" t="s">
        <v>2610</v>
      </c>
      <c r="I21" s="30" t="s">
        <v>103</v>
      </c>
    </row>
    <row r="22" spans="1:9" ht="13">
      <c r="A22" s="2">
        <v>5</v>
      </c>
      <c r="C22" s="84"/>
      <c r="D22" s="366" t="e">
        <f>E41</f>
        <v>#DIV/0!</v>
      </c>
      <c r="E22" s="366" t="e">
        <f>E42</f>
        <v>#DIV/0!</v>
      </c>
      <c r="I22" s="233" t="s">
        <v>2612</v>
      </c>
    </row>
    <row r="24" spans="1:9" ht="13">
      <c r="B24" s="1" t="s">
        <v>233</v>
      </c>
    </row>
    <row r="25" spans="1:9">
      <c r="B25" s="233" t="s">
        <v>2613</v>
      </c>
    </row>
    <row r="26" spans="1:9">
      <c r="B26" s="233" t="s">
        <v>2614</v>
      </c>
    </row>
    <row r="28" spans="1:9" ht="13">
      <c r="B28" s="1" t="s">
        <v>444</v>
      </c>
    </row>
    <row r="29" spans="1:9">
      <c r="B29" s="233" t="s">
        <v>2615</v>
      </c>
    </row>
    <row r="30" spans="1:9">
      <c r="B30" s="233" t="s">
        <v>2616</v>
      </c>
    </row>
    <row r="31" spans="1:9">
      <c r="B31" s="233" t="s">
        <v>2617</v>
      </c>
    </row>
    <row r="32" spans="1:9">
      <c r="B32" s="233" t="s">
        <v>2618</v>
      </c>
    </row>
    <row r="33" spans="2:7">
      <c r="B33" s="233" t="s">
        <v>2619</v>
      </c>
    </row>
    <row r="34" spans="2:7">
      <c r="B34" s="233" t="s">
        <v>2620</v>
      </c>
    </row>
    <row r="35" spans="2:7">
      <c r="B35" s="233" t="s">
        <v>2621</v>
      </c>
    </row>
    <row r="36" spans="2:7">
      <c r="B36" s="233" t="s">
        <v>2622</v>
      </c>
    </row>
    <row r="37" spans="2:7">
      <c r="B37" s="233" t="s">
        <v>2623</v>
      </c>
    </row>
    <row r="38" spans="2:7">
      <c r="B38" s="233" t="s">
        <v>2624</v>
      </c>
    </row>
    <row r="40" spans="2:7" ht="13">
      <c r="E40" s="3" t="s">
        <v>1708</v>
      </c>
      <c r="G40" s="30" t="s">
        <v>480</v>
      </c>
    </row>
    <row r="41" spans="2:7">
      <c r="D41" s="231" t="s">
        <v>2625</v>
      </c>
      <c r="E41" s="366" t="e">
        <f>((G7*E7) + (G8*E8))/(E7+E8)</f>
        <v>#DIV/0!</v>
      </c>
      <c r="G41" s="243" t="s">
        <v>2626</v>
      </c>
    </row>
    <row r="42" spans="2:7">
      <c r="D42" s="231" t="s">
        <v>2627</v>
      </c>
      <c r="E42" s="366" t="e">
        <f>((G14*E14) + (G15*E15))/(E14+E15)</f>
        <v>#DIV/0!</v>
      </c>
      <c r="G42" s="243" t="s">
        <v>2628</v>
      </c>
    </row>
  </sheetData>
  <phoneticPr fontId="24" type="noConversion"/>
  <pageMargins left="0.75" right="0.75" top="1" bottom="1" header="0.5" footer="0.5"/>
  <pageSetup scale="82" orientation="portrait" cellComments="asDisplayed" r:id="rId1"/>
  <headerFooter alignWithMargins="0">
    <oddHeader xml:space="preserve">&amp;CSchedule 28
FF and U
</oddHeader>
    <oddFooter>&amp;R&amp;A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selection activeCell="L41" sqref="L41"/>
    </sheetView>
  </sheetViews>
  <sheetFormatPr defaultRowHeight="12.5"/>
  <cols>
    <col min="1" max="1" width="4.54296875" customWidth="1"/>
    <col min="2" max="2" width="17.453125" customWidth="1"/>
    <col min="3" max="3" width="25.54296875" customWidth="1"/>
    <col min="4" max="6" width="13.54296875" customWidth="1"/>
    <col min="7" max="7" width="3.54296875" customWidth="1"/>
    <col min="8" max="8" width="14.54296875" customWidth="1"/>
    <col min="9" max="10" width="13.54296875" customWidth="1"/>
  </cols>
  <sheetData>
    <row r="1" spans="1:10" ht="13">
      <c r="A1" s="1" t="s">
        <v>2629</v>
      </c>
    </row>
    <row r="2" spans="1:10">
      <c r="G2" s="27" t="s">
        <v>652</v>
      </c>
      <c r="H2" s="27"/>
      <c r="I2" s="54"/>
    </row>
    <row r="3" spans="1:10" ht="13">
      <c r="A3" s="3" t="s">
        <v>284</v>
      </c>
      <c r="B3" s="3" t="s">
        <v>2630</v>
      </c>
      <c r="F3" s="30" t="s">
        <v>103</v>
      </c>
      <c r="G3" s="30" t="s">
        <v>686</v>
      </c>
      <c r="J3" s="30"/>
    </row>
    <row r="4" spans="1:10" ht="13">
      <c r="A4" s="2">
        <v>1</v>
      </c>
      <c r="B4" s="235" t="e">
        <f>'1-BaseTRR'!K160</f>
        <v>#DIV/0!</v>
      </c>
      <c r="C4" s="31" t="s">
        <v>2631</v>
      </c>
      <c r="G4" s="233" t="str">
        <f>"1-BaseTRR, Line "&amp;'1-BaseTRR'!A160&amp;""</f>
        <v>1-BaseTRR, Line 89</v>
      </c>
    </row>
    <row r="5" spans="1:10" ht="13">
      <c r="A5" s="2">
        <f t="shared" ref="A5:A10" si="0">A4+1</f>
        <v>2</v>
      </c>
      <c r="B5" s="1092"/>
      <c r="C5" s="31" t="s">
        <v>2632</v>
      </c>
      <c r="F5" s="233" t="s">
        <v>147</v>
      </c>
      <c r="G5" s="1239"/>
      <c r="H5" s="1239"/>
      <c r="I5" s="1064"/>
    </row>
    <row r="6" spans="1:10" ht="13">
      <c r="A6" s="2">
        <f t="shared" si="0"/>
        <v>3</v>
      </c>
      <c r="B6" s="1092"/>
      <c r="C6" s="31" t="s">
        <v>2633</v>
      </c>
      <c r="G6" s="1239"/>
      <c r="H6" s="1239"/>
      <c r="I6" s="1064"/>
    </row>
    <row r="7" spans="1:10" ht="13">
      <c r="A7" s="2">
        <f t="shared" si="0"/>
        <v>4</v>
      </c>
      <c r="B7" s="1092"/>
      <c r="C7" s="31" t="s">
        <v>2634</v>
      </c>
      <c r="G7" s="1239"/>
      <c r="H7" s="1239"/>
      <c r="I7" s="1064"/>
    </row>
    <row r="8" spans="1:10" ht="13">
      <c r="A8" s="2">
        <f t="shared" si="0"/>
        <v>5</v>
      </c>
      <c r="B8" s="235" t="e">
        <f>-'33-RetailRates'!E61</f>
        <v>#DIV/0!</v>
      </c>
      <c r="C8" s="31" t="s">
        <v>2635</v>
      </c>
      <c r="F8" t="s">
        <v>168</v>
      </c>
      <c r="G8" t="s">
        <v>2636</v>
      </c>
    </row>
    <row r="9" spans="1:10" ht="13">
      <c r="A9" s="2">
        <f t="shared" si="0"/>
        <v>6</v>
      </c>
      <c r="B9" s="7" t="e">
        <f>'31-HVLV'!C45</f>
        <v>#DIV/0!</v>
      </c>
      <c r="C9" s="31" t="s">
        <v>2637</v>
      </c>
      <c r="G9" s="233" t="str">
        <f>"31-HVLV, Line "&amp;'31-HVLV'!A45&amp;""</f>
        <v>31-HVLV, Line 37</v>
      </c>
    </row>
    <row r="10" spans="1:10" ht="13">
      <c r="A10" s="2">
        <f t="shared" si="0"/>
        <v>7</v>
      </c>
      <c r="B10" s="7" t="e">
        <f>'31-HVLV'!D45</f>
        <v>#DIV/0!</v>
      </c>
      <c r="C10" s="31" t="s">
        <v>2638</v>
      </c>
      <c r="G10" s="233" t="str">
        <f>"31-HVLV, Line "&amp;'31-HVLV'!A45&amp;""</f>
        <v>31-HVLV, Line 37</v>
      </c>
    </row>
    <row r="11" spans="1:10">
      <c r="C11" s="25"/>
      <c r="D11" s="331"/>
      <c r="E11" s="331"/>
      <c r="F11" s="331"/>
      <c r="G11" s="331"/>
      <c r="H11" s="331"/>
      <c r="J11" s="331"/>
    </row>
    <row r="12" spans="1:10" ht="13">
      <c r="B12" s="1" t="s">
        <v>2639</v>
      </c>
      <c r="C12" s="25"/>
      <c r="D12" s="331"/>
      <c r="E12" s="331"/>
      <c r="F12" s="331"/>
      <c r="G12" s="331"/>
      <c r="H12" s="331"/>
    </row>
    <row r="13" spans="1:10" ht="13">
      <c r="B13" s="1"/>
      <c r="C13" s="25"/>
      <c r="D13" s="331"/>
      <c r="E13" s="331"/>
      <c r="F13" s="331"/>
      <c r="G13" s="331"/>
      <c r="H13" s="331"/>
    </row>
    <row r="14" spans="1:10" ht="13">
      <c r="B14" s="1"/>
      <c r="C14" s="25"/>
      <c r="D14" s="48" t="s">
        <v>347</v>
      </c>
      <c r="E14" s="48" t="s">
        <v>348</v>
      </c>
      <c r="F14" s="48" t="s">
        <v>349</v>
      </c>
      <c r="G14" s="331"/>
      <c r="H14" s="331"/>
    </row>
    <row r="15" spans="1:10" ht="13">
      <c r="B15" s="1"/>
      <c r="C15" s="25"/>
      <c r="F15" s="331"/>
      <c r="G15" s="331"/>
      <c r="H15" s="331"/>
    </row>
    <row r="16" spans="1:10" ht="13">
      <c r="E16" s="2" t="s">
        <v>2640</v>
      </c>
      <c r="F16" s="2" t="s">
        <v>2641</v>
      </c>
    </row>
    <row r="17" spans="1:8" ht="13">
      <c r="C17" s="25"/>
      <c r="D17" s="3" t="s">
        <v>2642</v>
      </c>
      <c r="E17" s="3" t="s">
        <v>2643</v>
      </c>
      <c r="F17" s="3" t="s">
        <v>2643</v>
      </c>
      <c r="G17" s="3"/>
      <c r="H17" s="3" t="s">
        <v>686</v>
      </c>
    </row>
    <row r="18" spans="1:8" ht="13">
      <c r="A18" s="2">
        <f>A10+1</f>
        <v>8</v>
      </c>
      <c r="B18" s="52"/>
      <c r="C18" s="39" t="s">
        <v>2644</v>
      </c>
      <c r="D18" s="6" t="e">
        <f>B4</f>
        <v>#DIV/0!</v>
      </c>
      <c r="E18" s="6" t="e">
        <f>D18*B9</f>
        <v>#DIV/0!</v>
      </c>
      <c r="F18" s="6" t="e">
        <f>D18*B10</f>
        <v>#DIV/0!</v>
      </c>
      <c r="G18" s="6"/>
      <c r="H18" s="233" t="s">
        <v>358</v>
      </c>
    </row>
    <row r="19" spans="1:8" ht="13">
      <c r="A19" s="2">
        <f>A18+1</f>
        <v>9</v>
      </c>
      <c r="B19" s="52"/>
      <c r="C19" s="39" t="s">
        <v>2645</v>
      </c>
      <c r="D19" s="6" t="e">
        <f>'24-CWIPTRR'!E157</f>
        <v>#DIV/0!</v>
      </c>
      <c r="E19" s="6" t="e">
        <f>'24-CWIPTRR'!E157</f>
        <v>#DIV/0!</v>
      </c>
      <c r="F19" s="6">
        <v>0</v>
      </c>
      <c r="G19" s="6"/>
      <c r="H19" s="233" t="s">
        <v>359</v>
      </c>
    </row>
    <row r="20" spans="1:8" ht="13">
      <c r="A20" s="2">
        <f>A19+1</f>
        <v>10</v>
      </c>
      <c r="B20" s="52"/>
      <c r="C20" s="39" t="s">
        <v>2646</v>
      </c>
      <c r="D20" s="6" t="e">
        <f>D18-D19</f>
        <v>#DIV/0!</v>
      </c>
      <c r="E20" s="6" t="e">
        <f t="shared" ref="E20:F20" si="1">E18-E19</f>
        <v>#DIV/0!</v>
      </c>
      <c r="F20" s="6" t="e">
        <f t="shared" si="1"/>
        <v>#DIV/0!</v>
      </c>
      <c r="G20" s="6"/>
      <c r="H20" s="233" t="s">
        <v>361</v>
      </c>
    </row>
    <row r="21" spans="1:8" ht="13">
      <c r="B21" s="52"/>
      <c r="C21" s="52"/>
      <c r="D21" s="6"/>
      <c r="E21" s="6"/>
      <c r="F21" s="6"/>
      <c r="G21" s="6"/>
    </row>
    <row r="22" spans="1:8" ht="13">
      <c r="A22" s="2">
        <f>A20+1</f>
        <v>11</v>
      </c>
      <c r="B22" s="1"/>
      <c r="C22" s="39" t="s">
        <v>2647</v>
      </c>
      <c r="D22" s="6">
        <f>B5</f>
        <v>0</v>
      </c>
      <c r="E22" s="6">
        <f>B6</f>
        <v>0</v>
      </c>
      <c r="F22" s="6">
        <f>B7</f>
        <v>0</v>
      </c>
      <c r="G22" s="6"/>
      <c r="H22" t="str">
        <f>"Lines "&amp;A5&amp;" to "&amp;A7&amp;""</f>
        <v>Lines 2 to 4</v>
      </c>
    </row>
    <row r="23" spans="1:8" ht="13">
      <c r="B23" s="1"/>
      <c r="C23" s="39"/>
      <c r="D23" s="6"/>
      <c r="E23" s="6"/>
      <c r="F23" s="6"/>
      <c r="G23" s="6"/>
    </row>
    <row r="24" spans="1:8" ht="13">
      <c r="A24" s="2">
        <f>A22+1</f>
        <v>12</v>
      </c>
      <c r="B24" s="1"/>
      <c r="C24" s="39" t="s">
        <v>2648</v>
      </c>
      <c r="D24" s="53" t="e">
        <f>$B$8</f>
        <v>#DIV/0!</v>
      </c>
      <c r="E24" s="53" t="e">
        <f>$B$8*$B$9</f>
        <v>#DIV/0!</v>
      </c>
      <c r="F24" s="53" t="e">
        <f>$B$8*$B$10</f>
        <v>#DIV/0!</v>
      </c>
      <c r="G24" s="53"/>
      <c r="H24" s="233" t="s">
        <v>362</v>
      </c>
    </row>
    <row r="25" spans="1:8" ht="13">
      <c r="A25" s="2"/>
      <c r="B25" s="1"/>
      <c r="C25" s="39"/>
      <c r="D25" s="53"/>
      <c r="E25" s="53"/>
      <c r="F25" s="53"/>
      <c r="G25" s="53"/>
      <c r="H25" s="233"/>
    </row>
    <row r="26" spans="1:8" ht="13">
      <c r="B26" s="1"/>
      <c r="C26" s="39" t="s">
        <v>2649</v>
      </c>
      <c r="D26" s="53"/>
      <c r="E26" s="53"/>
      <c r="F26" s="53"/>
      <c r="G26" s="53"/>
    </row>
    <row r="27" spans="1:8" ht="13">
      <c r="A27" s="2">
        <f>A24+1</f>
        <v>13</v>
      </c>
      <c r="B27" s="1"/>
      <c r="C27" s="39" t="s">
        <v>2650</v>
      </c>
      <c r="D27" s="6" t="e">
        <f>D18+D22+D24</f>
        <v>#DIV/0!</v>
      </c>
      <c r="E27" s="6" t="e">
        <f>E18+E22+E24</f>
        <v>#DIV/0!</v>
      </c>
      <c r="F27" s="6" t="e">
        <f>F18+F22+F24</f>
        <v>#DIV/0!</v>
      </c>
      <c r="G27" s="6"/>
      <c r="H27" s="235" t="str">
        <f>"Sum of Lines "&amp;A18&amp;", "&amp;A22&amp;", and "&amp;A24&amp;""</f>
        <v>Sum of Lines 8, 11, and 12</v>
      </c>
    </row>
    <row r="28" spans="1:8">
      <c r="E28" s="6"/>
    </row>
    <row r="29" spans="1:8" ht="13">
      <c r="B29" s="30" t="s">
        <v>233</v>
      </c>
    </row>
    <row r="30" spans="1:8">
      <c r="B30" s="233" t="s">
        <v>2651</v>
      </c>
    </row>
    <row r="31" spans="1:8">
      <c r="B31" s="233" t="s">
        <v>2652</v>
      </c>
    </row>
    <row r="32" spans="1:8">
      <c r="B32" s="233" t="s">
        <v>2653</v>
      </c>
    </row>
    <row r="33" spans="2:5">
      <c r="B33" s="233" t="s">
        <v>2654</v>
      </c>
      <c r="D33" s="240" t="s">
        <v>2655</v>
      </c>
      <c r="E33" s="54"/>
    </row>
    <row r="34" spans="2:5">
      <c r="B34" s="233" t="str">
        <f>"3) Column 1 is from Line "&amp;A4&amp;"."</f>
        <v>3) Column 1 is from Line 1.</v>
      </c>
    </row>
    <row r="35" spans="2:5">
      <c r="B35" s="232" t="str">
        <f>"Column 2 equals Column 1 * Line "&amp;A9&amp;"."</f>
        <v>Column 2 equals Column 1 * Line 6.</v>
      </c>
    </row>
    <row r="36" spans="2:5">
      <c r="B36" s="232" t="str">
        <f>"Column 3 equals Column 1 * Line "&amp;A10&amp;"."</f>
        <v>Column 3 equals Column 1 * Line 7.</v>
      </c>
    </row>
    <row r="37" spans="2:5">
      <c r="B37" t="str">
        <f>"4) From 24-CWIPTRR, Line "&amp;'24-CWIPTRR'!A157&amp;".  All High Voltage."</f>
        <v>4) From 24-CWIPTRR, Line 92.  All High Voltage.</v>
      </c>
    </row>
    <row r="38" spans="2:5">
      <c r="B38" t="str">
        <f>"5) Line "&amp;A18&amp;" - Line "&amp;A19&amp;""</f>
        <v>5) Line 8 - Line 9</v>
      </c>
    </row>
    <row r="39" spans="2:5">
      <c r="B39" s="233" t="str">
        <f>"6) Column 1 is from Line "&amp;A8&amp;"."</f>
        <v>6) Column 1 is from Line 5.</v>
      </c>
    </row>
    <row r="40" spans="2:5">
      <c r="B40" s="232" t="str">
        <f>"Column 2 equals Column 1 * Line "&amp;A9&amp;"."</f>
        <v>Column 2 equals Column 1 * Line 6.</v>
      </c>
    </row>
    <row r="41" spans="2:5">
      <c r="B41" s="232" t="str">
        <f>"Column 3 equals Column 1 * Line "&amp;A10&amp;"."</f>
        <v>Column 3 equals Column 1 * Line 7.</v>
      </c>
    </row>
  </sheetData>
  <mergeCells count="3">
    <mergeCell ref="G5:H5"/>
    <mergeCell ref="G6:H6"/>
    <mergeCell ref="G7:H7"/>
  </mergeCells>
  <phoneticPr fontId="24" type="noConversion"/>
  <pageMargins left="0.75" right="0.75" top="1" bottom="1" header="0.5" footer="0.5"/>
  <pageSetup scale="90" orientation="landscape" cellComments="asDisplayed" r:id="rId1"/>
  <headerFooter alignWithMargins="0">
    <oddHeader xml:space="preserve">&amp;CSchedule 29
Wholesale TRRs
</oddHeader>
    <oddFooter>&amp;R&amp;A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3"/>
  <sheetViews>
    <sheetView zoomScaleNormal="100" workbookViewId="0">
      <selection activeCell="L41" sqref="L41"/>
    </sheetView>
  </sheetViews>
  <sheetFormatPr defaultRowHeight="12.5"/>
  <cols>
    <col min="1" max="2" width="4.54296875" customWidth="1"/>
    <col min="4" max="4" width="24.453125" customWidth="1"/>
    <col min="5" max="5" width="17.54296875" customWidth="1"/>
    <col min="6" max="6" width="10.08984375" style="12" customWidth="1"/>
    <col min="7" max="7" width="10.453125" bestFit="1" customWidth="1"/>
  </cols>
  <sheetData>
    <row r="1" spans="1:7" ht="13">
      <c r="A1" s="1" t="s">
        <v>2656</v>
      </c>
    </row>
    <row r="2" spans="1:7" ht="13">
      <c r="B2" s="1"/>
    </row>
    <row r="3" spans="1:7">
      <c r="B3" s="233" t="s">
        <v>2657</v>
      </c>
    </row>
    <row r="4" spans="1:7">
      <c r="B4" s="233"/>
    </row>
    <row r="5" spans="1:7">
      <c r="B5" s="232" t="s">
        <v>2658</v>
      </c>
    </row>
    <row r="6" spans="1:7">
      <c r="B6" s="232" t="s">
        <v>2659</v>
      </c>
    </row>
    <row r="7" spans="1:7">
      <c r="B7" s="232" t="s">
        <v>2660</v>
      </c>
    </row>
    <row r="8" spans="1:7">
      <c r="B8" s="233"/>
    </row>
    <row r="9" spans="1:7">
      <c r="B9" s="233"/>
    </row>
    <row r="10" spans="1:7" ht="13">
      <c r="B10" s="1" t="s">
        <v>2661</v>
      </c>
    </row>
    <row r="11" spans="1:7" ht="13">
      <c r="A11" s="3" t="s">
        <v>284</v>
      </c>
      <c r="G11" s="3" t="s">
        <v>686</v>
      </c>
    </row>
    <row r="12" spans="1:7" ht="13">
      <c r="A12" s="2">
        <v>1</v>
      </c>
      <c r="D12" s="231" t="s">
        <v>2662</v>
      </c>
      <c r="E12" s="6" t="e">
        <f>'29-WholesaleTRRs'!F27</f>
        <v>#DIV/0!</v>
      </c>
      <c r="G12" s="232" t="str">
        <f>"29-WholesaleTRRs, Line "&amp;'29-WholesaleTRRs'!A27&amp;", C3"</f>
        <v>29-WholesaleTRRs, Line 13, C3</v>
      </c>
    </row>
    <row r="13" spans="1:7" ht="13">
      <c r="A13" s="2">
        <f>A12+1</f>
        <v>2</v>
      </c>
      <c r="D13" s="231" t="s">
        <v>2663</v>
      </c>
      <c r="E13" s="56">
        <f>'32-GrossLoad'!F8</f>
        <v>0</v>
      </c>
      <c r="F13" s="232" t="s">
        <v>2664</v>
      </c>
      <c r="G13" s="232" t="str">
        <f>"32-Gross Load, Line "&amp;'32-GrossLoad'!A8&amp;""</f>
        <v>32-Gross Load, Line 4</v>
      </c>
    </row>
    <row r="14" spans="1:7" ht="13">
      <c r="A14" s="2">
        <f>A13+1</f>
        <v>3</v>
      </c>
      <c r="D14" s="231" t="s">
        <v>2665</v>
      </c>
      <c r="E14" s="1006" t="e">
        <f>E12/(E13*1000)</f>
        <v>#DIV/0!</v>
      </c>
      <c r="F14" s="12" t="s">
        <v>2666</v>
      </c>
      <c r="G14" s="12" t="str">
        <f>"Line "&amp;A12&amp;" / (Line "&amp;A13&amp;" * 1000)"</f>
        <v>Line 1 / (Line 2 * 1000)</v>
      </c>
    </row>
    <row r="15" spans="1:7">
      <c r="D15" s="25"/>
      <c r="E15" s="41"/>
    </row>
    <row r="17" spans="1:7" ht="13">
      <c r="B17" s="1" t="s">
        <v>2667</v>
      </c>
    </row>
    <row r="18" spans="1:7">
      <c r="C18" s="31" t="s">
        <v>2668</v>
      </c>
    </row>
    <row r="19" spans="1:7" ht="13">
      <c r="G19" s="3" t="s">
        <v>686</v>
      </c>
    </row>
    <row r="20" spans="1:7" ht="13">
      <c r="A20" s="2">
        <f>A14+1</f>
        <v>4</v>
      </c>
      <c r="D20" s="25" t="s">
        <v>2669</v>
      </c>
      <c r="E20" s="6" t="e">
        <f>'29-WholesaleTRRs'!E27</f>
        <v>#DIV/0!</v>
      </c>
      <c r="G20" s="232" t="str">
        <f>"29-WholesaleTRRs, Line "&amp;'29-WholesaleTRRs'!A27&amp;", C2"</f>
        <v>29-WholesaleTRRs, Line 13, C2</v>
      </c>
    </row>
    <row r="21" spans="1:7" ht="13">
      <c r="A21" s="2">
        <f>A20+1</f>
        <v>5</v>
      </c>
      <c r="D21" s="231" t="s">
        <v>2663</v>
      </c>
      <c r="E21" s="56">
        <f>'32-GrossLoad'!F8</f>
        <v>0</v>
      </c>
      <c r="F21" s="232" t="s">
        <v>2664</v>
      </c>
      <c r="G21" s="232" t="str">
        <f>"32-Gross Load, Line "&amp;'32-GrossLoad'!A8&amp;""</f>
        <v>32-Gross Load, Line 4</v>
      </c>
    </row>
    <row r="22" spans="1:7" ht="13">
      <c r="A22" s="2">
        <f>A21+1</f>
        <v>6</v>
      </c>
      <c r="D22" s="231" t="s">
        <v>2670</v>
      </c>
      <c r="E22" s="1007" t="e">
        <f>E20/(E21*1000)</f>
        <v>#DIV/0!</v>
      </c>
      <c r="F22" s="12" t="s">
        <v>2666</v>
      </c>
      <c r="G22" s="12" t="str">
        <f>"Line "&amp;A20&amp;" / (Line "&amp;A21&amp;" * 1000)"</f>
        <v>Line 4 / (Line 5 * 1000)</v>
      </c>
    </row>
    <row r="24" spans="1:7" ht="13">
      <c r="B24" s="1" t="s">
        <v>2671</v>
      </c>
    </row>
    <row r="25" spans="1:7" ht="13">
      <c r="G25" s="3" t="s">
        <v>686</v>
      </c>
    </row>
    <row r="26" spans="1:7" ht="13">
      <c r="A26" s="2">
        <f>A22+1</f>
        <v>7</v>
      </c>
      <c r="D26" s="231" t="s">
        <v>2672</v>
      </c>
      <c r="E26" s="6" t="e">
        <f>'29-WholesaleTRRs'!E27</f>
        <v>#DIV/0!</v>
      </c>
      <c r="G26" s="232" t="str">
        <f>"29-WholesaleTRRs, Line "&amp;'29-WholesaleTRRs'!A27&amp;", C2"</f>
        <v>29-WholesaleTRRs, Line 13, C2</v>
      </c>
    </row>
    <row r="27" spans="1:7" ht="13">
      <c r="A27" s="2">
        <f>A26+1</f>
        <v>8</v>
      </c>
      <c r="D27" s="231" t="s">
        <v>2673</v>
      </c>
      <c r="E27" s="56">
        <f>'32-GrossLoad'!F11</f>
        <v>0</v>
      </c>
      <c r="F27" s="12" t="s">
        <v>2674</v>
      </c>
      <c r="G27" s="232" t="str">
        <f>"32-Gross Load, Line "&amp;'32-GrossLoad'!A11&amp;""</f>
        <v>32-Gross Load, Line 5</v>
      </c>
    </row>
    <row r="28" spans="1:7" ht="13">
      <c r="A28" s="2">
        <f>A27+1</f>
        <v>9</v>
      </c>
      <c r="D28" s="231" t="s">
        <v>2675</v>
      </c>
      <c r="E28" s="41" t="e">
        <f>ROUND((E26/(E27*1000)),2)</f>
        <v>#DIV/0!</v>
      </c>
      <c r="F28" s="232" t="s">
        <v>2676</v>
      </c>
      <c r="G28" s="12" t="str">
        <f>"Line "&amp;A26&amp;" / (Line "&amp;A27&amp;" * 1000)"</f>
        <v>Line 7 / (Line 8 * 1000)</v>
      </c>
    </row>
    <row r="31" spans="1:7" ht="13">
      <c r="B31" s="30" t="s">
        <v>233</v>
      </c>
    </row>
    <row r="32" spans="1:7">
      <c r="B32" s="233" t="s">
        <v>2677</v>
      </c>
    </row>
    <row r="33" spans="2:2">
      <c r="B33" s="233" t="s">
        <v>2678</v>
      </c>
    </row>
  </sheetData>
  <phoneticPr fontId="24" type="noConversion"/>
  <pageMargins left="0.75" right="0.75" top="1" bottom="1" header="0.5" footer="0.5"/>
  <pageSetup scale="83" orientation="portrait" cellComments="asDisplayed" r:id="rId1"/>
  <headerFooter alignWithMargins="0">
    <oddHeader xml:space="preserve">&amp;CSchedule 30
Wholesale Rates
</oddHeader>
    <oddFooter>&amp;R&amp;A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51"/>
  <sheetViews>
    <sheetView topLeftCell="B1" zoomScaleNormal="100" workbookViewId="0">
      <selection activeCell="L41" sqref="L41"/>
    </sheetView>
  </sheetViews>
  <sheetFormatPr defaultRowHeight="13"/>
  <cols>
    <col min="1" max="1" width="4.54296875" customWidth="1"/>
    <col min="2" max="2" width="38" style="78" customWidth="1"/>
    <col min="3" max="3" width="16.453125" style="78" customWidth="1"/>
    <col min="4" max="4" width="14.54296875" style="78" customWidth="1"/>
    <col min="5" max="5" width="16" style="78" customWidth="1"/>
    <col min="6" max="6" width="3.453125" style="78" bestFit="1" customWidth="1"/>
    <col min="7" max="8" width="14.54296875" style="78" customWidth="1"/>
    <col min="9" max="9" width="17.453125" style="78" customWidth="1"/>
    <col min="10" max="11" width="14.54296875" style="78" customWidth="1"/>
  </cols>
  <sheetData>
    <row r="1" spans="1:11">
      <c r="A1" s="127" t="s">
        <v>2679</v>
      </c>
      <c r="B1" s="13"/>
      <c r="C1" s="13"/>
      <c r="D1" s="13"/>
      <c r="E1" s="13"/>
      <c r="F1" s="13"/>
      <c r="G1" s="13"/>
      <c r="H1" s="13"/>
      <c r="I1" s="13"/>
      <c r="J1" s="13"/>
      <c r="K1" s="13"/>
    </row>
    <row r="2" spans="1:11" ht="12.5">
      <c r="A2" s="13" t="s">
        <v>2680</v>
      </c>
      <c r="B2" s="13"/>
      <c r="C2" s="13"/>
      <c r="D2" s="13"/>
      <c r="E2" s="13"/>
      <c r="F2" s="13"/>
      <c r="G2" s="13"/>
      <c r="H2" s="13"/>
      <c r="I2" s="128" t="s">
        <v>748</v>
      </c>
      <c r="J2" s="128"/>
      <c r="K2" s="13"/>
    </row>
    <row r="3" spans="1:11" ht="12.5">
      <c r="A3" s="233"/>
      <c r="B3" s="13"/>
      <c r="C3" s="13"/>
      <c r="D3" s="13"/>
      <c r="E3" s="13"/>
      <c r="F3" s="13"/>
      <c r="G3" s="13"/>
      <c r="H3" s="13"/>
      <c r="I3" s="13"/>
      <c r="J3" s="13"/>
      <c r="K3" s="13"/>
    </row>
    <row r="4" spans="1:11" ht="12.5">
      <c r="A4" s="233"/>
      <c r="B4" s="13"/>
      <c r="C4" s="13"/>
      <c r="D4" s="13"/>
      <c r="E4" s="13"/>
      <c r="F4" s="13"/>
      <c r="G4" s="241" t="s">
        <v>2681</v>
      </c>
      <c r="H4" s="241"/>
      <c r="I4" s="241"/>
      <c r="J4" s="241"/>
      <c r="K4" s="13"/>
    </row>
    <row r="5" spans="1:11">
      <c r="A5" s="233"/>
      <c r="B5" s="127" t="s">
        <v>2682</v>
      </c>
      <c r="C5" s="13"/>
      <c r="D5" s="13"/>
      <c r="E5" s="13"/>
      <c r="F5" s="13"/>
      <c r="G5" s="241" t="s">
        <v>2683</v>
      </c>
      <c r="H5" s="241"/>
      <c r="I5" s="241"/>
      <c r="J5" s="241"/>
      <c r="K5" s="13"/>
    </row>
    <row r="6" spans="1:11">
      <c r="A6" s="233"/>
      <c r="B6" s="13"/>
      <c r="C6" s="19" t="s">
        <v>2684</v>
      </c>
      <c r="D6" s="19"/>
      <c r="E6" s="19"/>
      <c r="F6" s="19"/>
      <c r="G6" s="19"/>
      <c r="H6" s="19"/>
      <c r="I6" s="19" t="s">
        <v>2685</v>
      </c>
      <c r="J6" s="19" t="s">
        <v>2686</v>
      </c>
      <c r="K6" s="19" t="s">
        <v>2687</v>
      </c>
    </row>
    <row r="7" spans="1:11">
      <c r="A7" s="233"/>
      <c r="B7" s="127" t="s">
        <v>2688</v>
      </c>
      <c r="C7" s="18" t="s">
        <v>1448</v>
      </c>
      <c r="D7" s="18" t="s">
        <v>761</v>
      </c>
      <c r="E7" s="18" t="s">
        <v>2689</v>
      </c>
      <c r="F7" s="18"/>
      <c r="G7" s="18" t="s">
        <v>2690</v>
      </c>
      <c r="H7" s="18" t="s">
        <v>2691</v>
      </c>
      <c r="I7" s="18" t="s">
        <v>2689</v>
      </c>
      <c r="J7" s="18" t="s">
        <v>2689</v>
      </c>
      <c r="K7" s="18" t="s">
        <v>2692</v>
      </c>
    </row>
    <row r="8" spans="1:11">
      <c r="A8" s="3" t="s">
        <v>284</v>
      </c>
      <c r="B8" s="127"/>
      <c r="C8" s="18"/>
      <c r="D8" s="18"/>
      <c r="E8" s="18"/>
      <c r="F8" s="18"/>
      <c r="G8" s="18"/>
      <c r="H8" s="18"/>
      <c r="I8" s="18"/>
      <c r="J8" s="18"/>
      <c r="K8" s="18"/>
    </row>
    <row r="9" spans="1:11">
      <c r="A9" s="2">
        <v>1</v>
      </c>
      <c r="B9" s="129" t="s">
        <v>2693</v>
      </c>
      <c r="C9" s="130"/>
      <c r="D9" s="131"/>
      <c r="E9" s="131"/>
      <c r="F9" s="19"/>
      <c r="G9" s="130"/>
      <c r="H9" s="130"/>
      <c r="I9" s="130"/>
      <c r="J9" s="130"/>
      <c r="K9" s="130"/>
    </row>
    <row r="10" spans="1:11">
      <c r="A10" s="2">
        <f>A9+1</f>
        <v>2</v>
      </c>
      <c r="B10" s="132" t="s">
        <v>2694</v>
      </c>
      <c r="C10" s="133">
        <f>SUM(D10:E10)</f>
        <v>0</v>
      </c>
      <c r="D10" s="916">
        <f>G10+H10</f>
        <v>0</v>
      </c>
      <c r="E10" s="916">
        <f>I10+J10</f>
        <v>0</v>
      </c>
      <c r="F10" s="134"/>
      <c r="G10" s="584"/>
      <c r="H10" s="584"/>
      <c r="I10" s="584"/>
      <c r="J10" s="584"/>
      <c r="K10" s="584"/>
    </row>
    <row r="11" spans="1:11">
      <c r="A11" s="2">
        <f t="shared" ref="A11:A47" si="0">A10+1</f>
        <v>3</v>
      </c>
      <c r="B11" s="132" t="s">
        <v>2695</v>
      </c>
      <c r="C11" s="135">
        <f>SUM(D11:E11)</f>
        <v>0</v>
      </c>
      <c r="D11" s="136">
        <f>G11+H11</f>
        <v>0</v>
      </c>
      <c r="E11" s="136">
        <f>I11+J11</f>
        <v>0</v>
      </c>
      <c r="F11" s="137"/>
      <c r="G11" s="585"/>
      <c r="H11" s="585"/>
      <c r="I11" s="585"/>
      <c r="J11" s="585"/>
      <c r="K11" s="585"/>
    </row>
    <row r="12" spans="1:11">
      <c r="A12" s="2">
        <f t="shared" si="0"/>
        <v>4</v>
      </c>
      <c r="B12" s="633" t="s">
        <v>2696</v>
      </c>
      <c r="C12" s="138">
        <f>SUM(C10:C11)</f>
        <v>0</v>
      </c>
      <c r="D12" s="138">
        <f t="shared" ref="D12:E12" si="1">SUM(D10:D11)</f>
        <v>0</v>
      </c>
      <c r="E12" s="138">
        <f t="shared" si="1"/>
        <v>0</v>
      </c>
      <c r="F12" s="138"/>
      <c r="G12" s="138">
        <f t="shared" ref="G12:K12" si="2">SUM(G10:G11)</f>
        <v>0</v>
      </c>
      <c r="H12" s="138">
        <f t="shared" si="2"/>
        <v>0</v>
      </c>
      <c r="I12" s="138">
        <f t="shared" si="2"/>
        <v>0</v>
      </c>
      <c r="J12" s="138">
        <f t="shared" si="2"/>
        <v>0</v>
      </c>
      <c r="K12" s="138">
        <f t="shared" si="2"/>
        <v>0</v>
      </c>
    </row>
    <row r="13" spans="1:11">
      <c r="A13" s="2">
        <f t="shared" si="0"/>
        <v>5</v>
      </c>
      <c r="B13" s="13"/>
      <c r="C13" s="917"/>
      <c r="D13" s="917"/>
      <c r="E13" s="917"/>
      <c r="F13" s="139"/>
      <c r="G13" s="917"/>
      <c r="H13" s="918"/>
      <c r="I13" s="919"/>
      <c r="J13" s="918"/>
      <c r="K13" s="918"/>
    </row>
    <row r="14" spans="1:11">
      <c r="A14" s="2">
        <f t="shared" si="0"/>
        <v>6</v>
      </c>
      <c r="B14" s="127" t="s">
        <v>2697</v>
      </c>
      <c r="C14" s="917"/>
      <c r="D14" s="917"/>
      <c r="E14" s="917"/>
      <c r="F14" s="139"/>
      <c r="G14" s="917"/>
      <c r="H14" s="918"/>
      <c r="I14" s="919"/>
      <c r="J14" s="918"/>
      <c r="K14" s="918"/>
    </row>
    <row r="15" spans="1:11">
      <c r="A15" s="2">
        <f t="shared" si="0"/>
        <v>7</v>
      </c>
      <c r="B15" s="140" t="s">
        <v>2698</v>
      </c>
      <c r="C15" s="916">
        <f>SUM(D15:E15)</f>
        <v>0</v>
      </c>
      <c r="D15" s="916">
        <f>G15+H15</f>
        <v>0</v>
      </c>
      <c r="E15" s="916">
        <f>I15+J15</f>
        <v>0</v>
      </c>
      <c r="F15" s="141"/>
      <c r="G15" s="315"/>
      <c r="H15" s="586"/>
      <c r="I15" s="315"/>
      <c r="J15" s="586"/>
      <c r="K15" s="586"/>
    </row>
    <row r="16" spans="1:11">
      <c r="A16" s="2">
        <f t="shared" si="0"/>
        <v>8</v>
      </c>
      <c r="B16" s="477" t="s">
        <v>2699</v>
      </c>
      <c r="C16" s="916">
        <f>SUM(D16:E16)</f>
        <v>0</v>
      </c>
      <c r="D16" s="916">
        <f>G16+H16</f>
        <v>0</v>
      </c>
      <c r="E16" s="916">
        <f>I16+J16+K16</f>
        <v>0</v>
      </c>
      <c r="F16" s="139"/>
      <c r="G16" s="586"/>
      <c r="H16" s="586"/>
      <c r="I16" s="586"/>
      <c r="J16" s="586"/>
      <c r="K16" s="586"/>
    </row>
    <row r="17" spans="1:11" ht="14">
      <c r="A17" s="2">
        <f t="shared" si="0"/>
        <v>9</v>
      </c>
      <c r="B17" s="477" t="s">
        <v>2700</v>
      </c>
      <c r="C17" s="142">
        <f>SUM(D17:E17)</f>
        <v>0</v>
      </c>
      <c r="D17" s="136">
        <f>G17+H17</f>
        <v>0</v>
      </c>
      <c r="E17" s="142">
        <f>I17+J17</f>
        <v>0</v>
      </c>
      <c r="F17" s="143"/>
      <c r="G17" s="587"/>
      <c r="H17" s="588"/>
      <c r="I17" s="587"/>
      <c r="J17" s="588"/>
      <c r="K17" s="587"/>
    </row>
    <row r="18" spans="1:11">
      <c r="A18" s="2">
        <f t="shared" si="0"/>
        <v>10</v>
      </c>
      <c r="B18" s="219" t="s">
        <v>2701</v>
      </c>
      <c r="C18" s="916">
        <f>SUM(C15:C17)</f>
        <v>0</v>
      </c>
      <c r="D18" s="916">
        <f>SUM(D15:D17)</f>
        <v>0</v>
      </c>
      <c r="E18" s="916">
        <f>SUM(E15:E17)</f>
        <v>0</v>
      </c>
      <c r="F18" s="144"/>
      <c r="G18" s="916">
        <f>SUM(G15:G17)</f>
        <v>0</v>
      </c>
      <c r="H18" s="916">
        <f>SUM(H15:H17)</f>
        <v>0</v>
      </c>
      <c r="I18" s="916">
        <f>SUM(I15:I17)</f>
        <v>0</v>
      </c>
      <c r="J18" s="916">
        <f>SUM(J15:J17)</f>
        <v>0</v>
      </c>
      <c r="K18" s="916">
        <f>SUM(K15:K17)</f>
        <v>0</v>
      </c>
    </row>
    <row r="19" spans="1:11">
      <c r="A19" s="2">
        <f t="shared" si="0"/>
        <v>11</v>
      </c>
      <c r="B19" s="13"/>
      <c r="C19" s="920"/>
      <c r="D19" s="920"/>
      <c r="E19" s="920"/>
      <c r="F19" s="144"/>
      <c r="G19" s="921"/>
      <c r="H19" s="921"/>
      <c r="I19" s="921"/>
      <c r="J19" s="921"/>
      <c r="K19" s="921"/>
    </row>
    <row r="20" spans="1:11">
      <c r="A20" s="2">
        <f t="shared" si="0"/>
        <v>12</v>
      </c>
      <c r="B20" s="219" t="s">
        <v>2702</v>
      </c>
      <c r="C20" s="922">
        <f>C12+C18</f>
        <v>0</v>
      </c>
      <c r="D20" s="922">
        <f t="shared" ref="D20" si="3">D12+D18</f>
        <v>0</v>
      </c>
      <c r="E20" s="922">
        <f>E12+E18</f>
        <v>0</v>
      </c>
      <c r="F20" s="923"/>
      <c r="G20" s="923">
        <f t="shared" ref="G20:K20" si="4">G12+G18</f>
        <v>0</v>
      </c>
      <c r="H20" s="923">
        <f t="shared" si="4"/>
        <v>0</v>
      </c>
      <c r="I20" s="922">
        <f t="shared" si="4"/>
        <v>0</v>
      </c>
      <c r="J20" s="922">
        <f t="shared" si="4"/>
        <v>0</v>
      </c>
      <c r="K20" s="923">
        <f t="shared" si="4"/>
        <v>0</v>
      </c>
    </row>
    <row r="21" spans="1:11">
      <c r="A21" s="2">
        <f t="shared" si="0"/>
        <v>13</v>
      </c>
      <c r="B21" s="13"/>
      <c r="C21" s="145"/>
      <c r="D21" s="139"/>
      <c r="E21" s="145"/>
      <c r="F21" s="13"/>
      <c r="G21" s="145"/>
      <c r="H21" s="145"/>
      <c r="I21" s="145"/>
      <c r="J21" s="145"/>
      <c r="K21" s="145"/>
    </row>
    <row r="22" spans="1:11">
      <c r="A22" s="2">
        <f t="shared" si="0"/>
        <v>14</v>
      </c>
      <c r="B22" s="13"/>
      <c r="C22" s="145"/>
      <c r="D22" s="139"/>
      <c r="E22" s="145"/>
      <c r="F22" s="13"/>
      <c r="G22" s="145"/>
      <c r="H22" s="145"/>
      <c r="I22" s="145"/>
      <c r="J22" s="145"/>
      <c r="K22" s="145"/>
    </row>
    <row r="23" spans="1:11">
      <c r="A23" s="2">
        <f t="shared" si="0"/>
        <v>15</v>
      </c>
      <c r="B23" s="241" t="s">
        <v>2703</v>
      </c>
      <c r="C23" s="145"/>
      <c r="D23" s="139"/>
      <c r="E23" s="145"/>
      <c r="F23" s="13"/>
      <c r="G23" s="145"/>
      <c r="H23" s="145"/>
      <c r="I23" s="145"/>
      <c r="J23" s="145"/>
      <c r="K23" s="145"/>
    </row>
    <row r="24" spans="1:11">
      <c r="A24" s="2">
        <f t="shared" si="0"/>
        <v>16</v>
      </c>
      <c r="B24" s="13"/>
      <c r="C24" s="146" t="s">
        <v>2640</v>
      </c>
      <c r="D24" s="19" t="s">
        <v>2641</v>
      </c>
      <c r="E24" s="19"/>
      <c r="F24" s="13"/>
      <c r="G24" s="13"/>
      <c r="H24" s="13"/>
      <c r="I24" s="13"/>
      <c r="J24" s="13"/>
      <c r="K24" s="13"/>
    </row>
    <row r="25" spans="1:11">
      <c r="A25" s="2">
        <f t="shared" si="0"/>
        <v>17</v>
      </c>
      <c r="B25" s="13" t="s">
        <v>132</v>
      </c>
      <c r="C25" s="18" t="s">
        <v>2643</v>
      </c>
      <c r="D25" s="18" t="s">
        <v>2643</v>
      </c>
      <c r="E25" s="18" t="s">
        <v>252</v>
      </c>
      <c r="F25" s="13"/>
      <c r="G25" s="147" t="s">
        <v>233</v>
      </c>
      <c r="H25" s="13"/>
      <c r="I25" s="13"/>
      <c r="J25" s="13"/>
      <c r="K25" s="13"/>
    </row>
    <row r="26" spans="1:11">
      <c r="A26" s="2">
        <f t="shared" si="0"/>
        <v>18</v>
      </c>
      <c r="B26" s="45" t="s">
        <v>761</v>
      </c>
      <c r="C26" s="923">
        <f>G20</f>
        <v>0</v>
      </c>
      <c r="D26" s="923">
        <f>H20</f>
        <v>0</v>
      </c>
      <c r="E26" s="141">
        <f>SUM(C26:D26)</f>
        <v>0</v>
      </c>
      <c r="F26" s="13"/>
      <c r="G26" s="13" t="s">
        <v>2704</v>
      </c>
      <c r="H26" s="13"/>
      <c r="I26" s="13"/>
      <c r="J26" s="13"/>
      <c r="K26" s="13"/>
    </row>
    <row r="27" spans="1:11">
      <c r="A27" s="2">
        <f t="shared" si="0"/>
        <v>19</v>
      </c>
      <c r="B27" s="45" t="s">
        <v>2689</v>
      </c>
      <c r="C27" s="922">
        <f>I20</f>
        <v>0</v>
      </c>
      <c r="D27" s="922">
        <f>J20</f>
        <v>0</v>
      </c>
      <c r="E27" s="141">
        <f>SUM(C27:D27)</f>
        <v>0</v>
      </c>
      <c r="F27" s="13"/>
      <c r="G27" s="13" t="s">
        <v>2704</v>
      </c>
      <c r="H27" s="13"/>
      <c r="I27" s="13"/>
      <c r="J27" s="13"/>
      <c r="K27" s="13"/>
    </row>
    <row r="28" spans="1:11">
      <c r="A28" s="2">
        <f t="shared" si="0"/>
        <v>20</v>
      </c>
      <c r="B28" s="22" t="s">
        <v>2705</v>
      </c>
      <c r="C28" s="922">
        <f>SUM(C26:C27)</f>
        <v>0</v>
      </c>
      <c r="D28" s="922">
        <f>SUM(D26:D27)</f>
        <v>0</v>
      </c>
      <c r="E28" s="923">
        <f>SUM(C28:D28)</f>
        <v>0</v>
      </c>
      <c r="F28" s="13"/>
      <c r="G28" s="13" t="s">
        <v>2706</v>
      </c>
      <c r="H28" s="13"/>
      <c r="I28" s="13"/>
      <c r="J28" s="13"/>
      <c r="K28" s="13"/>
    </row>
    <row r="29" spans="1:11">
      <c r="A29" s="2">
        <f t="shared" si="0"/>
        <v>21</v>
      </c>
      <c r="B29" s="148" t="s">
        <v>2707</v>
      </c>
      <c r="C29" s="1008" t="e">
        <f>C28/E28</f>
        <v>#DIV/0!</v>
      </c>
      <c r="D29" s="1008" t="e">
        <f>D28/E28</f>
        <v>#DIV/0!</v>
      </c>
      <c r="E29" s="924"/>
      <c r="F29" s="503"/>
      <c r="G29" s="632" t="s">
        <v>2708</v>
      </c>
      <c r="H29" s="13"/>
      <c r="I29" s="13"/>
      <c r="J29" s="13"/>
      <c r="K29" s="503"/>
    </row>
    <row r="30" spans="1:11">
      <c r="A30" s="2">
        <f t="shared" si="0"/>
        <v>22</v>
      </c>
      <c r="B30" s="13"/>
      <c r="C30" s="925"/>
      <c r="D30" s="925"/>
      <c r="E30" s="925"/>
      <c r="F30" s="13"/>
      <c r="G30" s="13"/>
      <c r="H30" s="13"/>
      <c r="I30" s="13"/>
      <c r="J30" s="13"/>
      <c r="K30" s="13"/>
    </row>
    <row r="31" spans="1:11">
      <c r="A31" s="2">
        <f t="shared" si="0"/>
        <v>23</v>
      </c>
      <c r="B31" s="13" t="s">
        <v>2709</v>
      </c>
      <c r="C31" s="926" t="e">
        <f>K20*C29</f>
        <v>#DIV/0!</v>
      </c>
      <c r="D31" s="926" t="e">
        <f>K20*D29</f>
        <v>#DIV/0!</v>
      </c>
      <c r="E31" s="926">
        <f>K20</f>
        <v>0</v>
      </c>
      <c r="F31" s="13"/>
      <c r="G31" s="241" t="str">
        <f>"Straddling Transformers split by Gross Plant Percentages on Line "&amp;A29&amp;""</f>
        <v>Straddling Transformers split by Gross Plant Percentages on Line 21</v>
      </c>
      <c r="H31" s="13"/>
      <c r="I31" s="13"/>
      <c r="J31" s="13"/>
      <c r="K31" s="13"/>
    </row>
    <row r="32" spans="1:11">
      <c r="A32" s="2">
        <f t="shared" si="0"/>
        <v>24</v>
      </c>
      <c r="B32" s="303" t="s">
        <v>2710</v>
      </c>
      <c r="C32" s="504">
        <v>0</v>
      </c>
      <c r="D32" s="504">
        <f>E32-C32</f>
        <v>0</v>
      </c>
      <c r="E32" s="504">
        <v>0</v>
      </c>
      <c r="F32" s="303"/>
      <c r="G32" s="303" t="s">
        <v>2711</v>
      </c>
      <c r="H32" s="505"/>
      <c r="I32" s="13"/>
      <c r="J32" s="13"/>
      <c r="K32" s="13"/>
    </row>
    <row r="33" spans="1:11">
      <c r="A33" s="2">
        <f t="shared" si="0"/>
        <v>25</v>
      </c>
      <c r="B33" s="13" t="s">
        <v>2712</v>
      </c>
      <c r="C33" s="916" t="e">
        <f>C28+C31+C32</f>
        <v>#DIV/0!</v>
      </c>
      <c r="D33" s="916" t="e">
        <f>D28+D31+D32</f>
        <v>#DIV/0!</v>
      </c>
      <c r="E33" s="916">
        <f>E28+E31+E32</f>
        <v>0</v>
      </c>
      <c r="F33" s="13"/>
      <c r="G33" s="303" t="str">
        <f>"Line "&amp;A28&amp;" + Line "&amp;A31&amp;" + Line "&amp;A32&amp;""</f>
        <v>Line 20 + Line 23 + Line 24</v>
      </c>
      <c r="H33" s="303"/>
      <c r="I33" s="13"/>
      <c r="J33" s="13"/>
      <c r="K33" s="13"/>
    </row>
    <row r="34" spans="1:11">
      <c r="A34" s="2">
        <f t="shared" si="0"/>
        <v>26</v>
      </c>
      <c r="B34" s="13"/>
      <c r="C34" s="927"/>
      <c r="D34" s="927"/>
      <c r="E34" s="928"/>
      <c r="F34" s="13"/>
      <c r="G34" s="13"/>
      <c r="H34" s="13"/>
      <c r="I34" s="13"/>
      <c r="J34" s="13"/>
      <c r="K34" s="13"/>
    </row>
    <row r="35" spans="1:11">
      <c r="A35" s="2">
        <f t="shared" si="0"/>
        <v>27</v>
      </c>
      <c r="B35" s="13"/>
      <c r="C35" s="144"/>
      <c r="D35" s="144"/>
      <c r="E35" s="13"/>
      <c r="F35" s="13"/>
      <c r="G35" s="144"/>
      <c r="H35" s="144"/>
      <c r="I35" s="144"/>
      <c r="J35" s="13"/>
      <c r="K35" s="13"/>
    </row>
    <row r="36" spans="1:11">
      <c r="A36" s="2">
        <f t="shared" si="0"/>
        <v>28</v>
      </c>
      <c r="B36" s="127" t="s">
        <v>2713</v>
      </c>
      <c r="C36" s="13"/>
      <c r="D36" s="13"/>
      <c r="E36" s="13"/>
      <c r="F36" s="13"/>
      <c r="G36" s="13"/>
      <c r="H36" s="13"/>
      <c r="I36" s="13"/>
      <c r="J36" s="13"/>
      <c r="K36" s="13"/>
    </row>
    <row r="37" spans="1:11">
      <c r="A37" s="2">
        <f t="shared" si="0"/>
        <v>29</v>
      </c>
      <c r="B37" s="127"/>
      <c r="C37" s="13"/>
      <c r="D37" s="13"/>
      <c r="E37" s="13"/>
      <c r="F37" s="13"/>
      <c r="G37" s="13"/>
      <c r="H37" s="13"/>
      <c r="I37" s="13"/>
      <c r="J37" s="13"/>
      <c r="K37" s="13"/>
    </row>
    <row r="38" spans="1:11">
      <c r="A38" s="2">
        <f t="shared" si="0"/>
        <v>30</v>
      </c>
      <c r="B38" s="127"/>
      <c r="C38" s="146" t="s">
        <v>2640</v>
      </c>
      <c r="D38" s="19" t="s">
        <v>2641</v>
      </c>
      <c r="E38" s="19"/>
      <c r="F38" s="13"/>
      <c r="G38" s="13"/>
      <c r="H38" s="13"/>
      <c r="I38" s="13"/>
      <c r="J38" s="13"/>
      <c r="K38" s="13"/>
    </row>
    <row r="39" spans="1:11">
      <c r="A39" s="2">
        <f t="shared" si="0"/>
        <v>31</v>
      </c>
      <c r="B39" s="127"/>
      <c r="C39" s="18" t="s">
        <v>2643</v>
      </c>
      <c r="D39" s="18" t="s">
        <v>2643</v>
      </c>
      <c r="E39" s="18" t="s">
        <v>252</v>
      </c>
      <c r="F39" s="13"/>
      <c r="G39" s="147" t="s">
        <v>233</v>
      </c>
      <c r="H39" s="13"/>
      <c r="I39" s="13"/>
      <c r="J39" s="13"/>
      <c r="K39" s="13"/>
    </row>
    <row r="40" spans="1:11">
      <c r="A40" s="2">
        <f t="shared" si="0"/>
        <v>32</v>
      </c>
      <c r="B40" s="13" t="s">
        <v>2712</v>
      </c>
      <c r="C40" s="141" t="e">
        <f>C33</f>
        <v>#DIV/0!</v>
      </c>
      <c r="D40" s="141" t="e">
        <f>D33</f>
        <v>#DIV/0!</v>
      </c>
      <c r="E40" s="141">
        <f>E33</f>
        <v>0</v>
      </c>
      <c r="F40" s="13"/>
      <c r="G40" s="13" t="str">
        <f>"Line "&amp;A33&amp;""</f>
        <v>Line 25</v>
      </c>
      <c r="H40" s="13"/>
      <c r="I40" s="13"/>
      <c r="J40" s="13"/>
      <c r="K40" s="13"/>
    </row>
    <row r="41" spans="1:11">
      <c r="A41" s="2">
        <f t="shared" si="0"/>
        <v>33</v>
      </c>
      <c r="B41" s="241" t="s">
        <v>2714</v>
      </c>
      <c r="C41" s="141">
        <f>'16-PlantAdditions'!K37-'16-PlantAdditions'!P37</f>
        <v>0</v>
      </c>
      <c r="D41" s="141">
        <f>'16-PlantAdditions'!P37</f>
        <v>0</v>
      </c>
      <c r="E41" s="446">
        <f>SUM(C41:D41)</f>
        <v>0</v>
      </c>
      <c r="F41" s="13"/>
      <c r="G41" s="13" t="str">
        <f>"13-Month Average: 16-PlantAdditions, Line "&amp;'16-PlantAdditions'!A37&amp;", Cols 7  (for Total) and 12 (for LV).  HV = C7 - C12."</f>
        <v>13-Month Average: 16-PlantAdditions, Line 25, Cols 7  (for Total) and 12 (for LV).  HV = C7 - C12.</v>
      </c>
      <c r="H41" s="13"/>
      <c r="I41" s="13"/>
      <c r="J41" s="13"/>
      <c r="K41" s="13"/>
    </row>
    <row r="42" spans="1:11">
      <c r="A42" s="2">
        <f t="shared" si="0"/>
        <v>34</v>
      </c>
      <c r="B42" s="241" t="s">
        <v>2715</v>
      </c>
      <c r="C42" s="277">
        <f>'10-CWIP'!K79</f>
        <v>0</v>
      </c>
      <c r="D42" s="277">
        <v>0</v>
      </c>
      <c r="E42" s="277">
        <f>SUM(C42:D42)</f>
        <v>0</v>
      </c>
      <c r="F42" s="13"/>
      <c r="G42" s="13" t="str">
        <f>"13 Month Average: 10-CWIP, Line "&amp;'10-CWIP'!A79&amp;", Col. 8"</f>
        <v>13 Month Average: 10-CWIP, Line 54, Col. 8</v>
      </c>
      <c r="H42" s="13"/>
      <c r="I42" s="13"/>
      <c r="J42" s="13"/>
      <c r="K42" s="13"/>
    </row>
    <row r="43" spans="1:11">
      <c r="A43" s="2">
        <f t="shared" si="0"/>
        <v>35</v>
      </c>
      <c r="B43" s="241" t="s">
        <v>2716</v>
      </c>
      <c r="C43" s="141" t="e">
        <f>SUM(C40:C42)</f>
        <v>#DIV/0!</v>
      </c>
      <c r="D43" s="141" t="e">
        <f t="shared" ref="D43:E43" si="5">SUM(D40:D42)</f>
        <v>#DIV/0!</v>
      </c>
      <c r="E43" s="141">
        <f t="shared" si="5"/>
        <v>0</v>
      </c>
      <c r="F43" s="13"/>
      <c r="G43" s="13" t="str">
        <f>"Line "&amp;A40&amp;" + Line "&amp;A41&amp;" + Line "&amp;A42&amp;""</f>
        <v>Line 32 + Line 33 + Line 34</v>
      </c>
      <c r="H43" s="13"/>
      <c r="I43" s="13"/>
      <c r="J43" s="13"/>
      <c r="K43" s="13"/>
    </row>
    <row r="44" spans="1:11">
      <c r="A44" s="2">
        <f t="shared" si="0"/>
        <v>36</v>
      </c>
      <c r="B44" s="13"/>
      <c r="C44" s="13"/>
      <c r="D44" s="13"/>
      <c r="E44" s="13"/>
      <c r="F44" s="13"/>
      <c r="G44" s="13"/>
      <c r="H44" s="13"/>
      <c r="I44" s="13"/>
      <c r="J44" s="13"/>
      <c r="K44" s="13"/>
    </row>
    <row r="45" spans="1:11">
      <c r="A45" s="2">
        <f t="shared" si="0"/>
        <v>37</v>
      </c>
      <c r="B45" s="13" t="s">
        <v>2717</v>
      </c>
      <c r="C45" s="1009" t="e">
        <f>C43/E43</f>
        <v>#DIV/0!</v>
      </c>
      <c r="D45" s="1009" t="e">
        <f>D43/E43</f>
        <v>#DIV/0!</v>
      </c>
      <c r="E45" s="13"/>
      <c r="F45" s="13"/>
      <c r="G45" s="506" t="str">
        <f>"Percent of Total on Line "&amp;A43&amp;""</f>
        <v>Percent of Total on Line 35</v>
      </c>
      <c r="H45" s="13"/>
      <c r="I45" s="13"/>
      <c r="J45" s="13"/>
      <c r="K45" s="13"/>
    </row>
    <row r="46" spans="1:11">
      <c r="A46" s="2">
        <f t="shared" si="0"/>
        <v>38</v>
      </c>
      <c r="B46" s="492" t="s">
        <v>2718</v>
      </c>
      <c r="C46" s="13"/>
      <c r="D46" s="13"/>
      <c r="E46" s="13"/>
      <c r="F46" s="13"/>
      <c r="G46" s="13"/>
      <c r="H46" s="13"/>
      <c r="I46" s="13"/>
      <c r="J46" s="13"/>
      <c r="K46" s="13"/>
    </row>
    <row r="47" spans="1:11">
      <c r="A47" s="2">
        <f t="shared" si="0"/>
        <v>39</v>
      </c>
      <c r="B47" s="241" t="s">
        <v>2719</v>
      </c>
      <c r="C47" s="13"/>
      <c r="D47" s="13"/>
      <c r="E47" s="13"/>
      <c r="F47" s="13"/>
      <c r="G47" s="13"/>
      <c r="H47" s="13"/>
      <c r="I47" s="13"/>
      <c r="J47" s="13"/>
      <c r="K47" s="13"/>
    </row>
    <row r="48" spans="1:11">
      <c r="A48" s="233"/>
      <c r="B48" s="1"/>
      <c r="C48" s="13"/>
      <c r="D48" s="13"/>
      <c r="E48" s="13"/>
      <c r="F48" s="13"/>
      <c r="G48" s="13"/>
      <c r="H48" s="13"/>
      <c r="I48" s="13"/>
      <c r="J48" s="13"/>
      <c r="K48" s="13"/>
    </row>
    <row r="49" spans="1:11">
      <c r="A49" s="233"/>
      <c r="B49" s="1"/>
      <c r="C49" s="303"/>
      <c r="D49" s="303"/>
      <c r="E49" s="303"/>
      <c r="F49" s="303"/>
      <c r="G49" s="303"/>
      <c r="H49" s="303"/>
      <c r="I49" s="13"/>
      <c r="J49" s="13"/>
      <c r="K49" s="13"/>
    </row>
    <row r="50" spans="1:11" ht="12.5">
      <c r="A50" s="233"/>
      <c r="B50" s="303"/>
      <c r="C50" s="303"/>
      <c r="D50" s="303"/>
      <c r="E50" s="303"/>
      <c r="F50" s="303"/>
      <c r="G50" s="303"/>
      <c r="H50" s="303"/>
      <c r="I50" s="13"/>
      <c r="J50" s="13"/>
      <c r="K50" s="13"/>
    </row>
    <row r="51" spans="1:11">
      <c r="B51" s="303"/>
      <c r="C51" s="505"/>
      <c r="D51" s="505"/>
      <c r="E51" s="505"/>
      <c r="F51" s="505"/>
      <c r="G51" s="505"/>
      <c r="H51" s="505"/>
    </row>
  </sheetData>
  <pageMargins left="0.7" right="0.7" top="0.75" bottom="0.75" header="0.3" footer="0.3"/>
  <pageSetup scale="70" orientation="landscape" cellComments="asDisplayed" r:id="rId1"/>
  <headerFooter>
    <oddHeader xml:space="preserve">&amp;CSchedule 31
High and Low Voltage Gross Plant
</oddHeader>
    <oddFooter>&amp;R&amp;A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9"/>
  <sheetViews>
    <sheetView zoomScaleNormal="100" workbookViewId="0">
      <selection activeCell="L41" sqref="L41"/>
    </sheetView>
  </sheetViews>
  <sheetFormatPr defaultRowHeight="12.5"/>
  <cols>
    <col min="1" max="1" width="4.54296875" customWidth="1"/>
    <col min="5" max="5" width="3.453125" customWidth="1"/>
    <col min="6" max="6" width="12.54296875" customWidth="1"/>
    <col min="7" max="7" width="22.54296875" customWidth="1"/>
    <col min="8" max="8" width="25.54296875" customWidth="1"/>
  </cols>
  <sheetData>
    <row r="1" spans="1:8" ht="13">
      <c r="A1" s="1" t="s">
        <v>2720</v>
      </c>
    </row>
    <row r="2" spans="1:8" ht="13">
      <c r="B2" s="663"/>
      <c r="D2" s="39" t="s">
        <v>200</v>
      </c>
      <c r="E2" s="233"/>
      <c r="F2" s="240" t="s">
        <v>2721</v>
      </c>
      <c r="G2" s="54"/>
    </row>
    <row r="3" spans="1:8" ht="13">
      <c r="G3" s="2"/>
    </row>
    <row r="4" spans="1:8" ht="13">
      <c r="A4" s="3" t="s">
        <v>284</v>
      </c>
      <c r="F4" s="3" t="s">
        <v>2664</v>
      </c>
      <c r="G4" s="3" t="s">
        <v>480</v>
      </c>
      <c r="H4" s="30" t="s">
        <v>686</v>
      </c>
    </row>
    <row r="5" spans="1:8" ht="13">
      <c r="A5" s="2">
        <v>1</v>
      </c>
      <c r="B5" s="233" t="s">
        <v>2722</v>
      </c>
      <c r="F5" s="607"/>
      <c r="G5" s="12"/>
      <c r="H5" t="s">
        <v>147</v>
      </c>
    </row>
    <row r="6" spans="1:8" ht="13">
      <c r="A6" s="2">
        <v>2</v>
      </c>
      <c r="B6" s="233" t="s">
        <v>2723</v>
      </c>
      <c r="F6" s="607"/>
      <c r="G6" s="12"/>
      <c r="H6" t="s">
        <v>168</v>
      </c>
    </row>
    <row r="7" spans="1:8" ht="13">
      <c r="A7" s="2">
        <v>3</v>
      </c>
      <c r="B7" s="233" t="s">
        <v>2724</v>
      </c>
      <c r="C7" s="233"/>
      <c r="D7" s="233"/>
      <c r="F7" s="57"/>
      <c r="G7" s="12"/>
      <c r="H7" s="233" t="s">
        <v>226</v>
      </c>
    </row>
    <row r="8" spans="1:8" ht="13">
      <c r="A8" s="2">
        <v>4</v>
      </c>
      <c r="B8" s="276" t="s">
        <v>2725</v>
      </c>
      <c r="F8" s="56">
        <f>SUM(F5:F7)</f>
        <v>0</v>
      </c>
      <c r="G8" s="232" t="s">
        <v>2726</v>
      </c>
      <c r="H8" s="233" t="s">
        <v>2416</v>
      </c>
    </row>
    <row r="9" spans="1:8" ht="13">
      <c r="A9" s="2"/>
      <c r="G9" s="12"/>
    </row>
    <row r="10" spans="1:8" ht="13">
      <c r="A10" s="2"/>
      <c r="G10" s="12"/>
    </row>
    <row r="11" spans="1:8" ht="13">
      <c r="A11" s="2">
        <v>5</v>
      </c>
      <c r="B11" s="233" t="s">
        <v>2727</v>
      </c>
      <c r="E11" s="25"/>
      <c r="F11" s="1090"/>
      <c r="H11" s="233" t="s">
        <v>147</v>
      </c>
    </row>
    <row r="12" spans="1:8">
      <c r="G12" s="12"/>
    </row>
    <row r="14" spans="1:8" ht="13">
      <c r="B14" s="30" t="s">
        <v>233</v>
      </c>
    </row>
    <row r="15" spans="1:8">
      <c r="B15" s="233" t="s">
        <v>2728</v>
      </c>
    </row>
    <row r="16" spans="1:8">
      <c r="B16" s="233" t="s">
        <v>2729</v>
      </c>
    </row>
    <row r="17" spans="2:2">
      <c r="B17" s="233" t="s">
        <v>2730</v>
      </c>
    </row>
    <row r="18" spans="2:2">
      <c r="B18" s="233" t="s">
        <v>2731</v>
      </c>
    </row>
    <row r="19" spans="2:2" ht="15.5">
      <c r="B19" s="301"/>
    </row>
  </sheetData>
  <pageMargins left="0.7" right="0.7" top="0.75" bottom="0.75" header="0.3" footer="0.3"/>
  <pageSetup orientation="landscape" cellComments="asDisplayed" r:id="rId1"/>
  <headerFooter>
    <oddHeader xml:space="preserve">&amp;CSchedule 32 
Gross Load
</oddHeader>
    <oddFooter>&amp;R&amp;A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52"/>
  <sheetViews>
    <sheetView topLeftCell="B38" zoomScaleNormal="100" workbookViewId="0">
      <selection activeCell="L41" sqref="L41"/>
    </sheetView>
  </sheetViews>
  <sheetFormatPr defaultColWidth="9.453125" defaultRowHeight="12.5"/>
  <cols>
    <col min="1" max="1" width="5.453125" style="399" customWidth="1"/>
    <col min="2" max="2" width="18.54296875" style="399" customWidth="1"/>
    <col min="3" max="3" width="16.453125" style="399" customWidth="1"/>
    <col min="4" max="4" width="17.453125" style="399" customWidth="1"/>
    <col min="5" max="6" width="15.54296875" style="399" customWidth="1"/>
    <col min="7" max="7" width="17.08984375" style="399" customWidth="1"/>
    <col min="8" max="12" width="15.54296875" style="399" customWidth="1"/>
    <col min="13" max="13" width="15.54296875" style="400" customWidth="1"/>
    <col min="14" max="14" width="15.54296875" style="399" customWidth="1"/>
    <col min="15" max="15" width="9.453125" style="399"/>
    <col min="16" max="16" width="9.54296875" style="399" customWidth="1"/>
    <col min="17" max="16384" width="9.453125" style="399"/>
  </cols>
  <sheetData>
    <row r="1" spans="1:16" ht="15.5">
      <c r="A1" s="398" t="s">
        <v>2732</v>
      </c>
    </row>
    <row r="2" spans="1:16" ht="14.25" customHeight="1">
      <c r="A2" s="398"/>
    </row>
    <row r="3" spans="1:16" ht="13">
      <c r="E3" s="401" t="s">
        <v>686</v>
      </c>
    </row>
    <row r="4" spans="1:16" ht="13">
      <c r="C4" s="402" t="s">
        <v>2733</v>
      </c>
      <c r="D4" s="1010" t="e">
        <f>'1-BaseTRR'!K155</f>
        <v>#DIV/0!</v>
      </c>
      <c r="E4" s="403" t="s">
        <v>2734</v>
      </c>
      <c r="G4" s="404" t="s">
        <v>748</v>
      </c>
      <c r="H4" s="405"/>
    </row>
    <row r="5" spans="1:16" ht="13">
      <c r="C5" s="402"/>
      <c r="D5" s="406"/>
      <c r="E5" s="403"/>
    </row>
    <row r="6" spans="1:16" ht="15.5">
      <c r="B6" s="398" t="s">
        <v>2735</v>
      </c>
      <c r="D6" s="402"/>
      <c r="E6" s="406"/>
      <c r="F6" s="403"/>
    </row>
    <row r="7" spans="1:16" ht="13">
      <c r="C7" s="407" t="s">
        <v>347</v>
      </c>
      <c r="D7" s="407" t="s">
        <v>348</v>
      </c>
      <c r="E7" s="407" t="s">
        <v>349</v>
      </c>
      <c r="F7" s="407" t="s">
        <v>350</v>
      </c>
      <c r="G7" s="407" t="s">
        <v>351</v>
      </c>
      <c r="H7" s="407" t="s">
        <v>352</v>
      </c>
      <c r="I7" s="407" t="s">
        <v>353</v>
      </c>
      <c r="J7" s="407" t="s">
        <v>354</v>
      </c>
      <c r="K7" s="407" t="s">
        <v>355</v>
      </c>
      <c r="L7" s="407" t="s">
        <v>605</v>
      </c>
      <c r="M7" s="407" t="s">
        <v>606</v>
      </c>
      <c r="N7" s="401" t="s">
        <v>607</v>
      </c>
      <c r="O7" s="401" t="s">
        <v>608</v>
      </c>
      <c r="P7" s="401" t="s">
        <v>609</v>
      </c>
    </row>
    <row r="8" spans="1:16">
      <c r="C8" s="400" t="s">
        <v>147</v>
      </c>
      <c r="E8" s="400" t="s">
        <v>168</v>
      </c>
      <c r="F8" s="400" t="s">
        <v>2466</v>
      </c>
      <c r="G8" s="400" t="s">
        <v>226</v>
      </c>
      <c r="H8" s="400" t="s">
        <v>217</v>
      </c>
      <c r="I8" s="400" t="s">
        <v>129</v>
      </c>
      <c r="J8" s="400" t="s">
        <v>968</v>
      </c>
    </row>
    <row r="9" spans="1:16" ht="13">
      <c r="C9" s="407"/>
      <c r="D9" s="408"/>
      <c r="E9" s="1240" t="s">
        <v>2736</v>
      </c>
      <c r="F9" s="1240"/>
      <c r="G9" s="1240"/>
      <c r="H9" s="1241"/>
      <c r="I9" s="1241"/>
      <c r="J9" s="645"/>
      <c r="K9" s="534"/>
      <c r="L9" s="400" t="s">
        <v>2737</v>
      </c>
      <c r="M9" s="400" t="s">
        <v>2737</v>
      </c>
      <c r="N9" s="400" t="s">
        <v>2737</v>
      </c>
    </row>
    <row r="10" spans="1:16" s="634" customFormat="1" ht="128.25" customHeight="1">
      <c r="C10" s="409"/>
      <c r="D10" s="654" t="s">
        <v>2738</v>
      </c>
      <c r="E10" s="535" t="s">
        <v>2739</v>
      </c>
      <c r="F10" s="535" t="s">
        <v>2740</v>
      </c>
      <c r="G10" s="536" t="s">
        <v>2741</v>
      </c>
      <c r="H10" s="535" t="s">
        <v>2742</v>
      </c>
      <c r="I10" s="535" t="s">
        <v>2743</v>
      </c>
      <c r="J10" s="655" t="s">
        <v>2744</v>
      </c>
      <c r="K10" s="654" t="s">
        <v>2745</v>
      </c>
      <c r="L10" s="654" t="s">
        <v>2746</v>
      </c>
      <c r="M10" s="745" t="s">
        <v>2747</v>
      </c>
      <c r="N10" s="746"/>
      <c r="O10" s="647"/>
      <c r="P10" s="1091"/>
    </row>
    <row r="11" spans="1:16" ht="55.5" customHeight="1">
      <c r="A11" s="401" t="s">
        <v>102</v>
      </c>
      <c r="B11" s="410" t="s">
        <v>2748</v>
      </c>
      <c r="C11" s="411" t="s">
        <v>2749</v>
      </c>
      <c r="D11" s="412" t="s">
        <v>2750</v>
      </c>
      <c r="E11" s="410" t="s">
        <v>2751</v>
      </c>
      <c r="F11" s="436" t="s">
        <v>2752</v>
      </c>
      <c r="G11" s="540" t="s">
        <v>2753</v>
      </c>
      <c r="H11" s="410" t="s">
        <v>2754</v>
      </c>
      <c r="I11" s="410" t="s">
        <v>2755</v>
      </c>
      <c r="J11" s="410" t="s">
        <v>2756</v>
      </c>
      <c r="K11" s="414" t="s">
        <v>2757</v>
      </c>
      <c r="L11" s="410" t="s">
        <v>2758</v>
      </c>
      <c r="M11" s="413" t="s">
        <v>2759</v>
      </c>
      <c r="N11" s="410" t="s">
        <v>2754</v>
      </c>
      <c r="O11" s="410" t="s">
        <v>2755</v>
      </c>
      <c r="P11" s="410" t="s">
        <v>103</v>
      </c>
    </row>
    <row r="12" spans="1:16" ht="13">
      <c r="A12" s="415" t="s">
        <v>1884</v>
      </c>
      <c r="B12" s="236" t="s">
        <v>2760</v>
      </c>
      <c r="C12" s="550" t="e">
        <f>M115</f>
        <v>#DIV/0!</v>
      </c>
      <c r="D12" s="1011" t="e">
        <f>$D$4*C12</f>
        <v>#DIV/0!</v>
      </c>
      <c r="E12" s="513"/>
      <c r="F12" s="431"/>
      <c r="G12" s="992"/>
      <c r="H12" s="514"/>
      <c r="I12" s="515"/>
      <c r="J12" s="418">
        <f>(E12+F12)-G12</f>
        <v>0</v>
      </c>
      <c r="K12" s="1013" t="e">
        <f>D12/(J12*10^6)</f>
        <v>#DIV/0!</v>
      </c>
      <c r="L12" s="416"/>
      <c r="M12" s="399"/>
      <c r="P12" s="400"/>
    </row>
    <row r="13" spans="1:16" ht="13.5" thickBot="1">
      <c r="A13" s="415" t="s">
        <v>1886</v>
      </c>
      <c r="B13" s="236" t="s">
        <v>2761</v>
      </c>
      <c r="C13" s="550" t="e">
        <f>M116</f>
        <v>#DIV/0!</v>
      </c>
      <c r="D13" s="406" t="e">
        <f>$D$4*C13</f>
        <v>#DIV/0!</v>
      </c>
      <c r="E13" s="513"/>
      <c r="F13" s="431"/>
      <c r="G13" s="589"/>
      <c r="H13" s="514"/>
      <c r="I13" s="515"/>
      <c r="J13" s="418">
        <f t="shared" ref="J13:J27" si="0">(E13+F13)-G13</f>
        <v>0</v>
      </c>
      <c r="K13" s="1013" t="e">
        <f>D13/(J13*10^6)</f>
        <v>#DIV/0!</v>
      </c>
      <c r="L13" s="416"/>
      <c r="M13" s="517"/>
      <c r="N13" s="518"/>
      <c r="O13" s="519"/>
      <c r="P13" s="400"/>
    </row>
    <row r="14" spans="1:16" ht="15.5" thickBot="1">
      <c r="A14" s="415" t="s">
        <v>2762</v>
      </c>
      <c r="B14" s="236" t="s">
        <v>2763</v>
      </c>
      <c r="C14" s="550"/>
      <c r="D14" s="550"/>
      <c r="E14" s="516"/>
      <c r="F14" s="431"/>
      <c r="G14" s="431"/>
      <c r="H14" s="516"/>
      <c r="I14" s="516"/>
      <c r="J14" s="418">
        <f>(E14+F14)-G14</f>
        <v>0</v>
      </c>
      <c r="K14" s="416"/>
      <c r="L14" s="1014" t="e">
        <f>N14</f>
        <v>#DIV/0!</v>
      </c>
      <c r="M14" s="1016" t="e">
        <f>K13*M13*10^6</f>
        <v>#DIV/0!</v>
      </c>
      <c r="N14" s="1017" t="e">
        <f>M14/((N13+O13)*10^3)</f>
        <v>#DIV/0!</v>
      </c>
      <c r="O14" s="636"/>
      <c r="P14" s="537" t="s">
        <v>2764</v>
      </c>
    </row>
    <row r="15" spans="1:16" ht="13">
      <c r="A15" s="415" t="s">
        <v>2765</v>
      </c>
      <c r="B15" s="236" t="s">
        <v>2766</v>
      </c>
      <c r="C15" s="550" t="e">
        <f t="shared" ref="C15:C26" si="1">M117</f>
        <v>#DIV/0!</v>
      </c>
      <c r="D15" s="406" t="e">
        <f t="shared" ref="D15:D26" si="2">$D$4*C15</f>
        <v>#DIV/0!</v>
      </c>
      <c r="E15" s="1018"/>
      <c r="F15" s="519"/>
      <c r="G15" s="431"/>
      <c r="H15" s="514"/>
      <c r="I15" s="515"/>
      <c r="J15" s="418">
        <f t="shared" si="0"/>
        <v>0</v>
      </c>
      <c r="K15" s="1013" t="e">
        <f>D15/(J15*10^6)</f>
        <v>#DIV/0!</v>
      </c>
      <c r="L15" s="416"/>
      <c r="M15" s="399"/>
      <c r="P15" s="400"/>
    </row>
    <row r="16" spans="1:16" ht="13">
      <c r="A16" s="415" t="s">
        <v>2767</v>
      </c>
      <c r="B16" s="236" t="s">
        <v>2768</v>
      </c>
      <c r="C16" s="550" t="e">
        <f t="shared" si="1"/>
        <v>#DIV/0!</v>
      </c>
      <c r="D16" s="406" t="e">
        <f t="shared" si="2"/>
        <v>#DIV/0!</v>
      </c>
      <c r="E16" s="513"/>
      <c r="F16" s="431"/>
      <c r="G16" s="589"/>
      <c r="H16" s="514"/>
      <c r="I16" s="515"/>
      <c r="J16" s="418">
        <f t="shared" si="0"/>
        <v>0</v>
      </c>
      <c r="K16" s="416"/>
      <c r="L16" s="1015" t="e">
        <f t="shared" ref="L16:L25" si="3">D16/((I16+H16)*10^3)</f>
        <v>#DIV/0!</v>
      </c>
      <c r="M16" s="399"/>
      <c r="O16" s="637"/>
      <c r="P16" s="400"/>
    </row>
    <row r="17" spans="1:16" ht="13">
      <c r="A17" s="415" t="s">
        <v>2769</v>
      </c>
      <c r="B17" s="236" t="s">
        <v>2770</v>
      </c>
      <c r="C17" s="550" t="e">
        <f t="shared" si="1"/>
        <v>#DIV/0!</v>
      </c>
      <c r="D17" s="406" t="e">
        <f t="shared" si="2"/>
        <v>#DIV/0!</v>
      </c>
      <c r="E17" s="513"/>
      <c r="F17" s="431"/>
      <c r="G17" s="589"/>
      <c r="H17" s="514"/>
      <c r="I17" s="515"/>
      <c r="J17" s="418">
        <f t="shared" si="0"/>
        <v>0</v>
      </c>
      <c r="K17" s="416"/>
      <c r="L17" s="1015" t="e">
        <f t="shared" si="3"/>
        <v>#DIV/0!</v>
      </c>
      <c r="M17" s="399"/>
      <c r="O17" s="637"/>
      <c r="P17" s="400"/>
    </row>
    <row r="18" spans="1:16" ht="13">
      <c r="A18" s="415" t="s">
        <v>2771</v>
      </c>
      <c r="B18" s="236" t="s">
        <v>2772</v>
      </c>
      <c r="C18" s="550" t="e">
        <f t="shared" si="1"/>
        <v>#DIV/0!</v>
      </c>
      <c r="D18" s="406" t="e">
        <f t="shared" si="2"/>
        <v>#DIV/0!</v>
      </c>
      <c r="E18" s="513"/>
      <c r="F18" s="431"/>
      <c r="G18" s="589"/>
      <c r="H18" s="514"/>
      <c r="I18" s="515"/>
      <c r="J18" s="418">
        <f t="shared" si="0"/>
        <v>0</v>
      </c>
      <c r="K18" s="416"/>
      <c r="L18" s="1015" t="e">
        <f>D18/((I18+H18)*10^3)</f>
        <v>#DIV/0!</v>
      </c>
      <c r="M18" s="399"/>
      <c r="O18" s="637"/>
      <c r="P18" s="400"/>
    </row>
    <row r="19" spans="1:16" ht="13">
      <c r="A19" s="415" t="s">
        <v>2773</v>
      </c>
      <c r="B19" s="236" t="s">
        <v>2774</v>
      </c>
      <c r="C19" s="550" t="e">
        <f t="shared" si="1"/>
        <v>#DIV/0!</v>
      </c>
      <c r="D19" s="406" t="e">
        <f t="shared" si="2"/>
        <v>#DIV/0!</v>
      </c>
      <c r="E19" s="513"/>
      <c r="F19" s="431"/>
      <c r="G19" s="589"/>
      <c r="H19" s="514"/>
      <c r="I19" s="515"/>
      <c r="J19" s="418">
        <f t="shared" si="0"/>
        <v>0</v>
      </c>
      <c r="K19" s="416"/>
      <c r="L19" s="1015" t="e">
        <f t="shared" si="3"/>
        <v>#DIV/0!</v>
      </c>
      <c r="M19" s="399"/>
      <c r="O19" s="637"/>
      <c r="P19" s="400"/>
    </row>
    <row r="20" spans="1:16" ht="13">
      <c r="A20" s="415" t="s">
        <v>2775</v>
      </c>
      <c r="B20" s="236" t="s">
        <v>2776</v>
      </c>
      <c r="C20" s="550" t="e">
        <f t="shared" si="1"/>
        <v>#DIV/0!</v>
      </c>
      <c r="D20" s="406" t="e">
        <f t="shared" si="2"/>
        <v>#DIV/0!</v>
      </c>
      <c r="E20" s="513"/>
      <c r="F20" s="431"/>
      <c r="G20" s="589"/>
      <c r="H20" s="514"/>
      <c r="I20" s="515"/>
      <c r="J20" s="418">
        <f t="shared" si="0"/>
        <v>0</v>
      </c>
      <c r="K20" s="416"/>
      <c r="L20" s="1015" t="e">
        <f t="shared" si="3"/>
        <v>#DIV/0!</v>
      </c>
      <c r="M20" s="399"/>
      <c r="N20" s="638"/>
      <c r="O20" s="639"/>
      <c r="P20" s="400"/>
    </row>
    <row r="21" spans="1:16" ht="13">
      <c r="A21" s="415" t="s">
        <v>2777</v>
      </c>
      <c r="B21" s="236" t="s">
        <v>2778</v>
      </c>
      <c r="C21" s="550" t="e">
        <f t="shared" si="1"/>
        <v>#DIV/0!</v>
      </c>
      <c r="D21" s="406" t="e">
        <f t="shared" si="2"/>
        <v>#DIV/0!</v>
      </c>
      <c r="E21" s="514"/>
      <c r="F21" s="514"/>
      <c r="G21" s="589"/>
      <c r="H21" s="514"/>
      <c r="I21" s="515"/>
      <c r="J21" s="418">
        <f t="shared" si="0"/>
        <v>0</v>
      </c>
      <c r="K21" s="416"/>
      <c r="L21" s="1015" t="e">
        <f t="shared" si="3"/>
        <v>#DIV/0!</v>
      </c>
      <c r="M21" s="399"/>
      <c r="O21" s="637"/>
      <c r="P21" s="400"/>
    </row>
    <row r="22" spans="1:16" ht="13">
      <c r="A22" s="415" t="s">
        <v>2779</v>
      </c>
      <c r="B22" s="236" t="s">
        <v>2780</v>
      </c>
      <c r="C22" s="550" t="e">
        <f t="shared" si="1"/>
        <v>#DIV/0!</v>
      </c>
      <c r="D22" s="406" t="e">
        <f t="shared" si="2"/>
        <v>#DIV/0!</v>
      </c>
      <c r="E22" s="514"/>
      <c r="F22" s="514"/>
      <c r="G22" s="589"/>
      <c r="H22" s="514"/>
      <c r="I22" s="515"/>
      <c r="J22" s="418">
        <f t="shared" si="0"/>
        <v>0</v>
      </c>
      <c r="K22" s="416"/>
      <c r="L22" s="1015" t="e">
        <f t="shared" si="3"/>
        <v>#DIV/0!</v>
      </c>
      <c r="M22" s="399"/>
      <c r="O22" s="637"/>
      <c r="P22" s="400"/>
    </row>
    <row r="23" spans="1:16" ht="13">
      <c r="A23" s="415" t="s">
        <v>2781</v>
      </c>
      <c r="B23" s="236" t="s">
        <v>2782</v>
      </c>
      <c r="C23" s="550" t="e">
        <f t="shared" si="1"/>
        <v>#DIV/0!</v>
      </c>
      <c r="D23" s="406" t="e">
        <f t="shared" si="2"/>
        <v>#DIV/0!</v>
      </c>
      <c r="E23" s="514"/>
      <c r="F23" s="514"/>
      <c r="G23" s="589"/>
      <c r="H23" s="514"/>
      <c r="I23" s="515"/>
      <c r="J23" s="418">
        <f t="shared" si="0"/>
        <v>0</v>
      </c>
      <c r="K23" s="416"/>
      <c r="L23" s="1015" t="e">
        <f t="shared" si="3"/>
        <v>#DIV/0!</v>
      </c>
      <c r="M23" s="399"/>
      <c r="N23" s="638"/>
      <c r="O23" s="639"/>
      <c r="P23" s="400"/>
    </row>
    <row r="24" spans="1:16" ht="13">
      <c r="A24" s="415" t="s">
        <v>2783</v>
      </c>
      <c r="B24" s="236" t="s">
        <v>2784</v>
      </c>
      <c r="C24" s="550" t="e">
        <f t="shared" si="1"/>
        <v>#DIV/0!</v>
      </c>
      <c r="D24" s="406" t="e">
        <f t="shared" si="2"/>
        <v>#DIV/0!</v>
      </c>
      <c r="E24" s="513"/>
      <c r="F24" s="431"/>
      <c r="G24" s="589"/>
      <c r="H24" s="513"/>
      <c r="I24" s="513"/>
      <c r="J24" s="418">
        <f t="shared" si="0"/>
        <v>0</v>
      </c>
      <c r="K24" s="416"/>
      <c r="L24" s="1015" t="e">
        <f t="shared" si="3"/>
        <v>#DIV/0!</v>
      </c>
      <c r="M24" s="399"/>
      <c r="N24" s="640"/>
      <c r="O24" s="640"/>
      <c r="P24" s="400"/>
    </row>
    <row r="25" spans="1:16" ht="13">
      <c r="A25" s="415" t="s">
        <v>2785</v>
      </c>
      <c r="B25" s="236" t="s">
        <v>2786</v>
      </c>
      <c r="C25" s="550" t="e">
        <f t="shared" si="1"/>
        <v>#DIV/0!</v>
      </c>
      <c r="D25" s="406" t="e">
        <f t="shared" si="2"/>
        <v>#DIV/0!</v>
      </c>
      <c r="E25" s="513"/>
      <c r="F25" s="431"/>
      <c r="G25" s="589"/>
      <c r="H25" s="513"/>
      <c r="I25" s="513"/>
      <c r="J25" s="418">
        <f t="shared" si="0"/>
        <v>0</v>
      </c>
      <c r="K25" s="416"/>
      <c r="L25" s="1015" t="e">
        <f t="shared" si="3"/>
        <v>#DIV/0!</v>
      </c>
      <c r="M25" s="637"/>
      <c r="O25" s="403"/>
      <c r="P25" s="400"/>
    </row>
    <row r="26" spans="1:16" ht="13">
      <c r="A26" s="415" t="s">
        <v>2787</v>
      </c>
      <c r="B26" s="236" t="s">
        <v>2788</v>
      </c>
      <c r="C26" s="550" t="e">
        <f t="shared" si="1"/>
        <v>#DIV/0!</v>
      </c>
      <c r="D26" s="406" t="e">
        <f t="shared" si="2"/>
        <v>#DIV/0!</v>
      </c>
      <c r="E26" s="513"/>
      <c r="F26" s="431"/>
      <c r="G26" s="589"/>
      <c r="H26" s="514"/>
      <c r="I26" s="515"/>
      <c r="J26" s="418">
        <f t="shared" si="0"/>
        <v>0</v>
      </c>
      <c r="K26" s="1013" t="e">
        <f>D26/(J26*10^6)</f>
        <v>#DIV/0!</v>
      </c>
      <c r="L26" s="416"/>
      <c r="M26" s="399"/>
      <c r="O26" s="403"/>
      <c r="P26" s="400"/>
    </row>
    <row r="27" spans="1:16" ht="13">
      <c r="A27" s="415" t="s">
        <v>2789</v>
      </c>
      <c r="B27" s="417" t="s">
        <v>391</v>
      </c>
      <c r="C27" s="550"/>
      <c r="D27" s="406"/>
      <c r="E27" s="513"/>
      <c r="F27" s="431"/>
      <c r="G27" s="431"/>
      <c r="H27" s="514"/>
      <c r="I27" s="515"/>
      <c r="J27" s="418">
        <f t="shared" si="0"/>
        <v>0</v>
      </c>
      <c r="K27" s="1013"/>
      <c r="L27" s="416"/>
      <c r="M27" s="399"/>
      <c r="O27" s="403"/>
      <c r="P27" s="400"/>
    </row>
    <row r="28" spans="1:16" ht="13">
      <c r="A28" s="415">
        <v>2</v>
      </c>
      <c r="B28" s="238" t="s">
        <v>442</v>
      </c>
      <c r="C28" s="651" t="e">
        <f t="shared" ref="C28:D28" si="4">SUM(C12:C27)</f>
        <v>#DIV/0!</v>
      </c>
      <c r="D28" s="1012" t="e">
        <f t="shared" si="4"/>
        <v>#DIV/0!</v>
      </c>
      <c r="E28" s="650">
        <f>SUM(E12:E27)</f>
        <v>0</v>
      </c>
      <c r="F28" s="650">
        <f t="shared" ref="F28:J28" si="5">SUM(F12:F27)</f>
        <v>0</v>
      </c>
      <c r="G28" s="650">
        <f t="shared" si="5"/>
        <v>0</v>
      </c>
      <c r="H28" s="650">
        <f t="shared" si="5"/>
        <v>0</v>
      </c>
      <c r="I28" s="650">
        <f t="shared" si="5"/>
        <v>0</v>
      </c>
      <c r="J28" s="650">
        <f t="shared" si="5"/>
        <v>0</v>
      </c>
      <c r="K28" s="400"/>
      <c r="M28" s="399"/>
      <c r="P28" s="400"/>
    </row>
    <row r="29" spans="1:16" ht="13">
      <c r="A29" s="415">
        <f>A28+1</f>
        <v>3</v>
      </c>
      <c r="J29" s="418"/>
      <c r="K29" s="418"/>
    </row>
    <row r="30" spans="1:16" ht="13">
      <c r="A30" s="415">
        <f t="shared" ref="A30:A34" si="6">A29+1</f>
        <v>4</v>
      </c>
      <c r="G30" s="538"/>
      <c r="I30" s="407"/>
      <c r="J30" s="419"/>
      <c r="K30" s="419"/>
      <c r="L30" s="419"/>
    </row>
    <row r="31" spans="1:16" ht="15.5">
      <c r="A31" s="415">
        <f t="shared" si="6"/>
        <v>5</v>
      </c>
      <c r="B31" s="398" t="s">
        <v>2790</v>
      </c>
    </row>
    <row r="32" spans="1:16" ht="13">
      <c r="A32" s="415">
        <f t="shared" si="6"/>
        <v>6</v>
      </c>
      <c r="C32" s="407" t="s">
        <v>347</v>
      </c>
      <c r="D32" s="407" t="s">
        <v>348</v>
      </c>
      <c r="E32" s="407" t="s">
        <v>349</v>
      </c>
      <c r="F32" s="407" t="s">
        <v>350</v>
      </c>
      <c r="G32" s="407" t="s">
        <v>351</v>
      </c>
      <c r="H32" s="407" t="s">
        <v>352</v>
      </c>
      <c r="I32" s="407" t="s">
        <v>353</v>
      </c>
      <c r="J32" s="407" t="s">
        <v>354</v>
      </c>
    </row>
    <row r="33" spans="1:13" s="634" customFormat="1" ht="42.75" customHeight="1">
      <c r="A33" s="415">
        <f t="shared" si="6"/>
        <v>7</v>
      </c>
      <c r="C33" s="635" t="s">
        <v>2791</v>
      </c>
      <c r="D33" s="648" t="s">
        <v>2792</v>
      </c>
      <c r="E33" s="648" t="s">
        <v>2793</v>
      </c>
      <c r="F33" s="653"/>
      <c r="H33" s="536" t="s">
        <v>2791</v>
      </c>
      <c r="I33" s="536" t="s">
        <v>2311</v>
      </c>
      <c r="J33" s="408" t="s">
        <v>2794</v>
      </c>
      <c r="K33" s="541"/>
      <c r="L33" s="541"/>
      <c r="M33" s="541"/>
    </row>
    <row r="34" spans="1:13" ht="13">
      <c r="A34" s="415">
        <f t="shared" si="6"/>
        <v>8</v>
      </c>
      <c r="C34" s="407"/>
      <c r="D34" s="407"/>
      <c r="E34" s="407"/>
      <c r="F34" s="542"/>
      <c r="K34" s="542"/>
      <c r="L34" s="542"/>
      <c r="M34" s="542"/>
    </row>
    <row r="35" spans="1:13" s="421" customFormat="1" ht="60.65" customHeight="1">
      <c r="A35" s="415">
        <v>9</v>
      </c>
      <c r="B35" s="420" t="s">
        <v>2748</v>
      </c>
      <c r="C35" s="410" t="s">
        <v>2795</v>
      </c>
      <c r="D35" s="420" t="s">
        <v>2796</v>
      </c>
      <c r="E35" s="420" t="s">
        <v>2797</v>
      </c>
      <c r="F35" s="543"/>
      <c r="G35" s="420" t="s">
        <v>2748</v>
      </c>
      <c r="H35" s="420" t="s">
        <v>2798</v>
      </c>
      <c r="I35" s="420" t="s">
        <v>2799</v>
      </c>
      <c r="J35" s="420" t="s">
        <v>2800</v>
      </c>
      <c r="K35" s="543"/>
      <c r="L35" s="544"/>
      <c r="M35" s="544"/>
    </row>
    <row r="36" spans="1:13" s="423" customFormat="1" ht="13">
      <c r="A36" s="422" t="s">
        <v>2801</v>
      </c>
      <c r="B36" s="978" t="s">
        <v>2778</v>
      </c>
      <c r="C36" s="406" t="e">
        <f>D21</f>
        <v>#DIV/0!</v>
      </c>
      <c r="D36" s="1019">
        <f>I21</f>
        <v>0</v>
      </c>
      <c r="E36" s="1020" t="e">
        <f>C36/D36/10^3</f>
        <v>#DIV/0!</v>
      </c>
      <c r="F36" s="545"/>
      <c r="G36" s="978" t="s">
        <v>2778</v>
      </c>
      <c r="H36" s="406" t="e">
        <f>D18</f>
        <v>#DIV/0!</v>
      </c>
      <c r="I36" s="418">
        <f>H18+H21</f>
        <v>0</v>
      </c>
      <c r="J36" s="637" t="e">
        <f>H36/(I36*10^3)</f>
        <v>#DIV/0!</v>
      </c>
      <c r="K36" s="546"/>
      <c r="L36" s="547"/>
      <c r="M36" s="545"/>
    </row>
    <row r="37" spans="1:13" s="423" customFormat="1" ht="13">
      <c r="A37" s="422" t="s">
        <v>2802</v>
      </c>
      <c r="B37" s="978" t="s">
        <v>2780</v>
      </c>
      <c r="C37" s="406" t="e">
        <f>D22</f>
        <v>#DIV/0!</v>
      </c>
      <c r="D37" s="1019">
        <f>I22</f>
        <v>0</v>
      </c>
      <c r="E37" s="1020" t="e">
        <f t="shared" ref="E37:E38" si="7">C37/D37/10^3</f>
        <v>#DIV/0!</v>
      </c>
      <c r="F37" s="545"/>
      <c r="G37" s="978" t="s">
        <v>2780</v>
      </c>
      <c r="H37" s="406" t="e">
        <f t="shared" ref="H37:H38" si="8">D19</f>
        <v>#DIV/0!</v>
      </c>
      <c r="I37" s="418">
        <f t="shared" ref="I37:I38" si="9">H19+H22</f>
        <v>0</v>
      </c>
      <c r="J37" s="637" t="e">
        <f t="shared" ref="J37:J38" si="10">H37/(I37*10^3)</f>
        <v>#DIV/0!</v>
      </c>
      <c r="K37" s="546"/>
      <c r="L37" s="547"/>
      <c r="M37" s="545"/>
    </row>
    <row r="38" spans="1:13" s="423" customFormat="1" ht="13">
      <c r="A38" s="422" t="s">
        <v>2803</v>
      </c>
      <c r="B38" s="978" t="s">
        <v>2782</v>
      </c>
      <c r="C38" s="406" t="e">
        <f>D23</f>
        <v>#DIV/0!</v>
      </c>
      <c r="D38" s="1019">
        <f>I23</f>
        <v>0</v>
      </c>
      <c r="E38" s="1020" t="e">
        <f t="shared" si="7"/>
        <v>#DIV/0!</v>
      </c>
      <c r="F38" s="545"/>
      <c r="G38" s="978" t="s">
        <v>2782</v>
      </c>
      <c r="H38" s="406" t="e">
        <f t="shared" si="8"/>
        <v>#DIV/0!</v>
      </c>
      <c r="I38" s="418">
        <f t="shared" si="9"/>
        <v>0</v>
      </c>
      <c r="J38" s="637" t="e">
        <f t="shared" si="10"/>
        <v>#DIV/0!</v>
      </c>
      <c r="K38" s="546"/>
      <c r="L38" s="547"/>
      <c r="M38" s="545"/>
    </row>
    <row r="39" spans="1:13" ht="13">
      <c r="A39" s="422" t="s">
        <v>2804</v>
      </c>
      <c r="B39" s="979" t="s">
        <v>391</v>
      </c>
      <c r="C39" s="407"/>
      <c r="D39" s="407"/>
      <c r="E39" s="407"/>
      <c r="F39" s="407"/>
      <c r="G39" s="979" t="s">
        <v>391</v>
      </c>
      <c r="H39" s="407"/>
      <c r="I39" s="407"/>
    </row>
    <row r="40" spans="1:13" ht="13">
      <c r="A40" s="415">
        <v>10</v>
      </c>
      <c r="C40" s="407"/>
      <c r="D40" s="407"/>
      <c r="E40" s="407"/>
      <c r="F40" s="407"/>
      <c r="G40" s="407"/>
      <c r="H40" s="407"/>
      <c r="I40" s="407"/>
    </row>
    <row r="41" spans="1:13" ht="13">
      <c r="A41" s="415">
        <v>11</v>
      </c>
      <c r="B41" s="641" t="s">
        <v>2805</v>
      </c>
    </row>
    <row r="42" spans="1:13" ht="13">
      <c r="A42" s="415">
        <v>12</v>
      </c>
      <c r="C42" s="407" t="s">
        <v>347</v>
      </c>
      <c r="D42" s="407" t="s">
        <v>348</v>
      </c>
      <c r="E42" s="407" t="s">
        <v>349</v>
      </c>
      <c r="F42" s="407" t="s">
        <v>350</v>
      </c>
      <c r="G42" s="407" t="s">
        <v>351</v>
      </c>
      <c r="H42" s="407" t="s">
        <v>352</v>
      </c>
      <c r="I42" s="407" t="s">
        <v>353</v>
      </c>
      <c r="J42" s="407" t="s">
        <v>354</v>
      </c>
      <c r="K42" s="407" t="s">
        <v>355</v>
      </c>
      <c r="L42" s="407" t="s">
        <v>605</v>
      </c>
      <c r="M42" s="407" t="s">
        <v>606</v>
      </c>
    </row>
    <row r="43" spans="1:13" s="634" customFormat="1" ht="57" customHeight="1">
      <c r="A43" s="425">
        <v>13</v>
      </c>
      <c r="C43" s="648" t="s">
        <v>2806</v>
      </c>
      <c r="D43" s="648" t="s">
        <v>2807</v>
      </c>
      <c r="E43" s="648" t="s">
        <v>2808</v>
      </c>
      <c r="G43" s="648" t="s">
        <v>2809</v>
      </c>
      <c r="H43" s="648" t="s">
        <v>2810</v>
      </c>
      <c r="I43" s="648" t="s">
        <v>2811</v>
      </c>
      <c r="J43" s="648" t="s">
        <v>2812</v>
      </c>
      <c r="K43" s="648" t="s">
        <v>2813</v>
      </c>
      <c r="L43" s="409"/>
      <c r="M43" s="648" t="s">
        <v>2809</v>
      </c>
    </row>
    <row r="44" spans="1:13" ht="13">
      <c r="A44" s="415">
        <v>14</v>
      </c>
      <c r="C44" s="400"/>
      <c r="D44" s="416" t="s">
        <v>2814</v>
      </c>
      <c r="E44" s="539"/>
      <c r="G44" s="400"/>
      <c r="H44" s="400" t="s">
        <v>2815</v>
      </c>
      <c r="I44" s="400" t="s">
        <v>2816</v>
      </c>
      <c r="J44" s="400"/>
      <c r="K44" s="400"/>
      <c r="L44" s="400"/>
      <c r="M44" s="534"/>
    </row>
    <row r="45" spans="1:13" ht="64.5" customHeight="1">
      <c r="A45" s="415">
        <v>15</v>
      </c>
      <c r="B45" s="413" t="str">
        <f>B11</f>
        <v>CPUC Rate Group</v>
      </c>
      <c r="C45" s="410" t="s">
        <v>2817</v>
      </c>
      <c r="D45" s="410" t="s">
        <v>2818</v>
      </c>
      <c r="E45" s="410" t="s">
        <v>2819</v>
      </c>
      <c r="G45" s="410" t="s">
        <v>2820</v>
      </c>
      <c r="H45" s="410" t="s">
        <v>2821</v>
      </c>
      <c r="I45" s="420" t="s">
        <v>2822</v>
      </c>
      <c r="J45" s="410" t="s">
        <v>2823</v>
      </c>
      <c r="K45" s="420" t="s">
        <v>2824</v>
      </c>
      <c r="L45" s="426" t="s">
        <v>103</v>
      </c>
      <c r="M45" s="420" t="s">
        <v>2825</v>
      </c>
    </row>
    <row r="46" spans="1:13" ht="13.5" thickBot="1">
      <c r="A46" s="415" t="s">
        <v>2826</v>
      </c>
      <c r="B46" s="980" t="s">
        <v>2760</v>
      </c>
      <c r="C46" s="406" t="e">
        <f>D46+E46</f>
        <v>#DIV/0!</v>
      </c>
      <c r="D46" s="406" t="e">
        <f>D12-E46</f>
        <v>#DIV/0!</v>
      </c>
      <c r="E46" s="1021"/>
      <c r="G46" s="1021" t="e">
        <f>D46/(J12*10^6)</f>
        <v>#DIV/0!</v>
      </c>
      <c r="H46" s="1021"/>
      <c r="I46" s="1022"/>
      <c r="J46" s="1023"/>
      <c r="K46" s="1021"/>
      <c r="L46" s="1021"/>
      <c r="M46" s="534"/>
    </row>
    <row r="47" spans="1:13" ht="13.5" thickBot="1">
      <c r="A47" s="415" t="s">
        <v>2827</v>
      </c>
      <c r="B47" s="980" t="s">
        <v>2761</v>
      </c>
      <c r="C47" s="406" t="e">
        <f t="shared" ref="C47:C59" si="11">D47+E47</f>
        <v>#DIV/0!</v>
      </c>
      <c r="D47" s="406" t="e">
        <f t="shared" ref="D47" si="12">D13-E47</f>
        <v>#DIV/0!</v>
      </c>
      <c r="E47" s="406" t="e">
        <f>I47*I13*10^3</f>
        <v>#DIV/0!</v>
      </c>
      <c r="G47" s="1021" t="e">
        <f>D47/(J13*10^6)</f>
        <v>#DIV/0!</v>
      </c>
      <c r="H47" s="1024" t="e">
        <f>(M14-E47)/N13/10^3</f>
        <v>#DIV/0!</v>
      </c>
      <c r="I47" s="1017" t="e">
        <f>MIN($I$54,L14)</f>
        <v>#DIV/0!</v>
      </c>
      <c r="J47" s="1017"/>
      <c r="K47" s="1017"/>
      <c r="L47" s="537" t="s">
        <v>2828</v>
      </c>
      <c r="M47" s="1013" t="e">
        <f>$D47/(J13*10^6)</f>
        <v>#DIV/0!</v>
      </c>
    </row>
    <row r="48" spans="1:13" ht="13.5" thickBot="1">
      <c r="A48" s="415" t="s">
        <v>2829</v>
      </c>
      <c r="B48" s="980" t="s">
        <v>2766</v>
      </c>
      <c r="C48" s="406" t="e">
        <f t="shared" si="11"/>
        <v>#DIV/0!</v>
      </c>
      <c r="D48" s="406" t="e">
        <f>D15-E48</f>
        <v>#DIV/0!</v>
      </c>
      <c r="E48" s="1021"/>
      <c r="G48" s="1021" t="e">
        <f>D48/(J15*10^6)</f>
        <v>#DIV/0!</v>
      </c>
      <c r="H48" s="1021"/>
      <c r="I48" s="1022"/>
      <c r="J48" s="1023"/>
      <c r="K48" s="1021"/>
      <c r="L48" s="1021"/>
      <c r="M48" s="1025"/>
    </row>
    <row r="49" spans="1:13" ht="13">
      <c r="A49" s="415" t="s">
        <v>2830</v>
      </c>
      <c r="B49" s="980" t="s">
        <v>2768</v>
      </c>
      <c r="C49" s="406" t="e">
        <f t="shared" si="11"/>
        <v>#DIV/0!</v>
      </c>
      <c r="D49" s="406" t="e">
        <f t="shared" ref="D49:D50" si="13">D16-E49</f>
        <v>#DIV/0!</v>
      </c>
      <c r="E49" s="406" t="e">
        <f>I49*I16*10^3</f>
        <v>#DIV/0!</v>
      </c>
      <c r="G49" s="406"/>
      <c r="H49" s="1026" t="e">
        <f t="shared" ref="H49:H58" si="14">D49/H16/10^3</f>
        <v>#DIV/0!</v>
      </c>
      <c r="I49" s="1015" t="e">
        <f>MIN($I$54,L16)</f>
        <v>#DIV/0!</v>
      </c>
      <c r="J49" s="1023"/>
      <c r="K49" s="1021"/>
      <c r="L49" s="1245" t="s">
        <v>2831</v>
      </c>
      <c r="M49" s="1027" t="e">
        <f>($D49+D50)/((J16+J17)*10^6)</f>
        <v>#DIV/0!</v>
      </c>
    </row>
    <row r="50" spans="1:13" ht="13.5" thickBot="1">
      <c r="A50" s="415" t="s">
        <v>2832</v>
      </c>
      <c r="B50" s="980" t="s">
        <v>2770</v>
      </c>
      <c r="C50" s="406" t="e">
        <f t="shared" si="11"/>
        <v>#DIV/0!</v>
      </c>
      <c r="D50" s="406" t="e">
        <f t="shared" si="13"/>
        <v>#DIV/0!</v>
      </c>
      <c r="E50" s="406" t="e">
        <f>I50*I17*10^3</f>
        <v>#DIV/0!</v>
      </c>
      <c r="G50" s="406"/>
      <c r="H50" s="1026" t="e">
        <f t="shared" si="14"/>
        <v>#DIV/0!</v>
      </c>
      <c r="I50" s="1015" t="e">
        <f>MIN($I$54,L17)</f>
        <v>#DIV/0!</v>
      </c>
      <c r="J50" s="1023"/>
      <c r="K50" s="1021"/>
      <c r="L50" s="1246"/>
      <c r="M50" s="1028" t="e">
        <f>M49</f>
        <v>#DIV/0!</v>
      </c>
    </row>
    <row r="51" spans="1:13" ht="13">
      <c r="A51" s="415" t="s">
        <v>2833</v>
      </c>
      <c r="B51" s="980" t="s">
        <v>2772</v>
      </c>
      <c r="C51" s="406" t="e">
        <f t="shared" si="11"/>
        <v>#DIV/0!</v>
      </c>
      <c r="D51" s="406" t="e">
        <f>J36*H18*1000</f>
        <v>#DIV/0!</v>
      </c>
      <c r="E51" s="1021"/>
      <c r="G51" s="406"/>
      <c r="H51" s="1026" t="e">
        <f t="shared" si="14"/>
        <v>#DIV/0!</v>
      </c>
      <c r="I51" s="1022"/>
      <c r="J51" s="1023"/>
      <c r="K51" s="1021"/>
      <c r="L51" s="1021"/>
      <c r="M51" s="1013" t="e">
        <f>$D51/(J18*10^6)</f>
        <v>#DIV/0!</v>
      </c>
    </row>
    <row r="52" spans="1:13" ht="13">
      <c r="A52" s="415" t="s">
        <v>2834</v>
      </c>
      <c r="B52" s="980" t="s">
        <v>2774</v>
      </c>
      <c r="C52" s="406" t="e">
        <f t="shared" si="11"/>
        <v>#DIV/0!</v>
      </c>
      <c r="D52" s="406" t="e">
        <f t="shared" ref="D52:D53" si="15">J37*H19*1000</f>
        <v>#DIV/0!</v>
      </c>
      <c r="E52" s="1021"/>
      <c r="G52" s="406"/>
      <c r="H52" s="1026" t="e">
        <f t="shared" si="14"/>
        <v>#DIV/0!</v>
      </c>
      <c r="I52" s="1022"/>
      <c r="J52" s="1023"/>
      <c r="K52" s="1021"/>
      <c r="L52" s="1021"/>
      <c r="M52" s="1013" t="e">
        <f>$D52/(J19*10^6)</f>
        <v>#DIV/0!</v>
      </c>
    </row>
    <row r="53" spans="1:13" ht="13">
      <c r="A53" s="415" t="s">
        <v>2835</v>
      </c>
      <c r="B53" s="980" t="s">
        <v>2776</v>
      </c>
      <c r="C53" s="406" t="e">
        <f t="shared" si="11"/>
        <v>#DIV/0!</v>
      </c>
      <c r="D53" s="406" t="e">
        <f t="shared" si="15"/>
        <v>#DIV/0!</v>
      </c>
      <c r="E53" s="1021"/>
      <c r="G53" s="406"/>
      <c r="H53" s="1026" t="e">
        <f t="shared" si="14"/>
        <v>#DIV/0!</v>
      </c>
      <c r="I53" s="1022"/>
      <c r="J53" s="1023"/>
      <c r="K53" s="1013"/>
      <c r="L53" s="1013"/>
      <c r="M53" s="1013" t="e">
        <f>$D53/(J20*10^6)</f>
        <v>#DIV/0!</v>
      </c>
    </row>
    <row r="54" spans="1:13" ht="13">
      <c r="A54" s="415" t="s">
        <v>2836</v>
      </c>
      <c r="B54" s="980" t="s">
        <v>2778</v>
      </c>
      <c r="C54" s="406" t="e">
        <f t="shared" si="11"/>
        <v>#DIV/0!</v>
      </c>
      <c r="D54" s="406" t="e">
        <f>J36*H21*1000</f>
        <v>#DIV/0!</v>
      </c>
      <c r="E54" s="406" t="e">
        <f>I54*I21*10^3</f>
        <v>#DIV/0!</v>
      </c>
      <c r="G54" s="406"/>
      <c r="H54" s="1026" t="e">
        <f>J36</f>
        <v>#DIV/0!</v>
      </c>
      <c r="I54" s="1015" t="e">
        <f>E36</f>
        <v>#DIV/0!</v>
      </c>
      <c r="J54" s="1023"/>
      <c r="K54" s="1013"/>
      <c r="L54" s="1013"/>
    </row>
    <row r="55" spans="1:13" ht="13">
      <c r="A55" s="415" t="s">
        <v>2837</v>
      </c>
      <c r="B55" s="980" t="s">
        <v>2780</v>
      </c>
      <c r="C55" s="406" t="e">
        <f t="shared" si="11"/>
        <v>#DIV/0!</v>
      </c>
      <c r="D55" s="406" t="e">
        <f t="shared" ref="D55:D56" si="16">J37*H22*1000</f>
        <v>#DIV/0!</v>
      </c>
      <c r="E55" s="406" t="e">
        <f>I55*I22*10^3</f>
        <v>#DIV/0!</v>
      </c>
      <c r="G55" s="406"/>
      <c r="H55" s="1026" t="e">
        <f>J37</f>
        <v>#DIV/0!</v>
      </c>
      <c r="I55" s="1015" t="e">
        <f>E37</f>
        <v>#DIV/0!</v>
      </c>
      <c r="J55" s="1023"/>
      <c r="K55" s="1013"/>
      <c r="L55" s="1013"/>
    </row>
    <row r="56" spans="1:13" ht="13.5" thickBot="1">
      <c r="A56" s="415" t="s">
        <v>2838</v>
      </c>
      <c r="B56" s="980" t="s">
        <v>2782</v>
      </c>
      <c r="C56" s="406" t="e">
        <f t="shared" si="11"/>
        <v>#DIV/0!</v>
      </c>
      <c r="D56" s="406" t="e">
        <f t="shared" si="16"/>
        <v>#DIV/0!</v>
      </c>
      <c r="E56" s="406" t="e">
        <f>I56*I23*10^3</f>
        <v>#DIV/0!</v>
      </c>
      <c r="G56" s="406"/>
      <c r="H56" s="1026" t="e">
        <f>J38</f>
        <v>#DIV/0!</v>
      </c>
      <c r="I56" s="1015" t="e">
        <f>E38</f>
        <v>#DIV/0!</v>
      </c>
      <c r="J56" s="1023"/>
      <c r="K56" s="1013"/>
      <c r="L56" s="1013"/>
    </row>
    <row r="57" spans="1:13" ht="13.5" thickBot="1">
      <c r="A57" s="415" t="s">
        <v>2839</v>
      </c>
      <c r="B57" s="980" t="s">
        <v>2784</v>
      </c>
      <c r="C57" s="406" t="e">
        <f t="shared" si="11"/>
        <v>#DIV/0!</v>
      </c>
      <c r="D57" s="406" t="e">
        <f t="shared" ref="D57:D59" si="17">D24-E57</f>
        <v>#DIV/0!</v>
      </c>
      <c r="E57" s="406" t="e">
        <f>I57*I24*10^3</f>
        <v>#DIV/0!</v>
      </c>
      <c r="G57" s="406"/>
      <c r="H57" s="1026" t="e">
        <f t="shared" si="14"/>
        <v>#DIV/0!</v>
      </c>
      <c r="I57" s="1015" t="e">
        <f>MIN($I$54,L24)</f>
        <v>#DIV/0!</v>
      </c>
      <c r="J57" s="1014" t="e">
        <f>H57*0.746</f>
        <v>#DIV/0!</v>
      </c>
      <c r="K57" s="1017" t="e">
        <f>I57*0.746</f>
        <v>#DIV/0!</v>
      </c>
      <c r="L57" s="537" t="s">
        <v>2840</v>
      </c>
    </row>
    <row r="58" spans="1:13" ht="13">
      <c r="A58" s="415" t="s">
        <v>2841</v>
      </c>
      <c r="B58" s="980" t="s">
        <v>2786</v>
      </c>
      <c r="C58" s="406" t="e">
        <f t="shared" si="11"/>
        <v>#DIV/0!</v>
      </c>
      <c r="D58" s="406" t="e">
        <f t="shared" si="17"/>
        <v>#DIV/0!</v>
      </c>
      <c r="E58" s="406" t="e">
        <f>I58*I25*10^3</f>
        <v>#DIV/0!</v>
      </c>
      <c r="G58" s="406"/>
      <c r="H58" s="1026" t="e">
        <f t="shared" si="14"/>
        <v>#DIV/0!</v>
      </c>
      <c r="I58" s="1015" t="e">
        <f>MIN($I$54,L25)</f>
        <v>#DIV/0!</v>
      </c>
      <c r="J58" s="1023"/>
      <c r="K58" s="1021"/>
      <c r="L58" s="1021"/>
    </row>
    <row r="59" spans="1:13" ht="13">
      <c r="A59" s="415" t="s">
        <v>2842</v>
      </c>
      <c r="B59" s="980" t="s">
        <v>2788</v>
      </c>
      <c r="C59" s="406" t="e">
        <f t="shared" si="11"/>
        <v>#DIV/0!</v>
      </c>
      <c r="D59" s="406" t="e">
        <f t="shared" si="17"/>
        <v>#DIV/0!</v>
      </c>
      <c r="E59" s="1021"/>
      <c r="G59" s="1021" t="e">
        <f>D59/(J26*10^6)</f>
        <v>#DIV/0!</v>
      </c>
      <c r="H59" s="1021"/>
      <c r="I59" s="1022"/>
      <c r="J59" s="1023"/>
      <c r="K59" s="1021"/>
      <c r="L59" s="1021"/>
    </row>
    <row r="60" spans="1:13" ht="13">
      <c r="A60" s="415" t="s">
        <v>2843</v>
      </c>
      <c r="B60" s="979" t="s">
        <v>391</v>
      </c>
      <c r="C60" s="406"/>
      <c r="D60" s="406"/>
      <c r="E60" s="1021"/>
      <c r="G60" s="1021"/>
      <c r="H60" s="1021"/>
      <c r="I60" s="1022"/>
      <c r="J60" s="1023"/>
      <c r="K60" s="1021"/>
      <c r="L60" s="1021"/>
    </row>
    <row r="61" spans="1:13" ht="13">
      <c r="A61" s="415">
        <v>17</v>
      </c>
      <c r="B61" s="237" t="s">
        <v>442</v>
      </c>
      <c r="C61" s="1012" t="e">
        <f>SUM(C46:C60)</f>
        <v>#DIV/0!</v>
      </c>
      <c r="D61" s="1012" t="e">
        <f>SUM(D46:D60)</f>
        <v>#DIV/0!</v>
      </c>
      <c r="E61" s="1012" t="e">
        <f>SUM(E46:E59)</f>
        <v>#DIV/0!</v>
      </c>
      <c r="G61" s="406"/>
      <c r="H61" s="406"/>
      <c r="I61" s="406"/>
      <c r="J61" s="406"/>
    </row>
    <row r="62" spans="1:13" ht="13">
      <c r="A62" s="415">
        <v>18</v>
      </c>
    </row>
    <row r="63" spans="1:13" ht="13">
      <c r="A63" s="415">
        <v>19</v>
      </c>
      <c r="B63" s="427" t="s">
        <v>233</v>
      </c>
    </row>
    <row r="64" spans="1:13">
      <c r="B64" s="399" t="s">
        <v>2844</v>
      </c>
    </row>
    <row r="65" spans="2:2">
      <c r="B65" s="399" t="s">
        <v>2845</v>
      </c>
    </row>
    <row r="66" spans="2:2">
      <c r="B66" s="399" t="s">
        <v>2846</v>
      </c>
    </row>
    <row r="67" spans="2:2">
      <c r="B67" s="428" t="s">
        <v>2847</v>
      </c>
    </row>
    <row r="68" spans="2:2">
      <c r="B68" s="428" t="s">
        <v>2848</v>
      </c>
    </row>
    <row r="69" spans="2:2">
      <c r="B69" s="548" t="s">
        <v>2849</v>
      </c>
    </row>
    <row r="70" spans="2:2">
      <c r="B70" s="399" t="s">
        <v>2850</v>
      </c>
    </row>
    <row r="71" spans="2:2">
      <c r="B71" s="399" t="s">
        <v>2851</v>
      </c>
    </row>
    <row r="72" spans="2:2">
      <c r="B72" s="399" t="s">
        <v>2852</v>
      </c>
    </row>
    <row r="73" spans="2:2">
      <c r="B73" s="399" t="s">
        <v>2853</v>
      </c>
    </row>
    <row r="74" spans="2:2">
      <c r="B74" s="399" t="s">
        <v>2854</v>
      </c>
    </row>
    <row r="75" spans="2:2">
      <c r="B75" s="428" t="s">
        <v>2855</v>
      </c>
    </row>
    <row r="76" spans="2:2">
      <c r="B76" s="428" t="s">
        <v>2856</v>
      </c>
    </row>
    <row r="77" spans="2:2">
      <c r="B77" s="428" t="s">
        <v>2857</v>
      </c>
    </row>
    <row r="78" spans="2:2" ht="15.5">
      <c r="B78" s="399" t="s">
        <v>2858</v>
      </c>
    </row>
    <row r="79" spans="2:2">
      <c r="B79" s="399" t="s">
        <v>2859</v>
      </c>
    </row>
    <row r="80" spans="2:2">
      <c r="B80" s="399" t="s">
        <v>2860</v>
      </c>
    </row>
    <row r="81" spans="1:11">
      <c r="B81" s="399" t="s">
        <v>2861</v>
      </c>
    </row>
    <row r="82" spans="1:11">
      <c r="B82" s="399" t="s">
        <v>2862</v>
      </c>
    </row>
    <row r="83" spans="1:11">
      <c r="B83" s="399" t="s">
        <v>2863</v>
      </c>
    </row>
    <row r="84" spans="1:11">
      <c r="B84" s="399" t="s">
        <v>2864</v>
      </c>
    </row>
    <row r="85" spans="1:11" ht="13">
      <c r="A85" s="415">
        <v>20</v>
      </c>
    </row>
    <row r="86" spans="1:11" ht="13">
      <c r="A86" s="415">
        <v>21</v>
      </c>
      <c r="B86" s="428"/>
    </row>
    <row r="87" spans="1:11" ht="15.5">
      <c r="A87" s="415">
        <v>22</v>
      </c>
      <c r="B87" s="398" t="s">
        <v>2865</v>
      </c>
    </row>
    <row r="88" spans="1:11" ht="13">
      <c r="A88" s="415">
        <v>23</v>
      </c>
    </row>
    <row r="89" spans="1:11" ht="13">
      <c r="A89" s="415">
        <v>24</v>
      </c>
    </row>
    <row r="90" spans="1:11" ht="25.5" customHeight="1">
      <c r="A90" s="415">
        <v>25</v>
      </c>
      <c r="B90" s="413" t="str">
        <f>B11</f>
        <v>CPUC Rate Group</v>
      </c>
      <c r="C90" s="429" t="s">
        <v>2866</v>
      </c>
      <c r="D90" s="430"/>
      <c r="E90" s="656" t="s">
        <v>2866</v>
      </c>
      <c r="F90" s="430"/>
      <c r="G90" s="430"/>
      <c r="H90" s="430"/>
      <c r="I90" s="430"/>
      <c r="J90" s="430"/>
      <c r="K90" s="657"/>
    </row>
    <row r="91" spans="1:11" ht="13">
      <c r="A91" s="415" t="s">
        <v>2867</v>
      </c>
      <c r="B91" s="981" t="s">
        <v>2760</v>
      </c>
      <c r="C91" s="982" t="s">
        <v>2868</v>
      </c>
      <c r="D91" s="431"/>
      <c r="E91" s="431"/>
      <c r="F91" s="431"/>
      <c r="G91" s="431"/>
      <c r="H91" s="431"/>
      <c r="I91" s="431"/>
      <c r="J91" s="431"/>
      <c r="K91" s="431"/>
    </row>
    <row r="92" spans="1:11" ht="13">
      <c r="A92" s="415"/>
      <c r="B92" s="981" t="s">
        <v>2869</v>
      </c>
      <c r="C92" s="983" t="s">
        <v>2870</v>
      </c>
      <c r="D92" s="431"/>
      <c r="E92" s="431"/>
      <c r="F92" s="431"/>
      <c r="G92" s="431"/>
      <c r="H92" s="431"/>
      <c r="I92" s="431"/>
      <c r="J92" s="431"/>
      <c r="K92" s="431"/>
    </row>
    <row r="93" spans="1:11" ht="13">
      <c r="A93" s="415" t="s">
        <v>2871</v>
      </c>
      <c r="B93" s="981" t="s">
        <v>2761</v>
      </c>
      <c r="C93" s="982" t="s">
        <v>2872</v>
      </c>
      <c r="D93" s="431"/>
      <c r="E93" s="431"/>
      <c r="F93" s="431"/>
      <c r="G93" s="431"/>
      <c r="H93" s="431"/>
      <c r="I93" s="431"/>
      <c r="J93" s="981"/>
      <c r="K93" s="431"/>
    </row>
    <row r="94" spans="1:11" ht="13">
      <c r="A94" s="415" t="s">
        <v>2873</v>
      </c>
      <c r="B94" s="981" t="s">
        <v>2766</v>
      </c>
      <c r="C94" s="982" t="s">
        <v>2874</v>
      </c>
      <c r="D94" s="431"/>
      <c r="E94" s="431"/>
      <c r="F94" s="431"/>
      <c r="G94" s="431"/>
      <c r="H94" s="431"/>
      <c r="I94" s="431"/>
      <c r="J94" s="981"/>
      <c r="K94" s="431"/>
    </row>
    <row r="95" spans="1:11" ht="13">
      <c r="A95" s="415" t="s">
        <v>2875</v>
      </c>
      <c r="B95" s="981" t="s">
        <v>2768</v>
      </c>
      <c r="C95" s="982" t="s">
        <v>2876</v>
      </c>
      <c r="D95" s="431"/>
      <c r="E95" s="431"/>
      <c r="F95" s="431"/>
      <c r="G95" s="431"/>
      <c r="H95" s="431"/>
      <c r="I95" s="431"/>
      <c r="J95" s="981"/>
      <c r="K95" s="431"/>
    </row>
    <row r="96" spans="1:11" ht="13">
      <c r="A96" s="415" t="s">
        <v>2877</v>
      </c>
      <c r="B96" s="981" t="s">
        <v>2770</v>
      </c>
      <c r="C96" s="982" t="s">
        <v>2878</v>
      </c>
      <c r="D96" s="431"/>
      <c r="E96" s="431"/>
      <c r="F96" s="431"/>
      <c r="G96" s="431"/>
      <c r="H96" s="431"/>
      <c r="I96" s="431"/>
      <c r="J96" s="981"/>
      <c r="K96" s="431"/>
    </row>
    <row r="97" spans="1:13" ht="13">
      <c r="A97" s="415" t="s">
        <v>2879</v>
      </c>
      <c r="B97" s="981" t="s">
        <v>2772</v>
      </c>
      <c r="C97" s="982" t="s">
        <v>2880</v>
      </c>
      <c r="D97" s="431"/>
      <c r="E97" s="431"/>
      <c r="F97" s="431"/>
      <c r="G97" s="431"/>
      <c r="H97" s="431"/>
      <c r="I97" s="431"/>
      <c r="J97" s="981"/>
      <c r="K97" s="431"/>
    </row>
    <row r="98" spans="1:13" ht="13">
      <c r="A98" s="415" t="s">
        <v>2881</v>
      </c>
      <c r="B98" s="981" t="s">
        <v>2774</v>
      </c>
      <c r="C98" s="982" t="s">
        <v>2880</v>
      </c>
      <c r="D98" s="431"/>
      <c r="E98" s="431"/>
      <c r="F98" s="431"/>
      <c r="G98" s="431"/>
      <c r="H98" s="431"/>
      <c r="I98" s="431"/>
      <c r="J98" s="981"/>
      <c r="K98" s="431"/>
    </row>
    <row r="99" spans="1:13" ht="13">
      <c r="A99" s="415" t="s">
        <v>2882</v>
      </c>
      <c r="B99" s="981" t="s">
        <v>2776</v>
      </c>
      <c r="C99" s="982" t="s">
        <v>2880</v>
      </c>
      <c r="D99" s="431"/>
      <c r="E99" s="431"/>
      <c r="F99" s="431"/>
      <c r="G99" s="431"/>
      <c r="H99" s="431"/>
      <c r="I99" s="431"/>
      <c r="J99" s="981"/>
      <c r="K99" s="431"/>
    </row>
    <row r="100" spans="1:13" ht="13">
      <c r="A100" s="415" t="s">
        <v>2883</v>
      </c>
      <c r="B100" s="981" t="s">
        <v>2778</v>
      </c>
      <c r="C100" s="982" t="s">
        <v>2884</v>
      </c>
      <c r="D100" s="431"/>
      <c r="E100" s="431"/>
      <c r="F100" s="431"/>
      <c r="G100" s="431"/>
      <c r="H100" s="431"/>
      <c r="I100" s="431"/>
      <c r="J100" s="981"/>
      <c r="K100" s="431"/>
    </row>
    <row r="101" spans="1:13" ht="13">
      <c r="A101" s="415" t="s">
        <v>2885</v>
      </c>
      <c r="B101" s="981" t="s">
        <v>2780</v>
      </c>
      <c r="C101" s="982" t="s">
        <v>2886</v>
      </c>
      <c r="D101" s="431"/>
      <c r="E101" s="431"/>
      <c r="F101" s="431"/>
      <c r="G101" s="431"/>
      <c r="H101" s="431"/>
      <c r="I101" s="431"/>
      <c r="J101" s="981"/>
      <c r="K101" s="431"/>
    </row>
    <row r="102" spans="1:13" ht="13">
      <c r="A102" s="415" t="s">
        <v>2887</v>
      </c>
      <c r="B102" s="981" t="s">
        <v>2782</v>
      </c>
      <c r="C102" s="982" t="s">
        <v>2886</v>
      </c>
      <c r="D102" s="431"/>
      <c r="E102" s="431"/>
      <c r="F102" s="431"/>
      <c r="G102" s="431"/>
      <c r="H102" s="431"/>
      <c r="I102" s="431"/>
      <c r="J102" s="981"/>
      <c r="K102" s="431"/>
    </row>
    <row r="103" spans="1:13" ht="13">
      <c r="A103" s="415" t="s">
        <v>2888</v>
      </c>
      <c r="B103" s="981" t="s">
        <v>2784</v>
      </c>
      <c r="C103" s="982" t="s">
        <v>2889</v>
      </c>
      <c r="D103" s="431"/>
      <c r="E103" s="431"/>
      <c r="F103" s="431"/>
      <c r="G103" s="431"/>
      <c r="H103" s="431"/>
      <c r="I103" s="431"/>
      <c r="J103" s="981"/>
      <c r="K103" s="431"/>
    </row>
    <row r="104" spans="1:13" ht="13">
      <c r="A104" s="415" t="s">
        <v>2890</v>
      </c>
      <c r="B104" s="981" t="s">
        <v>2786</v>
      </c>
      <c r="C104" s="982" t="s">
        <v>2891</v>
      </c>
      <c r="D104" s="431"/>
      <c r="E104" s="431"/>
      <c r="F104" s="431"/>
      <c r="G104" s="431"/>
      <c r="H104" s="431"/>
      <c r="I104" s="431"/>
      <c r="J104" s="981"/>
      <c r="K104" s="431"/>
    </row>
    <row r="105" spans="1:13" ht="13">
      <c r="A105" s="415" t="s">
        <v>2892</v>
      </c>
      <c r="B105" s="981" t="s">
        <v>2788</v>
      </c>
      <c r="C105" s="982" t="s">
        <v>2893</v>
      </c>
      <c r="D105" s="431"/>
      <c r="E105" s="431"/>
      <c r="F105" s="431"/>
      <c r="G105" s="431"/>
      <c r="H105" s="431"/>
      <c r="I105" s="431"/>
      <c r="J105" s="981"/>
      <c r="K105" s="431"/>
    </row>
    <row r="106" spans="1:13" ht="13">
      <c r="A106" s="415" t="s">
        <v>2894</v>
      </c>
      <c r="B106" s="984" t="s">
        <v>391</v>
      </c>
      <c r="C106" s="982"/>
      <c r="D106" s="431"/>
      <c r="E106" s="431"/>
      <c r="F106" s="431"/>
      <c r="G106" s="431"/>
      <c r="H106" s="431"/>
      <c r="I106" s="431"/>
      <c r="J106" s="981"/>
      <c r="K106" s="431"/>
    </row>
    <row r="107" spans="1:13" ht="13">
      <c r="A107" s="415">
        <v>27</v>
      </c>
    </row>
    <row r="108" spans="1:13" ht="13">
      <c r="A108" s="415">
        <f t="shared" ref="A108:A114" si="18">A107+1</f>
        <v>28</v>
      </c>
    </row>
    <row r="109" spans="1:13" ht="15.5">
      <c r="A109" s="415">
        <f t="shared" si="18"/>
        <v>29</v>
      </c>
      <c r="B109" s="398" t="s">
        <v>2895</v>
      </c>
    </row>
    <row r="110" spans="1:13" ht="13">
      <c r="A110" s="415">
        <f t="shared" si="18"/>
        <v>30</v>
      </c>
      <c r="C110" s="407" t="s">
        <v>347</v>
      </c>
      <c r="D110" s="407" t="s">
        <v>348</v>
      </c>
      <c r="E110" s="407" t="s">
        <v>349</v>
      </c>
      <c r="F110" s="407" t="s">
        <v>350</v>
      </c>
      <c r="G110" s="407" t="s">
        <v>351</v>
      </c>
      <c r="H110" s="407" t="s">
        <v>352</v>
      </c>
      <c r="I110" s="407" t="s">
        <v>353</v>
      </c>
      <c r="J110" s="407" t="s">
        <v>354</v>
      </c>
      <c r="K110" s="407" t="s">
        <v>355</v>
      </c>
      <c r="L110" s="407" t="s">
        <v>605</v>
      </c>
      <c r="M110" s="407" t="s">
        <v>606</v>
      </c>
    </row>
    <row r="111" spans="1:13" s="634" customFormat="1" ht="37.5">
      <c r="A111" s="432">
        <f t="shared" si="18"/>
        <v>31</v>
      </c>
      <c r="C111" s="409"/>
      <c r="D111" s="409"/>
      <c r="E111" s="409"/>
      <c r="F111" s="648" t="s">
        <v>2896</v>
      </c>
      <c r="G111" s="409"/>
      <c r="H111" s="648"/>
      <c r="I111" s="408" t="s">
        <v>2897</v>
      </c>
      <c r="J111" s="408" t="s">
        <v>2898</v>
      </c>
      <c r="K111" s="408" t="s">
        <v>2899</v>
      </c>
      <c r="L111" s="408" t="s">
        <v>2900</v>
      </c>
      <c r="M111" s="408" t="s">
        <v>2901</v>
      </c>
    </row>
    <row r="112" spans="1:13" s="549" customFormat="1" ht="13">
      <c r="A112" s="415">
        <f t="shared" si="18"/>
        <v>32</v>
      </c>
      <c r="C112" s="433"/>
      <c r="D112" s="433"/>
      <c r="E112" s="433"/>
      <c r="F112" s="649"/>
      <c r="G112" s="433"/>
      <c r="H112" s="649"/>
      <c r="I112" s="536" t="s">
        <v>2902</v>
      </c>
      <c r="K112" s="649"/>
      <c r="L112" s="649"/>
      <c r="M112" s="649"/>
    </row>
    <row r="113" spans="1:13" ht="21.75" customHeight="1">
      <c r="A113" s="415">
        <f t="shared" si="18"/>
        <v>33</v>
      </c>
      <c r="B113" s="642"/>
      <c r="C113" s="1242" t="s">
        <v>2903</v>
      </c>
      <c r="D113" s="1243"/>
      <c r="E113" s="1243"/>
      <c r="F113" s="1244"/>
      <c r="G113" s="642"/>
      <c r="H113" s="434"/>
      <c r="I113" s="642"/>
      <c r="J113" s="642"/>
      <c r="K113" s="642"/>
      <c r="L113" s="643" t="s">
        <v>2674</v>
      </c>
      <c r="M113" s="435"/>
    </row>
    <row r="114" spans="1:13" s="400" customFormat="1" ht="51.75" customHeight="1">
      <c r="A114" s="415">
        <f t="shared" si="18"/>
        <v>34</v>
      </c>
      <c r="B114" s="436" t="str">
        <f>B11</f>
        <v>CPUC Rate Group</v>
      </c>
      <c r="C114" s="437"/>
      <c r="D114" s="437"/>
      <c r="E114" s="437"/>
      <c r="F114" s="436" t="s">
        <v>2904</v>
      </c>
      <c r="G114" s="436" t="s">
        <v>2905</v>
      </c>
      <c r="H114" s="438" t="s">
        <v>2906</v>
      </c>
      <c r="I114" s="436" t="s">
        <v>2907</v>
      </c>
      <c r="J114" s="436" t="s">
        <v>2752</v>
      </c>
      <c r="K114" s="436" t="s">
        <v>2908</v>
      </c>
      <c r="L114" s="436" t="s">
        <v>2909</v>
      </c>
      <c r="M114" s="436" t="s">
        <v>2910</v>
      </c>
    </row>
    <row r="115" spans="1:13" ht="13">
      <c r="A115" s="415" t="s">
        <v>717</v>
      </c>
      <c r="B115" s="980"/>
      <c r="C115" s="516"/>
      <c r="D115" s="516"/>
      <c r="E115" s="516"/>
      <c r="F115" s="418">
        <f>(C115+D115+E115)/3</f>
        <v>0</v>
      </c>
      <c r="G115" s="1029"/>
      <c r="H115" s="511"/>
      <c r="I115" s="418">
        <f>E12</f>
        <v>0</v>
      </c>
      <c r="J115" s="418">
        <f>F12</f>
        <v>0</v>
      </c>
      <c r="K115" s="418">
        <f>I115+J115</f>
        <v>0</v>
      </c>
      <c r="L115" s="418" t="e">
        <f>(F115*G115)*(K115/H115)</f>
        <v>#DIV/0!</v>
      </c>
      <c r="M115" s="550" t="e">
        <f t="shared" ref="M115:M128" si="19">L115/$L$130</f>
        <v>#DIV/0!</v>
      </c>
    </row>
    <row r="116" spans="1:13" ht="13">
      <c r="A116" s="415" t="s">
        <v>2911</v>
      </c>
      <c r="B116" s="980"/>
      <c r="C116" s="516"/>
      <c r="D116" s="516"/>
      <c r="E116" s="516"/>
      <c r="F116" s="418">
        <f t="shared" ref="F116:F128" si="20">(C116+D116+E116)/3</f>
        <v>0</v>
      </c>
      <c r="G116" s="1029"/>
      <c r="H116" s="511"/>
      <c r="I116" s="418">
        <f t="shared" ref="I116" si="21">E13</f>
        <v>0</v>
      </c>
      <c r="J116" s="418">
        <f>F13</f>
        <v>0</v>
      </c>
      <c r="K116" s="418">
        <f t="shared" ref="K116:K128" si="22">I116+J116</f>
        <v>0</v>
      </c>
      <c r="L116" s="418" t="e">
        <f t="shared" ref="L116:L128" si="23">(F116*G116)*(K116/H116)</f>
        <v>#DIV/0!</v>
      </c>
      <c r="M116" s="550" t="e">
        <f t="shared" si="19"/>
        <v>#DIV/0!</v>
      </c>
    </row>
    <row r="117" spans="1:13" ht="13">
      <c r="A117" s="415" t="s">
        <v>2912</v>
      </c>
      <c r="B117" s="980"/>
      <c r="C117" s="516"/>
      <c r="D117" s="516"/>
      <c r="E117" s="516"/>
      <c r="F117" s="418">
        <f t="shared" si="20"/>
        <v>0</v>
      </c>
      <c r="G117" s="1029"/>
      <c r="H117" s="511"/>
      <c r="I117" s="418">
        <f t="shared" ref="I117:J119" si="24">E15</f>
        <v>0</v>
      </c>
      <c r="J117" s="418">
        <f t="shared" si="24"/>
        <v>0</v>
      </c>
      <c r="K117" s="418">
        <f t="shared" si="22"/>
        <v>0</v>
      </c>
      <c r="L117" s="418" t="e">
        <f t="shared" si="23"/>
        <v>#DIV/0!</v>
      </c>
      <c r="M117" s="550" t="e">
        <f t="shared" si="19"/>
        <v>#DIV/0!</v>
      </c>
    </row>
    <row r="118" spans="1:13" ht="13">
      <c r="A118" s="415" t="s">
        <v>2913</v>
      </c>
      <c r="B118" s="980"/>
      <c r="C118" s="516"/>
      <c r="D118" s="516"/>
      <c r="E118" s="516"/>
      <c r="F118" s="418">
        <f t="shared" si="20"/>
        <v>0</v>
      </c>
      <c r="G118" s="1029"/>
      <c r="H118" s="511"/>
      <c r="I118" s="418">
        <f t="shared" si="24"/>
        <v>0</v>
      </c>
      <c r="J118" s="418">
        <f t="shared" si="24"/>
        <v>0</v>
      </c>
      <c r="K118" s="418">
        <f t="shared" si="22"/>
        <v>0</v>
      </c>
      <c r="L118" s="418" t="e">
        <f t="shared" si="23"/>
        <v>#DIV/0!</v>
      </c>
      <c r="M118" s="550" t="e">
        <f t="shared" si="19"/>
        <v>#DIV/0!</v>
      </c>
    </row>
    <row r="119" spans="1:13" ht="13">
      <c r="A119" s="415" t="s">
        <v>2914</v>
      </c>
      <c r="B119" s="980"/>
      <c r="C119" s="516"/>
      <c r="D119" s="516"/>
      <c r="E119" s="516"/>
      <c r="F119" s="418">
        <f t="shared" si="20"/>
        <v>0</v>
      </c>
      <c r="G119" s="1029"/>
      <c r="H119" s="511"/>
      <c r="I119" s="418">
        <f t="shared" si="24"/>
        <v>0</v>
      </c>
      <c r="J119" s="418">
        <f t="shared" si="24"/>
        <v>0</v>
      </c>
      <c r="K119" s="418">
        <f t="shared" si="22"/>
        <v>0</v>
      </c>
      <c r="L119" s="418" t="e">
        <f t="shared" si="23"/>
        <v>#DIV/0!</v>
      </c>
      <c r="M119" s="550" t="e">
        <f t="shared" si="19"/>
        <v>#DIV/0!</v>
      </c>
    </row>
    <row r="120" spans="1:13" ht="13">
      <c r="A120" s="415" t="s">
        <v>2915</v>
      </c>
      <c r="B120" s="980"/>
      <c r="C120" s="516"/>
      <c r="D120" s="516"/>
      <c r="E120" s="516"/>
      <c r="F120" s="418">
        <f t="shared" si="20"/>
        <v>0</v>
      </c>
      <c r="G120" s="1029"/>
      <c r="H120" s="512"/>
      <c r="I120" s="418">
        <f>E18+E21</f>
        <v>0</v>
      </c>
      <c r="J120" s="418">
        <f t="shared" ref="J120:J128" si="25">F18</f>
        <v>0</v>
      </c>
      <c r="K120" s="418">
        <f>I120+J120</f>
        <v>0</v>
      </c>
      <c r="L120" s="418" t="e">
        <f t="shared" si="23"/>
        <v>#DIV/0!</v>
      </c>
      <c r="M120" s="550" t="e">
        <f t="shared" si="19"/>
        <v>#DIV/0!</v>
      </c>
    </row>
    <row r="121" spans="1:13" ht="13">
      <c r="A121" s="415" t="s">
        <v>2916</v>
      </c>
      <c r="B121" s="980"/>
      <c r="C121" s="516"/>
      <c r="D121" s="516"/>
      <c r="E121" s="516"/>
      <c r="F121" s="418">
        <f t="shared" si="20"/>
        <v>0</v>
      </c>
      <c r="G121" s="1029"/>
      <c r="H121" s="512"/>
      <c r="I121" s="418">
        <f>E19+E22</f>
        <v>0</v>
      </c>
      <c r="J121" s="418">
        <f t="shared" si="25"/>
        <v>0</v>
      </c>
      <c r="K121" s="418">
        <f t="shared" si="22"/>
        <v>0</v>
      </c>
      <c r="L121" s="418" t="e">
        <f t="shared" si="23"/>
        <v>#DIV/0!</v>
      </c>
      <c r="M121" s="550" t="e">
        <f t="shared" si="19"/>
        <v>#DIV/0!</v>
      </c>
    </row>
    <row r="122" spans="1:13" ht="13">
      <c r="A122" s="415" t="s">
        <v>2917</v>
      </c>
      <c r="B122" s="980"/>
      <c r="C122" s="516"/>
      <c r="D122" s="516"/>
      <c r="E122" s="516"/>
      <c r="F122" s="418">
        <f t="shared" si="20"/>
        <v>0</v>
      </c>
      <c r="G122" s="1029"/>
      <c r="H122" s="512"/>
      <c r="I122" s="418">
        <f>E20+E23</f>
        <v>0</v>
      </c>
      <c r="J122" s="418">
        <f t="shared" si="25"/>
        <v>0</v>
      </c>
      <c r="K122" s="418">
        <f t="shared" si="22"/>
        <v>0</v>
      </c>
      <c r="L122" s="418" t="e">
        <f t="shared" si="23"/>
        <v>#DIV/0!</v>
      </c>
      <c r="M122" s="550" t="e">
        <f t="shared" si="19"/>
        <v>#DIV/0!</v>
      </c>
    </row>
    <row r="123" spans="1:13" ht="13">
      <c r="A123" s="415" t="s">
        <v>2918</v>
      </c>
      <c r="B123" s="980"/>
      <c r="C123" s="516"/>
      <c r="D123" s="516"/>
      <c r="E123" s="516"/>
      <c r="F123" s="418">
        <f t="shared" si="20"/>
        <v>0</v>
      </c>
      <c r="G123" s="1029"/>
      <c r="H123" s="512"/>
      <c r="I123" s="418">
        <f>E21*0</f>
        <v>0</v>
      </c>
      <c r="J123" s="418">
        <f t="shared" si="25"/>
        <v>0</v>
      </c>
      <c r="K123" s="418">
        <f t="shared" si="22"/>
        <v>0</v>
      </c>
      <c r="L123" s="418" t="e">
        <f t="shared" si="23"/>
        <v>#DIV/0!</v>
      </c>
      <c r="M123" s="550" t="e">
        <f t="shared" si="19"/>
        <v>#DIV/0!</v>
      </c>
    </row>
    <row r="124" spans="1:13" ht="13">
      <c r="A124" s="415" t="s">
        <v>2919</v>
      </c>
      <c r="B124" s="980"/>
      <c r="C124" s="516"/>
      <c r="D124" s="516"/>
      <c r="E124" s="516"/>
      <c r="F124" s="418">
        <f t="shared" si="20"/>
        <v>0</v>
      </c>
      <c r="G124" s="1029"/>
      <c r="H124" s="512"/>
      <c r="I124" s="418">
        <f>E22*0</f>
        <v>0</v>
      </c>
      <c r="J124" s="418">
        <f t="shared" si="25"/>
        <v>0</v>
      </c>
      <c r="K124" s="418">
        <f t="shared" si="22"/>
        <v>0</v>
      </c>
      <c r="L124" s="418" t="e">
        <f t="shared" si="23"/>
        <v>#DIV/0!</v>
      </c>
      <c r="M124" s="550" t="e">
        <f t="shared" si="19"/>
        <v>#DIV/0!</v>
      </c>
    </row>
    <row r="125" spans="1:13" ht="13">
      <c r="A125" s="415" t="s">
        <v>2920</v>
      </c>
      <c r="B125" s="980"/>
      <c r="C125" s="516"/>
      <c r="D125" s="516"/>
      <c r="E125" s="516"/>
      <c r="F125" s="418">
        <f t="shared" si="20"/>
        <v>0</v>
      </c>
      <c r="G125" s="1029"/>
      <c r="H125" s="512"/>
      <c r="I125" s="418">
        <f>E23*0</f>
        <v>0</v>
      </c>
      <c r="J125" s="418">
        <f t="shared" si="25"/>
        <v>0</v>
      </c>
      <c r="K125" s="418">
        <f t="shared" si="22"/>
        <v>0</v>
      </c>
      <c r="L125" s="418" t="e">
        <f t="shared" si="23"/>
        <v>#DIV/0!</v>
      </c>
      <c r="M125" s="550" t="e">
        <f t="shared" si="19"/>
        <v>#DIV/0!</v>
      </c>
    </row>
    <row r="126" spans="1:13" ht="13">
      <c r="A126" s="415" t="s">
        <v>2921</v>
      </c>
      <c r="B126" s="980"/>
      <c r="C126" s="516"/>
      <c r="D126" s="516"/>
      <c r="E126" s="516"/>
      <c r="F126" s="418">
        <f t="shared" si="20"/>
        <v>0</v>
      </c>
      <c r="G126" s="1029"/>
      <c r="H126" s="511"/>
      <c r="I126" s="418">
        <f>E24</f>
        <v>0</v>
      </c>
      <c r="J126" s="418">
        <f t="shared" si="25"/>
        <v>0</v>
      </c>
      <c r="K126" s="418">
        <f t="shared" si="22"/>
        <v>0</v>
      </c>
      <c r="L126" s="418" t="e">
        <f t="shared" si="23"/>
        <v>#DIV/0!</v>
      </c>
      <c r="M126" s="550" t="e">
        <f t="shared" si="19"/>
        <v>#DIV/0!</v>
      </c>
    </row>
    <row r="127" spans="1:13" ht="13">
      <c r="A127" s="415" t="s">
        <v>2922</v>
      </c>
      <c r="B127" s="980"/>
      <c r="C127" s="516"/>
      <c r="D127" s="516"/>
      <c r="E127" s="516"/>
      <c r="F127" s="418">
        <f t="shared" si="20"/>
        <v>0</v>
      </c>
      <c r="G127" s="1029"/>
      <c r="H127" s="511"/>
      <c r="I127" s="418">
        <f>E25</f>
        <v>0</v>
      </c>
      <c r="J127" s="418">
        <f t="shared" si="25"/>
        <v>0</v>
      </c>
      <c r="K127" s="418">
        <f t="shared" si="22"/>
        <v>0</v>
      </c>
      <c r="L127" s="418" t="e">
        <f t="shared" si="23"/>
        <v>#DIV/0!</v>
      </c>
      <c r="M127" s="550" t="e">
        <f t="shared" si="19"/>
        <v>#DIV/0!</v>
      </c>
    </row>
    <row r="128" spans="1:13" ht="13">
      <c r="A128" s="415" t="s">
        <v>2923</v>
      </c>
      <c r="B128" s="980"/>
      <c r="C128" s="516"/>
      <c r="D128" s="516"/>
      <c r="E128" s="516"/>
      <c r="F128" s="418">
        <f t="shared" si="20"/>
        <v>0</v>
      </c>
      <c r="G128" s="1029"/>
      <c r="H128" s="511"/>
      <c r="I128" s="418">
        <f>E26</f>
        <v>0</v>
      </c>
      <c r="J128" s="418">
        <f t="shared" si="25"/>
        <v>0</v>
      </c>
      <c r="K128" s="418">
        <f t="shared" si="22"/>
        <v>0</v>
      </c>
      <c r="L128" s="418" t="e">
        <f t="shared" si="23"/>
        <v>#DIV/0!</v>
      </c>
      <c r="M128" s="550" t="e">
        <f t="shared" si="19"/>
        <v>#DIV/0!</v>
      </c>
    </row>
    <row r="129" spans="1:13" ht="13">
      <c r="A129" s="415" t="s">
        <v>2924</v>
      </c>
      <c r="B129" s="979" t="s">
        <v>391</v>
      </c>
      <c r="C129" s="516"/>
      <c r="D129" s="516"/>
      <c r="E129" s="516"/>
      <c r="F129" s="418"/>
      <c r="G129" s="644"/>
      <c r="H129" s="511"/>
      <c r="K129" s="418"/>
      <c r="L129" s="418"/>
      <c r="M129" s="550"/>
    </row>
    <row r="130" spans="1:13" ht="13">
      <c r="A130" s="415">
        <v>36</v>
      </c>
      <c r="B130" s="238" t="s">
        <v>442</v>
      </c>
      <c r="C130" s="650">
        <f>SUM(C115:C129)</f>
        <v>0</v>
      </c>
      <c r="D130" s="650">
        <f>SUM(D115:D129)</f>
        <v>0</v>
      </c>
      <c r="E130" s="650">
        <f>SUM(E115:E129)</f>
        <v>0</v>
      </c>
      <c r="F130" s="650">
        <f>SUM(F115:F129)</f>
        <v>0</v>
      </c>
      <c r="G130" s="651"/>
      <c r="H130" s="650">
        <f>SUM(H115:H129)</f>
        <v>0</v>
      </c>
      <c r="I130" s="650">
        <f t="shared" ref="I130:M130" si="26">SUM(I115:I129)</f>
        <v>0</v>
      </c>
      <c r="J130" s="650">
        <f t="shared" si="26"/>
        <v>0</v>
      </c>
      <c r="K130" s="650">
        <f t="shared" si="26"/>
        <v>0</v>
      </c>
      <c r="L130" s="650" t="e">
        <f t="shared" si="26"/>
        <v>#DIV/0!</v>
      </c>
      <c r="M130" s="652" t="e">
        <f t="shared" si="26"/>
        <v>#DIV/0!</v>
      </c>
    </row>
    <row r="131" spans="1:13">
      <c r="J131" s="423"/>
      <c r="L131" s="423"/>
      <c r="M131" s="424"/>
    </row>
    <row r="132" spans="1:13">
      <c r="J132" s="423"/>
      <c r="L132" s="423"/>
      <c r="M132" s="424"/>
    </row>
    <row r="133" spans="1:13">
      <c r="J133" s="423"/>
      <c r="L133" s="423"/>
      <c r="M133" s="424"/>
    </row>
    <row r="134" spans="1:13">
      <c r="J134" s="423"/>
      <c r="L134" s="423"/>
      <c r="M134" s="424"/>
    </row>
    <row r="135" spans="1:13">
      <c r="J135" s="423"/>
      <c r="L135" s="423"/>
      <c r="M135" s="424"/>
    </row>
    <row r="136" spans="1:13">
      <c r="J136" s="423"/>
      <c r="L136" s="423"/>
      <c r="M136" s="424"/>
    </row>
    <row r="137" spans="1:13">
      <c r="J137" s="423"/>
      <c r="L137" s="423"/>
      <c r="M137" s="424"/>
    </row>
    <row r="138" spans="1:13">
      <c r="J138" s="423"/>
      <c r="L138" s="423"/>
      <c r="M138" s="424"/>
    </row>
    <row r="139" spans="1:13">
      <c r="J139" s="423"/>
      <c r="L139" s="423"/>
      <c r="M139" s="424"/>
    </row>
    <row r="140" spans="1:13">
      <c r="L140" s="423"/>
    </row>
    <row r="144" spans="1:13">
      <c r="M144" s="399"/>
    </row>
    <row r="145" spans="13:13">
      <c r="M145" s="399"/>
    </row>
    <row r="146" spans="13:13">
      <c r="M146" s="399"/>
    </row>
    <row r="147" spans="13:13">
      <c r="M147" s="399"/>
    </row>
    <row r="148" spans="13:13">
      <c r="M148" s="399"/>
    </row>
    <row r="149" spans="13:13">
      <c r="M149" s="399"/>
    </row>
    <row r="150" spans="13:13">
      <c r="M150" s="399"/>
    </row>
    <row r="151" spans="13:13">
      <c r="M151" s="399"/>
    </row>
    <row r="152" spans="13:13">
      <c r="M152" s="399"/>
    </row>
    <row r="153" spans="13:13">
      <c r="M153" s="399"/>
    </row>
    <row r="154" spans="13:13">
      <c r="M154" s="399"/>
    </row>
    <row r="155" spans="13:13">
      <c r="M155" s="399"/>
    </row>
    <row r="156" spans="13:13">
      <c r="M156" s="399"/>
    </row>
    <row r="157" spans="13:13">
      <c r="M157" s="399"/>
    </row>
    <row r="158" spans="13:13">
      <c r="M158" s="399"/>
    </row>
    <row r="159" spans="13:13">
      <c r="M159" s="399"/>
    </row>
    <row r="160" spans="13:13">
      <c r="M160" s="399"/>
    </row>
    <row r="161" spans="13:13">
      <c r="M161" s="399"/>
    </row>
    <row r="162" spans="13:13">
      <c r="M162" s="399"/>
    </row>
    <row r="163" spans="13:13">
      <c r="M163" s="399"/>
    </row>
    <row r="164" spans="13:13">
      <c r="M164" s="399"/>
    </row>
    <row r="165" spans="13:13">
      <c r="M165" s="399"/>
    </row>
    <row r="166" spans="13:13">
      <c r="M166" s="399"/>
    </row>
    <row r="167" spans="13:13">
      <c r="M167" s="399"/>
    </row>
    <row r="168" spans="13:13">
      <c r="M168" s="399"/>
    </row>
    <row r="169" spans="13:13">
      <c r="M169" s="399"/>
    </row>
    <row r="170" spans="13:13">
      <c r="M170" s="399"/>
    </row>
    <row r="171" spans="13:13">
      <c r="M171" s="399"/>
    </row>
    <row r="172" spans="13:13">
      <c r="M172" s="399"/>
    </row>
    <row r="173" spans="13:13">
      <c r="M173" s="399"/>
    </row>
    <row r="174" spans="13:13">
      <c r="M174" s="399"/>
    </row>
    <row r="175" spans="13:13">
      <c r="M175" s="399"/>
    </row>
    <row r="176" spans="13:13">
      <c r="M176" s="399"/>
    </row>
    <row r="177" spans="13:13">
      <c r="M177" s="399"/>
    </row>
    <row r="178" spans="13:13">
      <c r="M178" s="399"/>
    </row>
    <row r="179" spans="13:13">
      <c r="M179" s="399"/>
    </row>
    <row r="180" spans="13:13">
      <c r="M180" s="399"/>
    </row>
    <row r="181" spans="13:13">
      <c r="M181" s="399"/>
    </row>
    <row r="182" spans="13:13">
      <c r="M182" s="399"/>
    </row>
    <row r="183" spans="13:13">
      <c r="M183" s="399"/>
    </row>
    <row r="184" spans="13:13">
      <c r="M184" s="399"/>
    </row>
    <row r="185" spans="13:13">
      <c r="M185" s="399"/>
    </row>
    <row r="186" spans="13:13">
      <c r="M186" s="399"/>
    </row>
    <row r="187" spans="13:13">
      <c r="M187" s="399"/>
    </row>
    <row r="188" spans="13:13">
      <c r="M188" s="399"/>
    </row>
    <row r="189" spans="13:13">
      <c r="M189" s="399"/>
    </row>
    <row r="190" spans="13:13">
      <c r="M190" s="399"/>
    </row>
    <row r="191" spans="13:13">
      <c r="M191" s="399"/>
    </row>
    <row r="192" spans="13:13">
      <c r="M192" s="399"/>
    </row>
    <row r="193" spans="13:13">
      <c r="M193" s="399"/>
    </row>
    <row r="194" spans="13:13">
      <c r="M194" s="399"/>
    </row>
    <row r="195" spans="13:13">
      <c r="M195" s="399"/>
    </row>
    <row r="196" spans="13:13">
      <c r="M196" s="399"/>
    </row>
    <row r="197" spans="13:13">
      <c r="M197" s="399"/>
    </row>
    <row r="198" spans="13:13">
      <c r="M198" s="399"/>
    </row>
    <row r="199" spans="13:13">
      <c r="M199" s="399"/>
    </row>
    <row r="200" spans="13:13">
      <c r="M200" s="399"/>
    </row>
    <row r="201" spans="13:13">
      <c r="M201" s="399"/>
    </row>
    <row r="202" spans="13:13">
      <c r="M202" s="399"/>
    </row>
    <row r="203" spans="13:13">
      <c r="M203" s="399"/>
    </row>
    <row r="204" spans="13:13">
      <c r="M204" s="399"/>
    </row>
    <row r="205" spans="13:13">
      <c r="M205" s="399"/>
    </row>
    <row r="206" spans="13:13">
      <c r="M206" s="399"/>
    </row>
    <row r="207" spans="13:13">
      <c r="M207" s="399"/>
    </row>
    <row r="208" spans="13:13">
      <c r="M208" s="399"/>
    </row>
    <row r="209" spans="13:13">
      <c r="M209" s="399"/>
    </row>
    <row r="210" spans="13:13">
      <c r="M210" s="399"/>
    </row>
    <row r="211" spans="13:13">
      <c r="M211" s="399"/>
    </row>
    <row r="212" spans="13:13">
      <c r="M212" s="399"/>
    </row>
    <row r="213" spans="13:13">
      <c r="M213" s="399"/>
    </row>
    <row r="214" spans="13:13">
      <c r="M214" s="399"/>
    </row>
    <row r="215" spans="13:13">
      <c r="M215" s="399"/>
    </row>
    <row r="216" spans="13:13">
      <c r="M216" s="399"/>
    </row>
    <row r="217" spans="13:13">
      <c r="M217" s="399"/>
    </row>
    <row r="218" spans="13:13">
      <c r="M218" s="399"/>
    </row>
    <row r="219" spans="13:13">
      <c r="M219" s="399"/>
    </row>
    <row r="220" spans="13:13">
      <c r="M220" s="399"/>
    </row>
    <row r="221" spans="13:13">
      <c r="M221" s="399"/>
    </row>
    <row r="222" spans="13:13">
      <c r="M222" s="399"/>
    </row>
    <row r="223" spans="13:13">
      <c r="M223" s="399"/>
    </row>
    <row r="224" spans="13:13">
      <c r="M224" s="399"/>
    </row>
    <row r="225" spans="13:13">
      <c r="M225" s="399"/>
    </row>
    <row r="226" spans="13:13">
      <c r="M226" s="399"/>
    </row>
    <row r="227" spans="13:13">
      <c r="M227" s="399"/>
    </row>
    <row r="228" spans="13:13">
      <c r="M228" s="399"/>
    </row>
    <row r="229" spans="13:13">
      <c r="M229" s="399"/>
    </row>
    <row r="230" spans="13:13">
      <c r="M230" s="399"/>
    </row>
    <row r="231" spans="13:13">
      <c r="M231" s="399"/>
    </row>
    <row r="232" spans="13:13">
      <c r="M232" s="399"/>
    </row>
    <row r="233" spans="13:13">
      <c r="M233" s="399"/>
    </row>
    <row r="234" spans="13:13">
      <c r="M234" s="399"/>
    </row>
    <row r="235" spans="13:13">
      <c r="M235" s="399"/>
    </row>
    <row r="236" spans="13:13">
      <c r="M236" s="399"/>
    </row>
    <row r="237" spans="13:13">
      <c r="M237" s="399"/>
    </row>
    <row r="238" spans="13:13">
      <c r="M238" s="399"/>
    </row>
    <row r="239" spans="13:13">
      <c r="M239" s="399"/>
    </row>
    <row r="240" spans="13:13">
      <c r="M240" s="399"/>
    </row>
    <row r="241" spans="13:13">
      <c r="M241" s="399"/>
    </row>
    <row r="242" spans="13:13">
      <c r="M242" s="399"/>
    </row>
    <row r="243" spans="13:13">
      <c r="M243" s="399"/>
    </row>
    <row r="244" spans="13:13">
      <c r="M244" s="399"/>
    </row>
    <row r="245" spans="13:13">
      <c r="M245" s="399"/>
    </row>
    <row r="246" spans="13:13">
      <c r="M246" s="399"/>
    </row>
    <row r="247" spans="13:13">
      <c r="M247" s="399"/>
    </row>
    <row r="248" spans="13:13">
      <c r="M248" s="399"/>
    </row>
    <row r="249" spans="13:13">
      <c r="M249" s="399"/>
    </row>
    <row r="250" spans="13:13">
      <c r="M250" s="399"/>
    </row>
    <row r="251" spans="13:13">
      <c r="M251" s="399"/>
    </row>
    <row r="252" spans="13:13">
      <c r="M252" s="399"/>
    </row>
  </sheetData>
  <mergeCells count="3">
    <mergeCell ref="E9:I9"/>
    <mergeCell ref="C113:F113"/>
    <mergeCell ref="L49:L50"/>
  </mergeCells>
  <pageMargins left="0.7" right="0.7" top="0.75" bottom="0.75" header="0.3" footer="0.3"/>
  <pageSetup scale="53" orientation="landscape" cellComments="asDisplayed" r:id="rId1"/>
  <headerFooter>
    <oddHeader xml:space="preserve">&amp;CSchedule 33
Retail Transmission Rates
</oddHeader>
    <oddFooter>&amp;R&amp;A</oddFooter>
  </headerFooter>
  <rowBreaks count="4" manualBreakCount="4">
    <brk id="40" max="16383" man="1"/>
    <brk id="86" max="16383" man="1"/>
    <brk id="183" max="16383" man="1"/>
    <brk id="2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CC"/>
  </sheetPr>
  <dimension ref="A1:N198"/>
  <sheetViews>
    <sheetView topLeftCell="B1" zoomScaleNormal="100" workbookViewId="0">
      <selection activeCell="L41" sqref="L41"/>
    </sheetView>
  </sheetViews>
  <sheetFormatPr defaultRowHeight="12.5"/>
  <cols>
    <col min="1" max="1" width="4.54296875" customWidth="1"/>
    <col min="2" max="2" width="7.90625" customWidth="1"/>
    <col min="4" max="4" width="10.453125" customWidth="1"/>
    <col min="6" max="6" width="11.90625" customWidth="1"/>
    <col min="7" max="7" width="13.54296875" customWidth="1"/>
    <col min="8" max="8" width="22.90625" customWidth="1"/>
    <col min="9" max="9" width="29.453125" customWidth="1"/>
    <col min="10" max="10" width="2.54296875" customWidth="1"/>
    <col min="11" max="11" width="23.08984375" customWidth="1"/>
    <col min="12" max="12" width="2.54296875" customWidth="1"/>
    <col min="13" max="13" width="15" bestFit="1" customWidth="1"/>
    <col min="14" max="14" width="19.08984375" bestFit="1" customWidth="1"/>
  </cols>
  <sheetData>
    <row r="1" spans="1:11" ht="13">
      <c r="A1" s="1" t="s">
        <v>98</v>
      </c>
    </row>
    <row r="2" spans="1:11">
      <c r="I2" s="54" t="s">
        <v>99</v>
      </c>
      <c r="J2" s="54"/>
    </row>
    <row r="3" spans="1:11" ht="13">
      <c r="A3" s="1" t="s">
        <v>100</v>
      </c>
      <c r="K3" s="2"/>
    </row>
    <row r="4" spans="1:11" ht="13">
      <c r="H4" s="2"/>
      <c r="I4" s="2" t="s">
        <v>101</v>
      </c>
      <c r="K4" s="126"/>
    </row>
    <row r="5" spans="1:11" ht="13">
      <c r="A5" s="32" t="s">
        <v>102</v>
      </c>
      <c r="H5" s="3" t="s">
        <v>103</v>
      </c>
      <c r="I5" s="3" t="s">
        <v>104</v>
      </c>
      <c r="K5" s="3" t="s">
        <v>105</v>
      </c>
    </row>
    <row r="7" spans="1:11" ht="13">
      <c r="A7" s="9" t="s">
        <v>106</v>
      </c>
      <c r="B7" s="10"/>
      <c r="C7" s="10"/>
      <c r="D7" s="10"/>
      <c r="E7" s="10"/>
      <c r="F7" s="10"/>
      <c r="G7" s="10"/>
      <c r="H7" s="8"/>
      <c r="I7" s="8"/>
      <c r="J7" s="8"/>
      <c r="K7" s="8"/>
    </row>
    <row r="9" spans="1:11" ht="13">
      <c r="A9" s="2">
        <v>1</v>
      </c>
      <c r="B9" s="276" t="s">
        <v>107</v>
      </c>
      <c r="I9" s="233" t="str">
        <f>"6-PlantInService, Line "&amp;'6-PlantInService'!A65&amp;""</f>
        <v>6-PlantInService, Line 19</v>
      </c>
      <c r="K9" s="6" t="e">
        <f>'6-PlantInService'!D65</f>
        <v>#DIV/0!</v>
      </c>
    </row>
    <row r="10" spans="1:11" ht="13">
      <c r="A10" s="2">
        <f>A9+1</f>
        <v>2</v>
      </c>
      <c r="B10" s="276" t="s">
        <v>108</v>
      </c>
      <c r="I10" s="233" t="str">
        <f>"6-PlantInService, Line "&amp;'6-PlantInService'!A85&amp;""</f>
        <v>6-PlantInService, Line 27</v>
      </c>
      <c r="K10" s="6" t="e">
        <f>'6-PlantInService'!F85</f>
        <v>#DIV/0!</v>
      </c>
    </row>
    <row r="11" spans="1:11" ht="13">
      <c r="A11" s="2">
        <f>A10+1</f>
        <v>3</v>
      </c>
      <c r="B11" s="276" t="s">
        <v>109</v>
      </c>
      <c r="I11" s="233" t="str">
        <f>"11-PHFU, Line "&amp;'11-PHFU'!A39&amp;""</f>
        <v>11-PHFU, Line 8</v>
      </c>
      <c r="K11" s="6" t="e">
        <f>'11-PHFU'!E39</f>
        <v>#DIV/0!</v>
      </c>
    </row>
    <row r="12" spans="1:11" ht="13">
      <c r="A12" s="2">
        <f>A11+1</f>
        <v>4</v>
      </c>
      <c r="B12" s="276" t="s">
        <v>110</v>
      </c>
      <c r="I12" s="233" t="str">
        <f>"12-AbandonedPlant, Line "&amp;'12-AbandonedPlant'!A20&amp;""</f>
        <v>12-AbandonedPlant, Line 3</v>
      </c>
      <c r="K12" s="6">
        <f>'12-AbandonedPlant'!G20</f>
        <v>0</v>
      </c>
    </row>
    <row r="13" spans="1:11" ht="13">
      <c r="A13" s="2"/>
      <c r="B13" s="276"/>
      <c r="K13" s="6"/>
    </row>
    <row r="14" spans="1:11" ht="13">
      <c r="A14" s="2"/>
      <c r="B14" s="28" t="s">
        <v>111</v>
      </c>
      <c r="K14" s="6"/>
    </row>
    <row r="15" spans="1:11" ht="13">
      <c r="A15" s="2">
        <f>A12+1</f>
        <v>5</v>
      </c>
      <c r="B15" s="232" t="s">
        <v>112</v>
      </c>
      <c r="I15" s="233" t="str">
        <f>"13-WorkCap, Line "&amp;'13-WorkCap'!A26&amp;""</f>
        <v>13-WorkCap, Line 16</v>
      </c>
      <c r="K15" s="6" t="e">
        <f>'13-WorkCap'!F26</f>
        <v>#DIV/0!</v>
      </c>
    </row>
    <row r="16" spans="1:11" ht="13">
      <c r="A16" s="2">
        <f>A15+1</f>
        <v>6</v>
      </c>
      <c r="B16" s="12" t="s">
        <v>113</v>
      </c>
      <c r="I16" s="233" t="str">
        <f>"13-WorkCap, Line "&amp;'13-WorkCap'!A55&amp;""</f>
        <v>13-WorkCap, Line 36</v>
      </c>
      <c r="K16" s="6" t="e">
        <f>'13-WorkCap'!F55</f>
        <v>#DIV/0!</v>
      </c>
    </row>
    <row r="17" spans="1:11" ht="13">
      <c r="A17" s="2">
        <f>A16+1</f>
        <v>7</v>
      </c>
      <c r="B17" s="232" t="s">
        <v>114</v>
      </c>
      <c r="I17" s="233" t="str">
        <f>"(Line "&amp;A126&amp;" + Line "&amp;A127&amp;") / 8"</f>
        <v>(Line 66 + Line 67) / 8</v>
      </c>
      <c r="K17" s="53" t="e">
        <f>(K126+K127)/8</f>
        <v>#DIV/0!</v>
      </c>
    </row>
    <row r="18" spans="1:11" ht="13">
      <c r="A18" s="2">
        <f>A17+1</f>
        <v>8</v>
      </c>
      <c r="B18" s="232" t="s">
        <v>115</v>
      </c>
      <c r="I18" s="233" t="str">
        <f>"Line "&amp;A15&amp;" + Line "&amp;A16&amp;" + Line "&amp;A17&amp;""</f>
        <v>Line 5 + Line 6 + Line 7</v>
      </c>
      <c r="K18" s="6" t="e">
        <f>SUM(K15:K17)</f>
        <v>#DIV/0!</v>
      </c>
    </row>
    <row r="19" spans="1:11" ht="13">
      <c r="A19" s="2"/>
      <c r="B19" s="232"/>
      <c r="K19" s="6"/>
    </row>
    <row r="20" spans="1:11" ht="13">
      <c r="A20" s="2"/>
      <c r="B20" s="44" t="s">
        <v>116</v>
      </c>
      <c r="K20" s="6"/>
    </row>
    <row r="21" spans="1:11" ht="13">
      <c r="A21" s="2">
        <f>A18+1</f>
        <v>9</v>
      </c>
      <c r="B21" s="232" t="s">
        <v>117</v>
      </c>
      <c r="H21" t="s">
        <v>118</v>
      </c>
      <c r="I21" s="615" t="s">
        <v>3035</v>
      </c>
      <c r="K21" s="6" t="e">
        <f>-'8-AccDep'!J46</f>
        <v>#DIV/0!</v>
      </c>
    </row>
    <row r="22" spans="1:11" ht="13">
      <c r="A22" s="2">
        <f>A21+1</f>
        <v>10</v>
      </c>
      <c r="B22" s="232" t="s">
        <v>119</v>
      </c>
      <c r="H22" t="s">
        <v>118</v>
      </c>
      <c r="I22" s="233" t="str">
        <f>"8-AccDep, Line "&amp;'8-AccDep'!A74&amp;", Col. 5"</f>
        <v>8-AccDep, Line 16, Col. 5</v>
      </c>
      <c r="K22" s="6">
        <f>-'8-AccDep'!G74</f>
        <v>0</v>
      </c>
    </row>
    <row r="23" spans="1:11" ht="13">
      <c r="A23" s="2">
        <f>A22+1</f>
        <v>11</v>
      </c>
      <c r="B23" s="232" t="s">
        <v>120</v>
      </c>
      <c r="C23" s="15"/>
      <c r="H23" t="s">
        <v>118</v>
      </c>
      <c r="I23" s="233" t="str">
        <f>"8-AccDep, Line "&amp;'8-AccDep'!A100&amp;""</f>
        <v>8-AccDep, Line 26</v>
      </c>
      <c r="K23" s="53" t="e">
        <f>-'8-AccDep'!F100</f>
        <v>#DIV/0!</v>
      </c>
    </row>
    <row r="24" spans="1:11" ht="13">
      <c r="A24" s="2">
        <f>A23+1</f>
        <v>12</v>
      </c>
      <c r="B24" s="45" t="s">
        <v>121</v>
      </c>
      <c r="C24" s="15"/>
      <c r="I24" s="233" t="str">
        <f>"Line "&amp;A21&amp;" + Line "&amp;A22&amp;" + Line "&amp;A23&amp;""</f>
        <v>Line 9 + Line 10 + Line 11</v>
      </c>
      <c r="K24" s="6" t="e">
        <f>SUM(K21:K23)</f>
        <v>#DIV/0!</v>
      </c>
    </row>
    <row r="25" spans="1:11">
      <c r="B25" s="233"/>
      <c r="K25" s="6"/>
    </row>
    <row r="26" spans="1:11" ht="13">
      <c r="A26" s="2">
        <f>A24+1</f>
        <v>13</v>
      </c>
      <c r="B26" s="276" t="s">
        <v>122</v>
      </c>
      <c r="I26" s="233" t="str">
        <f>"9-ADIT-1, Line "&amp;'9-ADIT-1'!A14&amp;", Col. 2"</f>
        <v>9-ADIT-1, Line 5, Col. 2</v>
      </c>
      <c r="K26" s="6" t="e">
        <f>'9-ADIT-1'!D14</f>
        <v>#DIV/0!</v>
      </c>
    </row>
    <row r="27" spans="1:11" ht="13">
      <c r="A27" s="2"/>
      <c r="B27" s="38"/>
    </row>
    <row r="28" spans="1:11" ht="13">
      <c r="A28" s="2">
        <f>A26+1</f>
        <v>14</v>
      </c>
      <c r="B28" s="276" t="s">
        <v>123</v>
      </c>
      <c r="I28" s="233" t="str">
        <f>"14-IncentivePlant, L "&amp;'14-IncentivePlant'!A40&amp;", Col 1"</f>
        <v>14-IncentivePlant, L 15, Col 1</v>
      </c>
      <c r="K28" s="6">
        <f>'14-IncentivePlant'!E40</f>
        <v>0</v>
      </c>
    </row>
    <row r="29" spans="1:11" ht="13">
      <c r="A29" s="2"/>
      <c r="B29" s="276"/>
      <c r="K29" s="6"/>
    </row>
    <row r="30" spans="1:11" ht="13">
      <c r="A30" s="2">
        <f>A28+1</f>
        <v>15</v>
      </c>
      <c r="B30" s="276" t="s">
        <v>124</v>
      </c>
      <c r="I30" s="233" t="str">
        <f>"23-RegAssets, Line "&amp;'23-RegAssets'!A17&amp;""</f>
        <v>23-RegAssets, Line 14</v>
      </c>
      <c r="K30" s="6">
        <f>'23-RegAssets'!E17</f>
        <v>0</v>
      </c>
    </row>
    <row r="31" spans="1:11" ht="13">
      <c r="A31" s="2">
        <f t="shared" ref="A31:A32" si="0">A30+1</f>
        <v>16</v>
      </c>
      <c r="B31" s="38" t="s">
        <v>74</v>
      </c>
      <c r="I31" s="233" t="str">
        <f>"34-UnfundedReserves, Line "&amp;'34-UnfundedReserves'!A9&amp;""</f>
        <v>34-UnfundedReserves, Line 6</v>
      </c>
      <c r="K31" s="6" t="e">
        <f>'34-UnfundedReserves'!K9</f>
        <v>#DIV/0!</v>
      </c>
    </row>
    <row r="32" spans="1:11" ht="13">
      <c r="A32" s="2">
        <f t="shared" si="0"/>
        <v>17</v>
      </c>
      <c r="B32" s="38" t="s">
        <v>125</v>
      </c>
      <c r="H32" t="s">
        <v>118</v>
      </c>
      <c r="I32" s="233" t="str">
        <f>"22-NUCs, Line "&amp;'22-NUCs'!A11&amp;""</f>
        <v>22-NUCs, Line 4</v>
      </c>
      <c r="K32" s="6">
        <f>-'22-NUCs'!E11</f>
        <v>0</v>
      </c>
    </row>
    <row r="33" spans="1:11" ht="13">
      <c r="A33" s="2"/>
      <c r="B33" s="38"/>
    </row>
    <row r="34" spans="1:11" ht="13">
      <c r="A34" s="2">
        <f>A32+1</f>
        <v>18</v>
      </c>
      <c r="B34" t="s">
        <v>126</v>
      </c>
      <c r="I34" s="233" t="str">
        <f>"L"&amp;A9&amp;" + L"&amp;A10&amp;" + L"&amp;A11&amp;" + L"&amp;A12&amp;" + L"&amp;A18&amp;" + L"&amp;A24&amp;" +"</f>
        <v>L1 + L2 + L3 + L4 + L8 + L12 +</v>
      </c>
      <c r="K34" s="6" t="e">
        <f>K9+K10+K11+K12+K18+K24+K26+K28+K30+K31+K32</f>
        <v>#DIV/0!</v>
      </c>
    </row>
    <row r="35" spans="1:11" ht="13">
      <c r="A35" s="2"/>
      <c r="I35" s="276" t="str">
        <f>"L"&amp;A26&amp;" + L"&amp;A28&amp;"+ L"&amp;A30&amp;"+ L"&amp;A31&amp;" + L"&amp;A32&amp;""</f>
        <v>L13 + L14+ L15+ L16 + L17</v>
      </c>
      <c r="K35" s="6"/>
    </row>
    <row r="37" spans="1:11" ht="13">
      <c r="A37" s="9" t="s">
        <v>127</v>
      </c>
      <c r="B37" s="10"/>
      <c r="C37" s="10"/>
      <c r="D37" s="10"/>
      <c r="E37" s="10"/>
      <c r="F37" s="10"/>
      <c r="G37" s="10"/>
      <c r="H37" s="8"/>
      <c r="I37" s="8"/>
      <c r="J37" s="8"/>
      <c r="K37" s="8"/>
    </row>
    <row r="39" spans="1:11" ht="13">
      <c r="A39" s="2">
        <f>A34+1</f>
        <v>19</v>
      </c>
      <c r="B39" s="233" t="s">
        <v>128</v>
      </c>
      <c r="I39" s="233" t="s">
        <v>129</v>
      </c>
      <c r="J39" s="233"/>
      <c r="K39" s="235">
        <f>H178</f>
        <v>0</v>
      </c>
    </row>
    <row r="40" spans="1:11" ht="13">
      <c r="A40" s="2">
        <f>A39+1</f>
        <v>20</v>
      </c>
      <c r="B40" s="12" t="s">
        <v>130</v>
      </c>
      <c r="I40" s="233" t="str">
        <f>"27-Allocators, Line "&amp;'27-Allocators'!A28&amp;""</f>
        <v>27-Allocators, Line 22</v>
      </c>
      <c r="K40" s="7" t="e">
        <f>'27-Allocators'!G28</f>
        <v>#DIV/0!</v>
      </c>
    </row>
    <row r="41" spans="1:11" ht="13">
      <c r="A41" s="2">
        <f>A40+1</f>
        <v>21</v>
      </c>
      <c r="B41" t="s">
        <v>131</v>
      </c>
      <c r="I41" s="233" t="str">
        <f>"Line "&amp;A39&amp;" * Line "&amp;A40&amp;""</f>
        <v>Line 19 * Line 20</v>
      </c>
      <c r="K41" s="235" t="e">
        <f>K39*K40</f>
        <v>#DIV/0!</v>
      </c>
    </row>
    <row r="42" spans="1:11" ht="13">
      <c r="A42" s="2" t="s">
        <v>132</v>
      </c>
      <c r="H42" s="233"/>
      <c r="K42" s="7"/>
    </row>
    <row r="43" spans="1:11" ht="13">
      <c r="A43" s="2">
        <f>A41+1</f>
        <v>22</v>
      </c>
      <c r="B43" s="233" t="s">
        <v>133</v>
      </c>
      <c r="K43" s="7"/>
    </row>
    <row r="44" spans="1:11" ht="13">
      <c r="A44" s="2">
        <f t="shared" ref="A44:A56" si="1">A43+1</f>
        <v>23</v>
      </c>
      <c r="B44" s="12" t="s">
        <v>134</v>
      </c>
      <c r="E44" s="1"/>
      <c r="F44" s="1"/>
      <c r="G44" s="1"/>
      <c r="I44" s="233" t="str">
        <f>"Line "&amp;A45&amp;" + Line "&amp;A46&amp;"+ Line "&amp;A47&amp;""</f>
        <v>Line 24 + Line 25+ Line 26</v>
      </c>
      <c r="K44" s="6">
        <f>SUM(K45:K47)</f>
        <v>0</v>
      </c>
    </row>
    <row r="45" spans="1:11" ht="13">
      <c r="A45" s="2">
        <f t="shared" si="1"/>
        <v>24</v>
      </c>
      <c r="B45" s="188" t="s">
        <v>135</v>
      </c>
      <c r="E45" s="1"/>
      <c r="F45" s="1"/>
      <c r="G45" s="1"/>
      <c r="I45" s="233" t="s">
        <v>129</v>
      </c>
      <c r="J45" s="233"/>
      <c r="K45" s="235">
        <f t="shared" ref="K45:K51" si="2">H179</f>
        <v>0</v>
      </c>
    </row>
    <row r="46" spans="1:11" ht="13">
      <c r="A46" s="2">
        <f t="shared" si="1"/>
        <v>25</v>
      </c>
      <c r="B46" s="188" t="s">
        <v>136</v>
      </c>
      <c r="E46" s="1"/>
      <c r="F46" s="1"/>
      <c r="G46" s="1"/>
      <c r="I46" s="233" t="s">
        <v>129</v>
      </c>
      <c r="J46" s="233"/>
      <c r="K46" s="235">
        <f>H180</f>
        <v>0</v>
      </c>
    </row>
    <row r="47" spans="1:11" ht="13">
      <c r="A47" s="2">
        <f t="shared" si="1"/>
        <v>26</v>
      </c>
      <c r="B47" s="188" t="s">
        <v>137</v>
      </c>
      <c r="E47" s="1"/>
      <c r="F47" s="1"/>
      <c r="G47" s="1"/>
      <c r="I47" s="233" t="s">
        <v>129</v>
      </c>
      <c r="J47" s="233"/>
      <c r="K47" s="235">
        <f>H181</f>
        <v>0</v>
      </c>
    </row>
    <row r="48" spans="1:11" ht="13">
      <c r="A48" s="2">
        <f t="shared" si="1"/>
        <v>27</v>
      </c>
      <c r="B48" s="232" t="s">
        <v>138</v>
      </c>
      <c r="I48" s="233" t="s">
        <v>129</v>
      </c>
      <c r="J48" s="233"/>
      <c r="K48" s="235">
        <f t="shared" si="2"/>
        <v>0</v>
      </c>
    </row>
    <row r="49" spans="1:11" ht="13">
      <c r="A49" s="2">
        <f t="shared" si="1"/>
        <v>28</v>
      </c>
      <c r="B49" s="12" t="s">
        <v>139</v>
      </c>
      <c r="I49" s="233" t="s">
        <v>129</v>
      </c>
      <c r="J49" s="233"/>
      <c r="K49" s="235">
        <f t="shared" si="2"/>
        <v>0</v>
      </c>
    </row>
    <row r="50" spans="1:11" ht="13">
      <c r="A50" s="2">
        <f t="shared" si="1"/>
        <v>29</v>
      </c>
      <c r="B50" s="12" t="s">
        <v>140</v>
      </c>
      <c r="I50" s="233" t="s">
        <v>129</v>
      </c>
      <c r="J50" s="233"/>
      <c r="K50" s="235">
        <f t="shared" si="2"/>
        <v>0</v>
      </c>
    </row>
    <row r="51" spans="1:11" ht="13">
      <c r="A51" s="2">
        <f t="shared" si="1"/>
        <v>30</v>
      </c>
      <c r="B51" s="12" t="s">
        <v>141</v>
      </c>
      <c r="I51" s="233" t="s">
        <v>129</v>
      </c>
      <c r="J51" s="233"/>
      <c r="K51" s="235">
        <f t="shared" si="2"/>
        <v>0</v>
      </c>
    </row>
    <row r="52" spans="1:11" ht="13">
      <c r="A52" s="2">
        <f t="shared" si="1"/>
        <v>31</v>
      </c>
      <c r="B52" t="s">
        <v>142</v>
      </c>
      <c r="I52" s="233" t="str">
        <f>"Line "&amp;A44&amp;" + (Line "&amp;A48&amp;" to Line "&amp;A51&amp;")"</f>
        <v>Line 23 + (Line 27 to Line 30)</v>
      </c>
      <c r="K52" s="6">
        <f>K44+K48+K49+K50+K51</f>
        <v>0</v>
      </c>
    </row>
    <row r="53" spans="1:11" ht="13">
      <c r="A53" s="2">
        <f t="shared" si="1"/>
        <v>32</v>
      </c>
      <c r="B53" s="233" t="s">
        <v>143</v>
      </c>
      <c r="H53" s="233"/>
      <c r="I53" s="233" t="str">
        <f>"26-TaxRates, Line "&amp;'26-TaxRates'!A22&amp;""</f>
        <v>26-TaxRates, Line 16</v>
      </c>
      <c r="K53" s="114">
        <f>'26-TaxRates'!F22</f>
        <v>0</v>
      </c>
    </row>
    <row r="54" spans="1:11" ht="13">
      <c r="A54" s="2">
        <f t="shared" si="1"/>
        <v>33</v>
      </c>
      <c r="B54" t="s">
        <v>144</v>
      </c>
      <c r="I54" s="233" t="str">
        <f>"Line "&amp;A52&amp;" - Line "&amp;A53&amp;""</f>
        <v>Line 31 - Line 32</v>
      </c>
      <c r="K54" s="6">
        <f>K52-K53</f>
        <v>0</v>
      </c>
    </row>
    <row r="55" spans="1:11" ht="13">
      <c r="A55" s="2">
        <f>A54+1</f>
        <v>34</v>
      </c>
      <c r="B55" s="232" t="s">
        <v>145</v>
      </c>
      <c r="I55" s="233" t="str">
        <f>"27-Allocators, Line "&amp;'27-Allocators'!A15&amp;""</f>
        <v>27-Allocators, Line 9</v>
      </c>
      <c r="K55" s="7" t="e">
        <f>'27-Allocators'!G15</f>
        <v>#DIV/0!</v>
      </c>
    </row>
    <row r="56" spans="1:11" ht="13">
      <c r="A56" s="2">
        <f t="shared" si="1"/>
        <v>35</v>
      </c>
      <c r="B56" s="276" t="s">
        <v>133</v>
      </c>
      <c r="I56" s="233" t="str">
        <f>"Line "&amp;A54&amp;" * Line "&amp;A55&amp;""</f>
        <v>Line 33 * Line 34</v>
      </c>
      <c r="K56" s="235" t="e">
        <f>K54*K55</f>
        <v>#DIV/0!</v>
      </c>
    </row>
    <row r="57" spans="1:11" ht="13">
      <c r="A57" s="2"/>
      <c r="K57" s="6"/>
    </row>
    <row r="58" spans="1:11" ht="13">
      <c r="A58" s="2">
        <f>A56+1</f>
        <v>36</v>
      </c>
      <c r="B58" s="233" t="s">
        <v>146</v>
      </c>
      <c r="H58" s="233" t="s">
        <v>147</v>
      </c>
      <c r="I58" s="233" t="str">
        <f>"Line "&amp;A41&amp;" + Line "&amp;A56&amp;""</f>
        <v>Line 21 + Line 35</v>
      </c>
      <c r="K58" s="6" t="e">
        <f>K41+K56</f>
        <v>#DIV/0!</v>
      </c>
    </row>
    <row r="60" spans="1:11" ht="13">
      <c r="A60" s="9" t="s">
        <v>148</v>
      </c>
      <c r="B60" s="10"/>
      <c r="C60" s="10"/>
      <c r="D60" s="10"/>
      <c r="E60" s="10"/>
      <c r="F60" s="10"/>
      <c r="G60" s="10"/>
      <c r="H60" s="8"/>
      <c r="I60" s="8"/>
      <c r="J60" s="8"/>
      <c r="K60" s="8"/>
    </row>
    <row r="61" spans="1:11" ht="13">
      <c r="A61" s="1"/>
      <c r="B61" s="233"/>
      <c r="C61" s="233"/>
      <c r="D61" s="233"/>
      <c r="E61" s="233"/>
      <c r="F61" s="233"/>
      <c r="G61" s="233"/>
      <c r="H61" s="233"/>
      <c r="I61" s="233"/>
      <c r="J61" s="233"/>
      <c r="K61" s="233"/>
    </row>
    <row r="62" spans="1:11">
      <c r="A62" s="234"/>
      <c r="B62" s="28" t="s">
        <v>149</v>
      </c>
      <c r="C62" s="233"/>
      <c r="D62" s="233"/>
      <c r="E62" s="233"/>
      <c r="F62" s="233"/>
      <c r="G62" s="233"/>
      <c r="H62" s="233"/>
      <c r="I62" s="233"/>
      <c r="J62" s="233"/>
      <c r="K62" s="233"/>
    </row>
    <row r="63" spans="1:11" ht="13">
      <c r="A63" s="2">
        <f>A58+1</f>
        <v>37</v>
      </c>
      <c r="B63" s="233" t="s">
        <v>150</v>
      </c>
      <c r="C63" s="233"/>
      <c r="D63" s="233"/>
      <c r="E63" s="233"/>
      <c r="F63" s="233"/>
      <c r="G63" s="233"/>
      <c r="H63" s="233"/>
      <c r="I63" s="233" t="str">
        <f>"5-ROR-1, Line "&amp;'5-ROR-1'!A12&amp;""</f>
        <v>5-ROR-1, Line 4</v>
      </c>
      <c r="J63" s="233"/>
      <c r="K63" s="235">
        <f>'5-ROR-1'!L12</f>
        <v>0</v>
      </c>
    </row>
    <row r="64" spans="1:11" ht="13">
      <c r="A64" s="2">
        <f>A63+1</f>
        <v>38</v>
      </c>
      <c r="B64" s="233" t="s">
        <v>151</v>
      </c>
      <c r="C64" s="233"/>
      <c r="D64" s="233"/>
      <c r="E64" s="233"/>
      <c r="F64" s="233"/>
      <c r="G64" s="233"/>
      <c r="H64" s="233"/>
      <c r="I64" s="233" t="str">
        <f>"5-ROR-1, Line "&amp;'5-ROR-1'!A21&amp;""</f>
        <v>5-ROR-1, Line 11</v>
      </c>
      <c r="J64" s="233"/>
      <c r="K64" s="235">
        <f>'5-ROR-1'!L21</f>
        <v>0</v>
      </c>
    </row>
    <row r="65" spans="1:11" ht="13">
      <c r="A65" s="2">
        <f>A64+1</f>
        <v>39</v>
      </c>
      <c r="B65" s="233" t="s">
        <v>152</v>
      </c>
      <c r="C65" s="233"/>
      <c r="D65" s="233"/>
      <c r="E65" s="233"/>
      <c r="F65" s="233"/>
      <c r="G65" s="233"/>
      <c r="I65" s="233" t="str">
        <f>"5-ROR-1, Line "&amp;'5-ROR-1'!A23&amp;""</f>
        <v>5-ROR-1, Line 12</v>
      </c>
      <c r="J65" s="233"/>
      <c r="K65" s="203" t="e">
        <f>'5-ROR-1'!L23</f>
        <v>#DIV/0!</v>
      </c>
    </row>
    <row r="66" spans="1:11" ht="13">
      <c r="A66" s="2"/>
      <c r="B66" s="233"/>
      <c r="C66" s="233"/>
      <c r="D66" s="233"/>
      <c r="E66" s="233"/>
      <c r="F66" s="233"/>
      <c r="G66" s="233"/>
      <c r="I66" s="233"/>
      <c r="J66" s="233"/>
      <c r="K66" s="203"/>
    </row>
    <row r="67" spans="1:11" ht="13">
      <c r="A67" s="2"/>
      <c r="B67" s="28" t="s">
        <v>153</v>
      </c>
      <c r="C67" s="233"/>
      <c r="D67" s="233"/>
      <c r="E67" s="233"/>
      <c r="F67" s="233"/>
      <c r="G67" s="233"/>
      <c r="H67" s="233"/>
      <c r="I67" s="233"/>
      <c r="J67" s="233"/>
      <c r="K67" s="233"/>
    </row>
    <row r="68" spans="1:11" ht="13">
      <c r="A68" s="2">
        <f>A65+1</f>
        <v>40</v>
      </c>
      <c r="B68" s="233" t="s">
        <v>154</v>
      </c>
      <c r="C68" s="233"/>
      <c r="D68" s="233"/>
      <c r="E68" s="233"/>
      <c r="F68" s="233"/>
      <c r="G68" s="233"/>
      <c r="H68" s="233"/>
      <c r="I68" s="233" t="str">
        <f>"5-ROR-1, Line "&amp;'5-ROR-1'!A29&amp;""</f>
        <v>5-ROR-1, Line 16</v>
      </c>
      <c r="J68" s="233"/>
      <c r="K68" s="235">
        <f>'5-ROR-1'!L29</f>
        <v>0</v>
      </c>
    </row>
    <row r="69" spans="1:11" ht="13">
      <c r="A69" s="2">
        <f>A68+1</f>
        <v>41</v>
      </c>
      <c r="B69" s="233" t="s">
        <v>155</v>
      </c>
      <c r="C69" s="233"/>
      <c r="D69" s="233"/>
      <c r="E69" s="233"/>
      <c r="F69" s="233"/>
      <c r="G69" s="233"/>
      <c r="H69" s="233"/>
      <c r="I69" s="233" t="str">
        <f>"5-ROR-1, Line "&amp;'5-ROR-1'!A35&amp;""</f>
        <v>5-ROR-1, Line 20</v>
      </c>
      <c r="J69" s="233"/>
      <c r="K69" s="235">
        <f>'5-ROR-1'!L35</f>
        <v>0</v>
      </c>
    </row>
    <row r="70" spans="1:11" ht="13">
      <c r="A70" s="2">
        <f>A69+1</f>
        <v>42</v>
      </c>
      <c r="B70" s="233" t="s">
        <v>156</v>
      </c>
      <c r="C70" s="233"/>
      <c r="D70" s="233"/>
      <c r="E70" s="233"/>
      <c r="F70" s="233"/>
      <c r="G70" s="233"/>
      <c r="I70" s="233" t="str">
        <f>"5-ROR-1, Line "&amp;'5-ROR-1'!A37&amp;""</f>
        <v>5-ROR-1, Line 21</v>
      </c>
      <c r="J70" s="233"/>
      <c r="K70" s="203" t="e">
        <f>'5-ROR-1'!L37</f>
        <v>#DIV/0!</v>
      </c>
    </row>
    <row r="71" spans="1:11" ht="13">
      <c r="A71" s="2"/>
      <c r="B71" s="233"/>
      <c r="C71" s="233"/>
      <c r="D71" s="233"/>
      <c r="E71" s="233"/>
      <c r="F71" s="233"/>
      <c r="G71" s="233"/>
      <c r="I71" s="233"/>
      <c r="J71" s="233"/>
      <c r="K71" s="203"/>
    </row>
    <row r="72" spans="1:11" ht="13">
      <c r="A72" s="2"/>
      <c r="B72" s="28" t="s">
        <v>157</v>
      </c>
      <c r="C72" s="233"/>
      <c r="D72" s="233"/>
      <c r="E72" s="233"/>
      <c r="F72" s="233"/>
      <c r="G72" s="233"/>
      <c r="H72" s="233"/>
      <c r="I72" s="233"/>
      <c r="J72" s="233"/>
      <c r="K72" s="233"/>
    </row>
    <row r="73" spans="1:11" ht="13">
      <c r="A73" s="2">
        <f>A70+1</f>
        <v>43</v>
      </c>
      <c r="B73" s="233" t="s">
        <v>158</v>
      </c>
      <c r="C73" s="233"/>
      <c r="D73" s="233"/>
      <c r="E73" s="233"/>
      <c r="F73" s="233"/>
      <c r="G73" s="233"/>
      <c r="H73" s="233"/>
      <c r="I73" s="233" t="str">
        <f>"5-ROR-1, Line "&amp;'5-ROR-1'!A45&amp;""</f>
        <v>5-ROR-1, Line 27</v>
      </c>
      <c r="J73" s="233"/>
      <c r="K73" s="235">
        <f>'5-ROR-1'!L45</f>
        <v>0</v>
      </c>
    </row>
    <row r="74" spans="1:11" ht="13">
      <c r="A74" s="2"/>
      <c r="B74" s="233"/>
      <c r="C74" s="233"/>
      <c r="D74" s="233"/>
      <c r="E74" s="233"/>
      <c r="F74" s="233"/>
      <c r="G74" s="233"/>
      <c r="H74" s="233"/>
      <c r="I74" s="604"/>
      <c r="J74" s="233"/>
      <c r="K74" s="233"/>
    </row>
    <row r="75" spans="1:11" ht="13">
      <c r="A75" s="2">
        <f>A73+1</f>
        <v>44</v>
      </c>
      <c r="B75" s="233" t="s">
        <v>159</v>
      </c>
      <c r="C75" s="233"/>
      <c r="D75" s="233"/>
      <c r="E75" s="233"/>
      <c r="F75" s="233"/>
      <c r="G75" s="233"/>
      <c r="H75" s="233"/>
      <c r="I75" s="233" t="str">
        <f>"Line "&amp;A63&amp;" + Line "&amp;A68&amp;" + Line "&amp;A73&amp;""</f>
        <v>Line 37 + Line 40 + Line 43</v>
      </c>
      <c r="J75" s="233"/>
      <c r="K75" s="235">
        <f>K63+K68+K73</f>
        <v>0</v>
      </c>
    </row>
    <row r="76" spans="1:11" ht="13">
      <c r="A76" s="2"/>
      <c r="B76" s="233"/>
      <c r="C76" s="233"/>
      <c r="D76" s="233"/>
      <c r="E76" s="233"/>
      <c r="F76" s="233"/>
      <c r="G76" s="233"/>
      <c r="H76" s="233"/>
      <c r="I76" s="233"/>
      <c r="J76" s="233"/>
      <c r="K76" s="235"/>
    </row>
    <row r="77" spans="1:11" ht="13">
      <c r="A77" s="2" t="s">
        <v>160</v>
      </c>
      <c r="B77" s="233" t="s">
        <v>161</v>
      </c>
      <c r="C77" s="233"/>
      <c r="D77" s="233"/>
      <c r="E77" s="233"/>
      <c r="F77" s="233"/>
      <c r="G77" s="233"/>
      <c r="H77" s="233"/>
      <c r="I77" s="233"/>
      <c r="J77" s="233"/>
      <c r="K77" s="258">
        <v>0.47499999999999998</v>
      </c>
    </row>
    <row r="78" spans="1:11" ht="13">
      <c r="A78" s="2"/>
      <c r="B78" s="232"/>
      <c r="C78" s="233"/>
      <c r="D78" s="233"/>
      <c r="E78" s="233"/>
      <c r="F78" s="233"/>
      <c r="G78" s="233"/>
      <c r="I78" s="233"/>
      <c r="J78" s="233"/>
      <c r="K78" s="235"/>
    </row>
    <row r="79" spans="1:11" ht="13">
      <c r="A79" s="2"/>
      <c r="B79" s="28" t="s">
        <v>162</v>
      </c>
      <c r="C79" s="233"/>
      <c r="D79" s="233"/>
      <c r="E79" s="233"/>
      <c r="F79" s="233"/>
      <c r="G79" s="233"/>
      <c r="H79" s="233"/>
      <c r="I79" s="233"/>
      <c r="J79" s="233"/>
      <c r="K79" s="233"/>
    </row>
    <row r="80" spans="1:11" ht="13">
      <c r="A80" s="2">
        <f>A75+1</f>
        <v>45</v>
      </c>
      <c r="B80" s="233" t="s">
        <v>163</v>
      </c>
      <c r="C80" s="233"/>
      <c r="D80" s="233"/>
      <c r="E80" s="233"/>
      <c r="F80" s="233"/>
      <c r="G80" s="233"/>
      <c r="H80" s="233"/>
      <c r="I80" s="233" t="str">
        <f>"100% - (Line "&amp;A81&amp;" + Line "&amp;A82&amp;")"</f>
        <v>100% - (Line 46 + Line 47)</v>
      </c>
      <c r="J80" s="233"/>
      <c r="K80" s="203" t="e">
        <f>1-(K81+K82)</f>
        <v>#DIV/0!</v>
      </c>
    </row>
    <row r="81" spans="1:11" ht="13">
      <c r="A81" s="2">
        <f>A80+1</f>
        <v>46</v>
      </c>
      <c r="B81" s="233" t="s">
        <v>164</v>
      </c>
      <c r="C81" s="233"/>
      <c r="D81" s="233"/>
      <c r="E81" s="233"/>
      <c r="F81" s="233"/>
      <c r="G81" s="233"/>
      <c r="H81" s="233"/>
      <c r="I81" s="233" t="str">
        <f>"Line "&amp;A68&amp;" / Line "&amp;A75&amp;""</f>
        <v>Line 40 / Line 44</v>
      </c>
      <c r="J81" s="233"/>
      <c r="K81" s="203" t="e">
        <f>K68/K75</f>
        <v>#DIV/0!</v>
      </c>
    </row>
    <row r="82" spans="1:11" ht="13">
      <c r="A82" s="2">
        <f>A81+1</f>
        <v>47</v>
      </c>
      <c r="B82" s="233" t="s">
        <v>165</v>
      </c>
      <c r="C82" s="233"/>
      <c r="D82" s="233"/>
      <c r="E82" s="233"/>
      <c r="F82" s="233"/>
      <c r="G82" s="233"/>
      <c r="H82" s="233"/>
      <c r="I82" s="233" t="str">
        <f>"Max Line "&amp;A77&amp;" or (Line "&amp;A73&amp;" / Line "&amp;A75&amp;")"</f>
        <v>Max Line 44a or (Line 43 / Line 44)</v>
      </c>
      <c r="J82" s="233"/>
      <c r="K82" s="29" t="e">
        <f>MAX((K73/K75),K77)</f>
        <v>#DIV/0!</v>
      </c>
    </row>
    <row r="83" spans="1:11" ht="13">
      <c r="A83" s="2"/>
      <c r="B83" s="233"/>
      <c r="C83" s="233"/>
      <c r="D83" s="233"/>
      <c r="E83" s="233"/>
      <c r="F83" s="233"/>
      <c r="G83" s="233"/>
      <c r="H83" s="233"/>
      <c r="I83" s="233" t="str">
        <f>"Line "&amp;A80&amp;" + Line "&amp;A81&amp;"+ Line "&amp;A82&amp;""</f>
        <v>Line 45 + Line 46+ Line 47</v>
      </c>
      <c r="J83" s="233"/>
      <c r="K83" s="203" t="e">
        <f>SUM(K80:K82)</f>
        <v>#DIV/0!</v>
      </c>
    </row>
    <row r="84" spans="1:11" ht="13">
      <c r="A84" s="2"/>
      <c r="B84" s="28" t="s">
        <v>166</v>
      </c>
      <c r="C84" s="233"/>
      <c r="D84" s="233"/>
      <c r="E84" s="233"/>
      <c r="F84" s="233"/>
      <c r="G84" s="233"/>
      <c r="H84" s="233"/>
      <c r="I84" s="233"/>
      <c r="J84" s="233"/>
      <c r="K84" s="203"/>
    </row>
    <row r="85" spans="1:11" ht="13">
      <c r="A85" s="2">
        <f>A82+1</f>
        <v>48</v>
      </c>
      <c r="B85" s="233" t="s">
        <v>152</v>
      </c>
      <c r="C85" s="233"/>
      <c r="D85" s="233"/>
      <c r="E85" s="233"/>
      <c r="F85" s="233"/>
      <c r="G85" s="233"/>
      <c r="I85" s="233" t="str">
        <f>"Line "&amp;A65&amp;""</f>
        <v>Line 39</v>
      </c>
      <c r="J85" s="233"/>
      <c r="K85" s="203" t="e">
        <f>K65</f>
        <v>#DIV/0!</v>
      </c>
    </row>
    <row r="86" spans="1:11" ht="13">
      <c r="A86" s="2">
        <f>A85+1</f>
        <v>49</v>
      </c>
      <c r="B86" s="233" t="s">
        <v>156</v>
      </c>
      <c r="C86" s="233"/>
      <c r="D86" s="233"/>
      <c r="E86" s="233"/>
      <c r="F86" s="233"/>
      <c r="G86" s="233"/>
      <c r="I86" s="233" t="str">
        <f>"Line "&amp;A70&amp;""</f>
        <v>Line 42</v>
      </c>
      <c r="J86" s="233"/>
      <c r="K86" s="203" t="e">
        <f>K70</f>
        <v>#DIV/0!</v>
      </c>
    </row>
    <row r="87" spans="1:11" ht="13">
      <c r="A87" s="2">
        <f>A86+1</f>
        <v>50</v>
      </c>
      <c r="B87" s="233" t="s">
        <v>167</v>
      </c>
      <c r="C87" s="233"/>
      <c r="D87" s="233"/>
      <c r="E87" s="233"/>
      <c r="F87" s="233"/>
      <c r="G87" s="233"/>
      <c r="H87" s="233" t="s">
        <v>168</v>
      </c>
      <c r="I87" s="233" t="s">
        <v>169</v>
      </c>
      <c r="J87" s="233"/>
      <c r="K87" s="119">
        <v>0.10299999999999999</v>
      </c>
    </row>
    <row r="88" spans="1:11" ht="13">
      <c r="A88" s="2"/>
      <c r="B88" s="233"/>
      <c r="C88" s="233"/>
      <c r="D88" s="233"/>
      <c r="E88" s="233"/>
      <c r="F88" s="233"/>
      <c r="G88" s="233"/>
      <c r="I88" s="279"/>
      <c r="J88" s="233"/>
      <c r="K88" s="203"/>
    </row>
    <row r="89" spans="1:11" ht="13">
      <c r="A89" s="2"/>
      <c r="B89" s="28" t="s">
        <v>170</v>
      </c>
      <c r="C89" s="233"/>
      <c r="D89" s="233"/>
      <c r="E89" s="233"/>
      <c r="F89" s="233"/>
      <c r="G89" s="233"/>
      <c r="H89" s="233"/>
      <c r="I89" s="233"/>
      <c r="J89" s="233"/>
      <c r="K89" s="233"/>
    </row>
    <row r="90" spans="1:11" ht="13">
      <c r="A90" s="2">
        <f>A87+1</f>
        <v>51</v>
      </c>
      <c r="B90" s="233" t="s">
        <v>171</v>
      </c>
      <c r="C90" s="233"/>
      <c r="D90" s="233"/>
      <c r="E90" s="233"/>
      <c r="F90" s="233"/>
      <c r="G90" s="233"/>
      <c r="I90" s="233" t="str">
        <f>"Line "&amp;A65&amp;" * Line "&amp;A80&amp;""</f>
        <v>Line 39 * Line 45</v>
      </c>
      <c r="J90" s="233"/>
      <c r="K90" s="203" t="e">
        <f>K65*K80</f>
        <v>#DIV/0!</v>
      </c>
    </row>
    <row r="91" spans="1:11" ht="13">
      <c r="A91" s="2">
        <f>A90+1</f>
        <v>52</v>
      </c>
      <c r="B91" s="233" t="s">
        <v>172</v>
      </c>
      <c r="C91" s="233"/>
      <c r="D91" s="233"/>
      <c r="E91" s="233"/>
      <c r="F91" s="233"/>
      <c r="G91" s="233"/>
      <c r="I91" s="233" t="str">
        <f>"Line "&amp;A70&amp;" * Line "&amp;A81&amp;""</f>
        <v>Line 42 * Line 46</v>
      </c>
      <c r="J91" s="233"/>
      <c r="K91" s="203" t="e">
        <f>K70*K81</f>
        <v>#DIV/0!</v>
      </c>
    </row>
    <row r="92" spans="1:11" ht="13">
      <c r="A92" s="2">
        <f>A91+1</f>
        <v>53</v>
      </c>
      <c r="B92" s="233" t="s">
        <v>173</v>
      </c>
      <c r="C92" s="233"/>
      <c r="D92" s="233"/>
      <c r="E92" s="233"/>
      <c r="F92" s="233"/>
      <c r="G92" s="233"/>
      <c r="I92" s="233" t="str">
        <f>"Line "&amp;A82&amp;" * Line "&amp;A87&amp;""</f>
        <v>Line 47 * Line 50</v>
      </c>
      <c r="J92" s="233"/>
      <c r="K92" s="29" t="e">
        <f>K82*K87</f>
        <v>#DIV/0!</v>
      </c>
    </row>
    <row r="93" spans="1:11" ht="13">
      <c r="A93" s="2">
        <f>A92+1</f>
        <v>54</v>
      </c>
      <c r="B93" s="232" t="s">
        <v>174</v>
      </c>
      <c r="C93" s="233"/>
      <c r="D93" s="233"/>
      <c r="E93" s="233"/>
      <c r="F93" s="233"/>
      <c r="G93" s="233"/>
      <c r="I93" s="233" t="str">
        <f>"Line "&amp;A90&amp;" + Line "&amp;A91&amp;" + Line "&amp;A92&amp;""</f>
        <v>Line 51 + Line 52 + Line 53</v>
      </c>
      <c r="J93" s="233"/>
      <c r="K93" s="203" t="e">
        <f>SUM(K90:K92)</f>
        <v>#DIV/0!</v>
      </c>
    </row>
    <row r="94" spans="1:11" ht="13">
      <c r="A94" s="2"/>
      <c r="B94" s="232"/>
      <c r="C94" s="233"/>
      <c r="D94" s="233"/>
      <c r="E94" s="233"/>
      <c r="F94" s="233"/>
      <c r="G94" s="233"/>
      <c r="I94" s="233"/>
      <c r="J94" s="233"/>
      <c r="K94" s="1000"/>
    </row>
    <row r="95" spans="1:11" ht="13">
      <c r="A95" s="2">
        <f>A93+1</f>
        <v>55</v>
      </c>
      <c r="B95" s="276" t="s">
        <v>175</v>
      </c>
      <c r="C95" s="233"/>
      <c r="D95" s="233"/>
      <c r="E95" s="233"/>
      <c r="F95" s="233"/>
      <c r="G95" s="233"/>
      <c r="H95" s="233" t="s">
        <v>176</v>
      </c>
      <c r="I95" s="233" t="str">
        <f>"Line "&amp;A91&amp;" + Line "&amp;A92&amp;""</f>
        <v>Line 52 + Line 53</v>
      </c>
      <c r="J95" s="233"/>
      <c r="K95" s="203" t="e">
        <f>K91+K92</f>
        <v>#DIV/0!</v>
      </c>
    </row>
    <row r="96" spans="1:11" ht="13">
      <c r="A96" s="2"/>
      <c r="B96" s="233"/>
      <c r="C96" s="233"/>
      <c r="D96" s="233"/>
      <c r="E96" s="233"/>
      <c r="F96" s="233"/>
      <c r="G96" s="233"/>
      <c r="I96" s="233"/>
      <c r="J96" s="233"/>
      <c r="K96" s="1000"/>
    </row>
    <row r="97" spans="1:11" ht="13">
      <c r="A97" s="2">
        <f>A95+1</f>
        <v>56</v>
      </c>
      <c r="B97" s="233" t="s">
        <v>177</v>
      </c>
      <c r="C97" s="233"/>
      <c r="D97" s="233"/>
      <c r="E97" s="233"/>
      <c r="F97" s="233"/>
      <c r="G97" s="233"/>
      <c r="I97" s="233" t="str">
        <f>"Line "&amp;A34&amp;" * Line "&amp;A93&amp;""</f>
        <v>Line 18 * Line 54</v>
      </c>
      <c r="J97" s="233"/>
      <c r="K97" s="235" t="e">
        <f>K34*K93</f>
        <v>#DIV/0!</v>
      </c>
    </row>
    <row r="98" spans="1:11">
      <c r="A98" s="234"/>
      <c r="B98" s="233"/>
      <c r="C98" s="233"/>
      <c r="D98" s="233"/>
      <c r="E98" s="233"/>
      <c r="F98" s="233"/>
      <c r="G98" s="233"/>
      <c r="H98" s="233"/>
      <c r="I98" s="233"/>
      <c r="J98" s="233"/>
      <c r="K98" s="233"/>
    </row>
    <row r="99" spans="1:11">
      <c r="A99" s="233"/>
      <c r="B99" s="233"/>
      <c r="C99" s="233"/>
      <c r="D99" s="233"/>
      <c r="E99" s="233"/>
      <c r="F99" s="233"/>
      <c r="G99" s="233"/>
      <c r="H99" s="233"/>
      <c r="I99" s="233"/>
      <c r="J99" s="233"/>
      <c r="K99" s="233"/>
    </row>
    <row r="100" spans="1:11" ht="13">
      <c r="A100" s="665" t="s">
        <v>178</v>
      </c>
      <c r="B100" s="10"/>
      <c r="C100" s="10"/>
      <c r="D100" s="10"/>
      <c r="E100" s="10"/>
      <c r="F100" s="10"/>
      <c r="G100" s="10"/>
      <c r="H100" s="8"/>
      <c r="I100" s="8"/>
      <c r="J100" s="8"/>
      <c r="K100" s="8"/>
    </row>
    <row r="102" spans="1:11" ht="13">
      <c r="A102" s="2">
        <f>A97+1</f>
        <v>57</v>
      </c>
      <c r="B102" t="s">
        <v>179</v>
      </c>
      <c r="I102" t="str">
        <f>"26-Tax Rates, Line "&amp;'26-TaxRates'!A7&amp;""</f>
        <v>26-Tax Rates, Line 1</v>
      </c>
      <c r="K102" s="7">
        <f>'26-TaxRates'!D7</f>
        <v>0</v>
      </c>
    </row>
    <row r="103" spans="1:11" ht="13">
      <c r="A103" s="2">
        <f>A102+1</f>
        <v>58</v>
      </c>
      <c r="B103" s="233" t="s">
        <v>180</v>
      </c>
      <c r="I103" t="str">
        <f>"26-Tax Rates, Line "&amp;'26-TaxRates'!A14&amp;""</f>
        <v>26-Tax Rates, Line 8</v>
      </c>
      <c r="K103" s="7">
        <f>'26-TaxRates'!D14</f>
        <v>0</v>
      </c>
    </row>
    <row r="104" spans="1:11" ht="13">
      <c r="A104" s="2">
        <f>A103+1</f>
        <v>59</v>
      </c>
      <c r="B104" s="233" t="s">
        <v>181</v>
      </c>
      <c r="H104" s="31" t="s">
        <v>182</v>
      </c>
      <c r="I104" s="233" t="str">
        <f>"(L"&amp;A102&amp;" + L"&amp;A103&amp;") - (L"&amp;A102&amp;" * L"&amp;A103&amp;")"</f>
        <v>(L57 + L58) - (L57 * L58)</v>
      </c>
      <c r="K104" s="7">
        <f>(K102+K103)-(K102*K103)</f>
        <v>0</v>
      </c>
    </row>
    <row r="105" spans="1:11" ht="13">
      <c r="A105" s="2"/>
      <c r="K105" s="7"/>
    </row>
    <row r="106" spans="1:11" ht="13">
      <c r="A106" s="2"/>
      <c r="B106" s="28" t="s">
        <v>183</v>
      </c>
      <c r="K106" s="7"/>
    </row>
    <row r="107" spans="1:11" ht="13">
      <c r="A107" s="2">
        <f>A104+1</f>
        <v>60</v>
      </c>
      <c r="B107" s="276" t="s">
        <v>184</v>
      </c>
      <c r="H107" s="233"/>
      <c r="I107" s="231" t="s">
        <v>185</v>
      </c>
      <c r="K107" s="6">
        <f>-'9-ADIT-2'!I49</f>
        <v>0</v>
      </c>
    </row>
    <row r="108" spans="1:11" ht="13">
      <c r="A108" s="2">
        <f>A107+1</f>
        <v>61</v>
      </c>
      <c r="B108" s="233" t="s">
        <v>186</v>
      </c>
      <c r="C108" s="842"/>
      <c r="D108" s="842"/>
      <c r="E108" s="842"/>
      <c r="H108" s="233" t="s">
        <v>187</v>
      </c>
      <c r="I108" s="240" t="s">
        <v>188</v>
      </c>
      <c r="K108" s="59"/>
    </row>
    <row r="109" spans="1:11" ht="13">
      <c r="A109" s="2">
        <f t="shared" ref="A109:A110" si="3">A108+1</f>
        <v>62</v>
      </c>
      <c r="B109" s="233" t="s">
        <v>189</v>
      </c>
      <c r="C109" s="842"/>
      <c r="D109" s="842"/>
      <c r="E109" s="842"/>
      <c r="G109" s="842"/>
      <c r="H109" s="842"/>
      <c r="I109" s="842"/>
      <c r="J109" s="842"/>
      <c r="K109" s="1030"/>
    </row>
    <row r="110" spans="1:11" ht="13">
      <c r="A110" s="2">
        <f t="shared" si="3"/>
        <v>63</v>
      </c>
      <c r="B110" s="232" t="s">
        <v>190</v>
      </c>
      <c r="I110" s="233" t="s">
        <v>191</v>
      </c>
      <c r="K110" s="6">
        <f>SUM(K107:K108)</f>
        <v>0</v>
      </c>
    </row>
    <row r="111" spans="1:11" ht="13">
      <c r="A111" s="608"/>
    </row>
    <row r="112" spans="1:11" ht="13">
      <c r="A112" s="2">
        <f>A110+1</f>
        <v>64</v>
      </c>
      <c r="B112" s="233" t="s">
        <v>192</v>
      </c>
      <c r="I112" t="str">
        <f>"Formula on Line "&amp;A114&amp;""</f>
        <v>Formula on Line 65</v>
      </c>
      <c r="K112" s="6" t="e">
        <f>(((K34*K95) + K121)*(K104/(1-K104)))+(K110/(1-K104))</f>
        <v>#DIV/0!</v>
      </c>
    </row>
    <row r="113" spans="1:11" ht="13">
      <c r="A113" s="2"/>
    </row>
    <row r="114" spans="1:11" ht="13">
      <c r="A114" s="2">
        <f>A112+1</f>
        <v>65</v>
      </c>
      <c r="B114" s="233" t="s">
        <v>193</v>
      </c>
      <c r="C114" s="233"/>
      <c r="D114" s="233"/>
      <c r="E114" s="233"/>
      <c r="F114" s="233"/>
      <c r="G114" s="233"/>
    </row>
    <row r="115" spans="1:11">
      <c r="A115" s="37"/>
      <c r="I115" s="233"/>
    </row>
    <row r="116" spans="1:11">
      <c r="A116" s="37"/>
      <c r="C116" t="s">
        <v>194</v>
      </c>
    </row>
    <row r="117" spans="1:11">
      <c r="A117" s="37"/>
      <c r="C117" s="12" t="s">
        <v>195</v>
      </c>
      <c r="I117" s="233" t="str">
        <f>"Line "&amp;A34&amp;""</f>
        <v>Line 18</v>
      </c>
    </row>
    <row r="118" spans="1:11">
      <c r="A118" s="37"/>
      <c r="C118" s="232" t="s">
        <v>196</v>
      </c>
      <c r="I118" s="233" t="str">
        <f>"Line "&amp;A95&amp;""</f>
        <v>Line 55</v>
      </c>
    </row>
    <row r="119" spans="1:11">
      <c r="A119" s="37"/>
      <c r="C119" s="12" t="s">
        <v>197</v>
      </c>
      <c r="I119" s="233" t="str">
        <f>"Line "&amp;A104&amp;""</f>
        <v>Line 59</v>
      </c>
    </row>
    <row r="120" spans="1:11">
      <c r="A120" s="37"/>
      <c r="C120" s="12" t="s">
        <v>198</v>
      </c>
      <c r="I120" s="233" t="str">
        <f>"Line "&amp;A110&amp;""</f>
        <v>Line 63</v>
      </c>
    </row>
    <row r="121" spans="1:11">
      <c r="A121" s="37"/>
      <c r="C121" s="232" t="s">
        <v>199</v>
      </c>
      <c r="H121" s="231" t="s">
        <v>200</v>
      </c>
      <c r="I121" s="240" t="s">
        <v>188</v>
      </c>
      <c r="K121" s="253"/>
    </row>
    <row r="122" spans="1:11">
      <c r="H122" s="25"/>
    </row>
    <row r="123" spans="1:11" ht="13">
      <c r="A123" s="665" t="s">
        <v>201</v>
      </c>
      <c r="B123" s="10"/>
      <c r="C123" s="10"/>
      <c r="D123" s="10"/>
      <c r="E123" s="10"/>
      <c r="F123" s="10"/>
      <c r="G123" s="10"/>
      <c r="H123" s="8"/>
      <c r="I123" s="8"/>
      <c r="J123" s="8"/>
      <c r="K123" s="8"/>
    </row>
    <row r="125" spans="1:11">
      <c r="B125" s="28" t="s">
        <v>202</v>
      </c>
    </row>
    <row r="126" spans="1:11" ht="13">
      <c r="A126" s="2">
        <f>A114+1</f>
        <v>66</v>
      </c>
      <c r="B126" t="s">
        <v>203</v>
      </c>
      <c r="H126" s="12"/>
      <c r="I126" t="str">
        <f>"19-OandM, Line "&amp;'19-OandM'!A124&amp;", Col. 6"</f>
        <v>19-OandM, Line 91, Col. 6</v>
      </c>
      <c r="K126" s="6" t="e">
        <f>'19-OandM'!G124</f>
        <v>#DIV/0!</v>
      </c>
    </row>
    <row r="127" spans="1:11" ht="13">
      <c r="A127" s="2">
        <f t="shared" ref="A127:A142" si="4">A126+1</f>
        <v>67</v>
      </c>
      <c r="B127" s="233" t="s">
        <v>204</v>
      </c>
      <c r="H127" s="12"/>
      <c r="I127" t="str">
        <f>"20-AandG, Line "&amp;'20-AandG'!A34&amp;""</f>
        <v>20-AandG, Line 23</v>
      </c>
      <c r="K127" s="6" t="e">
        <f>'20-AandG'!F34</f>
        <v>#DIV/0!</v>
      </c>
    </row>
    <row r="128" spans="1:11" ht="13">
      <c r="A128" s="2">
        <f t="shared" si="4"/>
        <v>68</v>
      </c>
      <c r="B128" t="s">
        <v>205</v>
      </c>
      <c r="H128" s="12"/>
      <c r="I128" s="233" t="str">
        <f>"22-NUCs, Line "&amp;'22-NUCs'!A17&amp;""</f>
        <v>22-NUCs, Line 8</v>
      </c>
      <c r="K128" s="6">
        <f>'22-NUCs'!E17</f>
        <v>0</v>
      </c>
    </row>
    <row r="129" spans="1:11" ht="13">
      <c r="A129" s="2">
        <f t="shared" si="4"/>
        <v>69</v>
      </c>
      <c r="B129" s="233" t="s">
        <v>206</v>
      </c>
      <c r="H129" s="12"/>
      <c r="I129" t="str">
        <f>"17-Depreciation, Line "&amp;'17-Depreciation'!A145&amp;""</f>
        <v>17-Depreciation, Line 70</v>
      </c>
      <c r="K129" s="6" t="e">
        <f>'17-Depreciation'!F145</f>
        <v>#DIV/0!</v>
      </c>
    </row>
    <row r="130" spans="1:11" ht="13">
      <c r="A130" s="2">
        <f t="shared" si="4"/>
        <v>70</v>
      </c>
      <c r="B130" s="233" t="s">
        <v>207</v>
      </c>
      <c r="H130" s="12"/>
      <c r="I130" t="str">
        <f>"12-AbandonedPlant, Line "&amp;'12-AbandonedPlant'!A18&amp;""</f>
        <v>12-AbandonedPlant, Line 1</v>
      </c>
      <c r="K130" s="6">
        <f>'12-AbandonedPlant'!G18</f>
        <v>0</v>
      </c>
    </row>
    <row r="131" spans="1:11" ht="13">
      <c r="A131" s="2">
        <f t="shared" si="4"/>
        <v>71</v>
      </c>
      <c r="B131" s="233" t="s">
        <v>146</v>
      </c>
      <c r="H131" s="12"/>
      <c r="I131" t="str">
        <f>"Line "&amp;A58&amp;""</f>
        <v>Line 36</v>
      </c>
      <c r="K131" s="6" t="e">
        <f>K58</f>
        <v>#DIV/0!</v>
      </c>
    </row>
    <row r="132" spans="1:11" ht="13">
      <c r="A132" s="2">
        <f t="shared" si="4"/>
        <v>72</v>
      </c>
      <c r="B132" t="s">
        <v>208</v>
      </c>
      <c r="H132" s="232" t="s">
        <v>118</v>
      </c>
      <c r="I132" t="str">
        <f>"21-Revenue Credits, Line "&amp;'21-RevenueCredits'!A276&amp;""</f>
        <v>21-Revenue Credits, Line 44</v>
      </c>
      <c r="K132" s="6">
        <f>-'21-RevenueCredits'!E276</f>
        <v>0</v>
      </c>
    </row>
    <row r="133" spans="1:11" ht="13">
      <c r="A133" s="2">
        <f t="shared" si="4"/>
        <v>73</v>
      </c>
      <c r="B133" t="s">
        <v>209</v>
      </c>
      <c r="H133" s="12"/>
      <c r="I133" t="str">
        <f>"Line "&amp;A97&amp;""</f>
        <v>Line 56</v>
      </c>
      <c r="K133" s="6" t="e">
        <f>K97</f>
        <v>#DIV/0!</v>
      </c>
    </row>
    <row r="134" spans="1:11" ht="13">
      <c r="A134" s="2">
        <f t="shared" si="4"/>
        <v>74</v>
      </c>
      <c r="B134" t="s">
        <v>210</v>
      </c>
      <c r="H134" s="12"/>
      <c r="I134" t="str">
        <f>"Line "&amp;A112&amp;""</f>
        <v>Line 64</v>
      </c>
      <c r="K134" s="235" t="e">
        <f>K112</f>
        <v>#DIV/0!</v>
      </c>
    </row>
    <row r="135" spans="1:11" ht="13">
      <c r="A135" s="2">
        <f t="shared" si="4"/>
        <v>75</v>
      </c>
      <c r="B135" t="s">
        <v>211</v>
      </c>
      <c r="H135" s="232" t="s">
        <v>212</v>
      </c>
      <c r="I135" s="233" t="str">
        <f>"11-PHFU, Line "&amp;'11-PHFU'!A47&amp;""</f>
        <v>11-PHFU, Line 10</v>
      </c>
      <c r="K135" s="235">
        <f>-'11-PHFU'!E47</f>
        <v>0</v>
      </c>
    </row>
    <row r="136" spans="1:11" ht="13">
      <c r="A136" s="2">
        <f t="shared" si="4"/>
        <v>76</v>
      </c>
      <c r="B136" s="289" t="s">
        <v>213</v>
      </c>
      <c r="C136" s="289"/>
      <c r="H136" s="12"/>
      <c r="I136" s="233" t="str">
        <f>"23-RegAssets, Line "&amp;'23-RegAssets'!A19&amp;""</f>
        <v>23-RegAssets, Line 16</v>
      </c>
      <c r="K136" s="235">
        <f>'23-RegAssets'!E19</f>
        <v>0</v>
      </c>
    </row>
    <row r="137" spans="1:11" ht="13">
      <c r="A137" s="2">
        <f t="shared" si="4"/>
        <v>77</v>
      </c>
      <c r="B137" s="233" t="s">
        <v>214</v>
      </c>
      <c r="H137" s="12"/>
      <c r="I137" t="str">
        <f>"15-IncentiveAdder, Line "&amp;'15-IncentiveAdder'!A44&amp;""</f>
        <v>15-IncentiveAdder, Line 14</v>
      </c>
      <c r="K137" s="235" t="e">
        <f>'15-IncentiveAdder'!G44</f>
        <v>#DIV/0!</v>
      </c>
    </row>
    <row r="138" spans="1:11" ht="13">
      <c r="A138" s="2" t="s">
        <v>215</v>
      </c>
      <c r="B138" s="233" t="s">
        <v>216</v>
      </c>
      <c r="H138" s="232" t="s">
        <v>217</v>
      </c>
      <c r="I138" s="233" t="s">
        <v>218</v>
      </c>
      <c r="K138" s="53" t="e">
        <f>-K137</f>
        <v>#DIV/0!</v>
      </c>
    </row>
    <row r="139" spans="1:11" ht="13">
      <c r="A139" s="2">
        <f>A137+1</f>
        <v>78</v>
      </c>
      <c r="B139" s="233" t="s">
        <v>219</v>
      </c>
      <c r="H139" s="12"/>
      <c r="I139" t="str">
        <f>"Sum of Lines "&amp;A126&amp;" to "&amp;A138&amp;""</f>
        <v>Sum of Lines 66 to 77a</v>
      </c>
      <c r="K139" s="6" t="e">
        <f>SUM(K126:K138)</f>
        <v>#DIV/0!</v>
      </c>
    </row>
    <row r="140" spans="1:11" ht="13">
      <c r="A140" s="608"/>
      <c r="B140" s="233"/>
      <c r="H140" s="12"/>
      <c r="K140" s="6"/>
    </row>
    <row r="141" spans="1:11" ht="13">
      <c r="A141" s="2">
        <f>A139+1</f>
        <v>79</v>
      </c>
      <c r="B141" s="233" t="s">
        <v>220</v>
      </c>
      <c r="I141" t="str">
        <f>"L "&amp;A139&amp;" * FF Factor (28-FFU, L "&amp;'28-FFU'!A22&amp;")"</f>
        <v>L 78 * FF Factor (28-FFU, L 5)</v>
      </c>
      <c r="K141" s="6" t="e">
        <f>'28-FFU'!D22*K139</f>
        <v>#DIV/0!</v>
      </c>
    </row>
    <row r="142" spans="1:11" ht="13">
      <c r="A142" s="2">
        <f t="shared" si="4"/>
        <v>80</v>
      </c>
      <c r="B142" s="233" t="s">
        <v>221</v>
      </c>
      <c r="I142" t="str">
        <f>"L "&amp;A139&amp;" * U Factor (28-FFU, L "&amp;'28-FFU'!A22&amp;")"</f>
        <v>L 78 * U Factor (28-FFU, L 5)</v>
      </c>
      <c r="K142" s="6" t="e">
        <f>'28-FFU'!E22*K139</f>
        <v>#DIV/0!</v>
      </c>
    </row>
    <row r="143" spans="1:11" ht="13">
      <c r="A143" s="2"/>
      <c r="B143" s="233"/>
      <c r="K143" s="6"/>
    </row>
    <row r="144" spans="1:11" ht="13">
      <c r="A144" s="2">
        <f>A142+1</f>
        <v>81</v>
      </c>
      <c r="B144" s="233" t="s">
        <v>82</v>
      </c>
      <c r="I144" t="str">
        <f>"Line "&amp;A139&amp;" + Line "&amp;A141&amp;"+ Line "&amp;A142&amp;""</f>
        <v>Line 78 + Line 79+ Line 80</v>
      </c>
      <c r="K144" s="6" t="e">
        <f>K139+K141+K142</f>
        <v>#DIV/0!</v>
      </c>
    </row>
    <row r="146" spans="1:13" ht="13">
      <c r="A146" s="9" t="s">
        <v>222</v>
      </c>
      <c r="B146" s="10"/>
      <c r="C146" s="10"/>
      <c r="D146" s="10"/>
      <c r="E146" s="10"/>
      <c r="F146" s="10"/>
      <c r="G146" s="10"/>
      <c r="H146" s="8"/>
      <c r="I146" s="8"/>
      <c r="J146" s="8"/>
      <c r="K146" s="8"/>
    </row>
    <row r="148" spans="1:13">
      <c r="B148" s="28" t="s">
        <v>223</v>
      </c>
    </row>
    <row r="149" spans="1:13" ht="13">
      <c r="A149" s="2">
        <f>A144+1</f>
        <v>82</v>
      </c>
      <c r="B149" t="s">
        <v>82</v>
      </c>
      <c r="I149" t="str">
        <f>"Line "&amp;A144&amp;""</f>
        <v>Line 81</v>
      </c>
      <c r="K149" s="6" t="e">
        <f>K144</f>
        <v>#DIV/0!</v>
      </c>
    </row>
    <row r="150" spans="1:13" ht="13">
      <c r="A150" s="2">
        <f>A149+1</f>
        <v>83</v>
      </c>
      <c r="B150" t="s">
        <v>83</v>
      </c>
      <c r="I150" s="233" t="str">
        <f>"2-IFPTRR, Line "&amp;'2-IFPTRR'!A91&amp;""</f>
        <v>2-IFPTRR, Line 82</v>
      </c>
      <c r="K150" s="6" t="e">
        <f>'2-IFPTRR'!D91</f>
        <v>#DIV/0!</v>
      </c>
    </row>
    <row r="151" spans="1:13" ht="13">
      <c r="A151" s="2">
        <f>A150+1</f>
        <v>84</v>
      </c>
      <c r="B151" s="233" t="s">
        <v>224</v>
      </c>
      <c r="H151" s="233"/>
      <c r="I151" s="233" t="str">
        <f>"3-TrueUpAdjust, Line "&amp;'3-TrueUpAdjust'!A44&amp;""</f>
        <v>3-TrueUpAdjust, Line 30</v>
      </c>
      <c r="K151" s="235" t="e">
        <f>'3-TrueUpAdjust'!E44</f>
        <v>#DIV/0!</v>
      </c>
      <c r="L151" s="56"/>
    </row>
    <row r="152" spans="1:13" ht="13">
      <c r="A152" s="2" t="s">
        <v>225</v>
      </c>
      <c r="B152" s="233" t="s">
        <v>85</v>
      </c>
      <c r="C152" s="233"/>
      <c r="D152" s="233"/>
      <c r="E152" s="233"/>
      <c r="F152" s="590"/>
      <c r="G152" s="590"/>
      <c r="I152" s="231" t="str">
        <f>"Negative of 35-Other Formula Revenue, L "&amp;'35-Other Formula Revenue'!A116&amp;""</f>
        <v>Negative of 35-Other Formula Revenue, L 80</v>
      </c>
      <c r="J152" s="590"/>
      <c r="K152" s="235">
        <f>-'35-Other Formula Revenue'!D116</f>
        <v>0</v>
      </c>
      <c r="L152" s="839"/>
    </row>
    <row r="153" spans="1:13" ht="13">
      <c r="A153" s="2">
        <f>A151+1</f>
        <v>85</v>
      </c>
      <c r="B153" s="233" t="s">
        <v>86</v>
      </c>
      <c r="H153" s="233" t="s">
        <v>226</v>
      </c>
      <c r="K153" s="116"/>
      <c r="M153" s="233"/>
    </row>
    <row r="154" spans="1:13" ht="13">
      <c r="A154" s="2"/>
      <c r="K154" s="6"/>
      <c r="M154" s="28"/>
    </row>
    <row r="155" spans="1:13" ht="13">
      <c r="A155" s="2">
        <f>A153+1</f>
        <v>86</v>
      </c>
      <c r="B155" s="233" t="s">
        <v>227</v>
      </c>
      <c r="H155" s="233" t="s">
        <v>228</v>
      </c>
      <c r="I155" s="233" t="str">
        <f>"L "&amp;A149&amp;" + L "&amp;A150&amp;" + L "&amp;A151&amp;"+ L "&amp;A152&amp;" + L "&amp;A153&amp;""</f>
        <v>L 82 + L 83 + L 84+ L 84a + L 85</v>
      </c>
      <c r="K155" s="235" t="e">
        <f>K149+K150+K151+K152+K153</f>
        <v>#DIV/0!</v>
      </c>
      <c r="L155" s="6"/>
    </row>
    <row r="156" spans="1:13" ht="13">
      <c r="A156" s="2"/>
      <c r="K156" s="6"/>
    </row>
    <row r="157" spans="1:13" ht="13">
      <c r="A157" s="2"/>
      <c r="B157" s="28" t="s">
        <v>229</v>
      </c>
      <c r="K157" s="6"/>
    </row>
    <row r="158" spans="1:13" ht="13">
      <c r="A158" s="2">
        <f>A155+1</f>
        <v>87</v>
      </c>
      <c r="B158" t="s">
        <v>230</v>
      </c>
      <c r="I158" t="str">
        <f>"Line "&amp;A155&amp;""</f>
        <v>Line 86</v>
      </c>
      <c r="K158" s="6" t="e">
        <f>K155</f>
        <v>#DIV/0!</v>
      </c>
      <c r="M158" s="233"/>
    </row>
    <row r="159" spans="1:13" ht="13">
      <c r="A159" s="2">
        <f>A158+1</f>
        <v>88</v>
      </c>
      <c r="B159" t="s">
        <v>231</v>
      </c>
      <c r="I159" s="233" t="s">
        <v>232</v>
      </c>
      <c r="K159" s="53" t="e">
        <f>'25-WholesaleDifference'!H24</f>
        <v>#DIV/0!</v>
      </c>
      <c r="M159" s="28"/>
    </row>
    <row r="160" spans="1:13" ht="13">
      <c r="A160" s="2">
        <f>A159+1</f>
        <v>89</v>
      </c>
      <c r="B160" t="s">
        <v>229</v>
      </c>
      <c r="I160" t="str">
        <f>"Line "&amp;A158&amp;" + Line "&amp;A159&amp;""</f>
        <v>Line 87 + Line 88</v>
      </c>
      <c r="K160" s="6" t="e">
        <f>K158+K159</f>
        <v>#DIV/0!</v>
      </c>
    </row>
    <row r="161" spans="2:14">
      <c r="H161" s="233"/>
    </row>
    <row r="162" spans="2:14" ht="13">
      <c r="B162" s="30" t="s">
        <v>233</v>
      </c>
    </row>
    <row r="163" spans="2:14">
      <c r="B163" s="233" t="s">
        <v>234</v>
      </c>
    </row>
    <row r="164" spans="2:14">
      <c r="B164" s="232" t="s">
        <v>235</v>
      </c>
    </row>
    <row r="165" spans="2:14">
      <c r="B165" s="233" t="s">
        <v>236</v>
      </c>
    </row>
    <row r="166" spans="2:14">
      <c r="B166" s="233" t="s">
        <v>237</v>
      </c>
    </row>
    <row r="167" spans="2:14">
      <c r="B167" s="233" t="s">
        <v>238</v>
      </c>
    </row>
    <row r="168" spans="2:14">
      <c r="B168" s="233"/>
      <c r="C168" t="s">
        <v>239</v>
      </c>
      <c r="F168" s="240" t="s">
        <v>240</v>
      </c>
      <c r="G168" s="54"/>
      <c r="H168" s="54"/>
      <c r="I168" s="54"/>
    </row>
    <row r="169" spans="2:14">
      <c r="B169" s="233" t="s">
        <v>241</v>
      </c>
      <c r="C169" s="233"/>
      <c r="D169" s="233"/>
      <c r="E169" s="233"/>
      <c r="F169" s="233"/>
      <c r="G169" s="233"/>
      <c r="H169" s="233"/>
    </row>
    <row r="170" spans="2:14">
      <c r="B170" s="233" t="s">
        <v>242</v>
      </c>
      <c r="K170" s="615"/>
    </row>
    <row r="171" spans="2:14">
      <c r="B171" s="233" t="s">
        <v>243</v>
      </c>
    </row>
    <row r="172" spans="2:14">
      <c r="B172" s="232" t="s">
        <v>244</v>
      </c>
    </row>
    <row r="173" spans="2:14">
      <c r="B173" s="276" t="s">
        <v>245</v>
      </c>
      <c r="C173" s="233"/>
      <c r="D173" s="233"/>
      <c r="E173" s="233"/>
      <c r="F173" s="233"/>
      <c r="G173" s="233"/>
      <c r="H173" s="233"/>
      <c r="I173" s="233"/>
      <c r="J173" s="233"/>
      <c r="K173" s="233"/>
    </row>
    <row r="174" spans="2:14">
      <c r="B174" s="833"/>
      <c r="M174" s="6"/>
      <c r="N174" s="6"/>
    </row>
    <row r="175" spans="2:14" ht="13">
      <c r="B175" s="276"/>
      <c r="C175" s="233"/>
      <c r="D175" s="233"/>
      <c r="E175" s="233"/>
      <c r="F175" s="2" t="s">
        <v>246</v>
      </c>
      <c r="G175" s="2" t="s">
        <v>247</v>
      </c>
      <c r="H175" s="233"/>
      <c r="I175" s="233"/>
      <c r="J175" s="233"/>
      <c r="K175" s="233"/>
    </row>
    <row r="176" spans="2:14" ht="13">
      <c r="B176" s="233"/>
      <c r="C176" s="233"/>
      <c r="D176" s="233"/>
      <c r="E176" s="233"/>
      <c r="F176" s="2" t="s">
        <v>248</v>
      </c>
      <c r="G176" s="2" t="s">
        <v>249</v>
      </c>
      <c r="H176" s="233"/>
      <c r="I176" s="233"/>
      <c r="J176" s="233"/>
      <c r="K176" s="233"/>
      <c r="M176" s="56"/>
      <c r="N176" s="6"/>
    </row>
    <row r="177" spans="2:14" ht="13">
      <c r="B177" s="30" t="s">
        <v>250</v>
      </c>
      <c r="C177" s="30"/>
      <c r="D177" s="30"/>
      <c r="E177" s="30"/>
      <c r="F177" s="3" t="s">
        <v>251</v>
      </c>
      <c r="G177" s="3" t="s">
        <v>81</v>
      </c>
      <c r="H177" s="3" t="s">
        <v>252</v>
      </c>
      <c r="I177" s="30" t="s">
        <v>253</v>
      </c>
      <c r="J177" s="233"/>
      <c r="K177" s="3" t="s">
        <v>254</v>
      </c>
      <c r="M177" s="56"/>
    </row>
    <row r="178" spans="2:14">
      <c r="B178" s="276" t="s">
        <v>255</v>
      </c>
      <c r="C178" s="240" t="s">
        <v>256</v>
      </c>
      <c r="D178" s="240"/>
      <c r="E178" s="240"/>
      <c r="F178" s="235">
        <f>'35-Other Formula Revenue'!G80</f>
        <v>0</v>
      </c>
      <c r="G178" s="253"/>
      <c r="H178" s="915">
        <f>SUM(F178:G178)</f>
        <v>0</v>
      </c>
      <c r="I178" s="233" t="s">
        <v>128</v>
      </c>
      <c r="J178" s="233"/>
      <c r="K178" s="233" t="s">
        <v>257</v>
      </c>
      <c r="M178" s="56"/>
    </row>
    <row r="179" spans="2:14">
      <c r="B179" s="276" t="s">
        <v>258</v>
      </c>
      <c r="C179" s="240" t="s">
        <v>259</v>
      </c>
      <c r="D179" s="240"/>
      <c r="E179" s="240"/>
      <c r="F179" s="235">
        <f>'35-Other Formula Revenue'!G87</f>
        <v>0</v>
      </c>
      <c r="G179" s="531"/>
      <c r="H179" s="915">
        <f>SUM(F179:G179)</f>
        <v>0</v>
      </c>
      <c r="I179" s="276" t="s">
        <v>135</v>
      </c>
      <c r="J179" s="233"/>
      <c r="K179" s="233" t="s">
        <v>260</v>
      </c>
      <c r="M179" s="56"/>
    </row>
    <row r="180" spans="2:14">
      <c r="B180" s="276" t="s">
        <v>261</v>
      </c>
      <c r="C180" s="240" t="s">
        <v>262</v>
      </c>
      <c r="D180" s="240"/>
      <c r="E180" s="240"/>
      <c r="F180" s="235">
        <f>'35-Other Formula Revenue'!G88</f>
        <v>0</v>
      </c>
      <c r="G180" s="531"/>
      <c r="H180" s="915">
        <f t="shared" ref="H180:H185" si="5">SUM(F180:G180)</f>
        <v>0</v>
      </c>
      <c r="I180" s="276" t="s">
        <v>136</v>
      </c>
      <c r="J180" s="233"/>
      <c r="K180" s="233" t="s">
        <v>263</v>
      </c>
    </row>
    <row r="181" spans="2:14">
      <c r="B181" s="276" t="s">
        <v>264</v>
      </c>
      <c r="C181" s="240" t="s">
        <v>265</v>
      </c>
      <c r="D181" s="240"/>
      <c r="E181" s="240"/>
      <c r="F181" s="235">
        <f>'35-Other Formula Revenue'!G89</f>
        <v>0</v>
      </c>
      <c r="G181" s="531"/>
      <c r="H181" s="915">
        <f t="shared" si="5"/>
        <v>0</v>
      </c>
      <c r="I181" s="276" t="s">
        <v>137</v>
      </c>
      <c r="J181" s="233"/>
      <c r="K181" s="233" t="s">
        <v>266</v>
      </c>
      <c r="M181" s="56"/>
    </row>
    <row r="182" spans="2:14">
      <c r="B182" s="276" t="s">
        <v>267</v>
      </c>
      <c r="C182" s="240" t="s">
        <v>268</v>
      </c>
      <c r="D182" s="240"/>
      <c r="E182" s="240"/>
      <c r="F182" s="235">
        <f>'35-Other Formula Revenue'!G90</f>
        <v>0</v>
      </c>
      <c r="G182" s="531"/>
      <c r="H182" s="915">
        <f t="shared" si="5"/>
        <v>0</v>
      </c>
      <c r="I182" s="276" t="s">
        <v>138</v>
      </c>
      <c r="J182" s="233"/>
      <c r="K182" s="233" t="s">
        <v>269</v>
      </c>
      <c r="M182" s="56"/>
    </row>
    <row r="183" spans="2:14">
      <c r="B183" s="276" t="s">
        <v>270</v>
      </c>
      <c r="C183" s="240" t="s">
        <v>271</v>
      </c>
      <c r="D183" s="240"/>
      <c r="E183" s="240"/>
      <c r="F183" s="235">
        <f>'35-Other Formula Revenue'!G91</f>
        <v>0</v>
      </c>
      <c r="G183" s="531"/>
      <c r="H183" s="915">
        <f t="shared" si="5"/>
        <v>0</v>
      </c>
      <c r="I183" s="276" t="s">
        <v>139</v>
      </c>
      <c r="J183" s="233"/>
      <c r="K183" s="233" t="s">
        <v>272</v>
      </c>
      <c r="N183" s="56"/>
    </row>
    <row r="184" spans="2:14">
      <c r="B184" s="276" t="s">
        <v>273</v>
      </c>
      <c r="C184" s="240" t="s">
        <v>274</v>
      </c>
      <c r="D184" s="240"/>
      <c r="E184" s="240"/>
      <c r="F184" s="235">
        <f>'35-Other Formula Revenue'!G92</f>
        <v>0</v>
      </c>
      <c r="G184" s="531"/>
      <c r="H184" s="915">
        <f t="shared" si="5"/>
        <v>0</v>
      </c>
      <c r="I184" s="276" t="s">
        <v>140</v>
      </c>
      <c r="J184" s="233"/>
      <c r="K184" s="233" t="s">
        <v>275</v>
      </c>
      <c r="N184" s="56"/>
    </row>
    <row r="185" spans="2:14">
      <c r="B185" s="276" t="s">
        <v>276</v>
      </c>
      <c r="C185" s="240" t="s">
        <v>277</v>
      </c>
      <c r="D185" s="240"/>
      <c r="E185" s="240"/>
      <c r="F185" s="235">
        <f>'35-Other Formula Revenue'!G93</f>
        <v>0</v>
      </c>
      <c r="G185" s="531"/>
      <c r="H185" s="915">
        <f t="shared" si="5"/>
        <v>0</v>
      </c>
      <c r="I185" s="276" t="s">
        <v>141</v>
      </c>
      <c r="J185" s="233"/>
      <c r="K185" s="233" t="s">
        <v>278</v>
      </c>
      <c r="N185" s="56"/>
    </row>
    <row r="186" spans="2:14">
      <c r="K186" s="233"/>
      <c r="N186" s="56"/>
    </row>
    <row r="187" spans="2:14">
      <c r="B187" s="987"/>
      <c r="C187" s="988"/>
      <c r="D187" s="988"/>
      <c r="E187" s="988"/>
      <c r="N187" s="56"/>
    </row>
    <row r="188" spans="2:14">
      <c r="B188" s="989"/>
      <c r="C188" s="988"/>
      <c r="D188" s="988"/>
      <c r="E188" s="988"/>
      <c r="N188" s="56"/>
    </row>
    <row r="189" spans="2:14">
      <c r="B189" s="989"/>
      <c r="C189" s="988"/>
      <c r="D189" s="988"/>
      <c r="E189" s="988"/>
      <c r="G189" s="56"/>
    </row>
    <row r="190" spans="2:14">
      <c r="B190" s="989"/>
      <c r="C190" s="988"/>
      <c r="D190" s="988"/>
      <c r="E190" s="988"/>
      <c r="G190" s="56"/>
      <c r="N190" s="56"/>
    </row>
    <row r="191" spans="2:14">
      <c r="B191" s="989"/>
      <c r="C191" s="988"/>
      <c r="D191" s="988"/>
      <c r="E191" s="988"/>
      <c r="G191" s="56"/>
    </row>
    <row r="192" spans="2:14">
      <c r="B192" s="232"/>
      <c r="G192" s="56"/>
    </row>
    <row r="193" spans="2:7">
      <c r="B193" s="232"/>
      <c r="G193" s="56"/>
    </row>
    <row r="194" spans="2:7">
      <c r="B194" s="232"/>
      <c r="G194" s="56"/>
    </row>
    <row r="195" spans="2:7">
      <c r="B195" s="232"/>
      <c r="G195" s="56"/>
    </row>
    <row r="196" spans="2:7">
      <c r="B196" s="232"/>
      <c r="G196" s="56"/>
    </row>
    <row r="197" spans="2:7">
      <c r="G197" s="56"/>
    </row>
    <row r="198" spans="2:7">
      <c r="G198" s="56"/>
    </row>
  </sheetData>
  <phoneticPr fontId="24" type="noConversion"/>
  <pageMargins left="0.7" right="0.7" top="0.75" bottom="0.75" header="0.3" footer="0.3"/>
  <pageSetup scale="50" fitToWidth="3" orientation="portrait" cellComments="asDisplayed" r:id="rId1"/>
  <headerFooter alignWithMargins="0">
    <oddHeader xml:space="preserve">&amp;CSchedule 1
Base TRR
</oddHeader>
    <oddFooter>&amp;R&amp;A</oddFooter>
  </headerFooter>
  <rowBreaks count="2" manualBreakCount="2">
    <brk id="59" max="16383" man="1"/>
    <brk id="122"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5"/>
  <sheetViews>
    <sheetView topLeftCell="B1" zoomScaleNormal="100" workbookViewId="0">
      <selection activeCell="L41" sqref="L41"/>
    </sheetView>
  </sheetViews>
  <sheetFormatPr defaultRowHeight="12.5"/>
  <cols>
    <col min="1" max="1" width="4.54296875" customWidth="1"/>
    <col min="2" max="2" width="1.54296875" customWidth="1"/>
    <col min="3" max="3" width="46" customWidth="1"/>
    <col min="4" max="4" width="1.54296875" customWidth="1"/>
    <col min="5" max="5" width="34" customWidth="1"/>
    <col min="6" max="6" width="1.54296875" customWidth="1"/>
    <col min="7" max="7" width="16.54296875" customWidth="1"/>
    <col min="8" max="8" width="1.54296875" customWidth="1"/>
    <col min="9" max="9" width="16.54296875" customWidth="1"/>
    <col min="10" max="10" width="1.54296875" customWidth="1"/>
    <col min="11" max="11" width="16.54296875" customWidth="1"/>
    <col min="12" max="12" width="2.54296875" customWidth="1"/>
    <col min="13" max="13" width="35.453125" bestFit="1" customWidth="1"/>
    <col min="14" max="14" width="20.453125" customWidth="1"/>
    <col min="257" max="257" width="4.54296875" customWidth="1"/>
    <col min="258" max="258" width="1.54296875" customWidth="1"/>
    <col min="259" max="259" width="46" customWidth="1"/>
    <col min="260" max="260" width="1.54296875" customWidth="1"/>
    <col min="261" max="261" width="34" customWidth="1"/>
    <col min="262" max="262" width="1.54296875" customWidth="1"/>
    <col min="263" max="263" width="16" customWidth="1"/>
    <col min="264" max="264" width="1.54296875" customWidth="1"/>
    <col min="265" max="265" width="14" customWidth="1"/>
    <col min="266" max="266" width="1.54296875" customWidth="1"/>
    <col min="267" max="267" width="11.54296875" customWidth="1"/>
    <col min="268" max="268" width="2.54296875" customWidth="1"/>
    <col min="269" max="269" width="35.453125" bestFit="1" customWidth="1"/>
    <col min="270" max="270" width="20.453125" customWidth="1"/>
    <col min="513" max="513" width="4.54296875" customWidth="1"/>
    <col min="514" max="514" width="1.54296875" customWidth="1"/>
    <col min="515" max="515" width="46" customWidth="1"/>
    <col min="516" max="516" width="1.54296875" customWidth="1"/>
    <col min="517" max="517" width="34" customWidth="1"/>
    <col min="518" max="518" width="1.54296875" customWidth="1"/>
    <col min="519" max="519" width="16" customWidth="1"/>
    <col min="520" max="520" width="1.54296875" customWidth="1"/>
    <col min="521" max="521" width="14" customWidth="1"/>
    <col min="522" max="522" width="1.54296875" customWidth="1"/>
    <col min="523" max="523" width="11.54296875" customWidth="1"/>
    <col min="524" max="524" width="2.54296875" customWidth="1"/>
    <col min="525" max="525" width="35.453125" bestFit="1" customWidth="1"/>
    <col min="526" max="526" width="20.453125" customWidth="1"/>
    <col min="769" max="769" width="4.54296875" customWidth="1"/>
    <col min="770" max="770" width="1.54296875" customWidth="1"/>
    <col min="771" max="771" width="46" customWidth="1"/>
    <col min="772" max="772" width="1.54296875" customWidth="1"/>
    <col min="773" max="773" width="34" customWidth="1"/>
    <col min="774" max="774" width="1.54296875" customWidth="1"/>
    <col min="775" max="775" width="16" customWidth="1"/>
    <col min="776" max="776" width="1.54296875" customWidth="1"/>
    <col min="777" max="777" width="14" customWidth="1"/>
    <col min="778" max="778" width="1.54296875" customWidth="1"/>
    <col min="779" max="779" width="11.54296875" customWidth="1"/>
    <col min="780" max="780" width="2.54296875" customWidth="1"/>
    <col min="781" max="781" width="35.453125" bestFit="1" customWidth="1"/>
    <col min="782" max="782" width="20.453125" customWidth="1"/>
    <col min="1025" max="1025" width="4.54296875" customWidth="1"/>
    <col min="1026" max="1026" width="1.54296875" customWidth="1"/>
    <col min="1027" max="1027" width="46" customWidth="1"/>
    <col min="1028" max="1028" width="1.54296875" customWidth="1"/>
    <col min="1029" max="1029" width="34" customWidth="1"/>
    <col min="1030" max="1030" width="1.54296875" customWidth="1"/>
    <col min="1031" max="1031" width="16" customWidth="1"/>
    <col min="1032" max="1032" width="1.54296875" customWidth="1"/>
    <col min="1033" max="1033" width="14" customWidth="1"/>
    <col min="1034" max="1034" width="1.54296875" customWidth="1"/>
    <col min="1035" max="1035" width="11.54296875" customWidth="1"/>
    <col min="1036" max="1036" width="2.54296875" customWidth="1"/>
    <col min="1037" max="1037" width="35.453125" bestFit="1" customWidth="1"/>
    <col min="1038" max="1038" width="20.453125" customWidth="1"/>
    <col min="1281" max="1281" width="4.54296875" customWidth="1"/>
    <col min="1282" max="1282" width="1.54296875" customWidth="1"/>
    <col min="1283" max="1283" width="46" customWidth="1"/>
    <col min="1284" max="1284" width="1.54296875" customWidth="1"/>
    <col min="1285" max="1285" width="34" customWidth="1"/>
    <col min="1286" max="1286" width="1.54296875" customWidth="1"/>
    <col min="1287" max="1287" width="16" customWidth="1"/>
    <col min="1288" max="1288" width="1.54296875" customWidth="1"/>
    <col min="1289" max="1289" width="14" customWidth="1"/>
    <col min="1290" max="1290" width="1.54296875" customWidth="1"/>
    <col min="1291" max="1291" width="11.54296875" customWidth="1"/>
    <col min="1292" max="1292" width="2.54296875" customWidth="1"/>
    <col min="1293" max="1293" width="35.453125" bestFit="1" customWidth="1"/>
    <col min="1294" max="1294" width="20.453125" customWidth="1"/>
    <col min="1537" max="1537" width="4.54296875" customWidth="1"/>
    <col min="1538" max="1538" width="1.54296875" customWidth="1"/>
    <col min="1539" max="1539" width="46" customWidth="1"/>
    <col min="1540" max="1540" width="1.54296875" customWidth="1"/>
    <col min="1541" max="1541" width="34" customWidth="1"/>
    <col min="1542" max="1542" width="1.54296875" customWidth="1"/>
    <col min="1543" max="1543" width="16" customWidth="1"/>
    <col min="1544" max="1544" width="1.54296875" customWidth="1"/>
    <col min="1545" max="1545" width="14" customWidth="1"/>
    <col min="1546" max="1546" width="1.54296875" customWidth="1"/>
    <col min="1547" max="1547" width="11.54296875" customWidth="1"/>
    <col min="1548" max="1548" width="2.54296875" customWidth="1"/>
    <col min="1549" max="1549" width="35.453125" bestFit="1" customWidth="1"/>
    <col min="1550" max="1550" width="20.453125" customWidth="1"/>
    <col min="1793" max="1793" width="4.54296875" customWidth="1"/>
    <col min="1794" max="1794" width="1.54296875" customWidth="1"/>
    <col min="1795" max="1795" width="46" customWidth="1"/>
    <col min="1796" max="1796" width="1.54296875" customWidth="1"/>
    <col min="1797" max="1797" width="34" customWidth="1"/>
    <col min="1798" max="1798" width="1.54296875" customWidth="1"/>
    <col min="1799" max="1799" width="16" customWidth="1"/>
    <col min="1800" max="1800" width="1.54296875" customWidth="1"/>
    <col min="1801" max="1801" width="14" customWidth="1"/>
    <col min="1802" max="1802" width="1.54296875" customWidth="1"/>
    <col min="1803" max="1803" width="11.54296875" customWidth="1"/>
    <col min="1804" max="1804" width="2.54296875" customWidth="1"/>
    <col min="1805" max="1805" width="35.453125" bestFit="1" customWidth="1"/>
    <col min="1806" max="1806" width="20.453125" customWidth="1"/>
    <col min="2049" max="2049" width="4.54296875" customWidth="1"/>
    <col min="2050" max="2050" width="1.54296875" customWidth="1"/>
    <col min="2051" max="2051" width="46" customWidth="1"/>
    <col min="2052" max="2052" width="1.54296875" customWidth="1"/>
    <col min="2053" max="2053" width="34" customWidth="1"/>
    <col min="2054" max="2054" width="1.54296875" customWidth="1"/>
    <col min="2055" max="2055" width="16" customWidth="1"/>
    <col min="2056" max="2056" width="1.54296875" customWidth="1"/>
    <col min="2057" max="2057" width="14" customWidth="1"/>
    <col min="2058" max="2058" width="1.54296875" customWidth="1"/>
    <col min="2059" max="2059" width="11.54296875" customWidth="1"/>
    <col min="2060" max="2060" width="2.54296875" customWidth="1"/>
    <col min="2061" max="2061" width="35.453125" bestFit="1" customWidth="1"/>
    <col min="2062" max="2062" width="20.453125" customWidth="1"/>
    <col min="2305" max="2305" width="4.54296875" customWidth="1"/>
    <col min="2306" max="2306" width="1.54296875" customWidth="1"/>
    <col min="2307" max="2307" width="46" customWidth="1"/>
    <col min="2308" max="2308" width="1.54296875" customWidth="1"/>
    <col min="2309" max="2309" width="34" customWidth="1"/>
    <col min="2310" max="2310" width="1.54296875" customWidth="1"/>
    <col min="2311" max="2311" width="16" customWidth="1"/>
    <col min="2312" max="2312" width="1.54296875" customWidth="1"/>
    <col min="2313" max="2313" width="14" customWidth="1"/>
    <col min="2314" max="2314" width="1.54296875" customWidth="1"/>
    <col min="2315" max="2315" width="11.54296875" customWidth="1"/>
    <col min="2316" max="2316" width="2.54296875" customWidth="1"/>
    <col min="2317" max="2317" width="35.453125" bestFit="1" customWidth="1"/>
    <col min="2318" max="2318" width="20.453125" customWidth="1"/>
    <col min="2561" max="2561" width="4.54296875" customWidth="1"/>
    <col min="2562" max="2562" width="1.54296875" customWidth="1"/>
    <col min="2563" max="2563" width="46" customWidth="1"/>
    <col min="2564" max="2564" width="1.54296875" customWidth="1"/>
    <col min="2565" max="2565" width="34" customWidth="1"/>
    <col min="2566" max="2566" width="1.54296875" customWidth="1"/>
    <col min="2567" max="2567" width="16" customWidth="1"/>
    <col min="2568" max="2568" width="1.54296875" customWidth="1"/>
    <col min="2569" max="2569" width="14" customWidth="1"/>
    <col min="2570" max="2570" width="1.54296875" customWidth="1"/>
    <col min="2571" max="2571" width="11.54296875" customWidth="1"/>
    <col min="2572" max="2572" width="2.54296875" customWidth="1"/>
    <col min="2573" max="2573" width="35.453125" bestFit="1" customWidth="1"/>
    <col min="2574" max="2574" width="20.453125" customWidth="1"/>
    <col min="2817" max="2817" width="4.54296875" customWidth="1"/>
    <col min="2818" max="2818" width="1.54296875" customWidth="1"/>
    <col min="2819" max="2819" width="46" customWidth="1"/>
    <col min="2820" max="2820" width="1.54296875" customWidth="1"/>
    <col min="2821" max="2821" width="34" customWidth="1"/>
    <col min="2822" max="2822" width="1.54296875" customWidth="1"/>
    <col min="2823" max="2823" width="16" customWidth="1"/>
    <col min="2824" max="2824" width="1.54296875" customWidth="1"/>
    <col min="2825" max="2825" width="14" customWidth="1"/>
    <col min="2826" max="2826" width="1.54296875" customWidth="1"/>
    <col min="2827" max="2827" width="11.54296875" customWidth="1"/>
    <col min="2828" max="2828" width="2.54296875" customWidth="1"/>
    <col min="2829" max="2829" width="35.453125" bestFit="1" customWidth="1"/>
    <col min="2830" max="2830" width="20.453125" customWidth="1"/>
    <col min="3073" max="3073" width="4.54296875" customWidth="1"/>
    <col min="3074" max="3074" width="1.54296875" customWidth="1"/>
    <col min="3075" max="3075" width="46" customWidth="1"/>
    <col min="3076" max="3076" width="1.54296875" customWidth="1"/>
    <col min="3077" max="3077" width="34" customWidth="1"/>
    <col min="3078" max="3078" width="1.54296875" customWidth="1"/>
    <col min="3079" max="3079" width="16" customWidth="1"/>
    <col min="3080" max="3080" width="1.54296875" customWidth="1"/>
    <col min="3081" max="3081" width="14" customWidth="1"/>
    <col min="3082" max="3082" width="1.54296875" customWidth="1"/>
    <col min="3083" max="3083" width="11.54296875" customWidth="1"/>
    <col min="3084" max="3084" width="2.54296875" customWidth="1"/>
    <col min="3085" max="3085" width="35.453125" bestFit="1" customWidth="1"/>
    <col min="3086" max="3086" width="20.453125" customWidth="1"/>
    <col min="3329" max="3329" width="4.54296875" customWidth="1"/>
    <col min="3330" max="3330" width="1.54296875" customWidth="1"/>
    <col min="3331" max="3331" width="46" customWidth="1"/>
    <col min="3332" max="3332" width="1.54296875" customWidth="1"/>
    <col min="3333" max="3333" width="34" customWidth="1"/>
    <col min="3334" max="3334" width="1.54296875" customWidth="1"/>
    <col min="3335" max="3335" width="16" customWidth="1"/>
    <col min="3336" max="3336" width="1.54296875" customWidth="1"/>
    <col min="3337" max="3337" width="14" customWidth="1"/>
    <col min="3338" max="3338" width="1.54296875" customWidth="1"/>
    <col min="3339" max="3339" width="11.54296875" customWidth="1"/>
    <col min="3340" max="3340" width="2.54296875" customWidth="1"/>
    <col min="3341" max="3341" width="35.453125" bestFit="1" customWidth="1"/>
    <col min="3342" max="3342" width="20.453125" customWidth="1"/>
    <col min="3585" max="3585" width="4.54296875" customWidth="1"/>
    <col min="3586" max="3586" width="1.54296875" customWidth="1"/>
    <col min="3587" max="3587" width="46" customWidth="1"/>
    <col min="3588" max="3588" width="1.54296875" customWidth="1"/>
    <col min="3589" max="3589" width="34" customWidth="1"/>
    <col min="3590" max="3590" width="1.54296875" customWidth="1"/>
    <col min="3591" max="3591" width="16" customWidth="1"/>
    <col min="3592" max="3592" width="1.54296875" customWidth="1"/>
    <col min="3593" max="3593" width="14" customWidth="1"/>
    <col min="3594" max="3594" width="1.54296875" customWidth="1"/>
    <col min="3595" max="3595" width="11.54296875" customWidth="1"/>
    <col min="3596" max="3596" width="2.54296875" customWidth="1"/>
    <col min="3597" max="3597" width="35.453125" bestFit="1" customWidth="1"/>
    <col min="3598" max="3598" width="20.453125" customWidth="1"/>
    <col min="3841" max="3841" width="4.54296875" customWidth="1"/>
    <col min="3842" max="3842" width="1.54296875" customWidth="1"/>
    <col min="3843" max="3843" width="46" customWidth="1"/>
    <col min="3844" max="3844" width="1.54296875" customWidth="1"/>
    <col min="3845" max="3845" width="34" customWidth="1"/>
    <col min="3846" max="3846" width="1.54296875" customWidth="1"/>
    <col min="3847" max="3847" width="16" customWidth="1"/>
    <col min="3848" max="3848" width="1.54296875" customWidth="1"/>
    <col min="3849" max="3849" width="14" customWidth="1"/>
    <col min="3850" max="3850" width="1.54296875" customWidth="1"/>
    <col min="3851" max="3851" width="11.54296875" customWidth="1"/>
    <col min="3852" max="3852" width="2.54296875" customWidth="1"/>
    <col min="3853" max="3853" width="35.453125" bestFit="1" customWidth="1"/>
    <col min="3854" max="3854" width="20.453125" customWidth="1"/>
    <col min="4097" max="4097" width="4.54296875" customWidth="1"/>
    <col min="4098" max="4098" width="1.54296875" customWidth="1"/>
    <col min="4099" max="4099" width="46" customWidth="1"/>
    <col min="4100" max="4100" width="1.54296875" customWidth="1"/>
    <col min="4101" max="4101" width="34" customWidth="1"/>
    <col min="4102" max="4102" width="1.54296875" customWidth="1"/>
    <col min="4103" max="4103" width="16" customWidth="1"/>
    <col min="4104" max="4104" width="1.54296875" customWidth="1"/>
    <col min="4105" max="4105" width="14" customWidth="1"/>
    <col min="4106" max="4106" width="1.54296875" customWidth="1"/>
    <col min="4107" max="4107" width="11.54296875" customWidth="1"/>
    <col min="4108" max="4108" width="2.54296875" customWidth="1"/>
    <col min="4109" max="4109" width="35.453125" bestFit="1" customWidth="1"/>
    <col min="4110" max="4110" width="20.453125" customWidth="1"/>
    <col min="4353" max="4353" width="4.54296875" customWidth="1"/>
    <col min="4354" max="4354" width="1.54296875" customWidth="1"/>
    <col min="4355" max="4355" width="46" customWidth="1"/>
    <col min="4356" max="4356" width="1.54296875" customWidth="1"/>
    <col min="4357" max="4357" width="34" customWidth="1"/>
    <col min="4358" max="4358" width="1.54296875" customWidth="1"/>
    <col min="4359" max="4359" width="16" customWidth="1"/>
    <col min="4360" max="4360" width="1.54296875" customWidth="1"/>
    <col min="4361" max="4361" width="14" customWidth="1"/>
    <col min="4362" max="4362" width="1.54296875" customWidth="1"/>
    <col min="4363" max="4363" width="11.54296875" customWidth="1"/>
    <col min="4364" max="4364" width="2.54296875" customWidth="1"/>
    <col min="4365" max="4365" width="35.453125" bestFit="1" customWidth="1"/>
    <col min="4366" max="4366" width="20.453125" customWidth="1"/>
    <col min="4609" max="4609" width="4.54296875" customWidth="1"/>
    <col min="4610" max="4610" width="1.54296875" customWidth="1"/>
    <col min="4611" max="4611" width="46" customWidth="1"/>
    <col min="4612" max="4612" width="1.54296875" customWidth="1"/>
    <col min="4613" max="4613" width="34" customWidth="1"/>
    <col min="4614" max="4614" width="1.54296875" customWidth="1"/>
    <col min="4615" max="4615" width="16" customWidth="1"/>
    <col min="4616" max="4616" width="1.54296875" customWidth="1"/>
    <col min="4617" max="4617" width="14" customWidth="1"/>
    <col min="4618" max="4618" width="1.54296875" customWidth="1"/>
    <col min="4619" max="4619" width="11.54296875" customWidth="1"/>
    <col min="4620" max="4620" width="2.54296875" customWidth="1"/>
    <col min="4621" max="4621" width="35.453125" bestFit="1" customWidth="1"/>
    <col min="4622" max="4622" width="20.453125" customWidth="1"/>
    <col min="4865" max="4865" width="4.54296875" customWidth="1"/>
    <col min="4866" max="4866" width="1.54296875" customWidth="1"/>
    <col min="4867" max="4867" width="46" customWidth="1"/>
    <col min="4868" max="4868" width="1.54296875" customWidth="1"/>
    <col min="4869" max="4869" width="34" customWidth="1"/>
    <col min="4870" max="4870" width="1.54296875" customWidth="1"/>
    <col min="4871" max="4871" width="16" customWidth="1"/>
    <col min="4872" max="4872" width="1.54296875" customWidth="1"/>
    <col min="4873" max="4873" width="14" customWidth="1"/>
    <col min="4874" max="4874" width="1.54296875" customWidth="1"/>
    <col min="4875" max="4875" width="11.54296875" customWidth="1"/>
    <col min="4876" max="4876" width="2.54296875" customWidth="1"/>
    <col min="4877" max="4877" width="35.453125" bestFit="1" customWidth="1"/>
    <col min="4878" max="4878" width="20.453125" customWidth="1"/>
    <col min="5121" max="5121" width="4.54296875" customWidth="1"/>
    <col min="5122" max="5122" width="1.54296875" customWidth="1"/>
    <col min="5123" max="5123" width="46" customWidth="1"/>
    <col min="5124" max="5124" width="1.54296875" customWidth="1"/>
    <col min="5125" max="5125" width="34" customWidth="1"/>
    <col min="5126" max="5126" width="1.54296875" customWidth="1"/>
    <col min="5127" max="5127" width="16" customWidth="1"/>
    <col min="5128" max="5128" width="1.54296875" customWidth="1"/>
    <col min="5129" max="5129" width="14" customWidth="1"/>
    <col min="5130" max="5130" width="1.54296875" customWidth="1"/>
    <col min="5131" max="5131" width="11.54296875" customWidth="1"/>
    <col min="5132" max="5132" width="2.54296875" customWidth="1"/>
    <col min="5133" max="5133" width="35.453125" bestFit="1" customWidth="1"/>
    <col min="5134" max="5134" width="20.453125" customWidth="1"/>
    <col min="5377" max="5377" width="4.54296875" customWidth="1"/>
    <col min="5378" max="5378" width="1.54296875" customWidth="1"/>
    <col min="5379" max="5379" width="46" customWidth="1"/>
    <col min="5380" max="5380" width="1.54296875" customWidth="1"/>
    <col min="5381" max="5381" width="34" customWidth="1"/>
    <col min="5382" max="5382" width="1.54296875" customWidth="1"/>
    <col min="5383" max="5383" width="16" customWidth="1"/>
    <col min="5384" max="5384" width="1.54296875" customWidth="1"/>
    <col min="5385" max="5385" width="14" customWidth="1"/>
    <col min="5386" max="5386" width="1.54296875" customWidth="1"/>
    <col min="5387" max="5387" width="11.54296875" customWidth="1"/>
    <col min="5388" max="5388" width="2.54296875" customWidth="1"/>
    <col min="5389" max="5389" width="35.453125" bestFit="1" customWidth="1"/>
    <col min="5390" max="5390" width="20.453125" customWidth="1"/>
    <col min="5633" max="5633" width="4.54296875" customWidth="1"/>
    <col min="5634" max="5634" width="1.54296875" customWidth="1"/>
    <col min="5635" max="5635" width="46" customWidth="1"/>
    <col min="5636" max="5636" width="1.54296875" customWidth="1"/>
    <col min="5637" max="5637" width="34" customWidth="1"/>
    <col min="5638" max="5638" width="1.54296875" customWidth="1"/>
    <col min="5639" max="5639" width="16" customWidth="1"/>
    <col min="5640" max="5640" width="1.54296875" customWidth="1"/>
    <col min="5641" max="5641" width="14" customWidth="1"/>
    <col min="5642" max="5642" width="1.54296875" customWidth="1"/>
    <col min="5643" max="5643" width="11.54296875" customWidth="1"/>
    <col min="5644" max="5644" width="2.54296875" customWidth="1"/>
    <col min="5645" max="5645" width="35.453125" bestFit="1" customWidth="1"/>
    <col min="5646" max="5646" width="20.453125" customWidth="1"/>
    <col min="5889" max="5889" width="4.54296875" customWidth="1"/>
    <col min="5890" max="5890" width="1.54296875" customWidth="1"/>
    <col min="5891" max="5891" width="46" customWidth="1"/>
    <col min="5892" max="5892" width="1.54296875" customWidth="1"/>
    <col min="5893" max="5893" width="34" customWidth="1"/>
    <col min="5894" max="5894" width="1.54296875" customWidth="1"/>
    <col min="5895" max="5895" width="16" customWidth="1"/>
    <col min="5896" max="5896" width="1.54296875" customWidth="1"/>
    <col min="5897" max="5897" width="14" customWidth="1"/>
    <col min="5898" max="5898" width="1.54296875" customWidth="1"/>
    <col min="5899" max="5899" width="11.54296875" customWidth="1"/>
    <col min="5900" max="5900" width="2.54296875" customWidth="1"/>
    <col min="5901" max="5901" width="35.453125" bestFit="1" customWidth="1"/>
    <col min="5902" max="5902" width="20.453125" customWidth="1"/>
    <col min="6145" max="6145" width="4.54296875" customWidth="1"/>
    <col min="6146" max="6146" width="1.54296875" customWidth="1"/>
    <col min="6147" max="6147" width="46" customWidth="1"/>
    <col min="6148" max="6148" width="1.54296875" customWidth="1"/>
    <col min="6149" max="6149" width="34" customWidth="1"/>
    <col min="6150" max="6150" width="1.54296875" customWidth="1"/>
    <col min="6151" max="6151" width="16" customWidth="1"/>
    <col min="6152" max="6152" width="1.54296875" customWidth="1"/>
    <col min="6153" max="6153" width="14" customWidth="1"/>
    <col min="6154" max="6154" width="1.54296875" customWidth="1"/>
    <col min="6155" max="6155" width="11.54296875" customWidth="1"/>
    <col min="6156" max="6156" width="2.54296875" customWidth="1"/>
    <col min="6157" max="6157" width="35.453125" bestFit="1" customWidth="1"/>
    <col min="6158" max="6158" width="20.453125" customWidth="1"/>
    <col min="6401" max="6401" width="4.54296875" customWidth="1"/>
    <col min="6402" max="6402" width="1.54296875" customWidth="1"/>
    <col min="6403" max="6403" width="46" customWidth="1"/>
    <col min="6404" max="6404" width="1.54296875" customWidth="1"/>
    <col min="6405" max="6405" width="34" customWidth="1"/>
    <col min="6406" max="6406" width="1.54296875" customWidth="1"/>
    <col min="6407" max="6407" width="16" customWidth="1"/>
    <col min="6408" max="6408" width="1.54296875" customWidth="1"/>
    <col min="6409" max="6409" width="14" customWidth="1"/>
    <col min="6410" max="6410" width="1.54296875" customWidth="1"/>
    <col min="6411" max="6411" width="11.54296875" customWidth="1"/>
    <col min="6412" max="6412" width="2.54296875" customWidth="1"/>
    <col min="6413" max="6413" width="35.453125" bestFit="1" customWidth="1"/>
    <col min="6414" max="6414" width="20.453125" customWidth="1"/>
    <col min="6657" max="6657" width="4.54296875" customWidth="1"/>
    <col min="6658" max="6658" width="1.54296875" customWidth="1"/>
    <col min="6659" max="6659" width="46" customWidth="1"/>
    <col min="6660" max="6660" width="1.54296875" customWidth="1"/>
    <col min="6661" max="6661" width="34" customWidth="1"/>
    <col min="6662" max="6662" width="1.54296875" customWidth="1"/>
    <col min="6663" max="6663" width="16" customWidth="1"/>
    <col min="6664" max="6664" width="1.54296875" customWidth="1"/>
    <col min="6665" max="6665" width="14" customWidth="1"/>
    <col min="6666" max="6666" width="1.54296875" customWidth="1"/>
    <col min="6667" max="6667" width="11.54296875" customWidth="1"/>
    <col min="6668" max="6668" width="2.54296875" customWidth="1"/>
    <col min="6669" max="6669" width="35.453125" bestFit="1" customWidth="1"/>
    <col min="6670" max="6670" width="20.453125" customWidth="1"/>
    <col min="6913" max="6913" width="4.54296875" customWidth="1"/>
    <col min="6914" max="6914" width="1.54296875" customWidth="1"/>
    <col min="6915" max="6915" width="46" customWidth="1"/>
    <col min="6916" max="6916" width="1.54296875" customWidth="1"/>
    <col min="6917" max="6917" width="34" customWidth="1"/>
    <col min="6918" max="6918" width="1.54296875" customWidth="1"/>
    <col min="6919" max="6919" width="16" customWidth="1"/>
    <col min="6920" max="6920" width="1.54296875" customWidth="1"/>
    <col min="6921" max="6921" width="14" customWidth="1"/>
    <col min="6922" max="6922" width="1.54296875" customWidth="1"/>
    <col min="6923" max="6923" width="11.54296875" customWidth="1"/>
    <col min="6924" max="6924" width="2.54296875" customWidth="1"/>
    <col min="6925" max="6925" width="35.453125" bestFit="1" customWidth="1"/>
    <col min="6926" max="6926" width="20.453125" customWidth="1"/>
    <col min="7169" max="7169" width="4.54296875" customWidth="1"/>
    <col min="7170" max="7170" width="1.54296875" customWidth="1"/>
    <col min="7171" max="7171" width="46" customWidth="1"/>
    <col min="7172" max="7172" width="1.54296875" customWidth="1"/>
    <col min="7173" max="7173" width="34" customWidth="1"/>
    <col min="7174" max="7174" width="1.54296875" customWidth="1"/>
    <col min="7175" max="7175" width="16" customWidth="1"/>
    <col min="7176" max="7176" width="1.54296875" customWidth="1"/>
    <col min="7177" max="7177" width="14" customWidth="1"/>
    <col min="7178" max="7178" width="1.54296875" customWidth="1"/>
    <col min="7179" max="7179" width="11.54296875" customWidth="1"/>
    <col min="7180" max="7180" width="2.54296875" customWidth="1"/>
    <col min="7181" max="7181" width="35.453125" bestFit="1" customWidth="1"/>
    <col min="7182" max="7182" width="20.453125" customWidth="1"/>
    <col min="7425" max="7425" width="4.54296875" customWidth="1"/>
    <col min="7426" max="7426" width="1.54296875" customWidth="1"/>
    <col min="7427" max="7427" width="46" customWidth="1"/>
    <col min="7428" max="7428" width="1.54296875" customWidth="1"/>
    <col min="7429" max="7429" width="34" customWidth="1"/>
    <col min="7430" max="7430" width="1.54296875" customWidth="1"/>
    <col min="7431" max="7431" width="16" customWidth="1"/>
    <col min="7432" max="7432" width="1.54296875" customWidth="1"/>
    <col min="7433" max="7433" width="14" customWidth="1"/>
    <col min="7434" max="7434" width="1.54296875" customWidth="1"/>
    <col min="7435" max="7435" width="11.54296875" customWidth="1"/>
    <col min="7436" max="7436" width="2.54296875" customWidth="1"/>
    <col min="7437" max="7437" width="35.453125" bestFit="1" customWidth="1"/>
    <col min="7438" max="7438" width="20.453125" customWidth="1"/>
    <col min="7681" max="7681" width="4.54296875" customWidth="1"/>
    <col min="7682" max="7682" width="1.54296875" customWidth="1"/>
    <col min="7683" max="7683" width="46" customWidth="1"/>
    <col min="7684" max="7684" width="1.54296875" customWidth="1"/>
    <col min="7685" max="7685" width="34" customWidth="1"/>
    <col min="7686" max="7686" width="1.54296875" customWidth="1"/>
    <col min="7687" max="7687" width="16" customWidth="1"/>
    <col min="7688" max="7688" width="1.54296875" customWidth="1"/>
    <col min="7689" max="7689" width="14" customWidth="1"/>
    <col min="7690" max="7690" width="1.54296875" customWidth="1"/>
    <col min="7691" max="7691" width="11.54296875" customWidth="1"/>
    <col min="7692" max="7692" width="2.54296875" customWidth="1"/>
    <col min="7693" max="7693" width="35.453125" bestFit="1" customWidth="1"/>
    <col min="7694" max="7694" width="20.453125" customWidth="1"/>
    <col min="7937" max="7937" width="4.54296875" customWidth="1"/>
    <col min="7938" max="7938" width="1.54296875" customWidth="1"/>
    <col min="7939" max="7939" width="46" customWidth="1"/>
    <col min="7940" max="7940" width="1.54296875" customWidth="1"/>
    <col min="7941" max="7941" width="34" customWidth="1"/>
    <col min="7942" max="7942" width="1.54296875" customWidth="1"/>
    <col min="7943" max="7943" width="16" customWidth="1"/>
    <col min="7944" max="7944" width="1.54296875" customWidth="1"/>
    <col min="7945" max="7945" width="14" customWidth="1"/>
    <col min="7946" max="7946" width="1.54296875" customWidth="1"/>
    <col min="7947" max="7947" width="11.54296875" customWidth="1"/>
    <col min="7948" max="7948" width="2.54296875" customWidth="1"/>
    <col min="7949" max="7949" width="35.453125" bestFit="1" customWidth="1"/>
    <col min="7950" max="7950" width="20.453125" customWidth="1"/>
    <col min="8193" max="8193" width="4.54296875" customWidth="1"/>
    <col min="8194" max="8194" width="1.54296875" customWidth="1"/>
    <col min="8195" max="8195" width="46" customWidth="1"/>
    <col min="8196" max="8196" width="1.54296875" customWidth="1"/>
    <col min="8197" max="8197" width="34" customWidth="1"/>
    <col min="8198" max="8198" width="1.54296875" customWidth="1"/>
    <col min="8199" max="8199" width="16" customWidth="1"/>
    <col min="8200" max="8200" width="1.54296875" customWidth="1"/>
    <col min="8201" max="8201" width="14" customWidth="1"/>
    <col min="8202" max="8202" width="1.54296875" customWidth="1"/>
    <col min="8203" max="8203" width="11.54296875" customWidth="1"/>
    <col min="8204" max="8204" width="2.54296875" customWidth="1"/>
    <col min="8205" max="8205" width="35.453125" bestFit="1" customWidth="1"/>
    <col min="8206" max="8206" width="20.453125" customWidth="1"/>
    <col min="8449" max="8449" width="4.54296875" customWidth="1"/>
    <col min="8450" max="8450" width="1.54296875" customWidth="1"/>
    <col min="8451" max="8451" width="46" customWidth="1"/>
    <col min="8452" max="8452" width="1.54296875" customWidth="1"/>
    <col min="8453" max="8453" width="34" customWidth="1"/>
    <col min="8454" max="8454" width="1.54296875" customWidth="1"/>
    <col min="8455" max="8455" width="16" customWidth="1"/>
    <col min="8456" max="8456" width="1.54296875" customWidth="1"/>
    <col min="8457" max="8457" width="14" customWidth="1"/>
    <col min="8458" max="8458" width="1.54296875" customWidth="1"/>
    <col min="8459" max="8459" width="11.54296875" customWidth="1"/>
    <col min="8460" max="8460" width="2.54296875" customWidth="1"/>
    <col min="8461" max="8461" width="35.453125" bestFit="1" customWidth="1"/>
    <col min="8462" max="8462" width="20.453125" customWidth="1"/>
    <col min="8705" max="8705" width="4.54296875" customWidth="1"/>
    <col min="8706" max="8706" width="1.54296875" customWidth="1"/>
    <col min="8707" max="8707" width="46" customWidth="1"/>
    <col min="8708" max="8708" width="1.54296875" customWidth="1"/>
    <col min="8709" max="8709" width="34" customWidth="1"/>
    <col min="8710" max="8710" width="1.54296875" customWidth="1"/>
    <col min="8711" max="8711" width="16" customWidth="1"/>
    <col min="8712" max="8712" width="1.54296875" customWidth="1"/>
    <col min="8713" max="8713" width="14" customWidth="1"/>
    <col min="8714" max="8714" width="1.54296875" customWidth="1"/>
    <col min="8715" max="8715" width="11.54296875" customWidth="1"/>
    <col min="8716" max="8716" width="2.54296875" customWidth="1"/>
    <col min="8717" max="8717" width="35.453125" bestFit="1" customWidth="1"/>
    <col min="8718" max="8718" width="20.453125" customWidth="1"/>
    <col min="8961" max="8961" width="4.54296875" customWidth="1"/>
    <col min="8962" max="8962" width="1.54296875" customWidth="1"/>
    <col min="8963" max="8963" width="46" customWidth="1"/>
    <col min="8964" max="8964" width="1.54296875" customWidth="1"/>
    <col min="8965" max="8965" width="34" customWidth="1"/>
    <col min="8966" max="8966" width="1.54296875" customWidth="1"/>
    <col min="8967" max="8967" width="16" customWidth="1"/>
    <col min="8968" max="8968" width="1.54296875" customWidth="1"/>
    <col min="8969" max="8969" width="14" customWidth="1"/>
    <col min="8970" max="8970" width="1.54296875" customWidth="1"/>
    <col min="8971" max="8971" width="11.54296875" customWidth="1"/>
    <col min="8972" max="8972" width="2.54296875" customWidth="1"/>
    <col min="8973" max="8973" width="35.453125" bestFit="1" customWidth="1"/>
    <col min="8974" max="8974" width="20.453125" customWidth="1"/>
    <col min="9217" max="9217" width="4.54296875" customWidth="1"/>
    <col min="9218" max="9218" width="1.54296875" customWidth="1"/>
    <col min="9219" max="9219" width="46" customWidth="1"/>
    <col min="9220" max="9220" width="1.54296875" customWidth="1"/>
    <col min="9221" max="9221" width="34" customWidth="1"/>
    <col min="9222" max="9222" width="1.54296875" customWidth="1"/>
    <col min="9223" max="9223" width="16" customWidth="1"/>
    <col min="9224" max="9224" width="1.54296875" customWidth="1"/>
    <col min="9225" max="9225" width="14" customWidth="1"/>
    <col min="9226" max="9226" width="1.54296875" customWidth="1"/>
    <col min="9227" max="9227" width="11.54296875" customWidth="1"/>
    <col min="9228" max="9228" width="2.54296875" customWidth="1"/>
    <col min="9229" max="9229" width="35.453125" bestFit="1" customWidth="1"/>
    <col min="9230" max="9230" width="20.453125" customWidth="1"/>
    <col min="9473" max="9473" width="4.54296875" customWidth="1"/>
    <col min="9474" max="9474" width="1.54296875" customWidth="1"/>
    <col min="9475" max="9475" width="46" customWidth="1"/>
    <col min="9476" max="9476" width="1.54296875" customWidth="1"/>
    <col min="9477" max="9477" width="34" customWidth="1"/>
    <col min="9478" max="9478" width="1.54296875" customWidth="1"/>
    <col min="9479" max="9479" width="16" customWidth="1"/>
    <col min="9480" max="9480" width="1.54296875" customWidth="1"/>
    <col min="9481" max="9481" width="14" customWidth="1"/>
    <col min="9482" max="9482" width="1.54296875" customWidth="1"/>
    <col min="9483" max="9483" width="11.54296875" customWidth="1"/>
    <col min="9484" max="9484" width="2.54296875" customWidth="1"/>
    <col min="9485" max="9485" width="35.453125" bestFit="1" customWidth="1"/>
    <col min="9486" max="9486" width="20.453125" customWidth="1"/>
    <col min="9729" max="9729" width="4.54296875" customWidth="1"/>
    <col min="9730" max="9730" width="1.54296875" customWidth="1"/>
    <col min="9731" max="9731" width="46" customWidth="1"/>
    <col min="9732" max="9732" width="1.54296875" customWidth="1"/>
    <col min="9733" max="9733" width="34" customWidth="1"/>
    <col min="9734" max="9734" width="1.54296875" customWidth="1"/>
    <col min="9735" max="9735" width="16" customWidth="1"/>
    <col min="9736" max="9736" width="1.54296875" customWidth="1"/>
    <col min="9737" max="9737" width="14" customWidth="1"/>
    <col min="9738" max="9738" width="1.54296875" customWidth="1"/>
    <col min="9739" max="9739" width="11.54296875" customWidth="1"/>
    <col min="9740" max="9740" width="2.54296875" customWidth="1"/>
    <col min="9741" max="9741" width="35.453125" bestFit="1" customWidth="1"/>
    <col min="9742" max="9742" width="20.453125" customWidth="1"/>
    <col min="9985" max="9985" width="4.54296875" customWidth="1"/>
    <col min="9986" max="9986" width="1.54296875" customWidth="1"/>
    <col min="9987" max="9987" width="46" customWidth="1"/>
    <col min="9988" max="9988" width="1.54296875" customWidth="1"/>
    <col min="9989" max="9989" width="34" customWidth="1"/>
    <col min="9990" max="9990" width="1.54296875" customWidth="1"/>
    <col min="9991" max="9991" width="16" customWidth="1"/>
    <col min="9992" max="9992" width="1.54296875" customWidth="1"/>
    <col min="9993" max="9993" width="14" customWidth="1"/>
    <col min="9994" max="9994" width="1.54296875" customWidth="1"/>
    <col min="9995" max="9995" width="11.54296875" customWidth="1"/>
    <col min="9996" max="9996" width="2.54296875" customWidth="1"/>
    <col min="9997" max="9997" width="35.453125" bestFit="1" customWidth="1"/>
    <col min="9998" max="9998" width="20.453125" customWidth="1"/>
    <col min="10241" max="10241" width="4.54296875" customWidth="1"/>
    <col min="10242" max="10242" width="1.54296875" customWidth="1"/>
    <col min="10243" max="10243" width="46" customWidth="1"/>
    <col min="10244" max="10244" width="1.54296875" customWidth="1"/>
    <col min="10245" max="10245" width="34" customWidth="1"/>
    <col min="10246" max="10246" width="1.54296875" customWidth="1"/>
    <col min="10247" max="10247" width="16" customWidth="1"/>
    <col min="10248" max="10248" width="1.54296875" customWidth="1"/>
    <col min="10249" max="10249" width="14" customWidth="1"/>
    <col min="10250" max="10250" width="1.54296875" customWidth="1"/>
    <col min="10251" max="10251" width="11.54296875" customWidth="1"/>
    <col min="10252" max="10252" width="2.54296875" customWidth="1"/>
    <col min="10253" max="10253" width="35.453125" bestFit="1" customWidth="1"/>
    <col min="10254" max="10254" width="20.453125" customWidth="1"/>
    <col min="10497" max="10497" width="4.54296875" customWidth="1"/>
    <col min="10498" max="10498" width="1.54296875" customWidth="1"/>
    <col min="10499" max="10499" width="46" customWidth="1"/>
    <col min="10500" max="10500" width="1.54296875" customWidth="1"/>
    <col min="10501" max="10501" width="34" customWidth="1"/>
    <col min="10502" max="10502" width="1.54296875" customWidth="1"/>
    <col min="10503" max="10503" width="16" customWidth="1"/>
    <col min="10504" max="10504" width="1.54296875" customWidth="1"/>
    <col min="10505" max="10505" width="14" customWidth="1"/>
    <col min="10506" max="10506" width="1.54296875" customWidth="1"/>
    <col min="10507" max="10507" width="11.54296875" customWidth="1"/>
    <col min="10508" max="10508" width="2.54296875" customWidth="1"/>
    <col min="10509" max="10509" width="35.453125" bestFit="1" customWidth="1"/>
    <col min="10510" max="10510" width="20.453125" customWidth="1"/>
    <col min="10753" max="10753" width="4.54296875" customWidth="1"/>
    <col min="10754" max="10754" width="1.54296875" customWidth="1"/>
    <col min="10755" max="10755" width="46" customWidth="1"/>
    <col min="10756" max="10756" width="1.54296875" customWidth="1"/>
    <col min="10757" max="10757" width="34" customWidth="1"/>
    <col min="10758" max="10758" width="1.54296875" customWidth="1"/>
    <col min="10759" max="10759" width="16" customWidth="1"/>
    <col min="10760" max="10760" width="1.54296875" customWidth="1"/>
    <col min="10761" max="10761" width="14" customWidth="1"/>
    <col min="10762" max="10762" width="1.54296875" customWidth="1"/>
    <col min="10763" max="10763" width="11.54296875" customWidth="1"/>
    <col min="10764" max="10764" width="2.54296875" customWidth="1"/>
    <col min="10765" max="10765" width="35.453125" bestFit="1" customWidth="1"/>
    <col min="10766" max="10766" width="20.453125" customWidth="1"/>
    <col min="11009" max="11009" width="4.54296875" customWidth="1"/>
    <col min="11010" max="11010" width="1.54296875" customWidth="1"/>
    <col min="11011" max="11011" width="46" customWidth="1"/>
    <col min="11012" max="11012" width="1.54296875" customWidth="1"/>
    <col min="11013" max="11013" width="34" customWidth="1"/>
    <col min="11014" max="11014" width="1.54296875" customWidth="1"/>
    <col min="11015" max="11015" width="16" customWidth="1"/>
    <col min="11016" max="11016" width="1.54296875" customWidth="1"/>
    <col min="11017" max="11017" width="14" customWidth="1"/>
    <col min="11018" max="11018" width="1.54296875" customWidth="1"/>
    <col min="11019" max="11019" width="11.54296875" customWidth="1"/>
    <col min="11020" max="11020" width="2.54296875" customWidth="1"/>
    <col min="11021" max="11021" width="35.453125" bestFit="1" customWidth="1"/>
    <col min="11022" max="11022" width="20.453125" customWidth="1"/>
    <col min="11265" max="11265" width="4.54296875" customWidth="1"/>
    <col min="11266" max="11266" width="1.54296875" customWidth="1"/>
    <col min="11267" max="11267" width="46" customWidth="1"/>
    <col min="11268" max="11268" width="1.54296875" customWidth="1"/>
    <col min="11269" max="11269" width="34" customWidth="1"/>
    <col min="11270" max="11270" width="1.54296875" customWidth="1"/>
    <col min="11271" max="11271" width="16" customWidth="1"/>
    <col min="11272" max="11272" width="1.54296875" customWidth="1"/>
    <col min="11273" max="11273" width="14" customWidth="1"/>
    <col min="11274" max="11274" width="1.54296875" customWidth="1"/>
    <col min="11275" max="11275" width="11.54296875" customWidth="1"/>
    <col min="11276" max="11276" width="2.54296875" customWidth="1"/>
    <col min="11277" max="11277" width="35.453125" bestFit="1" customWidth="1"/>
    <col min="11278" max="11278" width="20.453125" customWidth="1"/>
    <col min="11521" max="11521" width="4.54296875" customWidth="1"/>
    <col min="11522" max="11522" width="1.54296875" customWidth="1"/>
    <col min="11523" max="11523" width="46" customWidth="1"/>
    <col min="11524" max="11524" width="1.54296875" customWidth="1"/>
    <col min="11525" max="11525" width="34" customWidth="1"/>
    <col min="11526" max="11526" width="1.54296875" customWidth="1"/>
    <col min="11527" max="11527" width="16" customWidth="1"/>
    <col min="11528" max="11528" width="1.54296875" customWidth="1"/>
    <col min="11529" max="11529" width="14" customWidth="1"/>
    <col min="11530" max="11530" width="1.54296875" customWidth="1"/>
    <col min="11531" max="11531" width="11.54296875" customWidth="1"/>
    <col min="11532" max="11532" width="2.54296875" customWidth="1"/>
    <col min="11533" max="11533" width="35.453125" bestFit="1" customWidth="1"/>
    <col min="11534" max="11534" width="20.453125" customWidth="1"/>
    <col min="11777" max="11777" width="4.54296875" customWidth="1"/>
    <col min="11778" max="11778" width="1.54296875" customWidth="1"/>
    <col min="11779" max="11779" width="46" customWidth="1"/>
    <col min="11780" max="11780" width="1.54296875" customWidth="1"/>
    <col min="11781" max="11781" width="34" customWidth="1"/>
    <col min="11782" max="11782" width="1.54296875" customWidth="1"/>
    <col min="11783" max="11783" width="16" customWidth="1"/>
    <col min="11784" max="11784" width="1.54296875" customWidth="1"/>
    <col min="11785" max="11785" width="14" customWidth="1"/>
    <col min="11786" max="11786" width="1.54296875" customWidth="1"/>
    <col min="11787" max="11787" width="11.54296875" customWidth="1"/>
    <col min="11788" max="11788" width="2.54296875" customWidth="1"/>
    <col min="11789" max="11789" width="35.453125" bestFit="1" customWidth="1"/>
    <col min="11790" max="11790" width="20.453125" customWidth="1"/>
    <col min="12033" max="12033" width="4.54296875" customWidth="1"/>
    <col min="12034" max="12034" width="1.54296875" customWidth="1"/>
    <col min="12035" max="12035" width="46" customWidth="1"/>
    <col min="12036" max="12036" width="1.54296875" customWidth="1"/>
    <col min="12037" max="12037" width="34" customWidth="1"/>
    <col min="12038" max="12038" width="1.54296875" customWidth="1"/>
    <col min="12039" max="12039" width="16" customWidth="1"/>
    <col min="12040" max="12040" width="1.54296875" customWidth="1"/>
    <col min="12041" max="12041" width="14" customWidth="1"/>
    <col min="12042" max="12042" width="1.54296875" customWidth="1"/>
    <col min="12043" max="12043" width="11.54296875" customWidth="1"/>
    <col min="12044" max="12044" width="2.54296875" customWidth="1"/>
    <col min="12045" max="12045" width="35.453125" bestFit="1" customWidth="1"/>
    <col min="12046" max="12046" width="20.453125" customWidth="1"/>
    <col min="12289" max="12289" width="4.54296875" customWidth="1"/>
    <col min="12290" max="12290" width="1.54296875" customWidth="1"/>
    <col min="12291" max="12291" width="46" customWidth="1"/>
    <col min="12292" max="12292" width="1.54296875" customWidth="1"/>
    <col min="12293" max="12293" width="34" customWidth="1"/>
    <col min="12294" max="12294" width="1.54296875" customWidth="1"/>
    <col min="12295" max="12295" width="16" customWidth="1"/>
    <col min="12296" max="12296" width="1.54296875" customWidth="1"/>
    <col min="12297" max="12297" width="14" customWidth="1"/>
    <col min="12298" max="12298" width="1.54296875" customWidth="1"/>
    <col min="12299" max="12299" width="11.54296875" customWidth="1"/>
    <col min="12300" max="12300" width="2.54296875" customWidth="1"/>
    <col min="12301" max="12301" width="35.453125" bestFit="1" customWidth="1"/>
    <col min="12302" max="12302" width="20.453125" customWidth="1"/>
    <col min="12545" max="12545" width="4.54296875" customWidth="1"/>
    <col min="12546" max="12546" width="1.54296875" customWidth="1"/>
    <col min="12547" max="12547" width="46" customWidth="1"/>
    <col min="12548" max="12548" width="1.54296875" customWidth="1"/>
    <col min="12549" max="12549" width="34" customWidth="1"/>
    <col min="12550" max="12550" width="1.54296875" customWidth="1"/>
    <col min="12551" max="12551" width="16" customWidth="1"/>
    <col min="12552" max="12552" width="1.54296875" customWidth="1"/>
    <col min="12553" max="12553" width="14" customWidth="1"/>
    <col min="12554" max="12554" width="1.54296875" customWidth="1"/>
    <col min="12555" max="12555" width="11.54296875" customWidth="1"/>
    <col min="12556" max="12556" width="2.54296875" customWidth="1"/>
    <col min="12557" max="12557" width="35.453125" bestFit="1" customWidth="1"/>
    <col min="12558" max="12558" width="20.453125" customWidth="1"/>
    <col min="12801" max="12801" width="4.54296875" customWidth="1"/>
    <col min="12802" max="12802" width="1.54296875" customWidth="1"/>
    <col min="12803" max="12803" width="46" customWidth="1"/>
    <col min="12804" max="12804" width="1.54296875" customWidth="1"/>
    <col min="12805" max="12805" width="34" customWidth="1"/>
    <col min="12806" max="12806" width="1.54296875" customWidth="1"/>
    <col min="12807" max="12807" width="16" customWidth="1"/>
    <col min="12808" max="12808" width="1.54296875" customWidth="1"/>
    <col min="12809" max="12809" width="14" customWidth="1"/>
    <col min="12810" max="12810" width="1.54296875" customWidth="1"/>
    <col min="12811" max="12811" width="11.54296875" customWidth="1"/>
    <col min="12812" max="12812" width="2.54296875" customWidth="1"/>
    <col min="12813" max="12813" width="35.453125" bestFit="1" customWidth="1"/>
    <col min="12814" max="12814" width="20.453125" customWidth="1"/>
    <col min="13057" max="13057" width="4.54296875" customWidth="1"/>
    <col min="13058" max="13058" width="1.54296875" customWidth="1"/>
    <col min="13059" max="13059" width="46" customWidth="1"/>
    <col min="13060" max="13060" width="1.54296875" customWidth="1"/>
    <col min="13061" max="13061" width="34" customWidth="1"/>
    <col min="13062" max="13062" width="1.54296875" customWidth="1"/>
    <col min="13063" max="13063" width="16" customWidth="1"/>
    <col min="13064" max="13064" width="1.54296875" customWidth="1"/>
    <col min="13065" max="13065" width="14" customWidth="1"/>
    <col min="13066" max="13066" width="1.54296875" customWidth="1"/>
    <col min="13067" max="13067" width="11.54296875" customWidth="1"/>
    <col min="13068" max="13068" width="2.54296875" customWidth="1"/>
    <col min="13069" max="13069" width="35.453125" bestFit="1" customWidth="1"/>
    <col min="13070" max="13070" width="20.453125" customWidth="1"/>
    <col min="13313" max="13313" width="4.54296875" customWidth="1"/>
    <col min="13314" max="13314" width="1.54296875" customWidth="1"/>
    <col min="13315" max="13315" width="46" customWidth="1"/>
    <col min="13316" max="13316" width="1.54296875" customWidth="1"/>
    <col min="13317" max="13317" width="34" customWidth="1"/>
    <col min="13318" max="13318" width="1.54296875" customWidth="1"/>
    <col min="13319" max="13319" width="16" customWidth="1"/>
    <col min="13320" max="13320" width="1.54296875" customWidth="1"/>
    <col min="13321" max="13321" width="14" customWidth="1"/>
    <col min="13322" max="13322" width="1.54296875" customWidth="1"/>
    <col min="13323" max="13323" width="11.54296875" customWidth="1"/>
    <col min="13324" max="13324" width="2.54296875" customWidth="1"/>
    <col min="13325" max="13325" width="35.453125" bestFit="1" customWidth="1"/>
    <col min="13326" max="13326" width="20.453125" customWidth="1"/>
    <col min="13569" max="13569" width="4.54296875" customWidth="1"/>
    <col min="13570" max="13570" width="1.54296875" customWidth="1"/>
    <col min="13571" max="13571" width="46" customWidth="1"/>
    <col min="13572" max="13572" width="1.54296875" customWidth="1"/>
    <col min="13573" max="13573" width="34" customWidth="1"/>
    <col min="13574" max="13574" width="1.54296875" customWidth="1"/>
    <col min="13575" max="13575" width="16" customWidth="1"/>
    <col min="13576" max="13576" width="1.54296875" customWidth="1"/>
    <col min="13577" max="13577" width="14" customWidth="1"/>
    <col min="13578" max="13578" width="1.54296875" customWidth="1"/>
    <col min="13579" max="13579" width="11.54296875" customWidth="1"/>
    <col min="13580" max="13580" width="2.54296875" customWidth="1"/>
    <col min="13581" max="13581" width="35.453125" bestFit="1" customWidth="1"/>
    <col min="13582" max="13582" width="20.453125" customWidth="1"/>
    <col min="13825" max="13825" width="4.54296875" customWidth="1"/>
    <col min="13826" max="13826" width="1.54296875" customWidth="1"/>
    <col min="13827" max="13827" width="46" customWidth="1"/>
    <col min="13828" max="13828" width="1.54296875" customWidth="1"/>
    <col min="13829" max="13829" width="34" customWidth="1"/>
    <col min="13830" max="13830" width="1.54296875" customWidth="1"/>
    <col min="13831" max="13831" width="16" customWidth="1"/>
    <col min="13832" max="13832" width="1.54296875" customWidth="1"/>
    <col min="13833" max="13833" width="14" customWidth="1"/>
    <col min="13834" max="13834" width="1.54296875" customWidth="1"/>
    <col min="13835" max="13835" width="11.54296875" customWidth="1"/>
    <col min="13836" max="13836" width="2.54296875" customWidth="1"/>
    <col min="13837" max="13837" width="35.453125" bestFit="1" customWidth="1"/>
    <col min="13838" max="13838" width="20.453125" customWidth="1"/>
    <col min="14081" max="14081" width="4.54296875" customWidth="1"/>
    <col min="14082" max="14082" width="1.54296875" customWidth="1"/>
    <col min="14083" max="14083" width="46" customWidth="1"/>
    <col min="14084" max="14084" width="1.54296875" customWidth="1"/>
    <col min="14085" max="14085" width="34" customWidth="1"/>
    <col min="14086" max="14086" width="1.54296875" customWidth="1"/>
    <col min="14087" max="14087" width="16" customWidth="1"/>
    <col min="14088" max="14088" width="1.54296875" customWidth="1"/>
    <col min="14089" max="14089" width="14" customWidth="1"/>
    <col min="14090" max="14090" width="1.54296875" customWidth="1"/>
    <col min="14091" max="14091" width="11.54296875" customWidth="1"/>
    <col min="14092" max="14092" width="2.54296875" customWidth="1"/>
    <col min="14093" max="14093" width="35.453125" bestFit="1" customWidth="1"/>
    <col min="14094" max="14094" width="20.453125" customWidth="1"/>
    <col min="14337" max="14337" width="4.54296875" customWidth="1"/>
    <col min="14338" max="14338" width="1.54296875" customWidth="1"/>
    <col min="14339" max="14339" width="46" customWidth="1"/>
    <col min="14340" max="14340" width="1.54296875" customWidth="1"/>
    <col min="14341" max="14341" width="34" customWidth="1"/>
    <col min="14342" max="14342" width="1.54296875" customWidth="1"/>
    <col min="14343" max="14343" width="16" customWidth="1"/>
    <col min="14344" max="14344" width="1.54296875" customWidth="1"/>
    <col min="14345" max="14345" width="14" customWidth="1"/>
    <col min="14346" max="14346" width="1.54296875" customWidth="1"/>
    <col min="14347" max="14347" width="11.54296875" customWidth="1"/>
    <col min="14348" max="14348" width="2.54296875" customWidth="1"/>
    <col min="14349" max="14349" width="35.453125" bestFit="1" customWidth="1"/>
    <col min="14350" max="14350" width="20.453125" customWidth="1"/>
    <col min="14593" max="14593" width="4.54296875" customWidth="1"/>
    <col min="14594" max="14594" width="1.54296875" customWidth="1"/>
    <col min="14595" max="14595" width="46" customWidth="1"/>
    <col min="14596" max="14596" width="1.54296875" customWidth="1"/>
    <col min="14597" max="14597" width="34" customWidth="1"/>
    <col min="14598" max="14598" width="1.54296875" customWidth="1"/>
    <col min="14599" max="14599" width="16" customWidth="1"/>
    <col min="14600" max="14600" width="1.54296875" customWidth="1"/>
    <col min="14601" max="14601" width="14" customWidth="1"/>
    <col min="14602" max="14602" width="1.54296875" customWidth="1"/>
    <col min="14603" max="14603" width="11.54296875" customWidth="1"/>
    <col min="14604" max="14604" width="2.54296875" customWidth="1"/>
    <col min="14605" max="14605" width="35.453125" bestFit="1" customWidth="1"/>
    <col min="14606" max="14606" width="20.453125" customWidth="1"/>
    <col min="14849" max="14849" width="4.54296875" customWidth="1"/>
    <col min="14850" max="14850" width="1.54296875" customWidth="1"/>
    <col min="14851" max="14851" width="46" customWidth="1"/>
    <col min="14852" max="14852" width="1.54296875" customWidth="1"/>
    <col min="14853" max="14853" width="34" customWidth="1"/>
    <col min="14854" max="14854" width="1.54296875" customWidth="1"/>
    <col min="14855" max="14855" width="16" customWidth="1"/>
    <col min="14856" max="14856" width="1.54296875" customWidth="1"/>
    <col min="14857" max="14857" width="14" customWidth="1"/>
    <col min="14858" max="14858" width="1.54296875" customWidth="1"/>
    <col min="14859" max="14859" width="11.54296875" customWidth="1"/>
    <col min="14860" max="14860" width="2.54296875" customWidth="1"/>
    <col min="14861" max="14861" width="35.453125" bestFit="1" customWidth="1"/>
    <col min="14862" max="14862" width="20.453125" customWidth="1"/>
    <col min="15105" max="15105" width="4.54296875" customWidth="1"/>
    <col min="15106" max="15106" width="1.54296875" customWidth="1"/>
    <col min="15107" max="15107" width="46" customWidth="1"/>
    <col min="15108" max="15108" width="1.54296875" customWidth="1"/>
    <col min="15109" max="15109" width="34" customWidth="1"/>
    <col min="15110" max="15110" width="1.54296875" customWidth="1"/>
    <col min="15111" max="15111" width="16" customWidth="1"/>
    <col min="15112" max="15112" width="1.54296875" customWidth="1"/>
    <col min="15113" max="15113" width="14" customWidth="1"/>
    <col min="15114" max="15114" width="1.54296875" customWidth="1"/>
    <col min="15115" max="15115" width="11.54296875" customWidth="1"/>
    <col min="15116" max="15116" width="2.54296875" customWidth="1"/>
    <col min="15117" max="15117" width="35.453125" bestFit="1" customWidth="1"/>
    <col min="15118" max="15118" width="20.453125" customWidth="1"/>
    <col min="15361" max="15361" width="4.54296875" customWidth="1"/>
    <col min="15362" max="15362" width="1.54296875" customWidth="1"/>
    <col min="15363" max="15363" width="46" customWidth="1"/>
    <col min="15364" max="15364" width="1.54296875" customWidth="1"/>
    <col min="15365" max="15365" width="34" customWidth="1"/>
    <col min="15366" max="15366" width="1.54296875" customWidth="1"/>
    <col min="15367" max="15367" width="16" customWidth="1"/>
    <col min="15368" max="15368" width="1.54296875" customWidth="1"/>
    <col min="15369" max="15369" width="14" customWidth="1"/>
    <col min="15370" max="15370" width="1.54296875" customWidth="1"/>
    <col min="15371" max="15371" width="11.54296875" customWidth="1"/>
    <col min="15372" max="15372" width="2.54296875" customWidth="1"/>
    <col min="15373" max="15373" width="35.453125" bestFit="1" customWidth="1"/>
    <col min="15374" max="15374" width="20.453125" customWidth="1"/>
    <col min="15617" max="15617" width="4.54296875" customWidth="1"/>
    <col min="15618" max="15618" width="1.54296875" customWidth="1"/>
    <col min="15619" max="15619" width="46" customWidth="1"/>
    <col min="15620" max="15620" width="1.54296875" customWidth="1"/>
    <col min="15621" max="15621" width="34" customWidth="1"/>
    <col min="15622" max="15622" width="1.54296875" customWidth="1"/>
    <col min="15623" max="15623" width="16" customWidth="1"/>
    <col min="15624" max="15624" width="1.54296875" customWidth="1"/>
    <col min="15625" max="15625" width="14" customWidth="1"/>
    <col min="15626" max="15626" width="1.54296875" customWidth="1"/>
    <col min="15627" max="15627" width="11.54296875" customWidth="1"/>
    <col min="15628" max="15628" width="2.54296875" customWidth="1"/>
    <col min="15629" max="15629" width="35.453125" bestFit="1" customWidth="1"/>
    <col min="15630" max="15630" width="20.453125" customWidth="1"/>
    <col min="15873" max="15873" width="4.54296875" customWidth="1"/>
    <col min="15874" max="15874" width="1.54296875" customWidth="1"/>
    <col min="15875" max="15875" width="46" customWidth="1"/>
    <col min="15876" max="15876" width="1.54296875" customWidth="1"/>
    <col min="15877" max="15877" width="34" customWidth="1"/>
    <col min="15878" max="15878" width="1.54296875" customWidth="1"/>
    <col min="15879" max="15879" width="16" customWidth="1"/>
    <col min="15880" max="15880" width="1.54296875" customWidth="1"/>
    <col min="15881" max="15881" width="14" customWidth="1"/>
    <col min="15882" max="15882" width="1.54296875" customWidth="1"/>
    <col min="15883" max="15883" width="11.54296875" customWidth="1"/>
    <col min="15884" max="15884" width="2.54296875" customWidth="1"/>
    <col min="15885" max="15885" width="35.453125" bestFit="1" customWidth="1"/>
    <col min="15886" max="15886" width="20.453125" customWidth="1"/>
    <col min="16129" max="16129" width="4.54296875" customWidth="1"/>
    <col min="16130" max="16130" width="1.54296875" customWidth="1"/>
    <col min="16131" max="16131" width="46" customWidth="1"/>
    <col min="16132" max="16132" width="1.54296875" customWidth="1"/>
    <col min="16133" max="16133" width="34" customWidth="1"/>
    <col min="16134" max="16134" width="1.54296875" customWidth="1"/>
    <col min="16135" max="16135" width="16" customWidth="1"/>
    <col min="16136" max="16136" width="1.54296875" customWidth="1"/>
    <col min="16137" max="16137" width="14" customWidth="1"/>
    <col min="16138" max="16138" width="1.54296875" customWidth="1"/>
    <col min="16139" max="16139" width="11.54296875" customWidth="1"/>
    <col min="16140" max="16140" width="2.54296875" customWidth="1"/>
    <col min="16141" max="16141" width="35.453125" bestFit="1" customWidth="1"/>
    <col min="16142" max="16142" width="20.453125" customWidth="1"/>
  </cols>
  <sheetData>
    <row r="1" spans="1:14" ht="13">
      <c r="A1" s="288" t="s">
        <v>2925</v>
      </c>
      <c r="B1" s="288"/>
      <c r="C1" s="289"/>
      <c r="D1" s="289"/>
      <c r="G1" s="289"/>
      <c r="H1" s="289"/>
      <c r="I1" s="289"/>
      <c r="J1" s="289"/>
      <c r="K1" s="289"/>
      <c r="L1" s="289"/>
      <c r="M1" s="289"/>
    </row>
    <row r="2" spans="1:14" ht="13">
      <c r="C2" s="39" t="s">
        <v>200</v>
      </c>
      <c r="E2" s="240" t="s">
        <v>2926</v>
      </c>
      <c r="F2" s="54"/>
      <c r="G2" s="54"/>
    </row>
    <row r="3" spans="1:14" ht="13">
      <c r="A3" s="290" t="s">
        <v>284</v>
      </c>
      <c r="B3" s="290"/>
      <c r="C3" s="289"/>
      <c r="D3" s="289"/>
      <c r="E3" s="289"/>
      <c r="F3" s="289"/>
      <c r="G3" s="289"/>
      <c r="H3" s="289"/>
      <c r="I3" s="289"/>
      <c r="J3" s="289"/>
      <c r="K3" s="289"/>
      <c r="L3" s="289"/>
      <c r="M3" s="289"/>
    </row>
    <row r="4" spans="1:14" ht="13">
      <c r="A4" s="291">
        <v>1</v>
      </c>
      <c r="B4" s="291"/>
      <c r="C4" s="289"/>
      <c r="D4" s="289"/>
      <c r="E4" s="289"/>
      <c r="F4" s="289"/>
      <c r="G4" s="289"/>
      <c r="H4" s="289"/>
      <c r="I4" s="289"/>
      <c r="J4" s="289"/>
      <c r="K4" s="289"/>
      <c r="L4" s="289"/>
      <c r="M4" s="289"/>
    </row>
    <row r="5" spans="1:14" ht="13">
      <c r="A5" s="291">
        <v>2</v>
      </c>
      <c r="B5" s="291"/>
      <c r="C5" s="289"/>
      <c r="D5" s="289"/>
      <c r="E5" s="289"/>
      <c r="F5" s="289"/>
      <c r="G5" s="289"/>
      <c r="H5" s="289"/>
      <c r="I5" s="289"/>
      <c r="J5" s="289"/>
      <c r="K5" s="289"/>
      <c r="L5" s="289"/>
      <c r="M5" s="289"/>
    </row>
    <row r="6" spans="1:14" ht="13">
      <c r="A6" s="291">
        <v>3</v>
      </c>
      <c r="B6" s="291"/>
      <c r="C6" s="289"/>
      <c r="D6" s="289"/>
      <c r="E6" s="289"/>
      <c r="F6" s="289"/>
      <c r="G6" s="289"/>
      <c r="H6" s="289"/>
      <c r="I6" s="289"/>
      <c r="J6" s="289"/>
      <c r="K6" s="291" t="s">
        <v>933</v>
      </c>
      <c r="L6" s="289"/>
      <c r="M6" s="289"/>
    </row>
    <row r="7" spans="1:14" ht="13">
      <c r="A7" s="291">
        <v>4</v>
      </c>
      <c r="B7" s="291"/>
      <c r="C7" s="289"/>
      <c r="D7" s="289"/>
      <c r="E7" s="368" t="s">
        <v>254</v>
      </c>
      <c r="F7" s="291"/>
      <c r="G7" s="289"/>
      <c r="H7" s="289"/>
      <c r="I7" s="289"/>
      <c r="J7" s="289"/>
      <c r="K7" s="368" t="s">
        <v>81</v>
      </c>
      <c r="L7" s="289"/>
      <c r="M7" s="293"/>
    </row>
    <row r="8" spans="1:14" ht="13">
      <c r="A8" s="291">
        <v>5</v>
      </c>
      <c r="B8" s="291"/>
      <c r="C8" s="289"/>
      <c r="D8" s="289"/>
      <c r="E8" s="289"/>
      <c r="F8" s="289"/>
      <c r="G8" s="289"/>
      <c r="H8" s="289"/>
      <c r="I8" s="289"/>
      <c r="J8" s="289"/>
      <c r="K8" s="294"/>
      <c r="L8" s="289"/>
      <c r="M8" s="289"/>
    </row>
    <row r="9" spans="1:14" ht="13">
      <c r="A9" s="291">
        <v>6</v>
      </c>
      <c r="B9" s="291"/>
      <c r="C9" s="288" t="s">
        <v>2927</v>
      </c>
      <c r="D9" s="289"/>
      <c r="E9" s="289" t="s">
        <v>2928</v>
      </c>
      <c r="F9" s="289"/>
      <c r="G9" s="289"/>
      <c r="H9" s="289"/>
      <c r="I9" s="289"/>
      <c r="J9" s="289"/>
      <c r="K9" s="294" t="e">
        <f>I20</f>
        <v>#DIV/0!</v>
      </c>
      <c r="L9" s="289"/>
      <c r="M9" s="289"/>
      <c r="N9" s="369"/>
    </row>
    <row r="10" spans="1:14" ht="13.5" thickBot="1">
      <c r="A10" s="291">
        <v>7</v>
      </c>
      <c r="B10" s="291"/>
      <c r="C10" s="288" t="s">
        <v>2929</v>
      </c>
      <c r="D10" s="290"/>
      <c r="E10" s="289" t="s">
        <v>2930</v>
      </c>
      <c r="F10" s="289"/>
      <c r="G10" s="289"/>
      <c r="H10" s="289"/>
      <c r="I10" s="289"/>
      <c r="J10" s="289"/>
      <c r="K10" s="370" t="e">
        <f>+K20</f>
        <v>#DIV/0!</v>
      </c>
      <c r="L10" s="289"/>
      <c r="M10" s="289"/>
    </row>
    <row r="11" spans="1:14" ht="13.5" thickTop="1">
      <c r="A11" s="291">
        <v>8</v>
      </c>
      <c r="B11" s="291"/>
      <c r="C11" s="289"/>
      <c r="D11" s="289"/>
      <c r="E11" s="289"/>
      <c r="F11" s="289"/>
      <c r="G11" s="289"/>
      <c r="H11" s="289"/>
      <c r="I11" s="289"/>
      <c r="J11" s="289"/>
      <c r="K11" s="294"/>
      <c r="L11" s="289"/>
      <c r="M11" s="289"/>
    </row>
    <row r="12" spans="1:14" ht="13">
      <c r="A12" s="291">
        <v>9</v>
      </c>
      <c r="B12" s="291"/>
      <c r="C12" s="289"/>
      <c r="D12" s="289"/>
      <c r="E12" s="289"/>
      <c r="F12" s="289"/>
      <c r="G12" s="371" t="s">
        <v>347</v>
      </c>
      <c r="H12" s="371"/>
      <c r="I12" s="371" t="s">
        <v>348</v>
      </c>
      <c r="J12" s="371"/>
      <c r="K12" s="371" t="s">
        <v>349</v>
      </c>
      <c r="L12" s="289"/>
      <c r="M12" s="289"/>
    </row>
    <row r="13" spans="1:14" ht="13">
      <c r="A13" s="291">
        <v>10</v>
      </c>
      <c r="B13" s="291"/>
      <c r="C13" s="289"/>
      <c r="D13" s="289"/>
      <c r="E13" s="289"/>
      <c r="F13" s="289"/>
      <c r="G13" s="291" t="s">
        <v>933</v>
      </c>
      <c r="H13" s="291"/>
      <c r="I13" s="291" t="s">
        <v>933</v>
      </c>
      <c r="J13" s="291"/>
      <c r="K13" s="291" t="s">
        <v>933</v>
      </c>
      <c r="L13" s="289"/>
      <c r="M13" s="289"/>
    </row>
    <row r="14" spans="1:14" ht="14.5">
      <c r="A14" s="291">
        <v>11</v>
      </c>
      <c r="B14" s="291"/>
      <c r="C14" s="291"/>
      <c r="D14" s="291"/>
      <c r="E14" s="291"/>
      <c r="F14" s="291"/>
      <c r="G14" s="291" t="s">
        <v>873</v>
      </c>
      <c r="H14" s="291"/>
      <c r="I14" s="291" t="s">
        <v>1205</v>
      </c>
      <c r="J14" s="291"/>
      <c r="K14" s="372" t="s">
        <v>875</v>
      </c>
      <c r="L14" s="289"/>
      <c r="M14" s="289"/>
    </row>
    <row r="15" spans="1:14" ht="13">
      <c r="A15" s="291">
        <v>12</v>
      </c>
      <c r="B15" s="291"/>
      <c r="C15" s="291" t="s">
        <v>2406</v>
      </c>
      <c r="D15" s="291"/>
      <c r="E15" s="291"/>
      <c r="F15" s="291"/>
      <c r="G15" s="291" t="s">
        <v>2931</v>
      </c>
      <c r="H15" s="291"/>
      <c r="I15" s="291" t="s">
        <v>2931</v>
      </c>
      <c r="J15" s="291"/>
      <c r="K15" s="291" t="s">
        <v>2931</v>
      </c>
      <c r="L15" s="289"/>
      <c r="M15" s="289"/>
    </row>
    <row r="16" spans="1:14" ht="13">
      <c r="A16" s="291">
        <v>13</v>
      </c>
      <c r="B16" s="291"/>
      <c r="C16" s="292" t="s">
        <v>74</v>
      </c>
      <c r="D16" s="292"/>
      <c r="E16" s="292"/>
      <c r="F16" s="292"/>
      <c r="G16" s="368" t="s">
        <v>2932</v>
      </c>
      <c r="H16" s="291"/>
      <c r="I16" s="368" t="s">
        <v>2932</v>
      </c>
      <c r="J16" s="291"/>
      <c r="K16" s="368" t="s">
        <v>2932</v>
      </c>
      <c r="L16" s="289"/>
      <c r="M16" s="289"/>
    </row>
    <row r="17" spans="1:14" ht="13">
      <c r="A17" s="291">
        <v>14</v>
      </c>
      <c r="B17" s="291"/>
      <c r="C17" s="289" t="s">
        <v>2933</v>
      </c>
      <c r="D17" s="289"/>
      <c r="E17" s="233" t="s">
        <v>2934</v>
      </c>
      <c r="F17" s="233"/>
      <c r="G17" s="294" t="e">
        <f>+G27</f>
        <v>#DIV/0!</v>
      </c>
      <c r="H17" s="294"/>
      <c r="I17" s="294" t="e">
        <f>+I27</f>
        <v>#DIV/0!</v>
      </c>
      <c r="J17" s="294"/>
      <c r="K17" s="294" t="e">
        <f>(+G17+I17)/2</f>
        <v>#DIV/0!</v>
      </c>
      <c r="L17" s="289"/>
      <c r="M17" s="289"/>
      <c r="N17" s="289"/>
    </row>
    <row r="18" spans="1:14" ht="13">
      <c r="A18" s="291">
        <v>15</v>
      </c>
      <c r="B18" s="291"/>
      <c r="C18" s="289" t="s">
        <v>2935</v>
      </c>
      <c r="D18" s="289"/>
      <c r="E18" s="289" t="s">
        <v>2936</v>
      </c>
      <c r="F18" s="289"/>
      <c r="G18" s="294" t="e">
        <f>+G32</f>
        <v>#DIV/0!</v>
      </c>
      <c r="H18" s="294"/>
      <c r="I18" s="294" t="e">
        <f>+I32</f>
        <v>#DIV/0!</v>
      </c>
      <c r="J18" s="294"/>
      <c r="K18" s="294" t="e">
        <f>(+G18+I18)/2</f>
        <v>#DIV/0!</v>
      </c>
      <c r="L18" s="289"/>
      <c r="M18" s="289"/>
      <c r="N18" s="289"/>
    </row>
    <row r="19" spans="1:14" ht="13">
      <c r="A19" s="291">
        <v>16</v>
      </c>
      <c r="B19" s="291"/>
      <c r="C19" s="289" t="s">
        <v>2937</v>
      </c>
      <c r="D19" s="289"/>
      <c r="E19" s="289" t="s">
        <v>2938</v>
      </c>
      <c r="F19" s="289"/>
      <c r="G19" s="974" t="e">
        <f>+G39</f>
        <v>#DIV/0!</v>
      </c>
      <c r="H19" s="975"/>
      <c r="I19" s="974" t="e">
        <f>+I39</f>
        <v>#DIV/0!</v>
      </c>
      <c r="J19" s="373"/>
      <c r="K19" s="294" t="e">
        <f>(+G19+I19)/2</f>
        <v>#DIV/0!</v>
      </c>
      <c r="L19" s="289"/>
      <c r="M19" s="289"/>
    </row>
    <row r="20" spans="1:14" ht="13.5" thickBot="1">
      <c r="A20" s="291">
        <v>17</v>
      </c>
      <c r="B20" s="291"/>
      <c r="C20" s="289" t="s">
        <v>442</v>
      </c>
      <c r="D20" s="289"/>
      <c r="E20" s="289" t="s">
        <v>2939</v>
      </c>
      <c r="F20" s="289"/>
      <c r="G20" s="374" t="e">
        <f>+G17+G18+G19</f>
        <v>#DIV/0!</v>
      </c>
      <c r="H20" s="294"/>
      <c r="I20" s="374" t="e">
        <f>+I17+I18+I19</f>
        <v>#DIV/0!</v>
      </c>
      <c r="J20" s="294"/>
      <c r="K20" s="374" t="e">
        <f>+K17+K18+K19</f>
        <v>#DIV/0!</v>
      </c>
      <c r="L20" s="289"/>
      <c r="M20" s="289"/>
      <c r="N20" s="233" t="s">
        <v>132</v>
      </c>
    </row>
    <row r="21" spans="1:14" ht="13.5" thickTop="1">
      <c r="A21" s="291">
        <v>18</v>
      </c>
      <c r="B21" s="291"/>
      <c r="C21" s="289"/>
      <c r="D21" s="289"/>
      <c r="E21" s="289"/>
      <c r="F21" s="289"/>
      <c r="G21" s="289"/>
      <c r="H21" s="289"/>
      <c r="I21" s="289"/>
      <c r="J21" s="289"/>
      <c r="K21" s="289"/>
      <c r="L21" s="289"/>
      <c r="M21" s="289"/>
    </row>
    <row r="22" spans="1:14" ht="13">
      <c r="A22" s="291">
        <v>19</v>
      </c>
      <c r="B22" s="291"/>
      <c r="C22" s="290" t="s">
        <v>2940</v>
      </c>
      <c r="D22" s="290"/>
      <c r="E22" s="290"/>
      <c r="F22" s="290"/>
      <c r="G22" s="289"/>
      <c r="H22" s="289"/>
      <c r="I22" s="289"/>
      <c r="J22" s="289"/>
      <c r="K22" s="289"/>
      <c r="L22" s="289"/>
      <c r="M22" s="289"/>
    </row>
    <row r="23" spans="1:14" ht="13">
      <c r="A23" s="291">
        <v>20</v>
      </c>
      <c r="B23" s="291"/>
      <c r="K23" s="234" t="s">
        <v>875</v>
      </c>
    </row>
    <row r="24" spans="1:14" ht="13">
      <c r="A24" s="291">
        <v>21</v>
      </c>
      <c r="B24" s="291"/>
      <c r="C24" s="290" t="s">
        <v>1765</v>
      </c>
      <c r="D24" s="290"/>
      <c r="E24" s="290"/>
      <c r="F24" s="290"/>
      <c r="G24" s="196" t="s">
        <v>873</v>
      </c>
      <c r="H24" s="37"/>
      <c r="I24" s="196" t="s">
        <v>1205</v>
      </c>
      <c r="J24" s="37"/>
      <c r="K24" s="375" t="s">
        <v>2941</v>
      </c>
      <c r="M24" s="245" t="s">
        <v>132</v>
      </c>
    </row>
    <row r="25" spans="1:14" ht="13">
      <c r="A25" s="291">
        <v>22</v>
      </c>
      <c r="B25" s="291"/>
      <c r="C25" s="233" t="s">
        <v>2942</v>
      </c>
      <c r="E25" s="289" t="s">
        <v>2943</v>
      </c>
      <c r="F25" s="289"/>
      <c r="G25" s="994"/>
      <c r="H25" s="376"/>
      <c r="I25" s="994"/>
      <c r="J25" s="377"/>
      <c r="M25" s="192"/>
      <c r="N25" s="303"/>
    </row>
    <row r="26" spans="1:14" ht="13">
      <c r="A26" s="291">
        <v>23</v>
      </c>
      <c r="B26" s="291"/>
      <c r="C26" t="s">
        <v>2568</v>
      </c>
      <c r="E26" s="378" t="s">
        <v>2944</v>
      </c>
      <c r="F26" s="378"/>
      <c r="G26" s="379" t="e">
        <f>'27-Allocators'!G15</f>
        <v>#DIV/0!</v>
      </c>
      <c r="H26" s="380"/>
      <c r="I26" s="379" t="e">
        <f>'27-Allocators'!G15</f>
        <v>#DIV/0!</v>
      </c>
      <c r="J26" s="380"/>
      <c r="M26" s="369"/>
    </row>
    <row r="27" spans="1:14" ht="13.5" thickBot="1">
      <c r="A27" s="291">
        <v>24</v>
      </c>
      <c r="B27" s="291"/>
      <c r="C27" t="s">
        <v>2945</v>
      </c>
      <c r="E27" s="243" t="s">
        <v>2946</v>
      </c>
      <c r="F27" s="31"/>
      <c r="G27" s="381" t="e">
        <f>+G25*G26</f>
        <v>#DIV/0!</v>
      </c>
      <c r="H27" s="382"/>
      <c r="I27" s="381" t="e">
        <f>+I25*I26</f>
        <v>#DIV/0!</v>
      </c>
      <c r="J27" s="382"/>
      <c r="K27" s="383" t="e">
        <f>(G27+I27)/2</f>
        <v>#DIV/0!</v>
      </c>
      <c r="M27" s="369"/>
    </row>
    <row r="28" spans="1:14" ht="13.5" thickTop="1">
      <c r="A28" s="291">
        <v>25</v>
      </c>
      <c r="B28" s="291"/>
      <c r="M28" s="369"/>
    </row>
    <row r="29" spans="1:14" ht="13">
      <c r="A29" s="291">
        <v>26</v>
      </c>
      <c r="B29" s="291"/>
      <c r="C29" s="30" t="s">
        <v>2947</v>
      </c>
      <c r="D29" s="30"/>
      <c r="E29" s="30"/>
      <c r="F29" s="30"/>
      <c r="M29" s="384" t="s">
        <v>132</v>
      </c>
    </row>
    <row r="30" spans="1:14" ht="13">
      <c r="A30" s="291">
        <v>27</v>
      </c>
      <c r="B30" s="291"/>
      <c r="C30" s="233" t="s">
        <v>2948</v>
      </c>
      <c r="D30" s="233"/>
      <c r="E30" s="289" t="s">
        <v>2943</v>
      </c>
      <c r="F30" s="289"/>
      <c r="G30" s="994"/>
      <c r="H30" s="376"/>
      <c r="I30" s="994"/>
      <c r="J30" s="377"/>
      <c r="M30" s="369"/>
    </row>
    <row r="31" spans="1:14" ht="13">
      <c r="A31" s="291">
        <v>28</v>
      </c>
      <c r="B31" s="291"/>
      <c r="C31" t="s">
        <v>2568</v>
      </c>
      <c r="E31" s="378" t="s">
        <v>2944</v>
      </c>
      <c r="F31" s="378"/>
      <c r="G31" s="379" t="e">
        <f>'27-Allocators'!G15</f>
        <v>#DIV/0!</v>
      </c>
      <c r="H31" s="380"/>
      <c r="I31" s="379" t="e">
        <f>'27-Allocators'!G15</f>
        <v>#DIV/0!</v>
      </c>
      <c r="J31" s="380"/>
      <c r="M31" s="369"/>
    </row>
    <row r="32" spans="1:14" ht="13.5" thickBot="1">
      <c r="A32" s="291">
        <v>29</v>
      </c>
      <c r="B32" s="291"/>
      <c r="C32" t="s">
        <v>2945</v>
      </c>
      <c r="E32" s="243" t="s">
        <v>2949</v>
      </c>
      <c r="F32" s="31"/>
      <c r="G32" s="381" t="e">
        <f>+G30*G31</f>
        <v>#DIV/0!</v>
      </c>
      <c r="H32" s="382"/>
      <c r="I32" s="381" t="e">
        <f>+I30*I31</f>
        <v>#DIV/0!</v>
      </c>
      <c r="J32" s="382"/>
      <c r="K32" s="383" t="e">
        <f>(G32+I32)/2</f>
        <v>#DIV/0!</v>
      </c>
      <c r="M32" s="369"/>
    </row>
    <row r="33" spans="1:11" ht="13.5" thickTop="1">
      <c r="A33" s="291">
        <f t="shared" ref="A33:A39" si="0">1+A32</f>
        <v>30</v>
      </c>
    </row>
    <row r="34" spans="1:11" ht="13">
      <c r="A34" s="291">
        <f t="shared" si="0"/>
        <v>31</v>
      </c>
      <c r="C34" s="30" t="s">
        <v>2950</v>
      </c>
    </row>
    <row r="35" spans="1:11" ht="13">
      <c r="A35" s="291">
        <f t="shared" si="0"/>
        <v>32</v>
      </c>
      <c r="C35" s="233" t="s">
        <v>2950</v>
      </c>
      <c r="E35" s="289" t="s">
        <v>2943</v>
      </c>
      <c r="F35" s="289"/>
      <c r="G35" s="994"/>
      <c r="H35" s="376"/>
      <c r="I35" s="994"/>
      <c r="J35" s="377"/>
    </row>
    <row r="36" spans="1:11" ht="13">
      <c r="A36" s="291">
        <f t="shared" si="0"/>
        <v>33</v>
      </c>
      <c r="C36" s="233" t="s">
        <v>2951</v>
      </c>
      <c r="E36" s="646" t="s">
        <v>2952</v>
      </c>
      <c r="G36" s="386">
        <v>0.5</v>
      </c>
      <c r="I36" s="386">
        <v>0.5</v>
      </c>
    </row>
    <row r="37" spans="1:11" ht="13">
      <c r="A37" s="291">
        <f t="shared" si="0"/>
        <v>34</v>
      </c>
      <c r="C37" s="233" t="s">
        <v>2953</v>
      </c>
      <c r="E37" s="233" t="s">
        <v>2954</v>
      </c>
      <c r="G37" s="6">
        <f>+G35*G36</f>
        <v>0</v>
      </c>
      <c r="H37" s="6"/>
      <c r="I37" s="6">
        <f>+I35*I36</f>
        <v>0</v>
      </c>
    </row>
    <row r="38" spans="1:11" ht="13">
      <c r="A38" s="291">
        <f t="shared" si="0"/>
        <v>35</v>
      </c>
      <c r="C38" t="s">
        <v>2568</v>
      </c>
      <c r="E38" s="378" t="s">
        <v>2944</v>
      </c>
      <c r="F38" s="378"/>
      <c r="G38" s="379" t="e">
        <f>'27-Allocators'!G15</f>
        <v>#DIV/0!</v>
      </c>
      <c r="H38" s="380"/>
      <c r="I38" s="379" t="e">
        <f>'27-Allocators'!G15</f>
        <v>#DIV/0!</v>
      </c>
      <c r="J38" s="380"/>
    </row>
    <row r="39" spans="1:11" ht="13.5" thickBot="1">
      <c r="A39" s="291">
        <f t="shared" si="0"/>
        <v>36</v>
      </c>
      <c r="C39" t="s">
        <v>2945</v>
      </c>
      <c r="E39" s="243" t="s">
        <v>2955</v>
      </c>
      <c r="F39" s="31"/>
      <c r="G39" s="381" t="e">
        <f>+G37*G38</f>
        <v>#DIV/0!</v>
      </c>
      <c r="H39" s="382"/>
      <c r="I39" s="381" t="e">
        <f>+I37*I38</f>
        <v>#DIV/0!</v>
      </c>
      <c r="J39" s="382"/>
      <c r="K39" s="383" t="e">
        <f>(G39+I39)/2</f>
        <v>#DIV/0!</v>
      </c>
    </row>
    <row r="40" spans="1:11" ht="13" thickTop="1"/>
    <row r="41" spans="1:11" ht="13">
      <c r="C41" s="30" t="s">
        <v>233</v>
      </c>
    </row>
    <row r="42" spans="1:11">
      <c r="C42" s="233" t="s">
        <v>2956</v>
      </c>
      <c r="D42" s="615"/>
    </row>
    <row r="43" spans="1:11">
      <c r="C43" s="232" t="s">
        <v>2957</v>
      </c>
    </row>
    <row r="44" spans="1:11">
      <c r="C44" t="s">
        <v>2958</v>
      </c>
    </row>
    <row r="45" spans="1:11">
      <c r="C45" s="668" t="s">
        <v>2959</v>
      </c>
    </row>
  </sheetData>
  <pageMargins left="0.7" right="0.7" top="0.75" bottom="0.75" header="0.3" footer="0.3"/>
  <pageSetup scale="85" orientation="landscape" cellComments="asDisplayed" r:id="rId1"/>
  <headerFooter>
    <oddHeader xml:space="preserve">&amp;CSchedule 34
Unfunded Reserves
</oddHeader>
    <oddFooter>&amp;R&amp;A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0B180-CB3D-4681-A768-5D5BF418A439}">
  <sheetPr>
    <tabColor rgb="FFFFCCCC"/>
  </sheetPr>
  <dimension ref="A1:K133"/>
  <sheetViews>
    <sheetView zoomScaleNormal="100" workbookViewId="0">
      <selection activeCell="L41" sqref="L41"/>
    </sheetView>
  </sheetViews>
  <sheetFormatPr defaultRowHeight="12.5"/>
  <cols>
    <col min="1" max="1" width="5.90625" customWidth="1"/>
    <col min="2" max="2" width="4.90625" customWidth="1"/>
    <col min="3" max="3" width="55.08984375" customWidth="1"/>
    <col min="4" max="8" width="13.90625" customWidth="1"/>
    <col min="9" max="9" width="17" customWidth="1"/>
  </cols>
  <sheetData>
    <row r="1" spans="1:11" ht="13">
      <c r="A1" s="1" t="s">
        <v>3063</v>
      </c>
      <c r="B1" s="233"/>
      <c r="C1" s="233"/>
      <c r="D1" s="233"/>
      <c r="E1" s="233"/>
      <c r="F1" s="233"/>
      <c r="G1" s="233"/>
    </row>
    <row r="2" spans="1:11" ht="13">
      <c r="A2" s="233"/>
      <c r="B2" s="1"/>
      <c r="C2" s="39" t="s">
        <v>200</v>
      </c>
      <c r="D2" s="240" t="s">
        <v>2960</v>
      </c>
      <c r="E2" s="240"/>
      <c r="F2" s="240"/>
      <c r="G2" s="233"/>
    </row>
    <row r="3" spans="1:11">
      <c r="A3" s="233"/>
      <c r="B3" s="233"/>
      <c r="C3" s="233"/>
      <c r="D3" s="233"/>
      <c r="E3" s="233"/>
      <c r="F3" s="233"/>
      <c r="G3" s="233"/>
    </row>
    <row r="4" spans="1:11" ht="13">
      <c r="A4" s="3" t="s">
        <v>284</v>
      </c>
      <c r="B4" s="233"/>
      <c r="C4" s="233"/>
      <c r="D4" s="240" t="s">
        <v>99</v>
      </c>
      <c r="E4" s="240"/>
      <c r="F4" s="240"/>
      <c r="G4" s="233"/>
    </row>
    <row r="5" spans="1:11" ht="13">
      <c r="A5" s="2">
        <v>1</v>
      </c>
      <c r="B5" s="565" t="s">
        <v>2961</v>
      </c>
      <c r="C5" s="233"/>
      <c r="D5" s="233"/>
      <c r="E5" s="311"/>
      <c r="F5" s="233"/>
      <c r="G5" s="303"/>
      <c r="H5" s="303"/>
      <c r="I5" s="863"/>
    </row>
    <row r="6" spans="1:11" ht="13">
      <c r="A6" s="2">
        <f>A5+1</f>
        <v>2</v>
      </c>
      <c r="B6" s="4" t="s">
        <v>2962</v>
      </c>
      <c r="C6" s="956" t="s">
        <v>2963</v>
      </c>
      <c r="D6" s="314"/>
      <c r="E6" s="314"/>
      <c r="F6" s="315"/>
      <c r="G6" s="233"/>
    </row>
    <row r="7" spans="1:11" ht="13">
      <c r="A7" s="2">
        <f t="shared" ref="A7:A73" si="0">A6+1</f>
        <v>3</v>
      </c>
      <c r="B7" s="4" t="s">
        <v>2964</v>
      </c>
      <c r="C7" s="314"/>
      <c r="D7" s="314"/>
      <c r="E7" s="314"/>
      <c r="F7" s="314"/>
      <c r="G7" s="233"/>
      <c r="J7" s="817"/>
      <c r="K7" s="303"/>
    </row>
    <row r="8" spans="1:11" ht="13">
      <c r="A8" s="2">
        <f t="shared" si="0"/>
        <v>4</v>
      </c>
      <c r="B8" s="4" t="s">
        <v>2965</v>
      </c>
      <c r="C8" s="314"/>
      <c r="D8" s="314"/>
      <c r="E8" s="314"/>
      <c r="F8" s="314"/>
      <c r="G8" s="233"/>
      <c r="J8" s="817"/>
      <c r="K8" s="303"/>
    </row>
    <row r="9" spans="1:11" ht="13">
      <c r="A9" s="2"/>
      <c r="B9" s="4"/>
      <c r="C9" s="4"/>
      <c r="D9" s="4"/>
      <c r="E9" s="4"/>
      <c r="F9" s="4"/>
      <c r="G9" s="233"/>
      <c r="J9" s="817"/>
      <c r="K9" s="303"/>
    </row>
    <row r="10" spans="1:11" ht="13">
      <c r="A10" s="2"/>
      <c r="B10" s="233"/>
      <c r="C10" s="4"/>
      <c r="D10" s="4"/>
      <c r="E10" s="4"/>
      <c r="F10" s="4"/>
      <c r="G10" s="233"/>
      <c r="J10" s="817"/>
      <c r="K10" s="303"/>
    </row>
    <row r="11" spans="1:11" ht="13">
      <c r="A11" s="2"/>
      <c r="B11" s="47" t="s">
        <v>2966</v>
      </c>
      <c r="C11" s="233"/>
      <c r="D11" s="233"/>
      <c r="E11" s="233"/>
      <c r="F11" s="233"/>
      <c r="G11" s="233"/>
      <c r="H11" s="818"/>
      <c r="I11" s="864"/>
      <c r="J11" s="817"/>
      <c r="K11" s="303"/>
    </row>
    <row r="12" spans="1:11" ht="13">
      <c r="A12" s="2"/>
      <c r="B12" s="47"/>
      <c r="C12" s="233"/>
      <c r="D12" s="233"/>
      <c r="E12" s="233"/>
      <c r="F12" s="233"/>
      <c r="G12" s="233"/>
      <c r="H12" s="818"/>
      <c r="I12" s="864"/>
      <c r="J12" s="817"/>
      <c r="K12" s="303"/>
    </row>
    <row r="13" spans="1:11" ht="13">
      <c r="A13" s="2"/>
      <c r="B13" s="233"/>
      <c r="C13" s="303"/>
      <c r="D13" s="48" t="s">
        <v>347</v>
      </c>
      <c r="E13" s="48" t="s">
        <v>348</v>
      </c>
      <c r="F13" s="48" t="s">
        <v>349</v>
      </c>
      <c r="G13" s="48" t="s">
        <v>350</v>
      </c>
      <c r="H13" s="818"/>
      <c r="I13" s="864"/>
      <c r="J13" s="817"/>
      <c r="K13" s="303"/>
    </row>
    <row r="14" spans="1:11" ht="13">
      <c r="A14" s="233"/>
      <c r="B14" s="233"/>
      <c r="C14" s="303"/>
      <c r="D14" s="310" t="s">
        <v>2967</v>
      </c>
      <c r="E14" s="310" t="s">
        <v>2968</v>
      </c>
      <c r="F14" s="310" t="s">
        <v>2969</v>
      </c>
      <c r="G14" s="310" t="s">
        <v>1489</v>
      </c>
      <c r="H14" s="817"/>
      <c r="I14" s="816"/>
      <c r="J14" s="303"/>
      <c r="K14" s="303"/>
    </row>
    <row r="15" spans="1:11" ht="13">
      <c r="A15" s="2"/>
      <c r="B15" s="233"/>
      <c r="C15" s="303"/>
      <c r="D15" s="310" t="s">
        <v>933</v>
      </c>
      <c r="E15" s="310" t="s">
        <v>933</v>
      </c>
      <c r="F15" s="310" t="s">
        <v>933</v>
      </c>
      <c r="G15" s="310" t="s">
        <v>933</v>
      </c>
      <c r="H15" s="816"/>
      <c r="I15" s="838"/>
      <c r="J15" s="303"/>
      <c r="K15" s="303"/>
    </row>
    <row r="16" spans="1:11" ht="16">
      <c r="A16" s="3" t="s">
        <v>284</v>
      </c>
      <c r="B16" s="194" t="s">
        <v>2970</v>
      </c>
      <c r="C16" s="233"/>
      <c r="D16" s="328" t="s">
        <v>251</v>
      </c>
      <c r="E16" s="328" t="s">
        <v>251</v>
      </c>
      <c r="F16" s="328" t="s">
        <v>251</v>
      </c>
      <c r="G16" s="328" t="s">
        <v>251</v>
      </c>
      <c r="H16" s="1119"/>
      <c r="I16" s="816"/>
      <c r="J16" s="303"/>
      <c r="K16" s="303"/>
    </row>
    <row r="17" spans="1:11" ht="13">
      <c r="A17" s="2">
        <f>A8+1</f>
        <v>5</v>
      </c>
      <c r="B17" s="233"/>
      <c r="C17" s="243" t="s">
        <v>1649</v>
      </c>
      <c r="D17" s="315"/>
      <c r="E17" s="314"/>
      <c r="F17" s="314"/>
      <c r="G17" s="344">
        <f>SUM(D17:F17)</f>
        <v>0</v>
      </c>
      <c r="H17" s="817"/>
      <c r="I17" s="306"/>
      <c r="J17" s="303"/>
      <c r="K17" s="303"/>
    </row>
    <row r="18" spans="1:11" ht="13">
      <c r="A18" s="2">
        <f t="shared" si="0"/>
        <v>6</v>
      </c>
      <c r="B18" s="233"/>
      <c r="C18" s="243" t="s">
        <v>1650</v>
      </c>
      <c r="D18" s="253"/>
      <c r="E18" s="240"/>
      <c r="F18" s="240"/>
      <c r="G18" s="344">
        <f t="shared" ref="G18:G47" si="1">SUM(D18:F18)</f>
        <v>0</v>
      </c>
      <c r="I18" s="820"/>
    </row>
    <row r="19" spans="1:11" ht="13">
      <c r="A19" s="2">
        <f t="shared" si="0"/>
        <v>7</v>
      </c>
      <c r="B19" s="233"/>
      <c r="C19" s="243" t="s">
        <v>1651</v>
      </c>
      <c r="D19" s="253"/>
      <c r="E19" s="240"/>
      <c r="F19" s="240"/>
      <c r="G19" s="344">
        <f t="shared" si="1"/>
        <v>0</v>
      </c>
      <c r="I19" s="820"/>
    </row>
    <row r="20" spans="1:11" ht="13">
      <c r="A20" s="2">
        <f t="shared" si="0"/>
        <v>8</v>
      </c>
      <c r="B20" s="233"/>
      <c r="C20" s="243" t="s">
        <v>1652</v>
      </c>
      <c r="D20" s="253"/>
      <c r="E20" s="240"/>
      <c r="F20" s="240"/>
      <c r="G20" s="344">
        <f t="shared" si="1"/>
        <v>0</v>
      </c>
      <c r="I20" s="820"/>
    </row>
    <row r="21" spans="1:11" ht="13">
      <c r="A21" s="2">
        <f t="shared" si="0"/>
        <v>9</v>
      </c>
      <c r="B21" s="233"/>
      <c r="C21" s="243" t="s">
        <v>1654</v>
      </c>
      <c r="D21" s="253"/>
      <c r="E21" s="240"/>
      <c r="F21" s="240"/>
      <c r="G21" s="344">
        <f t="shared" si="1"/>
        <v>0</v>
      </c>
      <c r="I21" s="820"/>
    </row>
    <row r="22" spans="1:11" ht="13">
      <c r="A22" s="2">
        <f t="shared" si="0"/>
        <v>10</v>
      </c>
      <c r="B22" s="233"/>
      <c r="C22" s="243" t="s">
        <v>1655</v>
      </c>
      <c r="D22" s="253"/>
      <c r="E22" s="240"/>
      <c r="F22" s="240"/>
      <c r="G22" s="344">
        <f t="shared" si="1"/>
        <v>0</v>
      </c>
      <c r="I22" s="820"/>
    </row>
    <row r="23" spans="1:11" ht="13">
      <c r="A23" s="2">
        <f t="shared" si="0"/>
        <v>11</v>
      </c>
      <c r="B23" s="233"/>
      <c r="C23" s="243" t="s">
        <v>1656</v>
      </c>
      <c r="D23" s="253"/>
      <c r="E23" s="240"/>
      <c r="F23" s="240"/>
      <c r="G23" s="344">
        <f t="shared" si="1"/>
        <v>0</v>
      </c>
      <c r="I23" s="820"/>
    </row>
    <row r="24" spans="1:11" ht="13">
      <c r="A24" s="2">
        <f t="shared" si="0"/>
        <v>12</v>
      </c>
      <c r="B24" s="233"/>
      <c r="C24" s="243" t="s">
        <v>1658</v>
      </c>
      <c r="D24" s="253"/>
      <c r="E24" s="240"/>
      <c r="F24" s="240"/>
      <c r="G24" s="344">
        <f t="shared" si="1"/>
        <v>0</v>
      </c>
      <c r="I24" s="820"/>
    </row>
    <row r="25" spans="1:11" ht="13">
      <c r="A25" s="2">
        <f t="shared" si="0"/>
        <v>13</v>
      </c>
      <c r="B25" s="233"/>
      <c r="C25" s="243" t="s">
        <v>1659</v>
      </c>
      <c r="D25" s="253"/>
      <c r="E25" s="240"/>
      <c r="F25" s="240"/>
      <c r="G25" s="344">
        <f t="shared" si="1"/>
        <v>0</v>
      </c>
      <c r="I25" s="820"/>
    </row>
    <row r="26" spans="1:11" ht="13">
      <c r="A26" s="2">
        <f t="shared" si="0"/>
        <v>14</v>
      </c>
      <c r="B26" s="233"/>
      <c r="C26" s="243" t="s">
        <v>1660</v>
      </c>
      <c r="D26" s="253"/>
      <c r="E26" s="240"/>
      <c r="F26" s="240"/>
      <c r="G26" s="344">
        <f t="shared" si="1"/>
        <v>0</v>
      </c>
      <c r="I26" s="820"/>
    </row>
    <row r="27" spans="1:11" ht="13">
      <c r="A27" s="2">
        <f t="shared" si="0"/>
        <v>15</v>
      </c>
      <c r="B27" s="233"/>
      <c r="C27" s="243" t="s">
        <v>1661</v>
      </c>
      <c r="D27" s="253"/>
      <c r="E27" s="240"/>
      <c r="F27" s="240"/>
      <c r="G27" s="344">
        <f t="shared" si="1"/>
        <v>0</v>
      </c>
      <c r="I27" s="820"/>
    </row>
    <row r="28" spans="1:11" ht="13">
      <c r="A28" s="2">
        <f t="shared" si="0"/>
        <v>16</v>
      </c>
      <c r="B28" s="233"/>
      <c r="C28" s="243" t="s">
        <v>1662</v>
      </c>
      <c r="D28" s="253"/>
      <c r="E28" s="240"/>
      <c r="F28" s="240"/>
      <c r="G28" s="344">
        <f t="shared" si="1"/>
        <v>0</v>
      </c>
      <c r="I28" s="820"/>
    </row>
    <row r="29" spans="1:11" ht="13">
      <c r="A29" s="2">
        <f t="shared" si="0"/>
        <v>17</v>
      </c>
      <c r="B29" s="233"/>
      <c r="C29" s="243" t="s">
        <v>1664</v>
      </c>
      <c r="D29" s="253"/>
      <c r="E29" s="240"/>
      <c r="F29" s="240"/>
      <c r="G29" s="344">
        <f t="shared" si="1"/>
        <v>0</v>
      </c>
      <c r="I29" s="820"/>
    </row>
    <row r="30" spans="1:11" ht="13">
      <c r="A30" s="2">
        <f t="shared" si="0"/>
        <v>18</v>
      </c>
      <c r="B30" s="233"/>
      <c r="C30" s="243" t="s">
        <v>1665</v>
      </c>
      <c r="D30" s="253"/>
      <c r="E30" s="240"/>
      <c r="F30" s="240"/>
      <c r="G30" s="344">
        <f t="shared" si="1"/>
        <v>0</v>
      </c>
      <c r="I30" s="820"/>
    </row>
    <row r="31" spans="1:11" ht="13">
      <c r="A31" s="2">
        <f t="shared" si="0"/>
        <v>19</v>
      </c>
      <c r="B31" s="233"/>
      <c r="C31" s="243" t="s">
        <v>1667</v>
      </c>
      <c r="D31" s="253"/>
      <c r="E31" s="240"/>
      <c r="F31" s="240"/>
      <c r="G31" s="344">
        <f t="shared" si="1"/>
        <v>0</v>
      </c>
      <c r="I31" s="820"/>
    </row>
    <row r="32" spans="1:11" ht="13">
      <c r="A32" s="2">
        <f t="shared" si="0"/>
        <v>20</v>
      </c>
      <c r="B32" s="233"/>
      <c r="C32" s="243" t="s">
        <v>1669</v>
      </c>
      <c r="D32" s="253"/>
      <c r="E32" s="240"/>
      <c r="F32" s="240"/>
      <c r="G32" s="344">
        <f t="shared" si="1"/>
        <v>0</v>
      </c>
      <c r="I32" s="820"/>
    </row>
    <row r="33" spans="1:9" ht="13">
      <c r="A33" s="2">
        <f t="shared" si="0"/>
        <v>21</v>
      </c>
      <c r="B33" s="233"/>
      <c r="C33" s="243" t="s">
        <v>1670</v>
      </c>
      <c r="D33" s="253"/>
      <c r="E33" s="240"/>
      <c r="F33" s="240"/>
      <c r="G33" s="344">
        <f t="shared" si="1"/>
        <v>0</v>
      </c>
      <c r="I33" s="820"/>
    </row>
    <row r="34" spans="1:9" ht="13">
      <c r="A34" s="2">
        <f t="shared" si="0"/>
        <v>22</v>
      </c>
      <c r="B34" s="233"/>
      <c r="C34" s="243" t="s">
        <v>1671</v>
      </c>
      <c r="D34" s="253"/>
      <c r="E34" s="240"/>
      <c r="F34" s="240"/>
      <c r="G34" s="344">
        <f t="shared" si="1"/>
        <v>0</v>
      </c>
      <c r="I34" s="820"/>
    </row>
    <row r="35" spans="1:9" ht="13">
      <c r="A35" s="2">
        <f t="shared" si="0"/>
        <v>23</v>
      </c>
      <c r="B35" s="233"/>
      <c r="C35" s="243" t="s">
        <v>1672</v>
      </c>
      <c r="D35" s="253"/>
      <c r="E35" s="240"/>
      <c r="F35" s="240"/>
      <c r="G35" s="344">
        <f t="shared" si="1"/>
        <v>0</v>
      </c>
      <c r="I35" s="820"/>
    </row>
    <row r="36" spans="1:9" ht="13">
      <c r="A36" s="2">
        <f t="shared" si="0"/>
        <v>24</v>
      </c>
      <c r="B36" s="233"/>
      <c r="C36" s="243" t="s">
        <v>1673</v>
      </c>
      <c r="D36" s="253"/>
      <c r="E36" s="240"/>
      <c r="F36" s="240"/>
      <c r="G36" s="344">
        <f t="shared" si="1"/>
        <v>0</v>
      </c>
      <c r="I36" s="820"/>
    </row>
    <row r="37" spans="1:9" ht="13">
      <c r="A37" s="2">
        <f t="shared" si="0"/>
        <v>25</v>
      </c>
      <c r="B37" s="233"/>
      <c r="C37" s="243" t="s">
        <v>1674</v>
      </c>
      <c r="D37" s="253"/>
      <c r="E37" s="240"/>
      <c r="F37" s="240"/>
      <c r="G37" s="344">
        <f t="shared" si="1"/>
        <v>0</v>
      </c>
      <c r="I37" s="820"/>
    </row>
    <row r="38" spans="1:9" ht="13">
      <c r="A38" s="2">
        <f t="shared" si="0"/>
        <v>26</v>
      </c>
      <c r="B38" s="233"/>
      <c r="C38" s="243" t="s">
        <v>1675</v>
      </c>
      <c r="D38" s="253"/>
      <c r="E38" s="240"/>
      <c r="F38" s="240"/>
      <c r="G38" s="344">
        <f t="shared" si="1"/>
        <v>0</v>
      </c>
      <c r="I38" s="820"/>
    </row>
    <row r="39" spans="1:9" ht="13">
      <c r="A39" s="2">
        <f t="shared" si="0"/>
        <v>27</v>
      </c>
      <c r="B39" s="233"/>
      <c r="C39" s="243" t="s">
        <v>1677</v>
      </c>
      <c r="D39" s="253"/>
      <c r="E39" s="240"/>
      <c r="F39" s="240"/>
      <c r="G39" s="344">
        <f t="shared" si="1"/>
        <v>0</v>
      </c>
      <c r="I39" s="820"/>
    </row>
    <row r="40" spans="1:9" ht="13">
      <c r="A40" s="2">
        <f t="shared" si="0"/>
        <v>28</v>
      </c>
      <c r="B40" s="233"/>
      <c r="C40" s="243" t="s">
        <v>1678</v>
      </c>
      <c r="D40" s="253"/>
      <c r="E40" s="240"/>
      <c r="F40" s="240"/>
      <c r="G40" s="344">
        <f t="shared" si="1"/>
        <v>0</v>
      </c>
      <c r="I40" s="820"/>
    </row>
    <row r="41" spans="1:9" ht="13">
      <c r="A41" s="2">
        <f t="shared" si="0"/>
        <v>29</v>
      </c>
      <c r="B41" s="233"/>
      <c r="C41" s="243" t="s">
        <v>1679</v>
      </c>
      <c r="D41" s="253"/>
      <c r="E41" s="240"/>
      <c r="F41" s="240"/>
      <c r="G41" s="344">
        <f t="shared" si="1"/>
        <v>0</v>
      </c>
      <c r="I41" s="820"/>
    </row>
    <row r="42" spans="1:9" ht="13">
      <c r="A42" s="2">
        <f t="shared" si="0"/>
        <v>30</v>
      </c>
      <c r="B42" s="233"/>
      <c r="C42" s="243" t="s">
        <v>1680</v>
      </c>
      <c r="D42" s="253"/>
      <c r="E42" s="240"/>
      <c r="F42" s="240"/>
      <c r="G42" s="344">
        <f t="shared" si="1"/>
        <v>0</v>
      </c>
      <c r="I42" s="820"/>
    </row>
    <row r="43" spans="1:9" ht="13">
      <c r="A43" s="2">
        <f t="shared" si="0"/>
        <v>31</v>
      </c>
      <c r="B43" s="233"/>
      <c r="C43" s="243" t="s">
        <v>1681</v>
      </c>
      <c r="D43" s="253"/>
      <c r="E43" s="240"/>
      <c r="F43" s="240"/>
      <c r="G43" s="344">
        <f t="shared" si="1"/>
        <v>0</v>
      </c>
      <c r="I43" s="820"/>
    </row>
    <row r="44" spans="1:9" ht="13">
      <c r="A44" s="2">
        <f t="shared" si="0"/>
        <v>32</v>
      </c>
      <c r="B44" s="233"/>
      <c r="C44" s="243" t="s">
        <v>1682</v>
      </c>
      <c r="D44" s="253"/>
      <c r="E44" s="240"/>
      <c r="F44" s="240"/>
      <c r="G44" s="344">
        <f t="shared" si="1"/>
        <v>0</v>
      </c>
      <c r="I44" s="820"/>
    </row>
    <row r="45" spans="1:9" ht="13">
      <c r="A45" s="2">
        <f t="shared" si="0"/>
        <v>33</v>
      </c>
      <c r="B45" s="233"/>
      <c r="C45" s="243" t="s">
        <v>1683</v>
      </c>
      <c r="D45" s="253"/>
      <c r="E45" s="240"/>
      <c r="F45" s="240"/>
      <c r="G45" s="344">
        <f t="shared" si="1"/>
        <v>0</v>
      </c>
      <c r="I45" s="820"/>
    </row>
    <row r="46" spans="1:9" ht="13">
      <c r="A46" s="2">
        <f t="shared" si="0"/>
        <v>34</v>
      </c>
      <c r="B46" s="233"/>
      <c r="C46" s="243" t="s">
        <v>1684</v>
      </c>
      <c r="D46" s="253"/>
      <c r="E46" s="240"/>
      <c r="F46" s="240"/>
      <c r="G46" s="344">
        <f t="shared" si="1"/>
        <v>0</v>
      </c>
      <c r="I46" s="820"/>
    </row>
    <row r="47" spans="1:9" ht="13">
      <c r="A47" s="2">
        <f t="shared" si="0"/>
        <v>35</v>
      </c>
      <c r="B47" s="233"/>
      <c r="C47" s="243" t="s">
        <v>2971</v>
      </c>
      <c r="D47" s="253"/>
      <c r="E47" s="240"/>
      <c r="F47" s="240"/>
      <c r="G47" s="344">
        <f t="shared" si="1"/>
        <v>0</v>
      </c>
      <c r="I47" s="820"/>
    </row>
    <row r="48" spans="1:9" ht="13">
      <c r="A48" s="2">
        <f t="shared" si="0"/>
        <v>36</v>
      </c>
      <c r="B48" s="233"/>
      <c r="C48" s="266" t="s">
        <v>641</v>
      </c>
      <c r="D48" s="957"/>
      <c r="E48" s="958"/>
      <c r="F48" s="958"/>
      <c r="G48" s="969"/>
      <c r="I48" s="836"/>
    </row>
    <row r="49" spans="1:9" ht="13">
      <c r="A49" s="2">
        <f t="shared" si="0"/>
        <v>37</v>
      </c>
      <c r="B49" s="233"/>
      <c r="C49" s="231" t="s">
        <v>2972</v>
      </c>
      <c r="D49" s="235">
        <f>SUM(D17:D48)</f>
        <v>0</v>
      </c>
      <c r="E49" s="235">
        <f t="shared" ref="E49:F49" si="2">SUM(E17:E47)</f>
        <v>0</v>
      </c>
      <c r="F49" s="235">
        <f t="shared" si="2"/>
        <v>0</v>
      </c>
      <c r="G49" s="344">
        <f>SUM(D49:F49)</f>
        <v>0</v>
      </c>
    </row>
    <row r="50" spans="1:9" ht="13">
      <c r="A50" s="2"/>
      <c r="B50" s="233"/>
      <c r="C50" s="231"/>
      <c r="D50" s="235"/>
      <c r="E50" s="233"/>
      <c r="F50" s="233"/>
      <c r="G50" s="233"/>
    </row>
    <row r="51" spans="1:9" ht="13">
      <c r="A51" s="2"/>
      <c r="B51" s="233"/>
      <c r="C51" s="231"/>
      <c r="D51" s="48" t="s">
        <v>347</v>
      </c>
      <c r="E51" s="48" t="s">
        <v>348</v>
      </c>
      <c r="F51" s="48" t="s">
        <v>349</v>
      </c>
      <c r="G51" s="48" t="s">
        <v>350</v>
      </c>
    </row>
    <row r="52" spans="1:9" ht="13">
      <c r="A52" s="2"/>
      <c r="B52" s="233"/>
      <c r="C52" s="233"/>
      <c r="D52" s="310" t="s">
        <v>2967</v>
      </c>
      <c r="E52" s="310" t="s">
        <v>2968</v>
      </c>
      <c r="F52" s="310" t="s">
        <v>2969</v>
      </c>
      <c r="G52" s="310" t="s">
        <v>1489</v>
      </c>
    </row>
    <row r="53" spans="1:9" ht="13">
      <c r="A53" s="2"/>
      <c r="B53" s="233"/>
      <c r="C53" s="233"/>
      <c r="D53" s="310" t="s">
        <v>933</v>
      </c>
      <c r="E53" s="310" t="s">
        <v>933</v>
      </c>
      <c r="F53" s="310" t="s">
        <v>933</v>
      </c>
      <c r="G53" s="310" t="s">
        <v>933</v>
      </c>
    </row>
    <row r="54" spans="1:9" ht="13">
      <c r="A54" s="3" t="s">
        <v>284</v>
      </c>
      <c r="B54" s="194" t="s">
        <v>2973</v>
      </c>
      <c r="C54" s="233"/>
      <c r="D54" s="328" t="s">
        <v>251</v>
      </c>
      <c r="E54" s="328" t="s">
        <v>251</v>
      </c>
      <c r="F54" s="328" t="s">
        <v>251</v>
      </c>
      <c r="G54" s="328" t="s">
        <v>251</v>
      </c>
    </row>
    <row r="55" spans="1:9" ht="13">
      <c r="A55" s="2">
        <f>A49+1</f>
        <v>38</v>
      </c>
      <c r="B55" s="233"/>
      <c r="C55" s="233" t="s">
        <v>2974</v>
      </c>
      <c r="D55" s="253"/>
      <c r="E55" s="240"/>
      <c r="F55" s="240"/>
      <c r="G55" s="344">
        <f>SUM(D55:F55)</f>
        <v>0</v>
      </c>
      <c r="I55" s="820"/>
    </row>
    <row r="56" spans="1:9" ht="13">
      <c r="A56" s="2">
        <f t="shared" si="0"/>
        <v>39</v>
      </c>
      <c r="B56" s="233"/>
      <c r="C56" s="233" t="s">
        <v>2975</v>
      </c>
      <c r="D56" s="253"/>
      <c r="E56" s="240"/>
      <c r="F56" s="240"/>
      <c r="G56" s="344">
        <f t="shared" ref="G56:G73" si="3">SUM(D56:F56)</f>
        <v>0</v>
      </c>
      <c r="I56" s="820"/>
    </row>
    <row r="57" spans="1:9" ht="13">
      <c r="A57" s="2">
        <f t="shared" si="0"/>
        <v>40</v>
      </c>
      <c r="B57" s="233"/>
      <c r="C57" s="233" t="s">
        <v>2976</v>
      </c>
      <c r="D57" s="253"/>
      <c r="E57" s="240"/>
      <c r="F57" s="240"/>
      <c r="G57" s="344">
        <f t="shared" si="3"/>
        <v>0</v>
      </c>
      <c r="I57" s="820"/>
    </row>
    <row r="58" spans="1:9" ht="13">
      <c r="A58" s="2">
        <f t="shared" si="0"/>
        <v>41</v>
      </c>
      <c r="B58" s="233"/>
      <c r="C58" s="233" t="s">
        <v>2977</v>
      </c>
      <c r="D58" s="253"/>
      <c r="E58" s="240"/>
      <c r="F58" s="240"/>
      <c r="G58" s="344">
        <f t="shared" si="3"/>
        <v>0</v>
      </c>
      <c r="I58" s="820"/>
    </row>
    <row r="59" spans="1:9" ht="13">
      <c r="A59" s="2">
        <f t="shared" si="0"/>
        <v>42</v>
      </c>
      <c r="B59" s="233"/>
      <c r="C59" s="233" t="s">
        <v>2978</v>
      </c>
      <c r="D59" s="253"/>
      <c r="E59" s="240"/>
      <c r="F59" s="240"/>
      <c r="G59" s="344">
        <f t="shared" si="3"/>
        <v>0</v>
      </c>
      <c r="I59" s="820"/>
    </row>
    <row r="60" spans="1:9" ht="13">
      <c r="A60" s="2">
        <f t="shared" si="0"/>
        <v>43</v>
      </c>
      <c r="B60" s="233"/>
      <c r="C60" s="233" t="s">
        <v>2979</v>
      </c>
      <c r="D60" s="253"/>
      <c r="E60" s="240"/>
      <c r="F60" s="240"/>
      <c r="G60" s="344">
        <f t="shared" si="3"/>
        <v>0</v>
      </c>
      <c r="I60" s="820"/>
    </row>
    <row r="61" spans="1:9" ht="13">
      <c r="A61" s="2">
        <f t="shared" si="0"/>
        <v>44</v>
      </c>
      <c r="B61" s="233"/>
      <c r="C61" s="233" t="s">
        <v>2980</v>
      </c>
      <c r="D61" s="253"/>
      <c r="E61" s="240"/>
      <c r="F61" s="240"/>
      <c r="G61" s="344">
        <f t="shared" si="3"/>
        <v>0</v>
      </c>
      <c r="I61" s="820"/>
    </row>
    <row r="62" spans="1:9" ht="13">
      <c r="A62" s="2">
        <f t="shared" si="0"/>
        <v>45</v>
      </c>
      <c r="B62" s="233"/>
      <c r="C62" s="233" t="s">
        <v>2981</v>
      </c>
      <c r="D62" s="253"/>
      <c r="E62" s="240"/>
      <c r="F62" s="240"/>
      <c r="G62" s="344">
        <f t="shared" si="3"/>
        <v>0</v>
      </c>
      <c r="I62" s="845"/>
    </row>
    <row r="63" spans="1:9" ht="13">
      <c r="A63" s="2">
        <f t="shared" si="0"/>
        <v>46</v>
      </c>
      <c r="B63" s="960"/>
      <c r="C63" s="233" t="s">
        <v>2982</v>
      </c>
      <c r="D63" s="253"/>
      <c r="E63" s="240"/>
      <c r="F63" s="240"/>
      <c r="G63" s="344">
        <f t="shared" si="3"/>
        <v>0</v>
      </c>
      <c r="I63" s="820"/>
    </row>
    <row r="64" spans="1:9" ht="13">
      <c r="A64" s="2">
        <f t="shared" si="0"/>
        <v>47</v>
      </c>
      <c r="B64" s="961"/>
      <c r="C64" s="233" t="s">
        <v>2983</v>
      </c>
      <c r="D64" s="253"/>
      <c r="E64" s="240"/>
      <c r="F64" s="240"/>
      <c r="G64" s="344">
        <f t="shared" si="3"/>
        <v>0</v>
      </c>
      <c r="I64" s="820"/>
    </row>
    <row r="65" spans="1:9" ht="13">
      <c r="A65" s="2">
        <f t="shared" si="0"/>
        <v>48</v>
      </c>
      <c r="B65" s="303"/>
      <c r="C65" s="233" t="s">
        <v>2984</v>
      </c>
      <c r="D65" s="253"/>
      <c r="E65" s="240"/>
      <c r="F65" s="240"/>
      <c r="G65" s="344">
        <f t="shared" si="3"/>
        <v>0</v>
      </c>
      <c r="I65" s="820"/>
    </row>
    <row r="66" spans="1:9" ht="13">
      <c r="A66" s="2">
        <f t="shared" si="0"/>
        <v>49</v>
      </c>
      <c r="B66" s="961"/>
      <c r="C66" s="233" t="s">
        <v>2985</v>
      </c>
      <c r="D66" s="253"/>
      <c r="E66" s="240"/>
      <c r="F66" s="240"/>
      <c r="G66" s="344">
        <f t="shared" si="3"/>
        <v>0</v>
      </c>
      <c r="I66" s="820"/>
    </row>
    <row r="67" spans="1:9" ht="13">
      <c r="A67" s="2">
        <f t="shared" si="0"/>
        <v>50</v>
      </c>
      <c r="B67" s="961"/>
      <c r="C67" s="233" t="s">
        <v>2986</v>
      </c>
      <c r="D67" s="253"/>
      <c r="E67" s="240"/>
      <c r="F67" s="240"/>
      <c r="G67" s="344">
        <f t="shared" si="3"/>
        <v>0</v>
      </c>
      <c r="I67" s="820"/>
    </row>
    <row r="68" spans="1:9" ht="13">
      <c r="A68" s="2">
        <f t="shared" si="0"/>
        <v>51</v>
      </c>
      <c r="B68" s="233"/>
      <c r="C68" s="245" t="s">
        <v>3052</v>
      </c>
      <c r="D68" s="253"/>
      <c r="E68" s="240"/>
      <c r="F68" s="240"/>
      <c r="G68" s="344">
        <f t="shared" si="3"/>
        <v>0</v>
      </c>
      <c r="H68" s="1116"/>
      <c r="I68" s="836"/>
    </row>
    <row r="69" spans="1:9" ht="13">
      <c r="A69" s="1069" t="s">
        <v>2987</v>
      </c>
      <c r="B69" s="233"/>
      <c r="C69" s="1152" t="s">
        <v>2988</v>
      </c>
      <c r="D69" s="1144"/>
      <c r="E69" s="392"/>
      <c r="F69" s="392"/>
      <c r="G69" s="1155">
        <f t="shared" si="3"/>
        <v>0</v>
      </c>
      <c r="H69" s="1116"/>
      <c r="I69" s="836"/>
    </row>
    <row r="70" spans="1:9" ht="13">
      <c r="A70" s="1069" t="s">
        <v>2989</v>
      </c>
      <c r="B70" s="233"/>
      <c r="C70" s="1152" t="s">
        <v>2990</v>
      </c>
      <c r="D70" s="1144"/>
      <c r="E70" s="392"/>
      <c r="F70" s="392"/>
      <c r="G70" s="1155">
        <f t="shared" si="3"/>
        <v>0</v>
      </c>
      <c r="H70" s="1116"/>
      <c r="I70" s="836"/>
    </row>
    <row r="71" spans="1:9" ht="13">
      <c r="A71" s="1069" t="s">
        <v>2991</v>
      </c>
      <c r="B71" s="233"/>
      <c r="C71" s="1152" t="s">
        <v>2992</v>
      </c>
      <c r="D71" s="1144"/>
      <c r="E71" s="392"/>
      <c r="F71" s="392"/>
      <c r="G71" s="1155">
        <f t="shared" si="3"/>
        <v>0</v>
      </c>
      <c r="H71" s="1116"/>
      <c r="I71" s="836"/>
    </row>
    <row r="72" spans="1:9" ht="13">
      <c r="A72" s="2">
        <f>A68+1</f>
        <v>52</v>
      </c>
      <c r="B72" s="233"/>
      <c r="C72" s="266" t="s">
        <v>641</v>
      </c>
      <c r="D72" s="957"/>
      <c r="E72" s="958"/>
      <c r="F72" s="958"/>
      <c r="G72" s="962"/>
      <c r="I72" s="836"/>
    </row>
    <row r="73" spans="1:9" ht="13">
      <c r="A73" s="2">
        <f t="shared" si="0"/>
        <v>53</v>
      </c>
      <c r="B73" s="233"/>
      <c r="C73" s="231" t="s">
        <v>2993</v>
      </c>
      <c r="D73" s="235">
        <f>SUM(D55:D72)</f>
        <v>0</v>
      </c>
      <c r="E73" s="235">
        <f>SUM(E55:E72)</f>
        <v>0</v>
      </c>
      <c r="F73" s="235">
        <f>SUM(F55:F72)</f>
        <v>0</v>
      </c>
      <c r="G73" s="344">
        <f t="shared" si="3"/>
        <v>0</v>
      </c>
    </row>
    <row r="74" spans="1:9" ht="13">
      <c r="A74" s="2"/>
      <c r="B74" s="233"/>
      <c r="C74" s="231"/>
      <c r="D74" s="235"/>
      <c r="E74" s="235"/>
      <c r="F74" s="235"/>
      <c r="G74" s="344"/>
    </row>
    <row r="75" spans="1:9" ht="13">
      <c r="A75" s="2"/>
      <c r="B75" s="233"/>
      <c r="C75" s="231"/>
      <c r="D75" s="48" t="s">
        <v>347</v>
      </c>
      <c r="E75" s="48" t="s">
        <v>348</v>
      </c>
      <c r="F75" s="48" t="s">
        <v>349</v>
      </c>
      <c r="G75" s="48" t="s">
        <v>350</v>
      </c>
    </row>
    <row r="76" spans="1:9" ht="13">
      <c r="A76" s="2"/>
      <c r="B76" s="233"/>
      <c r="C76" s="231"/>
      <c r="D76" s="310" t="s">
        <v>2967</v>
      </c>
      <c r="E76" s="310" t="s">
        <v>2968</v>
      </c>
      <c r="F76" s="310" t="s">
        <v>2969</v>
      </c>
      <c r="G76" s="310" t="s">
        <v>1489</v>
      </c>
    </row>
    <row r="77" spans="1:9" ht="13">
      <c r="A77" s="2"/>
      <c r="B77" s="233"/>
      <c r="C77" s="233"/>
      <c r="D77" s="310" t="s">
        <v>933</v>
      </c>
      <c r="E77" s="310" t="s">
        <v>933</v>
      </c>
      <c r="F77" s="310" t="s">
        <v>933</v>
      </c>
      <c r="G77" s="310" t="s">
        <v>933</v>
      </c>
    </row>
    <row r="78" spans="1:9" ht="13">
      <c r="A78" s="3" t="s">
        <v>284</v>
      </c>
      <c r="B78" s="194" t="s">
        <v>2994</v>
      </c>
      <c r="C78" s="233"/>
      <c r="D78" s="328" t="s">
        <v>251</v>
      </c>
      <c r="E78" s="328" t="s">
        <v>251</v>
      </c>
      <c r="F78" s="328" t="s">
        <v>251</v>
      </c>
      <c r="G78" s="328" t="s">
        <v>251</v>
      </c>
    </row>
    <row r="79" spans="1:9" ht="13">
      <c r="A79" s="2">
        <f>A73+1</f>
        <v>54</v>
      </c>
      <c r="B79" s="233"/>
      <c r="C79" s="233" t="s">
        <v>128</v>
      </c>
      <c r="D79" s="253"/>
      <c r="E79" s="240"/>
      <c r="F79" s="240"/>
      <c r="G79" s="959">
        <f>SUM(D79:F79)</f>
        <v>0</v>
      </c>
      <c r="I79" s="836"/>
    </row>
    <row r="80" spans="1:9" ht="13">
      <c r="A80" s="2">
        <f>A79+1</f>
        <v>55</v>
      </c>
      <c r="B80" s="233"/>
      <c r="C80" s="231" t="s">
        <v>2995</v>
      </c>
      <c r="D80" s="235">
        <f>SUM(D79)</f>
        <v>0</v>
      </c>
      <c r="E80" s="235">
        <f>SUM(E79)</f>
        <v>0</v>
      </c>
      <c r="F80" s="235">
        <f>SUM(F79)</f>
        <v>0</v>
      </c>
      <c r="G80" s="344">
        <f t="shared" ref="G80" si="4">SUM(D80:F80)</f>
        <v>0</v>
      </c>
    </row>
    <row r="81" spans="1:11" ht="13">
      <c r="A81" s="2"/>
      <c r="B81" s="233"/>
      <c r="C81" s="233"/>
      <c r="D81" s="233"/>
      <c r="E81" s="233"/>
      <c r="F81" s="233"/>
      <c r="G81" s="233"/>
    </row>
    <row r="82" spans="1:11" ht="13">
      <c r="A82" s="2"/>
      <c r="B82" s="233"/>
      <c r="C82" s="233"/>
      <c r="D82" s="233"/>
      <c r="E82" s="233"/>
      <c r="F82" s="233"/>
      <c r="G82" s="233"/>
    </row>
    <row r="83" spans="1:11" ht="13">
      <c r="A83" s="2"/>
      <c r="B83" s="233"/>
      <c r="C83" s="233"/>
      <c r="D83" s="48" t="s">
        <v>347</v>
      </c>
      <c r="E83" s="48" t="s">
        <v>348</v>
      </c>
      <c r="F83" s="48" t="s">
        <v>349</v>
      </c>
      <c r="G83" s="48" t="s">
        <v>350</v>
      </c>
    </row>
    <row r="84" spans="1:11" ht="13">
      <c r="A84" s="2"/>
      <c r="B84" s="233"/>
      <c r="C84" s="233"/>
      <c r="D84" s="310" t="s">
        <v>2967</v>
      </c>
      <c r="E84" s="310" t="s">
        <v>2968</v>
      </c>
      <c r="F84" s="310" t="s">
        <v>2969</v>
      </c>
      <c r="G84" s="310" t="s">
        <v>1489</v>
      </c>
    </row>
    <row r="85" spans="1:11" ht="13">
      <c r="A85" s="233"/>
      <c r="B85" s="233"/>
      <c r="C85" s="233"/>
      <c r="D85" s="310" t="s">
        <v>933</v>
      </c>
      <c r="E85" s="310" t="s">
        <v>933</v>
      </c>
      <c r="F85" s="310" t="s">
        <v>933</v>
      </c>
      <c r="G85" s="310" t="s">
        <v>933</v>
      </c>
    </row>
    <row r="86" spans="1:11" ht="13">
      <c r="A86" s="3" t="s">
        <v>284</v>
      </c>
      <c r="B86" s="194" t="s">
        <v>2996</v>
      </c>
      <c r="C86" s="233"/>
      <c r="D86" s="328" t="s">
        <v>251</v>
      </c>
      <c r="E86" s="328" t="s">
        <v>251</v>
      </c>
      <c r="F86" s="328" t="s">
        <v>251</v>
      </c>
      <c r="G86" s="328" t="s">
        <v>251</v>
      </c>
    </row>
    <row r="87" spans="1:11" ht="13">
      <c r="A87" s="2">
        <f>A80+1</f>
        <v>56</v>
      </c>
      <c r="B87" s="233"/>
      <c r="C87" s="276" t="s">
        <v>135</v>
      </c>
      <c r="D87" s="253"/>
      <c r="E87" s="240"/>
      <c r="F87" s="240"/>
      <c r="G87" s="344">
        <f>SUM(D87:F87)</f>
        <v>0</v>
      </c>
      <c r="I87" s="820"/>
      <c r="K87" s="188"/>
    </row>
    <row r="88" spans="1:11" ht="13">
      <c r="A88" s="2">
        <f t="shared" ref="A88:A94" si="5">A87+1</f>
        <v>57</v>
      </c>
      <c r="B88" s="233"/>
      <c r="C88" s="276" t="s">
        <v>136</v>
      </c>
      <c r="D88" s="253"/>
      <c r="E88" s="240"/>
      <c r="F88" s="240"/>
      <c r="G88" s="344">
        <f t="shared" ref="G88:G89" si="6">SUM(D88:F88)</f>
        <v>0</v>
      </c>
      <c r="I88" s="820"/>
      <c r="K88" s="188"/>
    </row>
    <row r="89" spans="1:11" ht="13">
      <c r="A89" s="2">
        <f t="shared" si="5"/>
        <v>58</v>
      </c>
      <c r="B89" s="233"/>
      <c r="C89" s="276" t="s">
        <v>137</v>
      </c>
      <c r="D89" s="253"/>
      <c r="E89" s="240"/>
      <c r="F89" s="240"/>
      <c r="G89" s="344">
        <f t="shared" si="6"/>
        <v>0</v>
      </c>
      <c r="I89" s="820"/>
      <c r="K89" s="188"/>
    </row>
    <row r="90" spans="1:11" ht="13">
      <c r="A90" s="2">
        <f t="shared" si="5"/>
        <v>59</v>
      </c>
      <c r="B90" s="233"/>
      <c r="C90" s="276" t="s">
        <v>138</v>
      </c>
      <c r="D90" s="253"/>
      <c r="E90" s="240"/>
      <c r="F90" s="240"/>
      <c r="G90" s="344">
        <f t="shared" ref="G90:G93" si="7">SUM(D90:F90)</f>
        <v>0</v>
      </c>
      <c r="I90" s="820"/>
      <c r="K90" s="232"/>
    </row>
    <row r="91" spans="1:11" ht="13">
      <c r="A91" s="2">
        <f t="shared" si="5"/>
        <v>60</v>
      </c>
      <c r="B91" s="233"/>
      <c r="C91" s="276" t="s">
        <v>139</v>
      </c>
      <c r="D91" s="253"/>
      <c r="E91" s="240"/>
      <c r="F91" s="240"/>
      <c r="G91" s="344">
        <f t="shared" si="7"/>
        <v>0</v>
      </c>
      <c r="I91" s="820"/>
      <c r="K91" s="12"/>
    </row>
    <row r="92" spans="1:11" ht="13">
      <c r="A92" s="2">
        <f t="shared" si="5"/>
        <v>61</v>
      </c>
      <c r="B92" s="233"/>
      <c r="C92" s="276" t="s">
        <v>140</v>
      </c>
      <c r="D92" s="253"/>
      <c r="E92" s="240"/>
      <c r="F92" s="240"/>
      <c r="G92" s="344">
        <f t="shared" si="7"/>
        <v>0</v>
      </c>
      <c r="I92" s="820"/>
      <c r="K92" s="12"/>
    </row>
    <row r="93" spans="1:11" ht="13">
      <c r="A93" s="2">
        <f t="shared" si="5"/>
        <v>62</v>
      </c>
      <c r="B93" s="233"/>
      <c r="C93" s="276" t="s">
        <v>141</v>
      </c>
      <c r="D93" s="61"/>
      <c r="E93" s="240"/>
      <c r="F93" s="240"/>
      <c r="G93" s="959">
        <f t="shared" si="7"/>
        <v>0</v>
      </c>
      <c r="I93" s="836"/>
      <c r="K93" s="12"/>
    </row>
    <row r="94" spans="1:11" ht="13">
      <c r="A94" s="2">
        <f t="shared" si="5"/>
        <v>63</v>
      </c>
      <c r="B94" s="233"/>
      <c r="C94" s="231" t="s">
        <v>2997</v>
      </c>
      <c r="D94" s="235">
        <f>SUM(D87:D93)</f>
        <v>0</v>
      </c>
      <c r="E94" s="235">
        <f t="shared" ref="E94:F94" si="8">SUM(E87:E93)</f>
        <v>0</v>
      </c>
      <c r="F94" s="235">
        <f t="shared" si="8"/>
        <v>0</v>
      </c>
      <c r="G94" s="344">
        <f>SUM(D94:F94)</f>
        <v>0</v>
      </c>
    </row>
    <row r="95" spans="1:11" ht="13">
      <c r="A95" s="2"/>
      <c r="B95" s="233"/>
      <c r="C95" s="231"/>
      <c r="D95" s="235"/>
      <c r="E95" s="235"/>
      <c r="F95" s="235"/>
      <c r="G95" s="344"/>
    </row>
    <row r="96" spans="1:11" ht="13">
      <c r="A96" s="2"/>
      <c r="B96" s="233"/>
      <c r="C96" s="231"/>
      <c r="D96" s="48" t="s">
        <v>347</v>
      </c>
      <c r="E96" s="48" t="s">
        <v>348</v>
      </c>
      <c r="F96" s="48" t="s">
        <v>349</v>
      </c>
      <c r="G96" s="48" t="s">
        <v>350</v>
      </c>
    </row>
    <row r="97" spans="1:9" ht="13">
      <c r="A97" s="2"/>
      <c r="B97" s="233"/>
      <c r="C97" s="1"/>
      <c r="D97" s="310" t="s">
        <v>2967</v>
      </c>
      <c r="E97" s="310" t="s">
        <v>2968</v>
      </c>
      <c r="F97" s="310" t="s">
        <v>2969</v>
      </c>
      <c r="G97" s="310" t="s">
        <v>1489</v>
      </c>
    </row>
    <row r="98" spans="1:9" ht="13">
      <c r="A98" s="2"/>
      <c r="B98" s="233"/>
      <c r="C98" s="233"/>
      <c r="D98" s="310" t="s">
        <v>933</v>
      </c>
      <c r="E98" s="310" t="s">
        <v>933</v>
      </c>
      <c r="F98" s="310" t="s">
        <v>933</v>
      </c>
      <c r="G98" s="310" t="s">
        <v>933</v>
      </c>
    </row>
    <row r="99" spans="1:9" ht="13">
      <c r="A99" s="3" t="s">
        <v>284</v>
      </c>
      <c r="B99" s="194" t="s">
        <v>2998</v>
      </c>
      <c r="C99" s="233"/>
      <c r="D99" s="328" t="s">
        <v>251</v>
      </c>
      <c r="E99" s="328" t="s">
        <v>251</v>
      </c>
      <c r="F99" s="328" t="s">
        <v>251</v>
      </c>
      <c r="G99" s="328" t="s">
        <v>251</v>
      </c>
    </row>
    <row r="100" spans="1:9" ht="13">
      <c r="A100" s="2">
        <f>A94+1</f>
        <v>64</v>
      </c>
      <c r="B100" s="233"/>
      <c r="C100" s="233" t="s">
        <v>2999</v>
      </c>
      <c r="D100" s="253"/>
      <c r="E100" s="240"/>
      <c r="F100" s="240"/>
      <c r="G100" s="344">
        <f>SUM(D100:F100)</f>
        <v>0</v>
      </c>
      <c r="H100" s="841"/>
      <c r="I100" s="820"/>
    </row>
    <row r="101" spans="1:9" ht="13">
      <c r="A101" s="2">
        <f t="shared" ref="A101:A116" si="9">A100+1</f>
        <v>65</v>
      </c>
      <c r="B101" s="233"/>
      <c r="C101" s="233" t="s">
        <v>114</v>
      </c>
      <c r="D101" s="253"/>
      <c r="E101" s="240"/>
      <c r="F101" s="240"/>
      <c r="G101" s="344">
        <f t="shared" ref="G101:G104" si="10">SUM(D101:F101)</f>
        <v>0</v>
      </c>
      <c r="H101" s="841"/>
      <c r="I101" s="820"/>
    </row>
    <row r="102" spans="1:9" ht="13">
      <c r="A102" s="2">
        <f t="shared" ref="A102:A113" si="11">A101+1</f>
        <v>66</v>
      </c>
      <c r="B102" s="233"/>
      <c r="C102" s="233" t="s">
        <v>3000</v>
      </c>
      <c r="D102" s="253"/>
      <c r="E102" s="240"/>
      <c r="F102" s="240"/>
      <c r="G102" s="344">
        <f t="shared" si="10"/>
        <v>0</v>
      </c>
      <c r="H102" s="841"/>
      <c r="I102" s="820"/>
    </row>
    <row r="103" spans="1:9" ht="13">
      <c r="A103" s="2">
        <f t="shared" si="11"/>
        <v>67</v>
      </c>
      <c r="B103" s="233"/>
      <c r="C103" s="233" t="s">
        <v>3001</v>
      </c>
      <c r="D103" s="253"/>
      <c r="E103" s="240"/>
      <c r="F103" s="240"/>
      <c r="G103" s="344">
        <f t="shared" si="10"/>
        <v>0</v>
      </c>
      <c r="H103" s="841"/>
      <c r="I103" s="820"/>
    </row>
    <row r="104" spans="1:9" ht="13">
      <c r="A104" s="2">
        <f t="shared" si="11"/>
        <v>68</v>
      </c>
      <c r="B104" s="233"/>
      <c r="C104" s="266" t="s">
        <v>641</v>
      </c>
      <c r="D104" s="879"/>
      <c r="E104" s="958"/>
      <c r="F104" s="958"/>
      <c r="G104" s="959">
        <f t="shared" si="10"/>
        <v>0</v>
      </c>
      <c r="H104" s="841"/>
      <c r="I104" s="820"/>
    </row>
    <row r="105" spans="1:9" ht="13">
      <c r="A105" s="2">
        <f t="shared" si="11"/>
        <v>69</v>
      </c>
      <c r="B105" s="233"/>
      <c r="C105" s="231" t="s">
        <v>3002</v>
      </c>
      <c r="D105" s="235">
        <f>SUM(D100:D104)</f>
        <v>0</v>
      </c>
      <c r="E105" s="235">
        <f t="shared" ref="E105:F105" si="12">SUM(E100:E104)</f>
        <v>0</v>
      </c>
      <c r="F105" s="235">
        <f t="shared" si="12"/>
        <v>0</v>
      </c>
      <c r="G105" s="344">
        <f>SUM(D105:F105)</f>
        <v>0</v>
      </c>
    </row>
    <row r="106" spans="1:9" ht="13">
      <c r="A106" s="2">
        <f t="shared" si="11"/>
        <v>70</v>
      </c>
      <c r="B106" s="233"/>
      <c r="C106" s="231"/>
      <c r="D106" s="235"/>
      <c r="E106" s="235"/>
      <c r="F106" s="235"/>
      <c r="G106" s="344"/>
    </row>
    <row r="107" spans="1:9" ht="13">
      <c r="A107" s="2">
        <f t="shared" si="11"/>
        <v>71</v>
      </c>
      <c r="B107" s="233"/>
      <c r="C107" s="233"/>
      <c r="D107" s="48" t="s">
        <v>347</v>
      </c>
      <c r="E107" s="48" t="s">
        <v>348</v>
      </c>
      <c r="F107" s="48" t="s">
        <v>349</v>
      </c>
      <c r="G107" s="233"/>
    </row>
    <row r="108" spans="1:9" ht="13">
      <c r="A108" s="2">
        <f t="shared" si="11"/>
        <v>72</v>
      </c>
      <c r="B108" s="233"/>
      <c r="C108" s="233"/>
      <c r="D108" s="310" t="s">
        <v>2967</v>
      </c>
      <c r="E108" s="310" t="s">
        <v>2968</v>
      </c>
      <c r="F108" s="310" t="s">
        <v>2969</v>
      </c>
      <c r="G108" s="233"/>
    </row>
    <row r="109" spans="1:9" ht="13">
      <c r="A109" s="2">
        <f t="shared" si="11"/>
        <v>73</v>
      </c>
      <c r="B109" s="233"/>
      <c r="C109" s="233"/>
      <c r="D109" s="310" t="s">
        <v>933</v>
      </c>
      <c r="E109" s="310" t="s">
        <v>933</v>
      </c>
      <c r="F109" s="310" t="s">
        <v>933</v>
      </c>
      <c r="G109" s="233"/>
    </row>
    <row r="110" spans="1:9" ht="13">
      <c r="A110" s="2">
        <f t="shared" si="11"/>
        <v>74</v>
      </c>
      <c r="B110" s="233"/>
      <c r="C110" s="233"/>
      <c r="D110" s="328" t="s">
        <v>251</v>
      </c>
      <c r="E110" s="328" t="s">
        <v>251</v>
      </c>
      <c r="F110" s="328" t="s">
        <v>251</v>
      </c>
      <c r="G110" s="233"/>
    </row>
    <row r="111" spans="1:9" ht="13">
      <c r="A111" s="2">
        <f t="shared" si="11"/>
        <v>75</v>
      </c>
      <c r="B111" s="233"/>
      <c r="C111" s="231" t="s">
        <v>3003</v>
      </c>
      <c r="D111" s="235">
        <f>D49+D73+D80+D94+D105</f>
        <v>0</v>
      </c>
      <c r="E111" s="235">
        <f>E49+E73+E80+E94+E105</f>
        <v>0</v>
      </c>
      <c r="F111" s="235">
        <f>F49+F73+F80+F94+F105</f>
        <v>0</v>
      </c>
      <c r="G111" s="233"/>
    </row>
    <row r="112" spans="1:9" ht="13">
      <c r="A112" s="2">
        <f t="shared" si="11"/>
        <v>76</v>
      </c>
      <c r="B112" s="233"/>
      <c r="C112" s="233"/>
      <c r="D112" s="233"/>
      <c r="E112" s="233"/>
      <c r="F112" s="233"/>
      <c r="G112" s="233"/>
    </row>
    <row r="113" spans="1:7" ht="13">
      <c r="A113" s="2">
        <f t="shared" si="11"/>
        <v>77</v>
      </c>
      <c r="B113" s="233"/>
      <c r="C113" s="233"/>
      <c r="D113" s="233"/>
      <c r="E113" s="233"/>
      <c r="F113" s="233"/>
      <c r="G113" s="233"/>
    </row>
    <row r="114" spans="1:7" ht="13">
      <c r="A114" s="2">
        <f t="shared" si="9"/>
        <v>78</v>
      </c>
      <c r="B114" s="233"/>
      <c r="C114" s="233"/>
      <c r="D114" s="310" t="s">
        <v>933</v>
      </c>
      <c r="E114" s="233"/>
      <c r="F114" s="233"/>
      <c r="G114" s="233"/>
    </row>
    <row r="115" spans="1:7" ht="13">
      <c r="A115" s="2">
        <f t="shared" si="9"/>
        <v>79</v>
      </c>
      <c r="B115" s="233"/>
      <c r="C115" s="233"/>
      <c r="D115" s="328" t="s">
        <v>251</v>
      </c>
      <c r="E115" s="3" t="s">
        <v>254</v>
      </c>
      <c r="F115" s="233"/>
      <c r="G115" s="233"/>
    </row>
    <row r="116" spans="1:7" ht="13">
      <c r="A116" s="2">
        <f t="shared" si="9"/>
        <v>80</v>
      </c>
      <c r="B116" s="233"/>
      <c r="C116" s="231" t="s">
        <v>3004</v>
      </c>
      <c r="D116" s="235">
        <f>D111+E111+F111</f>
        <v>0</v>
      </c>
      <c r="E116" s="232" t="s">
        <v>3005</v>
      </c>
      <c r="F116" s="233"/>
      <c r="G116" s="233"/>
    </row>
    <row r="117" spans="1:7" ht="13">
      <c r="A117" s="2"/>
      <c r="B117" s="233"/>
      <c r="C117" s="231"/>
      <c r="D117" s="235"/>
      <c r="E117" s="232"/>
      <c r="F117" s="233"/>
      <c r="G117" s="233"/>
    </row>
    <row r="118" spans="1:7" ht="14.5">
      <c r="A118" s="2"/>
      <c r="B118" s="30" t="s">
        <v>444</v>
      </c>
      <c r="C118" s="231"/>
      <c r="D118" s="235"/>
      <c r="E118" s="963"/>
      <c r="F118" s="964"/>
      <c r="G118" s="964"/>
    </row>
    <row r="119" spans="1:7" ht="14.5">
      <c r="A119" s="2"/>
      <c r="B119" s="233" t="s">
        <v>3006</v>
      </c>
      <c r="C119" s="231"/>
      <c r="D119" s="235"/>
      <c r="E119" s="963"/>
      <c r="F119" s="964"/>
      <c r="G119" s="964"/>
    </row>
    <row r="120" spans="1:7" ht="14.5">
      <c r="A120" s="2"/>
      <c r="B120" s="232" t="s">
        <v>3007</v>
      </c>
      <c r="C120" s="233"/>
      <c r="D120" s="233"/>
      <c r="E120" s="964"/>
      <c r="F120" s="964"/>
      <c r="G120" s="964"/>
    </row>
    <row r="121" spans="1:7" ht="13">
      <c r="A121" s="2"/>
      <c r="B121" s="30" t="s">
        <v>233</v>
      </c>
      <c r="C121" s="233"/>
      <c r="D121" s="233"/>
      <c r="E121" s="233"/>
      <c r="F121" s="233"/>
      <c r="G121" s="233"/>
    </row>
    <row r="122" spans="1:7" ht="13">
      <c r="A122" s="2"/>
      <c r="B122" s="232" t="s">
        <v>3008</v>
      </c>
      <c r="C122" s="233"/>
      <c r="D122" s="233"/>
      <c r="E122" s="233"/>
      <c r="F122" s="233"/>
      <c r="G122" s="233"/>
    </row>
    <row r="123" spans="1:7" ht="13">
      <c r="A123" s="2"/>
      <c r="B123" s="247" t="s">
        <v>3009</v>
      </c>
      <c r="C123" s="233"/>
      <c r="D123" s="233"/>
      <c r="E123" s="233"/>
      <c r="F123" s="233"/>
      <c r="G123" s="233"/>
    </row>
    <row r="124" spans="1:7" ht="13">
      <c r="A124" s="2"/>
      <c r="B124" s="232" t="s">
        <v>3010</v>
      </c>
      <c r="C124" s="233"/>
      <c r="D124" s="233"/>
      <c r="E124" s="233"/>
      <c r="F124" s="233"/>
      <c r="G124" s="233"/>
    </row>
    <row r="125" spans="1:7" ht="13">
      <c r="A125" s="2"/>
      <c r="B125" s="247" t="s">
        <v>3011</v>
      </c>
      <c r="C125" s="233"/>
      <c r="D125" s="233"/>
      <c r="E125" s="233"/>
      <c r="F125" s="233"/>
      <c r="G125" s="233"/>
    </row>
    <row r="126" spans="1:7" ht="13">
      <c r="A126" s="2"/>
      <c r="B126" s="232" t="s">
        <v>3012</v>
      </c>
      <c r="C126" s="233"/>
      <c r="D126" s="233"/>
      <c r="E126" s="233"/>
      <c r="F126" s="233"/>
      <c r="G126" s="233"/>
    </row>
    <row r="127" spans="1:7" ht="13">
      <c r="A127" s="2"/>
      <c r="B127" s="247" t="s">
        <v>3013</v>
      </c>
      <c r="C127" s="233"/>
      <c r="D127" s="233"/>
      <c r="E127" s="233"/>
      <c r="F127" s="233"/>
      <c r="G127" s="233"/>
    </row>
    <row r="128" spans="1:7" ht="13">
      <c r="A128" s="608"/>
      <c r="B128" s="664" t="s">
        <v>3051</v>
      </c>
    </row>
    <row r="129" spans="2:4">
      <c r="B129" s="828"/>
      <c r="C129" s="615" t="s">
        <v>3109</v>
      </c>
      <c r="D129" s="590"/>
    </row>
    <row r="130" spans="2:4">
      <c r="B130" s="828"/>
      <c r="C130" s="615" t="s">
        <v>3091</v>
      </c>
      <c r="D130" s="590"/>
    </row>
    <row r="131" spans="2:4">
      <c r="B131" s="828"/>
      <c r="D131" s="590"/>
    </row>
    <row r="132" spans="2:4">
      <c r="B132" s="828"/>
      <c r="D132" s="590"/>
    </row>
    <row r="133" spans="2:4">
      <c r="B133" s="828"/>
      <c r="D133" s="590"/>
    </row>
  </sheetData>
  <phoneticPr fontId="24" type="noConversion"/>
  <pageMargins left="0.7" right="0.7" top="0.75" bottom="0.75" header="0.3" footer="0.3"/>
  <pageSetup scale="67" orientation="portrait" r:id="rId1"/>
  <headerFooter>
    <oddHeader>&amp;CSchedule 35
Other Formula Revenue</oddHeader>
    <oddFooter>&amp;R&amp;A</oddFooter>
  </headerFooter>
  <rowBreaks count="1" manualBreakCount="1">
    <brk id="7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CC"/>
  </sheetPr>
  <dimension ref="A1:K91"/>
  <sheetViews>
    <sheetView topLeftCell="B19" zoomScaleNormal="100" workbookViewId="0">
      <selection activeCell="L41" sqref="L41"/>
    </sheetView>
  </sheetViews>
  <sheetFormatPr defaultRowHeight="12.5"/>
  <cols>
    <col min="1" max="1" width="4.54296875" customWidth="1"/>
    <col min="2" max="2" width="20.54296875" customWidth="1"/>
    <col min="3" max="4" width="16.54296875" customWidth="1"/>
    <col min="5" max="5" width="29.90625" customWidth="1"/>
    <col min="6" max="6" width="9.453125" customWidth="1"/>
    <col min="7" max="7" width="9" bestFit="1" customWidth="1"/>
    <col min="10" max="10" width="18.54296875" customWidth="1"/>
    <col min="11" max="11" width="20.54296875" customWidth="1"/>
  </cols>
  <sheetData>
    <row r="1" spans="1:6" ht="13">
      <c r="A1" s="1" t="s">
        <v>279</v>
      </c>
    </row>
    <row r="2" spans="1:6" ht="13">
      <c r="A2" s="1"/>
    </row>
    <row r="3" spans="1:6">
      <c r="B3" s="233" t="s">
        <v>280</v>
      </c>
    </row>
    <row r="4" spans="1:6" ht="13">
      <c r="A4" s="1"/>
      <c r="B4" s="232" t="s">
        <v>281</v>
      </c>
    </row>
    <row r="5" spans="1:6" ht="13">
      <c r="A5" s="1"/>
      <c r="B5" s="232" t="s">
        <v>282</v>
      </c>
    </row>
    <row r="7" spans="1:6" ht="13">
      <c r="B7" s="1" t="s">
        <v>283</v>
      </c>
    </row>
    <row r="8" spans="1:6">
      <c r="E8" s="12"/>
    </row>
    <row r="9" spans="1:6" ht="13">
      <c r="A9" s="30" t="s">
        <v>284</v>
      </c>
      <c r="B9" s="40" t="s">
        <v>285</v>
      </c>
    </row>
    <row r="10" spans="1:6" ht="13">
      <c r="A10" s="2">
        <v>1</v>
      </c>
    </row>
    <row r="11" spans="1:6" ht="13">
      <c r="A11" s="2">
        <f>A10+1</f>
        <v>2</v>
      </c>
      <c r="B11" s="247" t="s">
        <v>286</v>
      </c>
    </row>
    <row r="12" spans="1:6" ht="13">
      <c r="A12" s="2">
        <f t="shared" ref="A12:A87" si="0">A11+1</f>
        <v>3</v>
      </c>
      <c r="B12" s="247" t="s">
        <v>287</v>
      </c>
    </row>
    <row r="13" spans="1:6" ht="13">
      <c r="A13" s="2">
        <f t="shared" si="0"/>
        <v>4</v>
      </c>
      <c r="B13" s="247"/>
    </row>
    <row r="14" spans="1:6" ht="13">
      <c r="A14" s="2">
        <f t="shared" si="0"/>
        <v>5</v>
      </c>
      <c r="B14" s="247" t="s">
        <v>288</v>
      </c>
    </row>
    <row r="15" spans="1:6" ht="13">
      <c r="A15" s="2">
        <f t="shared" si="0"/>
        <v>6</v>
      </c>
      <c r="B15" s="188"/>
    </row>
    <row r="16" spans="1:6" ht="13">
      <c r="A16" s="2">
        <f t="shared" si="0"/>
        <v>7</v>
      </c>
      <c r="B16" s="247" t="s">
        <v>289</v>
      </c>
      <c r="F16" s="62"/>
    </row>
    <row r="17" spans="1:7" ht="13">
      <c r="A17" s="2">
        <f t="shared" si="0"/>
        <v>8</v>
      </c>
      <c r="B17" s="481" t="s">
        <v>290</v>
      </c>
      <c r="F17" s="7"/>
    </row>
    <row r="18" spans="1:7" ht="13">
      <c r="A18" s="2">
        <f t="shared" si="0"/>
        <v>9</v>
      </c>
      <c r="B18" s="481" t="s">
        <v>291</v>
      </c>
      <c r="F18" s="7"/>
    </row>
    <row r="19" spans="1:7" ht="13">
      <c r="A19" s="2">
        <f t="shared" si="0"/>
        <v>10</v>
      </c>
      <c r="B19" s="481" t="s">
        <v>197</v>
      </c>
      <c r="E19" s="231"/>
      <c r="F19" s="6"/>
    </row>
    <row r="20" spans="1:7" ht="13">
      <c r="A20" s="2">
        <f t="shared" si="0"/>
        <v>11</v>
      </c>
      <c r="B20" s="1"/>
      <c r="D20" s="231"/>
      <c r="E20" s="3" t="s">
        <v>254</v>
      </c>
    </row>
    <row r="21" spans="1:7" ht="13">
      <c r="A21" s="2">
        <f t="shared" si="0"/>
        <v>12</v>
      </c>
      <c r="C21" s="231" t="s">
        <v>292</v>
      </c>
      <c r="D21" s="865" t="e">
        <f>'1-BaseTRR'!K90</f>
        <v>#DIV/0!</v>
      </c>
      <c r="E21" s="232" t="str">
        <f>"1-BaseTRR, Line "&amp;'1-BaseTRR'!A90&amp;""</f>
        <v>1-BaseTRR, Line 51</v>
      </c>
    </row>
    <row r="22" spans="1:7" ht="13">
      <c r="A22" s="2">
        <f t="shared" si="0"/>
        <v>13</v>
      </c>
      <c r="C22" s="231" t="s">
        <v>293</v>
      </c>
      <c r="D22" s="865" t="e">
        <f>'1-BaseTRR'!K95</f>
        <v>#DIV/0!</v>
      </c>
      <c r="E22" s="232" t="str">
        <f>"1-BaseTRR, Line "&amp;'1-BaseTRR'!A95&amp;""</f>
        <v>1-BaseTRR, Line 55</v>
      </c>
    </row>
    <row r="23" spans="1:7" ht="13">
      <c r="A23" s="2">
        <f t="shared" si="0"/>
        <v>14</v>
      </c>
      <c r="C23" s="231" t="s">
        <v>294</v>
      </c>
      <c r="D23" s="865">
        <f>'1-BaseTRR'!K104</f>
        <v>0</v>
      </c>
      <c r="E23" s="232" t="str">
        <f>"1-BaseTRR, Line "&amp;'1-BaseTRR'!A104&amp;""</f>
        <v>1-BaseTRR, Line 59</v>
      </c>
    </row>
    <row r="24" spans="1:7" ht="13">
      <c r="A24" s="2">
        <f t="shared" si="0"/>
        <v>15</v>
      </c>
      <c r="B24" s="233"/>
      <c r="D24" s="865"/>
      <c r="E24" s="232"/>
    </row>
    <row r="25" spans="1:7" ht="13">
      <c r="A25" s="2">
        <f t="shared" si="0"/>
        <v>16</v>
      </c>
      <c r="C25" s="231" t="s">
        <v>295</v>
      </c>
      <c r="D25" s="865" t="e">
        <f>D21 + (D22*(1/(1-D23)))</f>
        <v>#DIV/0!</v>
      </c>
      <c r="E25" s="232" t="str">
        <f>"Line "&amp;A21&amp;" + (Line "&amp;A22&amp;" * (1/(1 - Line "&amp;A23&amp;")))"</f>
        <v>Line 12 + (Line 13 * (1/(1 - Line 14)))</v>
      </c>
      <c r="G25" s="866"/>
    </row>
    <row r="26" spans="1:7" ht="13">
      <c r="A26" s="2">
        <f t="shared" si="0"/>
        <v>17</v>
      </c>
      <c r="B26" s="233"/>
      <c r="D26" s="231"/>
      <c r="E26" s="232"/>
    </row>
    <row r="27" spans="1:7" ht="13">
      <c r="A27" s="2">
        <f t="shared" si="0"/>
        <v>18</v>
      </c>
      <c r="B27" s="40" t="s">
        <v>296</v>
      </c>
      <c r="D27" s="231"/>
      <c r="E27" s="232"/>
    </row>
    <row r="28" spans="1:7" ht="13">
      <c r="A28" s="2">
        <f t="shared" si="0"/>
        <v>19</v>
      </c>
      <c r="B28" s="233"/>
      <c r="D28" s="231"/>
      <c r="E28" s="232"/>
    </row>
    <row r="29" spans="1:7" ht="13">
      <c r="A29" s="2">
        <f t="shared" si="0"/>
        <v>20</v>
      </c>
      <c r="B29" s="247" t="s">
        <v>297</v>
      </c>
      <c r="D29" s="231"/>
      <c r="E29" s="232"/>
    </row>
    <row r="30" spans="1:7" ht="13">
      <c r="A30" s="2">
        <f t="shared" si="0"/>
        <v>21</v>
      </c>
      <c r="B30" s="247" t="s">
        <v>298</v>
      </c>
      <c r="D30" s="231"/>
      <c r="E30" s="232"/>
    </row>
    <row r="31" spans="1:7" ht="13">
      <c r="A31" s="2">
        <f t="shared" si="0"/>
        <v>22</v>
      </c>
      <c r="D31" s="231"/>
      <c r="E31" s="232"/>
    </row>
    <row r="32" spans="1:7" ht="13">
      <c r="A32" s="2">
        <f t="shared" si="0"/>
        <v>23</v>
      </c>
      <c r="B32" s="481" t="s">
        <v>299</v>
      </c>
      <c r="D32" s="231"/>
      <c r="E32" s="232"/>
    </row>
    <row r="33" spans="1:11" ht="13">
      <c r="A33" s="2">
        <f t="shared" si="0"/>
        <v>24</v>
      </c>
    </row>
    <row r="34" spans="1:11" ht="13">
      <c r="A34" s="2">
        <f t="shared" si="0"/>
        <v>25</v>
      </c>
      <c r="B34" s="40" t="s">
        <v>300</v>
      </c>
    </row>
    <row r="35" spans="1:11" ht="13">
      <c r="A35" s="2">
        <f t="shared" si="0"/>
        <v>26</v>
      </c>
      <c r="B35" s="233"/>
      <c r="E35" s="3" t="s">
        <v>254</v>
      </c>
    </row>
    <row r="36" spans="1:11" ht="13">
      <c r="A36" s="2">
        <f t="shared" si="0"/>
        <v>27</v>
      </c>
      <c r="C36" s="231" t="s">
        <v>301</v>
      </c>
      <c r="D36" s="235" t="e">
        <f>'6-PlantInService'!I46</f>
        <v>#DIV/0!</v>
      </c>
      <c r="E36" s="664" t="s">
        <v>3036</v>
      </c>
    </row>
    <row r="37" spans="1:11" ht="13">
      <c r="A37" s="2">
        <f t="shared" si="0"/>
        <v>28</v>
      </c>
      <c r="C37" s="231" t="s">
        <v>302</v>
      </c>
      <c r="D37" s="235">
        <f>'6-PlantInService'!F57</f>
        <v>0</v>
      </c>
      <c r="E37" s="664" t="s">
        <v>3037</v>
      </c>
    </row>
    <row r="38" spans="1:11" ht="13">
      <c r="A38" s="2">
        <f t="shared" si="0"/>
        <v>29</v>
      </c>
      <c r="C38" s="231" t="s">
        <v>303</v>
      </c>
      <c r="D38" s="235" t="e">
        <f>'8-AccDep'!J46</f>
        <v>#DIV/0!</v>
      </c>
      <c r="E38" s="664" t="s">
        <v>3035</v>
      </c>
    </row>
    <row r="39" spans="1:11" ht="13">
      <c r="A39" s="2">
        <f t="shared" si="0"/>
        <v>30</v>
      </c>
      <c r="C39" s="231" t="s">
        <v>304</v>
      </c>
      <c r="D39" s="53">
        <f>'8-AccDep'!G74</f>
        <v>0</v>
      </c>
      <c r="E39" s="664" t="s">
        <v>3038</v>
      </c>
    </row>
    <row r="40" spans="1:11" ht="13">
      <c r="A40" s="2">
        <f t="shared" si="0"/>
        <v>31</v>
      </c>
      <c r="C40" s="231" t="s">
        <v>305</v>
      </c>
      <c r="D40" s="6" t="e">
        <f>(D36+D37)-(D38+D39)</f>
        <v>#DIV/0!</v>
      </c>
      <c r="E40" s="232" t="str">
        <f>"(L"&amp;A36&amp;" + L"&amp;A37&amp;") - (L"&amp;A38&amp;" + L"&amp;A39&amp;")"</f>
        <v>(L27 + L28) - (L29 + L30)</v>
      </c>
    </row>
    <row r="41" spans="1:11" ht="13">
      <c r="A41" s="2">
        <f t="shared" si="0"/>
        <v>32</v>
      </c>
      <c r="C41" s="231"/>
      <c r="D41" s="6"/>
      <c r="E41" s="232"/>
    </row>
    <row r="42" spans="1:11" ht="13">
      <c r="A42" s="2">
        <f t="shared" si="0"/>
        <v>33</v>
      </c>
      <c r="B42" s="40" t="s">
        <v>306</v>
      </c>
    </row>
    <row r="43" spans="1:11" ht="13">
      <c r="A43" s="2">
        <f t="shared" si="0"/>
        <v>34</v>
      </c>
      <c r="B43" s="40"/>
    </row>
    <row r="44" spans="1:11" ht="13">
      <c r="A44" s="2">
        <f t="shared" si="0"/>
        <v>35</v>
      </c>
      <c r="B44" s="40" t="s">
        <v>307</v>
      </c>
    </row>
    <row r="45" spans="1:11" ht="13">
      <c r="A45" s="2">
        <f t="shared" si="0"/>
        <v>36</v>
      </c>
      <c r="B45" s="34" t="s">
        <v>308</v>
      </c>
    </row>
    <row r="46" spans="1:11" ht="13">
      <c r="A46" s="2">
        <f t="shared" si="0"/>
        <v>37</v>
      </c>
      <c r="B46" s="40"/>
      <c r="C46" s="231" t="s">
        <v>309</v>
      </c>
      <c r="D46" s="235">
        <f>'10-CWIP'!D25</f>
        <v>0</v>
      </c>
      <c r="E46" s="232" t="str">
        <f>"10-CWIP, L "&amp;'10-CWIP'!A25&amp;" C1"</f>
        <v>10-CWIP, L 13 C1</v>
      </c>
      <c r="K46" s="6"/>
    </row>
    <row r="47" spans="1:11" ht="13">
      <c r="A47" s="2">
        <f t="shared" si="0"/>
        <v>38</v>
      </c>
      <c r="B47" s="40"/>
      <c r="C47" s="231" t="s">
        <v>310</v>
      </c>
      <c r="D47" s="867" t="e">
        <f>D25</f>
        <v>#DIV/0!</v>
      </c>
      <c r="E47" s="232" t="str">
        <f>"Line "&amp;A25&amp;""</f>
        <v>Line 16</v>
      </c>
      <c r="K47" s="6"/>
    </row>
    <row r="48" spans="1:11" ht="13">
      <c r="A48" s="2">
        <f t="shared" si="0"/>
        <v>39</v>
      </c>
      <c r="B48" s="40"/>
      <c r="C48" s="231" t="s">
        <v>311</v>
      </c>
      <c r="D48" s="235" t="e">
        <f>D46*D47</f>
        <v>#DIV/0!</v>
      </c>
      <c r="E48" s="232" t="str">
        <f>"Line "&amp;A46&amp;" * Line "&amp;A47&amp;""</f>
        <v>Line 37 * Line 38</v>
      </c>
      <c r="K48" s="6"/>
    </row>
    <row r="49" spans="1:11" ht="13">
      <c r="A49" s="2">
        <f t="shared" si="0"/>
        <v>40</v>
      </c>
      <c r="B49" s="40"/>
      <c r="C49" s="231"/>
      <c r="D49" s="235"/>
      <c r="E49" s="232"/>
      <c r="K49" s="6"/>
    </row>
    <row r="50" spans="1:11" ht="13">
      <c r="A50" s="2">
        <f t="shared" si="0"/>
        <v>41</v>
      </c>
      <c r="B50" s="34" t="s">
        <v>312</v>
      </c>
      <c r="K50" s="6"/>
    </row>
    <row r="51" spans="1:11" ht="13">
      <c r="A51" s="2">
        <f t="shared" si="0"/>
        <v>42</v>
      </c>
      <c r="B51" s="40"/>
      <c r="C51" s="231" t="s">
        <v>313</v>
      </c>
      <c r="D51" s="235" t="e">
        <f>'15-IncentiveAdder'!G17</f>
        <v>#DIV/0!</v>
      </c>
      <c r="E51" s="12" t="str">
        <f>"15-IncentiveAdder, Line "&amp;'15-IncentiveAdder'!A17&amp;""</f>
        <v>15-IncentiveAdder, Line 3</v>
      </c>
      <c r="K51" s="6"/>
    </row>
    <row r="52" spans="1:11" ht="13">
      <c r="A52" s="2">
        <f t="shared" si="0"/>
        <v>43</v>
      </c>
      <c r="B52" s="40"/>
      <c r="C52" s="231"/>
      <c r="K52" s="6"/>
    </row>
    <row r="53" spans="1:11" ht="13">
      <c r="A53" s="2">
        <f t="shared" si="0"/>
        <v>44</v>
      </c>
      <c r="B53" s="40"/>
      <c r="C53" s="231" t="s">
        <v>314</v>
      </c>
      <c r="D53" s="6">
        <f>'10-CWIP'!E25</f>
        <v>0</v>
      </c>
      <c r="E53" s="232" t="str">
        <f>"10-CWIP, Line "&amp;'10-CWIP'!A25&amp;""</f>
        <v>10-CWIP, Line 13</v>
      </c>
      <c r="F53" s="233"/>
      <c r="K53" s="6"/>
    </row>
    <row r="54" spans="1:11" ht="13">
      <c r="A54" s="2">
        <f t="shared" si="0"/>
        <v>45</v>
      </c>
      <c r="B54" s="40"/>
      <c r="C54" s="231" t="s">
        <v>315</v>
      </c>
      <c r="D54" s="26">
        <f>'15-IncentiveAdder'!E26</f>
        <v>1.2500000000000001E-2</v>
      </c>
      <c r="E54" s="12" t="str">
        <f>"15-IncentiveAdder, Line "&amp;'15-IncentiveAdder'!A26&amp;""</f>
        <v>15-IncentiveAdder, Line 5</v>
      </c>
      <c r="F54" s="233"/>
      <c r="K54" s="6"/>
    </row>
    <row r="55" spans="1:11" ht="13">
      <c r="A55" s="2">
        <f t="shared" si="0"/>
        <v>46</v>
      </c>
      <c r="B55" s="40"/>
      <c r="C55" s="231" t="s">
        <v>316</v>
      </c>
      <c r="D55" s="6" t="e">
        <f>(D53/1000000)*($D$51*(D54/0.01))</f>
        <v>#DIV/0!</v>
      </c>
      <c r="E55" s="232" t="str">
        <f>"Formula on Line "&amp;A61&amp;""</f>
        <v>Formula on Line 52</v>
      </c>
      <c r="K55" s="6"/>
    </row>
    <row r="56" spans="1:11" ht="13">
      <c r="A56" s="2">
        <f t="shared" si="0"/>
        <v>47</v>
      </c>
      <c r="B56" s="40"/>
      <c r="C56" s="231"/>
      <c r="E56" s="6"/>
      <c r="K56" s="6"/>
    </row>
    <row r="57" spans="1:11" ht="13">
      <c r="A57" s="2">
        <f t="shared" si="0"/>
        <v>48</v>
      </c>
      <c r="C57" s="231" t="s">
        <v>317</v>
      </c>
      <c r="D57" s="6">
        <f>'10-CWIP'!F25</f>
        <v>0</v>
      </c>
      <c r="E57" s="232" t="str">
        <f>"10-CWIP, Line "&amp;'10-CWIP'!A25&amp;""</f>
        <v>10-CWIP, Line 13</v>
      </c>
      <c r="K57" s="6"/>
    </row>
    <row r="58" spans="1:11" ht="13">
      <c r="A58" s="2">
        <f t="shared" si="0"/>
        <v>49</v>
      </c>
      <c r="C58" s="231" t="s">
        <v>318</v>
      </c>
      <c r="D58" s="26">
        <f>'15-IncentiveAdder'!E27</f>
        <v>0.01</v>
      </c>
      <c r="E58" s="12" t="str">
        <f>"15-IncentiveAdder, Line "&amp;'15-IncentiveAdder'!A27&amp;""</f>
        <v>15-IncentiveAdder, Line 6</v>
      </c>
      <c r="K58" s="6"/>
    </row>
    <row r="59" spans="1:11" ht="13">
      <c r="A59" s="2">
        <f t="shared" si="0"/>
        <v>50</v>
      </c>
      <c r="C59" s="231" t="s">
        <v>319</v>
      </c>
      <c r="D59" s="6" t="e">
        <f>(D57/1000000)*($D$51*(D58/0.01))</f>
        <v>#DIV/0!</v>
      </c>
      <c r="E59" s="232" t="str">
        <f>"Formula on Line "&amp;A61&amp;""</f>
        <v>Formula on Line 52</v>
      </c>
      <c r="K59" s="6"/>
    </row>
    <row r="60" spans="1:11" ht="13">
      <c r="A60" s="2">
        <f t="shared" si="0"/>
        <v>51</v>
      </c>
      <c r="C60" s="231"/>
      <c r="D60" s="6"/>
      <c r="E60" s="232"/>
      <c r="K60" s="6"/>
    </row>
    <row r="61" spans="1:11" ht="13">
      <c r="A61" s="2">
        <f t="shared" si="0"/>
        <v>52</v>
      </c>
      <c r="C61" s="276" t="s">
        <v>320</v>
      </c>
      <c r="D61" s="6"/>
      <c r="E61" s="232"/>
      <c r="K61" s="6"/>
    </row>
    <row r="62" spans="1:11" ht="13">
      <c r="A62" s="2">
        <f t="shared" si="0"/>
        <v>53</v>
      </c>
      <c r="K62" s="6"/>
    </row>
    <row r="63" spans="1:11" ht="13">
      <c r="A63" s="2">
        <f t="shared" si="0"/>
        <v>54</v>
      </c>
      <c r="C63" s="231" t="s">
        <v>321</v>
      </c>
      <c r="D63" s="235" t="e">
        <f>D48+D55+D59</f>
        <v>#DIV/0!</v>
      </c>
      <c r="E63" s="232" t="str">
        <f>"Line "&amp;A48&amp;" + Line "&amp;A55&amp;" + Line "&amp;A59&amp;""</f>
        <v>Line 39 + Line 46 + Line 50</v>
      </c>
      <c r="K63" s="6"/>
    </row>
    <row r="64" spans="1:11" ht="13">
      <c r="A64" s="2">
        <f t="shared" si="0"/>
        <v>55</v>
      </c>
      <c r="C64" s="231" t="s">
        <v>322</v>
      </c>
      <c r="D64" s="53" t="e">
        <f>('28-FFU'!D22+'28-FFU'!E22)*D63</f>
        <v>#DIV/0!</v>
      </c>
      <c r="E64" s="232" t="str">
        <f>"(28-FFU, L"&amp;'28-FFU'!A22&amp;" FF Factor + U Factor) * L"&amp;A63&amp;""</f>
        <v>(28-FFU, L5 FF Factor + U Factor) * L54</v>
      </c>
      <c r="K64" s="6"/>
    </row>
    <row r="65" spans="1:11" ht="13">
      <c r="A65" s="2">
        <f t="shared" si="0"/>
        <v>56</v>
      </c>
      <c r="C65" s="231" t="s">
        <v>323</v>
      </c>
      <c r="D65" s="235" t="e">
        <f>SUM(D63:D64)</f>
        <v>#DIV/0!</v>
      </c>
      <c r="E65" s="232" t="str">
        <f>"Line "&amp;A63&amp;" + Line "&amp;A64&amp;""</f>
        <v>Line 54 + Line 55</v>
      </c>
      <c r="K65" s="6"/>
    </row>
    <row r="66" spans="1:11" ht="13">
      <c r="A66" s="2">
        <f t="shared" si="0"/>
        <v>57</v>
      </c>
      <c r="C66" s="231"/>
      <c r="D66" s="235"/>
      <c r="E66" s="232"/>
      <c r="K66" s="6"/>
    </row>
    <row r="67" spans="1:11" ht="13">
      <c r="A67" s="2">
        <f t="shared" si="0"/>
        <v>58</v>
      </c>
      <c r="B67" s="40" t="s">
        <v>324</v>
      </c>
      <c r="C67" s="231"/>
      <c r="D67" s="235"/>
      <c r="E67" s="232"/>
      <c r="K67" s="6"/>
    </row>
    <row r="68" spans="1:11" ht="13">
      <c r="A68" s="2">
        <f t="shared" si="0"/>
        <v>59</v>
      </c>
      <c r="K68" s="6"/>
    </row>
    <row r="69" spans="1:11" ht="13">
      <c r="A69" s="2">
        <f t="shared" si="0"/>
        <v>60</v>
      </c>
      <c r="C69" s="231" t="s">
        <v>321</v>
      </c>
      <c r="D69" s="235" t="e">
        <f>D63</f>
        <v>#DIV/0!</v>
      </c>
      <c r="E69" s="232" t="str">
        <f>"Line "&amp;A63&amp;""</f>
        <v>Line 54</v>
      </c>
      <c r="K69" s="6"/>
    </row>
    <row r="70" spans="1:11" ht="13">
      <c r="A70" s="2">
        <f t="shared" si="0"/>
        <v>61</v>
      </c>
      <c r="C70" s="231" t="s">
        <v>325</v>
      </c>
      <c r="D70" s="235" t="e">
        <f>'1-BaseTRR'!K139</f>
        <v>#DIV/0!</v>
      </c>
      <c r="E70" s="232" t="str">
        <f>"1-BaseTRR, Line "&amp;'1-BaseTRR'!A139&amp;""</f>
        <v>1-BaseTRR, Line 78</v>
      </c>
      <c r="K70" s="6"/>
    </row>
    <row r="71" spans="1:11" ht="13">
      <c r="A71" s="2">
        <f t="shared" si="0"/>
        <v>62</v>
      </c>
      <c r="C71" s="231" t="s">
        <v>326</v>
      </c>
      <c r="D71" s="235" t="e">
        <f>D70-D69</f>
        <v>#DIV/0!</v>
      </c>
      <c r="E71" s="232" t="str">
        <f>"Line "&amp;A70&amp;" - Line "&amp;A69&amp;""</f>
        <v>Line 61 - Line 60</v>
      </c>
      <c r="K71" s="6"/>
    </row>
    <row r="72" spans="1:11" ht="13">
      <c r="A72" s="2">
        <f t="shared" si="0"/>
        <v>63</v>
      </c>
      <c r="C72" s="388" t="s">
        <v>327</v>
      </c>
      <c r="D72" s="6" t="e">
        <f>('1-BaseTRR'!K126+'1-BaseTRR'!K127)*0.75</f>
        <v>#DIV/0!</v>
      </c>
      <c r="E72" s="232" t="str">
        <f>"(1-BaseTRR, Line "&amp;'1-BaseTRR'!A126&amp;" + Line "&amp;'1-BaseTRR'!A127&amp;") * .75"</f>
        <v>(1-BaseTRR, Line 66 + Line 67) * .75</v>
      </c>
      <c r="K72" s="6"/>
    </row>
    <row r="73" spans="1:11" ht="13">
      <c r="A73" s="2">
        <f t="shared" si="0"/>
        <v>64</v>
      </c>
      <c r="C73" s="231" t="s">
        <v>328</v>
      </c>
      <c r="D73" s="867" t="e">
        <f xml:space="preserve"> (D71-D72)/D40</f>
        <v>#DIV/0!</v>
      </c>
      <c r="E73" s="232" t="str">
        <f>"(Line "&amp;A71&amp;" - Line "&amp;A72&amp;") / Line "&amp;A40&amp;""</f>
        <v>(Line 62 - Line 63) / Line 31</v>
      </c>
      <c r="K73" s="6"/>
    </row>
    <row r="74" spans="1:11" ht="13">
      <c r="A74" s="2">
        <f t="shared" si="0"/>
        <v>65</v>
      </c>
      <c r="D74" s="6"/>
      <c r="E74" s="232"/>
    </row>
    <row r="75" spans="1:11" ht="13">
      <c r="A75" s="2">
        <f t="shared" si="0"/>
        <v>66</v>
      </c>
      <c r="B75" s="1" t="s">
        <v>329</v>
      </c>
    </row>
    <row r="76" spans="1:11" ht="13">
      <c r="A76" s="2">
        <f t="shared" si="0"/>
        <v>67</v>
      </c>
    </row>
    <row r="77" spans="1:11" ht="13">
      <c r="A77" s="2">
        <f t="shared" si="0"/>
        <v>68</v>
      </c>
      <c r="E77" s="3" t="s">
        <v>254</v>
      </c>
      <c r="I77" s="1"/>
    </row>
    <row r="78" spans="1:11" ht="13">
      <c r="A78" s="2">
        <f t="shared" si="0"/>
        <v>69</v>
      </c>
      <c r="C78" s="231" t="s">
        <v>330</v>
      </c>
      <c r="D78" s="6" t="e">
        <f>'16-PlantAdditions'!N37</f>
        <v>#DIV/0!</v>
      </c>
      <c r="E78" s="232" t="str">
        <f>"16-PlantAdditions, L "&amp;'16-PlantAdditions'!A37&amp;", C10"</f>
        <v>16-PlantAdditions, L 25, C10</v>
      </c>
      <c r="K78" s="6"/>
    </row>
    <row r="79" spans="1:11" ht="13">
      <c r="A79" s="2">
        <f t="shared" si="0"/>
        <v>70</v>
      </c>
      <c r="C79" s="231" t="s">
        <v>328</v>
      </c>
      <c r="D79" s="1001" t="e">
        <f>D73</f>
        <v>#DIV/0!</v>
      </c>
      <c r="E79" s="232" t="str">
        <f>"Line "&amp;A73&amp;""</f>
        <v>Line 64</v>
      </c>
      <c r="K79" s="366"/>
    </row>
    <row r="80" spans="1:11" ht="13">
      <c r="A80" s="2">
        <f t="shared" si="0"/>
        <v>71</v>
      </c>
      <c r="C80" s="231" t="s">
        <v>331</v>
      </c>
      <c r="D80" s="6" t="e">
        <f>D78*D79</f>
        <v>#DIV/0!</v>
      </c>
      <c r="E80" s="232" t="str">
        <f>"Line "&amp;A78&amp;" * Line "&amp;A79&amp;""</f>
        <v>Line 69 * Line 70</v>
      </c>
      <c r="K80" s="6"/>
    </row>
    <row r="81" spans="1:11" ht="13">
      <c r="A81" s="2">
        <f t="shared" si="0"/>
        <v>72</v>
      </c>
      <c r="K81" s="6"/>
    </row>
    <row r="82" spans="1:11" ht="13">
      <c r="A82" s="2">
        <f t="shared" si="0"/>
        <v>73</v>
      </c>
      <c r="C82" s="231" t="s">
        <v>332</v>
      </c>
      <c r="D82" s="6">
        <f>'10-CWIP'!K79</f>
        <v>0</v>
      </c>
      <c r="E82" s="232" t="str">
        <f>"10-CWIP, L "&amp;'10-CWIP'!A79&amp;", C8"</f>
        <v>10-CWIP, L 54, C8</v>
      </c>
      <c r="K82" s="6"/>
    </row>
    <row r="83" spans="1:11" ht="13">
      <c r="A83" s="2">
        <f t="shared" si="0"/>
        <v>74</v>
      </c>
      <c r="C83" s="231" t="s">
        <v>310</v>
      </c>
      <c r="D83" s="1001" t="e">
        <f>D25</f>
        <v>#DIV/0!</v>
      </c>
      <c r="E83" s="232" t="str">
        <f>"Line "&amp;A25&amp;""</f>
        <v>Line 16</v>
      </c>
      <c r="K83" s="366"/>
    </row>
    <row r="84" spans="1:11" ht="13">
      <c r="A84" s="2">
        <f t="shared" si="0"/>
        <v>75</v>
      </c>
      <c r="C84" s="231" t="s">
        <v>333</v>
      </c>
      <c r="D84" s="6" t="e">
        <f>D82*D83</f>
        <v>#DIV/0!</v>
      </c>
      <c r="E84" s="232" t="str">
        <f>"Line "&amp;A82&amp;" * Line "&amp;A83&amp;""</f>
        <v>Line 73 * Line 74</v>
      </c>
      <c r="K84" s="6"/>
    </row>
    <row r="85" spans="1:11" ht="13">
      <c r="A85" s="2">
        <f t="shared" si="0"/>
        <v>76</v>
      </c>
      <c r="K85" s="6"/>
    </row>
    <row r="86" spans="1:11" ht="13">
      <c r="A86" s="2">
        <f t="shared" si="0"/>
        <v>77</v>
      </c>
      <c r="C86" s="231" t="s">
        <v>334</v>
      </c>
      <c r="D86" s="6" t="e">
        <f>D80+D84</f>
        <v>#DIV/0!</v>
      </c>
      <c r="E86" s="232" t="str">
        <f>"Line "&amp;A80&amp;" + Line "&amp;A84&amp;""</f>
        <v>Line 71 + Line 75</v>
      </c>
      <c r="K86" s="6"/>
    </row>
    <row r="87" spans="1:11" ht="13">
      <c r="A87" s="2">
        <f t="shared" si="0"/>
        <v>78</v>
      </c>
      <c r="K87" s="6"/>
    </row>
    <row r="88" spans="1:11" ht="13">
      <c r="A88" s="2">
        <f t="shared" ref="A88:A91" si="1">A87+1</f>
        <v>79</v>
      </c>
      <c r="C88" s="231" t="s">
        <v>335</v>
      </c>
      <c r="D88" s="6" t="e">
        <f>'28-FFU'!D22*D86</f>
        <v>#DIV/0!</v>
      </c>
      <c r="E88" s="12" t="str">
        <f>"Line "&amp;A86&amp;" * FF (from 28-FFU, L "&amp;'28-FFU'!A22&amp;")"</f>
        <v>Line 77 * FF (from 28-FFU, L 5)</v>
      </c>
      <c r="K88" s="6"/>
    </row>
    <row r="89" spans="1:11" ht="13">
      <c r="A89" s="2">
        <f t="shared" si="1"/>
        <v>80</v>
      </c>
      <c r="C89" s="25" t="s">
        <v>336</v>
      </c>
      <c r="D89" s="6" t="e">
        <f>'28-FFU'!E22*D86</f>
        <v>#DIV/0!</v>
      </c>
      <c r="E89" s="12" t="str">
        <f>"Line "&amp;A86&amp;" * U (from 28-FFU, L "&amp;'28-FFU'!A22&amp;")"</f>
        <v>Line 77 * U (from 28-FFU, L 5)</v>
      </c>
      <c r="K89" s="6"/>
    </row>
    <row r="90" spans="1:11" ht="13">
      <c r="A90" s="2">
        <f t="shared" si="1"/>
        <v>81</v>
      </c>
      <c r="D90" s="6"/>
      <c r="K90" s="6"/>
    </row>
    <row r="91" spans="1:11" ht="13">
      <c r="A91" s="2">
        <f t="shared" si="1"/>
        <v>82</v>
      </c>
      <c r="C91" s="25" t="s">
        <v>337</v>
      </c>
      <c r="D91" s="6" t="e">
        <f>D86+D88+D89</f>
        <v>#DIV/0!</v>
      </c>
      <c r="E91" s="232" t="str">
        <f>"Line "&amp;A86&amp;" + Line "&amp;A88&amp;" + Line "&amp;A89&amp;""</f>
        <v>Line 77 + Line 79 + Line 80</v>
      </c>
      <c r="K91" s="6"/>
    </row>
  </sheetData>
  <phoneticPr fontId="24" type="noConversion"/>
  <pageMargins left="0.75" right="0.75" top="1" bottom="1" header="0.5" footer="0.5"/>
  <pageSetup scale="74" orientation="portrait" cellComments="asDisplayed" r:id="rId1"/>
  <headerFooter alignWithMargins="0">
    <oddHeader xml:space="preserve">&amp;CSchedule 2
Incremental Forecast Period TRR
</oddHeader>
    <oddFooter>&amp;R&amp;A</oddFooter>
  </headerFooter>
  <rowBreaks count="1" manualBreakCount="1">
    <brk id="66"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69"/>
  <sheetViews>
    <sheetView topLeftCell="B1" zoomScaleNormal="100" workbookViewId="0">
      <selection activeCell="L41" sqref="L41"/>
    </sheetView>
  </sheetViews>
  <sheetFormatPr defaultRowHeight="12.5"/>
  <cols>
    <col min="1" max="1" width="4.54296875" customWidth="1"/>
    <col min="2" max="2" width="6.54296875" customWidth="1"/>
    <col min="3" max="5" width="14.54296875" customWidth="1"/>
    <col min="6" max="6" width="15.54296875" customWidth="1"/>
    <col min="7" max="7" width="14.54296875" customWidth="1"/>
    <col min="8" max="9" width="15.54296875" customWidth="1"/>
    <col min="10" max="10" width="15.453125" customWidth="1"/>
    <col min="11" max="11" width="14.54296875" customWidth="1"/>
    <col min="12" max="12" width="15.453125" customWidth="1"/>
    <col min="13" max="16" width="12.54296875" customWidth="1"/>
  </cols>
  <sheetData>
    <row r="1" spans="1:12" ht="13">
      <c r="A1" s="1" t="s">
        <v>338</v>
      </c>
      <c r="B1" s="112"/>
      <c r="C1" s="112"/>
      <c r="D1" s="112"/>
      <c r="E1" s="112"/>
      <c r="F1" s="112"/>
      <c r="G1" s="112"/>
      <c r="H1" s="112"/>
      <c r="I1" s="112"/>
      <c r="J1" s="112"/>
      <c r="K1" s="112"/>
      <c r="L1" s="112"/>
    </row>
    <row r="2" spans="1:12">
      <c r="A2" s="112"/>
      <c r="B2" s="112"/>
      <c r="C2" s="112"/>
      <c r="D2" s="112"/>
      <c r="E2" s="112"/>
      <c r="F2" s="112"/>
      <c r="G2" s="112"/>
      <c r="H2" s="112"/>
      <c r="I2" s="112"/>
      <c r="J2" s="112"/>
      <c r="K2" s="112"/>
      <c r="L2" s="112"/>
    </row>
    <row r="3" spans="1:12" ht="13">
      <c r="A3" s="112"/>
      <c r="B3" s="1" t="s">
        <v>339</v>
      </c>
      <c r="C3" s="112"/>
      <c r="D3" s="112"/>
      <c r="E3" s="112"/>
      <c r="F3" s="112"/>
      <c r="G3" s="112"/>
      <c r="H3" s="112"/>
      <c r="I3" s="112"/>
      <c r="J3" s="112"/>
      <c r="K3" s="112"/>
      <c r="L3" s="112"/>
    </row>
    <row r="4" spans="1:12">
      <c r="A4" s="112"/>
      <c r="B4" s="232" t="s">
        <v>340</v>
      </c>
      <c r="C4" s="112"/>
      <c r="D4" s="112"/>
      <c r="E4" s="112"/>
      <c r="F4" s="112"/>
      <c r="G4" s="112"/>
      <c r="H4" s="112"/>
      <c r="I4" s="112"/>
      <c r="J4" s="112"/>
      <c r="K4" s="112"/>
      <c r="L4" s="112"/>
    </row>
    <row r="5" spans="1:12">
      <c r="A5" s="112"/>
      <c r="B5" s="232" t="s">
        <v>341</v>
      </c>
      <c r="C5" s="112"/>
      <c r="D5" s="112"/>
      <c r="E5" s="112"/>
      <c r="F5" s="112"/>
      <c r="G5" s="112"/>
      <c r="H5" s="112"/>
      <c r="I5" s="112"/>
      <c r="J5" s="112"/>
      <c r="K5" s="112"/>
      <c r="L5" s="112"/>
    </row>
    <row r="6" spans="1:12">
      <c r="A6" s="112"/>
      <c r="B6" s="232" t="s">
        <v>342</v>
      </c>
      <c r="C6" s="112"/>
      <c r="D6" s="112"/>
      <c r="E6" s="112"/>
      <c r="F6" s="112"/>
      <c r="G6" s="112"/>
      <c r="H6" s="112"/>
      <c r="I6" s="112"/>
      <c r="J6" s="112"/>
      <c r="K6" s="112"/>
      <c r="L6" s="112"/>
    </row>
    <row r="7" spans="1:12">
      <c r="A7" s="112"/>
      <c r="B7" s="232" t="str">
        <f>"d) Include previous Annual Update Cumulative Excess or Shortfall in Prior Year (from Previous Annual Update Line "&amp;A36&amp;")"</f>
        <v>d) Include previous Annual Update Cumulative Excess or Shortfall in Prior Year (from Previous Annual Update Line 23)</v>
      </c>
      <c r="C7" s="112"/>
      <c r="D7" s="112"/>
      <c r="E7" s="112"/>
      <c r="F7" s="112"/>
      <c r="G7" s="112"/>
      <c r="H7" s="112"/>
      <c r="I7" s="112"/>
      <c r="J7" s="112"/>
      <c r="K7" s="112"/>
      <c r="L7" s="112"/>
    </row>
    <row r="8" spans="1:12">
      <c r="A8" s="112"/>
      <c r="B8" s="480" t="str">
        <f>"and any One-Time Adjustments in Column 4 (Lines "&amp;A24&amp;" and "&amp;A25&amp;" respectively)."</f>
        <v>and any One-Time Adjustments in Column 4 (Lines 11 and 12 respectively).</v>
      </c>
      <c r="C8" s="112"/>
      <c r="D8" s="112"/>
      <c r="E8" s="112"/>
      <c r="F8" s="112"/>
      <c r="G8" s="112"/>
      <c r="H8" s="112"/>
      <c r="I8" s="112"/>
      <c r="J8" s="112"/>
      <c r="K8" s="112"/>
      <c r="L8" s="112"/>
    </row>
    <row r="9" spans="1:12">
      <c r="A9" s="112"/>
      <c r="B9" s="232" t="str">
        <f>"e) Continue interest calculation through the end of the Prior Year (Line "&amp;A36&amp;") to determine Cumulative Excess or Shortfall for this Annual Update."</f>
        <v>e) Continue interest calculation through the end of the Prior Year (Line 23) to determine Cumulative Excess or Shortfall for this Annual Update.</v>
      </c>
      <c r="C9" s="112"/>
      <c r="D9" s="112"/>
      <c r="E9" s="112"/>
      <c r="F9" s="112"/>
      <c r="G9" s="112"/>
      <c r="H9" s="112"/>
      <c r="I9" s="112"/>
      <c r="J9" s="112"/>
      <c r="K9" s="112"/>
      <c r="L9" s="112"/>
    </row>
    <row r="10" spans="1:12">
      <c r="A10" s="112"/>
      <c r="B10" s="112"/>
      <c r="C10" s="112"/>
      <c r="D10" s="112"/>
      <c r="E10" s="112"/>
      <c r="F10" s="112"/>
      <c r="G10" s="112"/>
      <c r="H10" s="112"/>
      <c r="I10" s="112"/>
      <c r="J10" s="112"/>
      <c r="K10" s="112"/>
      <c r="L10" s="112"/>
    </row>
    <row r="11" spans="1:12" ht="13">
      <c r="A11" s="2"/>
      <c r="B11" s="47" t="s">
        <v>343</v>
      </c>
      <c r="C11" s="112"/>
      <c r="D11" s="113"/>
      <c r="E11" s="114"/>
      <c r="F11" s="112"/>
      <c r="G11" s="112"/>
      <c r="H11" s="112"/>
      <c r="I11" s="112"/>
      <c r="J11" s="112"/>
      <c r="K11" s="235"/>
      <c r="L11" s="112"/>
    </row>
    <row r="12" spans="1:12" ht="13">
      <c r="A12" s="2"/>
      <c r="B12" s="40" t="s">
        <v>344</v>
      </c>
      <c r="C12" s="112"/>
      <c r="D12" s="113"/>
      <c r="E12" s="114"/>
      <c r="F12" s="112"/>
      <c r="G12" s="112"/>
      <c r="H12" s="112"/>
      <c r="I12" s="112"/>
      <c r="J12" s="112"/>
      <c r="K12" s="112"/>
      <c r="L12" s="112"/>
    </row>
    <row r="13" spans="1:12" ht="13">
      <c r="A13" s="32" t="s">
        <v>284</v>
      </c>
      <c r="B13" s="112"/>
      <c r="C13" s="47"/>
      <c r="D13" s="113"/>
      <c r="E13" s="114"/>
      <c r="F13" s="3"/>
      <c r="G13" s="112"/>
      <c r="H13" s="112"/>
      <c r="I13" s="112"/>
      <c r="J13" s="112"/>
      <c r="K13" s="112"/>
      <c r="L13" s="112"/>
    </row>
    <row r="14" spans="1:12" ht="13">
      <c r="A14" s="2">
        <f>A7+1</f>
        <v>1</v>
      </c>
      <c r="B14" s="112"/>
      <c r="C14" s="112"/>
      <c r="D14" s="246" t="s">
        <v>345</v>
      </c>
      <c r="E14" s="114" t="e">
        <f>'4-TUTRR'!E75</f>
        <v>#DIV/0!</v>
      </c>
      <c r="F14" s="247" t="s">
        <v>346</v>
      </c>
      <c r="G14" s="112"/>
      <c r="H14" s="112" t="str">
        <f>"Line "&amp;'4-TUTRR'!A75&amp;""</f>
        <v>Line 46</v>
      </c>
      <c r="I14" s="112"/>
      <c r="J14" s="112"/>
      <c r="K14" s="112"/>
      <c r="L14" s="112"/>
    </row>
    <row r="15" spans="1:12" ht="13">
      <c r="A15" s="2">
        <f>A14+1</f>
        <v>2</v>
      </c>
      <c r="B15" s="47"/>
      <c r="C15" s="112"/>
      <c r="D15" s="112"/>
      <c r="E15" s="112"/>
      <c r="F15" s="112"/>
      <c r="G15" s="112"/>
      <c r="H15" s="114"/>
      <c r="I15" s="112"/>
      <c r="J15" s="112"/>
      <c r="K15" s="112"/>
      <c r="L15" s="112"/>
    </row>
    <row r="16" spans="1:12" ht="13">
      <c r="A16" s="2">
        <f t="shared" ref="A16:A50" si="0">A15+1</f>
        <v>3</v>
      </c>
      <c r="B16" s="112"/>
      <c r="C16" s="112"/>
      <c r="D16" s="48" t="s">
        <v>347</v>
      </c>
      <c r="E16" s="48" t="s">
        <v>348</v>
      </c>
      <c r="F16" s="48" t="s">
        <v>349</v>
      </c>
      <c r="G16" s="48" t="s">
        <v>350</v>
      </c>
      <c r="H16" s="48" t="s">
        <v>351</v>
      </c>
      <c r="I16" s="48" t="s">
        <v>352</v>
      </c>
      <c r="J16" s="48" t="s">
        <v>353</v>
      </c>
      <c r="K16" s="48" t="s">
        <v>354</v>
      </c>
      <c r="L16" s="48" t="s">
        <v>355</v>
      </c>
    </row>
    <row r="17" spans="1:12" ht="13">
      <c r="A17" s="2">
        <f t="shared" si="0"/>
        <v>4</v>
      </c>
      <c r="B17" s="112"/>
      <c r="C17" s="113" t="s">
        <v>356</v>
      </c>
      <c r="D17" s="48"/>
      <c r="E17" s="234" t="s">
        <v>357</v>
      </c>
      <c r="F17" s="234" t="s">
        <v>358</v>
      </c>
      <c r="G17" s="234" t="s">
        <v>359</v>
      </c>
      <c r="H17" s="239" t="s">
        <v>360</v>
      </c>
      <c r="I17" s="234" t="s">
        <v>361</v>
      </c>
      <c r="J17" s="234" t="s">
        <v>362</v>
      </c>
      <c r="K17" s="234" t="s">
        <v>363</v>
      </c>
      <c r="L17" s="239" t="s">
        <v>364</v>
      </c>
    </row>
    <row r="18" spans="1:12" ht="13">
      <c r="A18" s="2">
        <f t="shared" si="0"/>
        <v>5</v>
      </c>
      <c r="B18" s="112"/>
      <c r="C18" s="112"/>
      <c r="D18" s="48"/>
      <c r="G18" s="4" t="s">
        <v>365</v>
      </c>
      <c r="I18" s="48"/>
      <c r="J18" s="2" t="s">
        <v>366</v>
      </c>
      <c r="K18" s="48"/>
      <c r="L18" s="48"/>
    </row>
    <row r="19" spans="1:12" ht="13">
      <c r="A19" s="2">
        <f t="shared" si="0"/>
        <v>6</v>
      </c>
      <c r="B19" s="112"/>
      <c r="C19" s="112"/>
      <c r="D19" s="48"/>
      <c r="G19" s="228" t="s">
        <v>367</v>
      </c>
      <c r="I19" s="112"/>
      <c r="J19" s="2" t="s">
        <v>368</v>
      </c>
      <c r="K19" s="112"/>
      <c r="L19" s="2" t="s">
        <v>366</v>
      </c>
    </row>
    <row r="20" spans="1:12" ht="13">
      <c r="A20" s="2">
        <f t="shared" si="0"/>
        <v>7</v>
      </c>
      <c r="B20" s="112"/>
      <c r="C20" s="112"/>
      <c r="D20" s="48"/>
      <c r="F20" s="2" t="s">
        <v>369</v>
      </c>
      <c r="G20" s="2" t="s">
        <v>370</v>
      </c>
      <c r="H20" s="2" t="s">
        <v>371</v>
      </c>
      <c r="I20" s="112"/>
      <c r="J20" s="2" t="s">
        <v>372</v>
      </c>
      <c r="K20" s="112"/>
      <c r="L20" s="2" t="s">
        <v>368</v>
      </c>
    </row>
    <row r="21" spans="1:12" ht="13">
      <c r="A21" s="2">
        <f t="shared" si="0"/>
        <v>8</v>
      </c>
      <c r="B21" s="112"/>
      <c r="C21" s="112"/>
      <c r="D21" s="2"/>
      <c r="E21" s="2" t="s">
        <v>371</v>
      </c>
      <c r="F21" s="2" t="s">
        <v>373</v>
      </c>
      <c r="G21" s="2" t="s">
        <v>374</v>
      </c>
      <c r="H21" s="2" t="s">
        <v>368</v>
      </c>
      <c r="I21" s="2" t="s">
        <v>371</v>
      </c>
      <c r="J21" s="2" t="s">
        <v>375</v>
      </c>
      <c r="K21" s="115" t="s">
        <v>376</v>
      </c>
      <c r="L21" s="2" t="s">
        <v>372</v>
      </c>
    </row>
    <row r="22" spans="1:12" ht="13">
      <c r="A22" s="2">
        <f t="shared" si="0"/>
        <v>9</v>
      </c>
      <c r="B22" s="112"/>
      <c r="C22" s="112"/>
      <c r="D22" s="2"/>
      <c r="E22" s="2" t="s">
        <v>377</v>
      </c>
      <c r="F22" s="2" t="s">
        <v>378</v>
      </c>
      <c r="G22" s="2" t="s">
        <v>379</v>
      </c>
      <c r="H22" s="2" t="s">
        <v>372</v>
      </c>
      <c r="I22" s="2" t="s">
        <v>376</v>
      </c>
      <c r="J22" s="2" t="s">
        <v>380</v>
      </c>
      <c r="K22" s="2" t="s">
        <v>381</v>
      </c>
      <c r="L22" s="2" t="s">
        <v>375</v>
      </c>
    </row>
    <row r="23" spans="1:12" ht="13">
      <c r="A23" s="2">
        <f t="shared" si="0"/>
        <v>10</v>
      </c>
      <c r="B23" s="112"/>
      <c r="C23" s="18" t="s">
        <v>382</v>
      </c>
      <c r="D23" s="18" t="s">
        <v>383</v>
      </c>
      <c r="E23" s="3" t="s">
        <v>384</v>
      </c>
      <c r="F23" s="3" t="s">
        <v>385</v>
      </c>
      <c r="G23" s="3" t="s">
        <v>386</v>
      </c>
      <c r="H23" s="3" t="s">
        <v>375</v>
      </c>
      <c r="I23" s="3" t="s">
        <v>387</v>
      </c>
      <c r="J23" s="3" t="s">
        <v>388</v>
      </c>
      <c r="K23" s="3" t="s">
        <v>382</v>
      </c>
      <c r="L23" s="3" t="s">
        <v>389</v>
      </c>
    </row>
    <row r="24" spans="1:12" ht="13">
      <c r="A24" s="2">
        <f>A23+1</f>
        <v>11</v>
      </c>
      <c r="B24" s="112"/>
      <c r="C24" s="252" t="s">
        <v>390</v>
      </c>
      <c r="D24" s="330"/>
      <c r="E24" s="118" t="s">
        <v>391</v>
      </c>
      <c r="F24" s="118" t="s">
        <v>391</v>
      </c>
      <c r="G24" s="263"/>
      <c r="H24" s="114">
        <f>G24</f>
        <v>0</v>
      </c>
      <c r="I24" s="118" t="s">
        <v>391</v>
      </c>
      <c r="J24" s="117">
        <f>H24</f>
        <v>0</v>
      </c>
      <c r="K24" s="118" t="s">
        <v>391</v>
      </c>
      <c r="L24" s="235">
        <f>J24</f>
        <v>0</v>
      </c>
    </row>
    <row r="25" spans="1:12" ht="13">
      <c r="A25" s="2">
        <f t="shared" ref="A25:A36" si="1">A24+1</f>
        <v>12</v>
      </c>
      <c r="B25" s="112"/>
      <c r="C25" s="14" t="s">
        <v>392</v>
      </c>
      <c r="D25" s="330"/>
      <c r="E25" s="114" t="e">
        <f>$E$14/12</f>
        <v>#DIV/0!</v>
      </c>
      <c r="F25" s="114">
        <f>C77</f>
        <v>0</v>
      </c>
      <c r="G25" s="1002"/>
      <c r="H25" s="114" t="e">
        <f>E25-F25+G25</f>
        <v>#DIV/0!</v>
      </c>
      <c r="I25" s="767"/>
      <c r="J25" s="117" t="e">
        <f>L24+H25</f>
        <v>#DIV/0!</v>
      </c>
      <c r="K25" s="117" t="e">
        <f>((L24+J25)/2)*I25</f>
        <v>#DIV/0!</v>
      </c>
      <c r="L25" s="117" t="e">
        <f>J25+K25</f>
        <v>#DIV/0!</v>
      </c>
    </row>
    <row r="26" spans="1:12" ht="13">
      <c r="A26" s="2">
        <f t="shared" si="1"/>
        <v>13</v>
      </c>
      <c r="B26" s="112"/>
      <c r="C26" s="14" t="s">
        <v>393</v>
      </c>
      <c r="D26" s="330"/>
      <c r="E26" s="114" t="e">
        <f>$E$14/12</f>
        <v>#DIV/0!</v>
      </c>
      <c r="F26" s="114">
        <f t="shared" ref="F26:F36" si="2">C78</f>
        <v>0</v>
      </c>
      <c r="G26" s="263"/>
      <c r="H26" s="114" t="e">
        <f t="shared" ref="H26:H35" si="3">E26-F26+G26</f>
        <v>#DIV/0!</v>
      </c>
      <c r="I26" s="767"/>
      <c r="J26" s="117" t="e">
        <f>L25+H26</f>
        <v>#DIV/0!</v>
      </c>
      <c r="K26" s="117" t="e">
        <f>((L25+J26)/2)*I26</f>
        <v>#DIV/0!</v>
      </c>
      <c r="L26" s="117" t="e">
        <f t="shared" ref="L26:L35" si="4">J26+K26</f>
        <v>#DIV/0!</v>
      </c>
    </row>
    <row r="27" spans="1:12" ht="13">
      <c r="A27" s="2">
        <f t="shared" si="1"/>
        <v>14</v>
      </c>
      <c r="B27" s="112"/>
      <c r="C27" s="14" t="s">
        <v>394</v>
      </c>
      <c r="D27" s="330"/>
      <c r="E27" s="114" t="e">
        <f t="shared" ref="E27:E36" si="5">$E$14/12</f>
        <v>#DIV/0!</v>
      </c>
      <c r="F27" s="114">
        <f t="shared" si="2"/>
        <v>0</v>
      </c>
      <c r="G27" s="263"/>
      <c r="H27" s="114" t="e">
        <f t="shared" si="3"/>
        <v>#DIV/0!</v>
      </c>
      <c r="I27" s="767"/>
      <c r="J27" s="117" t="e">
        <f t="shared" ref="J27:J35" si="6">L26+H27</f>
        <v>#DIV/0!</v>
      </c>
      <c r="K27" s="117" t="e">
        <f t="shared" ref="K27:K36" si="7">((L26+J27)/2)*I27</f>
        <v>#DIV/0!</v>
      </c>
      <c r="L27" s="117" t="e">
        <f t="shared" si="4"/>
        <v>#DIV/0!</v>
      </c>
    </row>
    <row r="28" spans="1:12" ht="13">
      <c r="A28" s="2">
        <f t="shared" si="1"/>
        <v>15</v>
      </c>
      <c r="B28" s="112"/>
      <c r="C28" s="14" t="s">
        <v>395</v>
      </c>
      <c r="D28" s="330"/>
      <c r="E28" s="114" t="e">
        <f t="shared" si="5"/>
        <v>#DIV/0!</v>
      </c>
      <c r="F28" s="114">
        <f t="shared" si="2"/>
        <v>0</v>
      </c>
      <c r="G28" s="263"/>
      <c r="H28" s="114" t="e">
        <f t="shared" si="3"/>
        <v>#DIV/0!</v>
      </c>
      <c r="I28" s="767"/>
      <c r="J28" s="117" t="e">
        <f t="shared" si="6"/>
        <v>#DIV/0!</v>
      </c>
      <c r="K28" s="117" t="e">
        <f t="shared" si="7"/>
        <v>#DIV/0!</v>
      </c>
      <c r="L28" s="117" t="e">
        <f t="shared" si="4"/>
        <v>#DIV/0!</v>
      </c>
    </row>
    <row r="29" spans="1:12" ht="13">
      <c r="A29" s="2">
        <f t="shared" si="1"/>
        <v>16</v>
      </c>
      <c r="B29" s="112"/>
      <c r="C29" s="14" t="s">
        <v>396</v>
      </c>
      <c r="D29" s="330"/>
      <c r="E29" s="114" t="e">
        <f t="shared" si="5"/>
        <v>#DIV/0!</v>
      </c>
      <c r="F29" s="114">
        <f t="shared" si="2"/>
        <v>0</v>
      </c>
      <c r="G29" s="263"/>
      <c r="H29" s="114" t="e">
        <f t="shared" si="3"/>
        <v>#DIV/0!</v>
      </c>
      <c r="I29" s="767"/>
      <c r="J29" s="117" t="e">
        <f t="shared" si="6"/>
        <v>#DIV/0!</v>
      </c>
      <c r="K29" s="117" t="e">
        <f t="shared" si="7"/>
        <v>#DIV/0!</v>
      </c>
      <c r="L29" s="117" t="e">
        <f t="shared" si="4"/>
        <v>#DIV/0!</v>
      </c>
    </row>
    <row r="30" spans="1:12" ht="13">
      <c r="A30" s="2">
        <f t="shared" si="1"/>
        <v>17</v>
      </c>
      <c r="B30" s="112"/>
      <c r="C30" s="14" t="s">
        <v>397</v>
      </c>
      <c r="D30" s="330"/>
      <c r="E30" s="114" t="e">
        <f t="shared" si="5"/>
        <v>#DIV/0!</v>
      </c>
      <c r="F30" s="114">
        <f t="shared" si="2"/>
        <v>0</v>
      </c>
      <c r="G30" s="263"/>
      <c r="H30" s="114" t="e">
        <f t="shared" si="3"/>
        <v>#DIV/0!</v>
      </c>
      <c r="I30" s="767"/>
      <c r="J30" s="117" t="e">
        <f t="shared" si="6"/>
        <v>#DIV/0!</v>
      </c>
      <c r="K30" s="117" t="e">
        <f t="shared" si="7"/>
        <v>#DIV/0!</v>
      </c>
      <c r="L30" s="117" t="e">
        <f t="shared" si="4"/>
        <v>#DIV/0!</v>
      </c>
    </row>
    <row r="31" spans="1:12" ht="13">
      <c r="A31" s="2">
        <f t="shared" si="1"/>
        <v>18</v>
      </c>
      <c r="B31" s="112"/>
      <c r="C31" s="14" t="s">
        <v>398</v>
      </c>
      <c r="D31" s="330"/>
      <c r="E31" s="114" t="e">
        <f t="shared" si="5"/>
        <v>#DIV/0!</v>
      </c>
      <c r="F31" s="114">
        <f t="shared" si="2"/>
        <v>0</v>
      </c>
      <c r="G31" s="263"/>
      <c r="H31" s="114" t="e">
        <f t="shared" si="3"/>
        <v>#DIV/0!</v>
      </c>
      <c r="I31" s="767"/>
      <c r="J31" s="117" t="e">
        <f t="shared" si="6"/>
        <v>#DIV/0!</v>
      </c>
      <c r="K31" s="117" t="e">
        <f t="shared" si="7"/>
        <v>#DIV/0!</v>
      </c>
      <c r="L31" s="117" t="e">
        <f t="shared" si="4"/>
        <v>#DIV/0!</v>
      </c>
    </row>
    <row r="32" spans="1:12" ht="13">
      <c r="A32" s="2">
        <f t="shared" si="1"/>
        <v>19</v>
      </c>
      <c r="B32" s="112"/>
      <c r="C32" s="14" t="s">
        <v>399</v>
      </c>
      <c r="D32" s="330"/>
      <c r="E32" s="114" t="e">
        <f t="shared" si="5"/>
        <v>#DIV/0!</v>
      </c>
      <c r="F32" s="114">
        <f t="shared" si="2"/>
        <v>0</v>
      </c>
      <c r="G32" s="263"/>
      <c r="H32" s="114" t="e">
        <f t="shared" si="3"/>
        <v>#DIV/0!</v>
      </c>
      <c r="I32" s="767"/>
      <c r="J32" s="117" t="e">
        <f t="shared" si="6"/>
        <v>#DIV/0!</v>
      </c>
      <c r="K32" s="117" t="e">
        <f t="shared" si="7"/>
        <v>#DIV/0!</v>
      </c>
      <c r="L32" s="117" t="e">
        <f t="shared" si="4"/>
        <v>#DIV/0!</v>
      </c>
    </row>
    <row r="33" spans="1:12" ht="13">
      <c r="A33" s="2">
        <f t="shared" si="1"/>
        <v>20</v>
      </c>
      <c r="B33" s="112"/>
      <c r="C33" s="14" t="s">
        <v>400</v>
      </c>
      <c r="D33" s="330"/>
      <c r="E33" s="114" t="e">
        <f t="shared" si="5"/>
        <v>#DIV/0!</v>
      </c>
      <c r="F33" s="114">
        <f t="shared" si="2"/>
        <v>0</v>
      </c>
      <c r="G33" s="263"/>
      <c r="H33" s="114" t="e">
        <f t="shared" si="3"/>
        <v>#DIV/0!</v>
      </c>
      <c r="I33" s="767"/>
      <c r="J33" s="117" t="e">
        <f t="shared" si="6"/>
        <v>#DIV/0!</v>
      </c>
      <c r="K33" s="117" t="e">
        <f t="shared" si="7"/>
        <v>#DIV/0!</v>
      </c>
      <c r="L33" s="117" t="e">
        <f t="shared" si="4"/>
        <v>#DIV/0!</v>
      </c>
    </row>
    <row r="34" spans="1:12" ht="13">
      <c r="A34" s="2">
        <f t="shared" si="1"/>
        <v>21</v>
      </c>
      <c r="B34" s="112"/>
      <c r="C34" s="14" t="s">
        <v>401</v>
      </c>
      <c r="D34" s="330"/>
      <c r="E34" s="114" t="e">
        <f t="shared" si="5"/>
        <v>#DIV/0!</v>
      </c>
      <c r="F34" s="114">
        <f t="shared" si="2"/>
        <v>0</v>
      </c>
      <c r="G34" s="263"/>
      <c r="H34" s="114" t="e">
        <f t="shared" si="3"/>
        <v>#DIV/0!</v>
      </c>
      <c r="I34" s="767"/>
      <c r="J34" s="117" t="e">
        <f t="shared" si="6"/>
        <v>#DIV/0!</v>
      </c>
      <c r="K34" s="117" t="e">
        <f t="shared" si="7"/>
        <v>#DIV/0!</v>
      </c>
      <c r="L34" s="117" t="e">
        <f t="shared" si="4"/>
        <v>#DIV/0!</v>
      </c>
    </row>
    <row r="35" spans="1:12" ht="13">
      <c r="A35" s="2">
        <f t="shared" si="1"/>
        <v>22</v>
      </c>
      <c r="B35" s="112"/>
      <c r="C35" s="14" t="s">
        <v>402</v>
      </c>
      <c r="D35" s="330"/>
      <c r="E35" s="114" t="e">
        <f t="shared" si="5"/>
        <v>#DIV/0!</v>
      </c>
      <c r="F35" s="114">
        <f t="shared" si="2"/>
        <v>0</v>
      </c>
      <c r="G35" s="263"/>
      <c r="H35" s="114" t="e">
        <f t="shared" si="3"/>
        <v>#DIV/0!</v>
      </c>
      <c r="I35" s="767"/>
      <c r="J35" s="117" t="e">
        <f t="shared" si="6"/>
        <v>#DIV/0!</v>
      </c>
      <c r="K35" s="117" t="e">
        <f t="shared" si="7"/>
        <v>#DIV/0!</v>
      </c>
      <c r="L35" s="117" t="e">
        <f t="shared" si="4"/>
        <v>#DIV/0!</v>
      </c>
    </row>
    <row r="36" spans="1:12" ht="13">
      <c r="A36" s="2">
        <f t="shared" si="1"/>
        <v>23</v>
      </c>
      <c r="B36" s="112"/>
      <c r="C36" s="14" t="s">
        <v>390</v>
      </c>
      <c r="D36" s="330"/>
      <c r="E36" s="114" t="e">
        <f t="shared" si="5"/>
        <v>#DIV/0!</v>
      </c>
      <c r="F36" s="114">
        <f t="shared" si="2"/>
        <v>0</v>
      </c>
      <c r="G36" s="794"/>
      <c r="H36" s="114" t="e">
        <f>E36-F36+G36</f>
        <v>#DIV/0!</v>
      </c>
      <c r="I36" s="767"/>
      <c r="J36" s="117" t="e">
        <f>L35+H36</f>
        <v>#DIV/0!</v>
      </c>
      <c r="K36" s="117" t="e">
        <f t="shared" si="7"/>
        <v>#DIV/0!</v>
      </c>
      <c r="L36" s="117" t="e">
        <f>J36+K36</f>
        <v>#DIV/0!</v>
      </c>
    </row>
    <row r="37" spans="1:12" ht="13">
      <c r="A37" s="2"/>
      <c r="B37" s="112"/>
      <c r="C37" s="14"/>
      <c r="D37" s="17"/>
      <c r="E37" s="112"/>
      <c r="F37" s="122"/>
      <c r="G37" s="114"/>
      <c r="H37" s="189"/>
      <c r="I37" s="112"/>
      <c r="J37" s="112"/>
      <c r="K37" s="112"/>
      <c r="L37" s="112"/>
    </row>
    <row r="38" spans="1:12" ht="13">
      <c r="A38" s="2">
        <f>A36+1</f>
        <v>24</v>
      </c>
      <c r="B38" s="1" t="s">
        <v>403</v>
      </c>
      <c r="C38" s="14"/>
      <c r="D38" s="17"/>
      <c r="E38" s="112"/>
      <c r="F38" s="232"/>
      <c r="G38" s="114"/>
      <c r="H38" s="122"/>
      <c r="I38" s="112"/>
      <c r="J38" s="112"/>
      <c r="K38" s="112"/>
      <c r="L38" s="112"/>
    </row>
    <row r="39" spans="1:12" ht="13">
      <c r="A39" s="2">
        <f t="shared" si="0"/>
        <v>25</v>
      </c>
      <c r="B39" s="1"/>
      <c r="C39" s="14"/>
      <c r="D39" s="17"/>
      <c r="E39" s="112"/>
      <c r="F39" s="251" t="s">
        <v>233</v>
      </c>
      <c r="G39" s="114"/>
      <c r="H39" s="122"/>
      <c r="I39" s="112"/>
      <c r="J39" s="112"/>
      <c r="K39" s="112"/>
      <c r="L39" s="112"/>
    </row>
    <row r="40" spans="1:12" ht="13">
      <c r="A40" s="2">
        <f t="shared" si="0"/>
        <v>26</v>
      </c>
      <c r="B40" s="112"/>
      <c r="C40" s="14"/>
      <c r="D40" s="113" t="s">
        <v>404</v>
      </c>
      <c r="E40" s="114" t="e">
        <f>L36</f>
        <v>#DIV/0!</v>
      </c>
      <c r="F40" s="232" t="str">
        <f>"Line "&amp;A36&amp;", Column 9"</f>
        <v>Line 23, Column 9</v>
      </c>
      <c r="G40" s="119"/>
      <c r="H40" s="122"/>
      <c r="I40" s="112"/>
      <c r="J40" s="112"/>
      <c r="K40" s="112"/>
      <c r="L40" s="112"/>
    </row>
    <row r="41" spans="1:12" ht="13">
      <c r="A41" s="2">
        <f t="shared" si="0"/>
        <v>27</v>
      </c>
      <c r="B41" s="112"/>
      <c r="C41" s="14"/>
      <c r="D41" s="231" t="s">
        <v>405</v>
      </c>
      <c r="E41" s="531"/>
      <c r="F41" s="232" t="str">
        <f>"Previous Annual Update Schedule 3, Line "&amp;A44&amp;""</f>
        <v>Previous Annual Update Schedule 3, Line 30</v>
      </c>
      <c r="G41" s="119"/>
      <c r="H41" s="122"/>
      <c r="J41" s="113" t="s">
        <v>406</v>
      </c>
      <c r="K41" s="198"/>
      <c r="L41" s="198"/>
    </row>
    <row r="42" spans="1:12" ht="13">
      <c r="A42" s="2">
        <f t="shared" si="0"/>
        <v>28</v>
      </c>
      <c r="B42" s="112"/>
      <c r="C42" s="14"/>
      <c r="D42" s="231" t="s">
        <v>407</v>
      </c>
      <c r="E42" s="792" t="e">
        <f>E40-E41</f>
        <v>#DIV/0!</v>
      </c>
      <c r="F42" s="232" t="str">
        <f>"Line "&amp;A40&amp;" - Line "&amp;A41&amp;""</f>
        <v>Line 26 - Line 27</v>
      </c>
      <c r="G42" s="119"/>
      <c r="H42" s="122"/>
      <c r="J42" s="232"/>
      <c r="K42" s="198"/>
      <c r="L42" s="198"/>
    </row>
    <row r="43" spans="1:12" ht="14">
      <c r="A43" s="2">
        <f t="shared" si="0"/>
        <v>29</v>
      </c>
      <c r="B43" s="112"/>
      <c r="C43" s="14"/>
      <c r="D43" s="231" t="s">
        <v>408</v>
      </c>
      <c r="E43" s="1003" t="e">
        <f>E42*I36*18</f>
        <v>#DIV/0!</v>
      </c>
      <c r="F43" s="232" t="str">
        <f>"Line "&amp;A42&amp;" * (Line "&amp;A36&amp;", Column 6) * 18 months"</f>
        <v>Line 28 * (Line 23, Column 6) * 18 months</v>
      </c>
      <c r="G43" s="119"/>
      <c r="H43" s="122"/>
      <c r="I43" s="232"/>
      <c r="J43" s="112"/>
      <c r="K43" s="112"/>
      <c r="L43" s="112"/>
    </row>
    <row r="44" spans="1:12" ht="13">
      <c r="A44" s="2">
        <f t="shared" si="0"/>
        <v>30</v>
      </c>
      <c r="B44" s="112"/>
      <c r="C44" s="14"/>
      <c r="D44" s="49" t="s">
        <v>409</v>
      </c>
      <c r="E44" s="114" t="e">
        <f>E42+E43</f>
        <v>#DIV/0!</v>
      </c>
      <c r="F44" s="250" t="str">
        <f>"Line "&amp;A42&amp;" + Line "&amp;A43&amp;".  Positive amount is to be collected by SCE (included in Base TRR as a positive amount)."</f>
        <v>Line 28 + Line 29.  Positive amount is to be collected by SCE (included in Base TRR as a positive amount).</v>
      </c>
      <c r="G44" s="119"/>
      <c r="H44" s="122"/>
      <c r="I44" s="112"/>
      <c r="J44" s="112"/>
      <c r="K44" s="112"/>
      <c r="L44" s="112"/>
    </row>
    <row r="45" spans="1:12" ht="13">
      <c r="A45" s="2">
        <f t="shared" si="0"/>
        <v>31</v>
      </c>
      <c r="B45" s="112"/>
      <c r="C45" s="112"/>
      <c r="D45" s="112"/>
      <c r="E45" s="112"/>
      <c r="F45" s="250" t="s">
        <v>410</v>
      </c>
      <c r="G45" s="112"/>
      <c r="H45" s="112"/>
      <c r="I45" s="112"/>
      <c r="J45" s="112"/>
      <c r="K45" s="112"/>
      <c r="L45" s="112"/>
    </row>
    <row r="46" spans="1:12" ht="13">
      <c r="A46" s="2">
        <f t="shared" si="0"/>
        <v>32</v>
      </c>
      <c r="B46" s="1" t="s">
        <v>411</v>
      </c>
      <c r="C46" s="112"/>
      <c r="D46" s="112"/>
      <c r="E46" s="112"/>
      <c r="F46" s="123"/>
      <c r="G46" s="112"/>
      <c r="H46" s="112"/>
      <c r="I46" s="112"/>
      <c r="J46" s="112"/>
      <c r="K46" s="112"/>
      <c r="L46" s="112"/>
    </row>
    <row r="47" spans="1:12" ht="13">
      <c r="A47" s="2">
        <f t="shared" si="0"/>
        <v>33</v>
      </c>
      <c r="B47" s="232" t="s">
        <v>412</v>
      </c>
      <c r="C47" s="112"/>
      <c r="D47" s="112"/>
      <c r="E47" s="112"/>
      <c r="F47" s="112"/>
      <c r="G47" s="112"/>
      <c r="H47" s="112"/>
      <c r="I47" s="112"/>
      <c r="J47" s="112"/>
      <c r="K47" s="112"/>
      <c r="L47" s="112"/>
    </row>
    <row r="48" spans="1:12" ht="13">
      <c r="A48" s="2">
        <f t="shared" si="0"/>
        <v>34</v>
      </c>
      <c r="B48" s="232" t="s">
        <v>413</v>
      </c>
      <c r="C48" s="112"/>
      <c r="D48" s="112"/>
      <c r="E48" s="112"/>
      <c r="F48" s="112"/>
      <c r="G48" s="112"/>
      <c r="H48" s="112"/>
      <c r="I48" s="112"/>
      <c r="J48" s="112"/>
      <c r="K48" s="112"/>
      <c r="L48" s="112"/>
    </row>
    <row r="49" spans="1:12" ht="13">
      <c r="A49" s="2">
        <f t="shared" si="0"/>
        <v>35</v>
      </c>
      <c r="B49" s="232" t="s">
        <v>414</v>
      </c>
      <c r="C49" s="112"/>
      <c r="D49" s="112"/>
      <c r="E49" s="112"/>
      <c r="F49" s="112"/>
      <c r="G49" s="112"/>
      <c r="H49" s="112"/>
      <c r="I49" s="112"/>
      <c r="J49" s="112"/>
      <c r="K49" s="112"/>
      <c r="L49" s="112"/>
    </row>
    <row r="50" spans="1:12" ht="13">
      <c r="A50" s="2">
        <f t="shared" si="0"/>
        <v>36</v>
      </c>
      <c r="B50" s="112"/>
      <c r="C50" s="112"/>
      <c r="D50" s="112"/>
      <c r="E50" s="112"/>
      <c r="F50" s="112"/>
      <c r="G50" s="112"/>
      <c r="H50" s="112"/>
      <c r="I50" s="112"/>
      <c r="J50" s="112"/>
      <c r="K50" s="112"/>
      <c r="L50" s="112"/>
    </row>
    <row r="51" spans="1:12" ht="13">
      <c r="A51" s="2">
        <f t="shared" ref="A51:A91" si="8">A50+1</f>
        <v>37</v>
      </c>
      <c r="B51" s="1" t="s">
        <v>415</v>
      </c>
      <c r="C51" s="112"/>
      <c r="D51" s="112"/>
      <c r="E51" s="112"/>
      <c r="F51" s="112"/>
      <c r="G51" s="112"/>
      <c r="H51" s="112"/>
      <c r="I51" s="112"/>
      <c r="J51" s="112"/>
      <c r="K51" s="112"/>
      <c r="L51" s="112"/>
    </row>
    <row r="52" spans="1:12" ht="13">
      <c r="A52" s="2">
        <f t="shared" si="8"/>
        <v>38</v>
      </c>
      <c r="B52" s="112"/>
      <c r="C52" s="112"/>
      <c r="D52" s="115" t="s">
        <v>416</v>
      </c>
      <c r="E52" s="112"/>
      <c r="G52" s="112"/>
      <c r="H52" s="112"/>
      <c r="I52" s="112"/>
      <c r="J52" s="112"/>
      <c r="K52" s="112"/>
      <c r="L52" s="112"/>
    </row>
    <row r="53" spans="1:12" ht="13">
      <c r="A53" s="2">
        <f t="shared" si="8"/>
        <v>39</v>
      </c>
      <c r="B53" s="112"/>
      <c r="C53" s="18" t="s">
        <v>382</v>
      </c>
      <c r="D53" s="3" t="s">
        <v>417</v>
      </c>
      <c r="E53" s="3" t="s">
        <v>418</v>
      </c>
      <c r="G53" s="112"/>
      <c r="H53" s="112"/>
      <c r="I53" s="112"/>
      <c r="J53" s="112"/>
      <c r="K53" s="112"/>
      <c r="L53" s="112"/>
    </row>
    <row r="54" spans="1:12" ht="13">
      <c r="A54" s="2">
        <f t="shared" si="8"/>
        <v>40</v>
      </c>
      <c r="B54" s="112"/>
      <c r="C54" s="14" t="s">
        <v>392</v>
      </c>
      <c r="D54" s="867">
        <v>6.3763211440757639E-2</v>
      </c>
      <c r="E54" s="232" t="s">
        <v>419</v>
      </c>
      <c r="G54" s="112"/>
      <c r="H54" s="112"/>
      <c r="I54" s="112"/>
      <c r="J54" s="112"/>
      <c r="K54" s="112"/>
      <c r="L54" s="112"/>
    </row>
    <row r="55" spans="1:12" ht="13">
      <c r="A55" s="2">
        <f t="shared" si="8"/>
        <v>41</v>
      </c>
      <c r="B55" s="112"/>
      <c r="C55" s="14" t="s">
        <v>393</v>
      </c>
      <c r="D55" s="867">
        <v>5.6553289888256801E-2</v>
      </c>
      <c r="G55" s="112"/>
      <c r="H55" s="112"/>
      <c r="I55" s="112"/>
      <c r="J55" s="112"/>
      <c r="K55" s="112"/>
      <c r="L55" s="112"/>
    </row>
    <row r="56" spans="1:12" ht="13">
      <c r="A56" s="2">
        <f t="shared" si="8"/>
        <v>42</v>
      </c>
      <c r="B56" s="112"/>
      <c r="C56" s="14" t="s">
        <v>394</v>
      </c>
      <c r="D56" s="867">
        <v>7.1828142218240867E-2</v>
      </c>
      <c r="E56" s="232"/>
      <c r="G56" s="112"/>
      <c r="H56" s="112"/>
      <c r="I56" s="112"/>
      <c r="J56" s="112"/>
      <c r="K56" s="112"/>
      <c r="L56" s="112"/>
    </row>
    <row r="57" spans="1:12" ht="13">
      <c r="A57" s="2">
        <f t="shared" si="8"/>
        <v>43</v>
      </c>
      <c r="B57" s="112"/>
      <c r="C57" s="14" t="s">
        <v>395</v>
      </c>
      <c r="D57" s="867">
        <v>8.2236801934806855E-2</v>
      </c>
      <c r="E57" s="868"/>
      <c r="G57" s="112"/>
      <c r="H57" s="112"/>
      <c r="I57" s="112"/>
      <c r="J57" s="112"/>
      <c r="K57" s="112"/>
      <c r="L57" s="112"/>
    </row>
    <row r="58" spans="1:12" ht="13">
      <c r="A58" s="2">
        <f t="shared" si="8"/>
        <v>44</v>
      </c>
      <c r="B58" s="112"/>
      <c r="C58" s="14" t="s">
        <v>396</v>
      </c>
      <c r="D58" s="867">
        <v>8.01837425905748E-2</v>
      </c>
      <c r="E58" s="124"/>
      <c r="G58" s="112"/>
      <c r="H58" s="112"/>
      <c r="I58" s="112"/>
      <c r="J58" s="112"/>
      <c r="K58" s="112"/>
      <c r="L58" s="112"/>
    </row>
    <row r="59" spans="1:12" ht="13">
      <c r="A59" s="2">
        <f t="shared" si="8"/>
        <v>45</v>
      </c>
      <c r="B59" s="112"/>
      <c r="C59" s="14" t="s">
        <v>397</v>
      </c>
      <c r="D59" s="867">
        <v>8.9450501877561497E-2</v>
      </c>
      <c r="E59" s="124"/>
      <c r="G59" s="112"/>
      <c r="H59" s="112"/>
      <c r="I59" s="112"/>
      <c r="J59" s="112"/>
      <c r="K59" s="112"/>
      <c r="L59" s="112"/>
    </row>
    <row r="60" spans="1:12" ht="13">
      <c r="A60" s="2">
        <f t="shared" si="8"/>
        <v>46</v>
      </c>
      <c r="B60" s="112"/>
      <c r="C60" s="14" t="s">
        <v>398</v>
      </c>
      <c r="D60" s="867">
        <v>9.8908415854749826E-2</v>
      </c>
      <c r="E60" s="124"/>
      <c r="G60" s="112"/>
      <c r="H60" s="112"/>
      <c r="I60" s="112"/>
      <c r="J60" s="112"/>
      <c r="K60" s="112"/>
      <c r="L60" s="112"/>
    </row>
    <row r="61" spans="1:12" ht="13">
      <c r="A61" s="2">
        <f t="shared" si="8"/>
        <v>47</v>
      </c>
      <c r="B61" s="112"/>
      <c r="C61" s="14" t="s">
        <v>399</v>
      </c>
      <c r="D61" s="867">
        <v>0.10141004323318151</v>
      </c>
      <c r="E61" s="124"/>
      <c r="G61" s="112"/>
      <c r="H61" s="112"/>
      <c r="I61" s="112"/>
      <c r="J61" s="112"/>
      <c r="K61" s="112"/>
      <c r="L61" s="112"/>
    </row>
    <row r="62" spans="1:12" ht="13">
      <c r="A62" s="2">
        <f t="shared" si="8"/>
        <v>48</v>
      </c>
      <c r="B62" s="112"/>
      <c r="C62" s="14" t="s">
        <v>400</v>
      </c>
      <c r="D62" s="867">
        <v>0.10217900008822713</v>
      </c>
      <c r="E62" s="124"/>
      <c r="G62" s="112"/>
      <c r="H62" s="112"/>
      <c r="I62" s="112"/>
      <c r="J62" s="112"/>
      <c r="K62" s="112"/>
      <c r="L62" s="112"/>
    </row>
    <row r="63" spans="1:12" ht="13">
      <c r="A63" s="2">
        <f t="shared" si="8"/>
        <v>49</v>
      </c>
      <c r="B63" s="112"/>
      <c r="C63" s="14" t="s">
        <v>401</v>
      </c>
      <c r="D63" s="867">
        <v>9.1787269171678454E-2</v>
      </c>
      <c r="E63" s="124"/>
      <c r="G63" s="112"/>
      <c r="H63" s="112"/>
      <c r="I63" s="112"/>
      <c r="J63" s="112"/>
      <c r="K63" s="112"/>
      <c r="L63" s="112"/>
    </row>
    <row r="64" spans="1:12" ht="13">
      <c r="A64" s="2">
        <f t="shared" si="8"/>
        <v>50</v>
      </c>
      <c r="B64" s="112"/>
      <c r="C64" s="14" t="s">
        <v>402</v>
      </c>
      <c r="D64" s="867">
        <v>7.5296938318149625E-2</v>
      </c>
      <c r="E64" s="124"/>
      <c r="G64" s="112"/>
      <c r="H64" s="112"/>
      <c r="I64" s="112"/>
      <c r="J64" s="112"/>
      <c r="K64" s="112"/>
      <c r="L64" s="112"/>
    </row>
    <row r="65" spans="1:16" ht="13">
      <c r="A65" s="2">
        <f t="shared" si="8"/>
        <v>51</v>
      </c>
      <c r="B65" s="112"/>
      <c r="C65" s="14" t="s">
        <v>390</v>
      </c>
      <c r="D65" s="190">
        <v>8.640264338381512E-2</v>
      </c>
      <c r="E65" s="29"/>
      <c r="G65" s="112"/>
      <c r="H65" s="112"/>
      <c r="I65" s="112"/>
      <c r="J65" s="112"/>
      <c r="K65" s="112"/>
      <c r="L65" s="112"/>
    </row>
    <row r="66" spans="1:16" ht="13">
      <c r="A66" s="2">
        <f t="shared" si="8"/>
        <v>52</v>
      </c>
      <c r="B66" s="112"/>
      <c r="C66" s="22" t="s">
        <v>420</v>
      </c>
      <c r="D66" s="195">
        <f>SUM(D54:D65)</f>
        <v>1.0000000000000002</v>
      </c>
      <c r="E66" s="112"/>
      <c r="G66" s="112"/>
      <c r="H66" s="112"/>
      <c r="I66" s="112"/>
      <c r="J66" s="112"/>
      <c r="K66" s="112"/>
      <c r="L66" s="112"/>
    </row>
    <row r="67" spans="1:16" ht="13">
      <c r="A67" s="2">
        <f t="shared" si="8"/>
        <v>53</v>
      </c>
      <c r="B67" s="112"/>
      <c r="C67" s="112"/>
      <c r="D67" s="112"/>
      <c r="E67" s="112"/>
      <c r="F67" s="2"/>
      <c r="G67" s="112"/>
      <c r="H67" s="112"/>
      <c r="I67" s="112"/>
      <c r="J67" s="112"/>
      <c r="K67" s="112"/>
      <c r="L67" s="112"/>
    </row>
    <row r="68" spans="1:16" ht="13">
      <c r="A68" s="2">
        <f t="shared" si="8"/>
        <v>54</v>
      </c>
      <c r="B68" s="1" t="s">
        <v>421</v>
      </c>
      <c r="C68" s="112"/>
      <c r="D68" s="112"/>
      <c r="E68" s="112"/>
      <c r="F68" s="2"/>
      <c r="G68" s="112"/>
      <c r="H68" s="112"/>
      <c r="I68" s="112"/>
      <c r="J68" s="112"/>
      <c r="K68" s="112"/>
      <c r="L68" s="112"/>
    </row>
    <row r="69" spans="1:16" ht="13">
      <c r="A69" s="2">
        <f t="shared" si="8"/>
        <v>55</v>
      </c>
      <c r="B69" s="112"/>
      <c r="C69" s="112"/>
      <c r="D69" s="112"/>
      <c r="E69" s="112"/>
      <c r="F69" s="2"/>
      <c r="G69" s="112"/>
      <c r="H69" s="112"/>
      <c r="I69" s="112"/>
      <c r="J69" s="112"/>
      <c r="K69" s="112"/>
      <c r="L69" s="112"/>
    </row>
    <row r="70" spans="1:16" ht="13">
      <c r="A70" s="2">
        <f t="shared" si="8"/>
        <v>56</v>
      </c>
      <c r="B70" s="112"/>
      <c r="C70" s="48" t="s">
        <v>347</v>
      </c>
      <c r="D70" s="48" t="s">
        <v>348</v>
      </c>
      <c r="E70" s="48" t="s">
        <v>349</v>
      </c>
      <c r="F70" s="48" t="s">
        <v>350</v>
      </c>
      <c r="G70" s="48" t="s">
        <v>351</v>
      </c>
      <c r="H70" s="48" t="s">
        <v>352</v>
      </c>
      <c r="I70" s="48" t="s">
        <v>353</v>
      </c>
      <c r="J70" s="112"/>
    </row>
    <row r="71" spans="1:16" ht="13">
      <c r="A71" s="2">
        <f t="shared" si="8"/>
        <v>57</v>
      </c>
      <c r="B71" s="112"/>
      <c r="C71" s="234" t="s">
        <v>422</v>
      </c>
      <c r="D71" s="234" t="s">
        <v>423</v>
      </c>
      <c r="E71" s="48"/>
      <c r="F71" s="48"/>
      <c r="G71" s="48"/>
      <c r="H71" s="48"/>
      <c r="I71" s="234" t="s">
        <v>424</v>
      </c>
      <c r="J71" s="112"/>
      <c r="K71" s="112"/>
      <c r="L71" s="112"/>
    </row>
    <row r="72" spans="1:16" ht="13">
      <c r="A72" s="2">
        <f t="shared" si="8"/>
        <v>58</v>
      </c>
      <c r="B72" s="112"/>
      <c r="C72" s="112"/>
      <c r="D72" s="112"/>
      <c r="E72" s="112"/>
      <c r="F72" s="2"/>
      <c r="G72" s="112"/>
      <c r="H72" s="112"/>
      <c r="I72" s="112"/>
      <c r="J72" s="112"/>
      <c r="K72" s="197"/>
      <c r="L72" s="112"/>
    </row>
    <row r="73" spans="1:16" ht="13">
      <c r="A73" s="2">
        <f t="shared" si="8"/>
        <v>59</v>
      </c>
      <c r="B73" s="112"/>
      <c r="C73" s="2" t="s">
        <v>369</v>
      </c>
      <c r="D73" s="112"/>
      <c r="E73" s="112"/>
      <c r="F73" s="2"/>
      <c r="G73" s="112"/>
      <c r="H73" s="112"/>
      <c r="I73" s="2" t="s">
        <v>371</v>
      </c>
      <c r="J73" s="112"/>
      <c r="K73" s="243"/>
      <c r="L73" s="112"/>
    </row>
    <row r="74" spans="1:16" ht="13">
      <c r="A74" s="2">
        <f t="shared" si="8"/>
        <v>60</v>
      </c>
      <c r="B74" s="115" t="s">
        <v>425</v>
      </c>
      <c r="C74" s="2" t="s">
        <v>373</v>
      </c>
      <c r="D74" s="112"/>
      <c r="E74" s="112"/>
      <c r="F74" s="48"/>
      <c r="G74" s="112"/>
      <c r="H74" s="112"/>
      <c r="I74" s="2" t="s">
        <v>252</v>
      </c>
      <c r="J74" s="112"/>
    </row>
    <row r="75" spans="1:16" ht="14.5">
      <c r="A75" s="2">
        <f t="shared" si="8"/>
        <v>61</v>
      </c>
      <c r="B75" s="115" t="s">
        <v>383</v>
      </c>
      <c r="C75" s="2" t="s">
        <v>378</v>
      </c>
      <c r="D75" s="2" t="s">
        <v>426</v>
      </c>
      <c r="E75" s="2"/>
      <c r="F75" s="2"/>
      <c r="G75" s="2" t="s">
        <v>427</v>
      </c>
      <c r="H75" s="2"/>
      <c r="I75" s="2" t="s">
        <v>428</v>
      </c>
      <c r="J75" s="112"/>
      <c r="P75" s="120"/>
    </row>
    <row r="76" spans="1:16" ht="14.5">
      <c r="A76" s="2">
        <f t="shared" si="8"/>
        <v>62</v>
      </c>
      <c r="B76" s="3" t="s">
        <v>382</v>
      </c>
      <c r="C76" s="3" t="s">
        <v>385</v>
      </c>
      <c r="D76" s="3" t="s">
        <v>378</v>
      </c>
      <c r="E76" s="3" t="s">
        <v>429</v>
      </c>
      <c r="F76" s="3" t="s">
        <v>430</v>
      </c>
      <c r="G76" s="3" t="s">
        <v>5</v>
      </c>
      <c r="H76" s="3" t="s">
        <v>426</v>
      </c>
      <c r="I76" s="3" t="s">
        <v>251</v>
      </c>
      <c r="J76" s="112"/>
      <c r="K76" s="121"/>
      <c r="L76" s="121"/>
      <c r="M76" s="121"/>
      <c r="N76" s="121"/>
      <c r="O76" s="121"/>
      <c r="P76" s="121"/>
    </row>
    <row r="77" spans="1:16" ht="13">
      <c r="A77" s="2">
        <f t="shared" si="8"/>
        <v>63</v>
      </c>
      <c r="B77" s="125" t="s">
        <v>431</v>
      </c>
      <c r="C77" s="531"/>
      <c r="D77" s="531"/>
      <c r="E77" s="531"/>
      <c r="F77" s="531"/>
      <c r="G77" s="531"/>
      <c r="H77" s="253"/>
      <c r="I77" s="114">
        <f t="shared" ref="I77:I82" si="9">SUM(C77:H77)</f>
        <v>0</v>
      </c>
      <c r="J77" s="112"/>
      <c r="K77" s="31"/>
      <c r="M77" s="6"/>
      <c r="N77" s="6"/>
      <c r="O77" s="6"/>
      <c r="P77" s="6"/>
    </row>
    <row r="78" spans="1:16" ht="13">
      <c r="A78" s="2">
        <f t="shared" si="8"/>
        <v>64</v>
      </c>
      <c r="B78" s="125" t="s">
        <v>432</v>
      </c>
      <c r="C78" s="531"/>
      <c r="D78" s="531"/>
      <c r="E78" s="531"/>
      <c r="F78" s="531"/>
      <c r="G78" s="531"/>
      <c r="H78" s="531"/>
      <c r="I78" s="114">
        <f t="shared" si="9"/>
        <v>0</v>
      </c>
      <c r="J78" s="112"/>
      <c r="K78" s="31"/>
      <c r="M78" s="6"/>
      <c r="N78" s="6"/>
      <c r="O78" s="6"/>
      <c r="P78" s="6"/>
    </row>
    <row r="79" spans="1:16" ht="13">
      <c r="A79" s="2">
        <f t="shared" si="8"/>
        <v>65</v>
      </c>
      <c r="B79" s="125" t="s">
        <v>433</v>
      </c>
      <c r="C79" s="531"/>
      <c r="D79" s="531"/>
      <c r="E79" s="531"/>
      <c r="F79" s="531"/>
      <c r="G79" s="531"/>
      <c r="H79" s="531"/>
      <c r="I79" s="114">
        <f t="shared" si="9"/>
        <v>0</v>
      </c>
      <c r="J79" s="112"/>
      <c r="K79" s="31"/>
      <c r="M79" s="6"/>
      <c r="N79" s="6"/>
      <c r="O79" s="6"/>
      <c r="P79" s="6"/>
    </row>
    <row r="80" spans="1:16" ht="13">
      <c r="A80" s="2">
        <f t="shared" si="8"/>
        <v>66</v>
      </c>
      <c r="B80" s="125" t="s">
        <v>434</v>
      </c>
      <c r="C80" s="531"/>
      <c r="D80" s="531"/>
      <c r="E80" s="531"/>
      <c r="F80" s="531"/>
      <c r="G80" s="531"/>
      <c r="H80" s="531"/>
      <c r="I80" s="114">
        <f t="shared" si="9"/>
        <v>0</v>
      </c>
      <c r="J80" s="112"/>
      <c r="K80" s="31"/>
      <c r="M80" s="6"/>
      <c r="N80" s="6"/>
      <c r="O80" s="6"/>
      <c r="P80" s="6"/>
    </row>
    <row r="81" spans="1:16" ht="13">
      <c r="A81" s="2">
        <f t="shared" si="8"/>
        <v>67</v>
      </c>
      <c r="B81" s="234" t="s">
        <v>396</v>
      </c>
      <c r="C81" s="531"/>
      <c r="D81" s="531"/>
      <c r="E81" s="531"/>
      <c r="F81" s="531"/>
      <c r="G81" s="531"/>
      <c r="H81" s="531"/>
      <c r="I81" s="114">
        <f t="shared" si="9"/>
        <v>0</v>
      </c>
      <c r="J81" s="112"/>
      <c r="K81" s="31"/>
      <c r="M81" s="6"/>
      <c r="N81" s="6"/>
      <c r="O81" s="6"/>
      <c r="P81" s="6"/>
    </row>
    <row r="82" spans="1:16" ht="13">
      <c r="A82" s="2">
        <f t="shared" si="8"/>
        <v>68</v>
      </c>
      <c r="B82" s="125" t="s">
        <v>435</v>
      </c>
      <c r="C82" s="531"/>
      <c r="D82" s="531"/>
      <c r="E82" s="531"/>
      <c r="F82" s="531"/>
      <c r="G82" s="531"/>
      <c r="H82" s="531"/>
      <c r="I82" s="114">
        <f t="shared" si="9"/>
        <v>0</v>
      </c>
      <c r="J82" s="112"/>
      <c r="K82" s="31"/>
      <c r="M82" s="6"/>
      <c r="N82" s="6"/>
      <c r="O82" s="6"/>
      <c r="P82" s="6"/>
    </row>
    <row r="83" spans="1:16" ht="13">
      <c r="A83" s="2">
        <f t="shared" si="8"/>
        <v>69</v>
      </c>
      <c r="B83" s="125" t="s">
        <v>436</v>
      </c>
      <c r="C83" s="531"/>
      <c r="D83" s="531"/>
      <c r="E83" s="531"/>
      <c r="F83" s="531"/>
      <c r="G83" s="531"/>
      <c r="H83" s="531"/>
      <c r="I83" s="114">
        <f t="shared" ref="I83:I87" si="10">SUM(C83:H83)</f>
        <v>0</v>
      </c>
      <c r="J83" s="112"/>
      <c r="K83" s="31"/>
      <c r="M83" s="6"/>
      <c r="N83" s="6"/>
      <c r="O83" s="6"/>
      <c r="P83" s="6"/>
    </row>
    <row r="84" spans="1:16" ht="13">
      <c r="A84" s="2">
        <f t="shared" si="8"/>
        <v>70</v>
      </c>
      <c r="B84" s="125" t="s">
        <v>437</v>
      </c>
      <c r="C84" s="531"/>
      <c r="D84" s="531"/>
      <c r="E84" s="531"/>
      <c r="F84" s="531"/>
      <c r="G84" s="531"/>
      <c r="H84" s="531"/>
      <c r="I84" s="114">
        <f t="shared" si="10"/>
        <v>0</v>
      </c>
      <c r="J84" s="112"/>
      <c r="K84" s="31"/>
      <c r="M84" s="6"/>
      <c r="N84" s="6"/>
      <c r="O84" s="6"/>
      <c r="P84" s="6"/>
    </row>
    <row r="85" spans="1:16" ht="13">
      <c r="A85" s="2">
        <f t="shared" si="8"/>
        <v>71</v>
      </c>
      <c r="B85" s="125" t="s">
        <v>438</v>
      </c>
      <c r="C85" s="531"/>
      <c r="D85" s="531"/>
      <c r="E85" s="531"/>
      <c r="F85" s="531"/>
      <c r="G85" s="531"/>
      <c r="H85" s="531"/>
      <c r="I85" s="114">
        <f t="shared" si="10"/>
        <v>0</v>
      </c>
      <c r="J85" s="112"/>
      <c r="K85" s="31"/>
      <c r="M85" s="6"/>
      <c r="N85" s="6"/>
      <c r="O85" s="6"/>
      <c r="P85" s="6"/>
    </row>
    <row r="86" spans="1:16" ht="13">
      <c r="A86" s="2">
        <f t="shared" si="8"/>
        <v>72</v>
      </c>
      <c r="B86" s="125" t="s">
        <v>439</v>
      </c>
      <c r="C86" s="531"/>
      <c r="D86" s="531"/>
      <c r="E86" s="531"/>
      <c r="F86" s="531"/>
      <c r="G86" s="531"/>
      <c r="H86" s="531"/>
      <c r="I86" s="114">
        <f t="shared" si="10"/>
        <v>0</v>
      </c>
      <c r="J86" s="112"/>
      <c r="K86" s="31"/>
      <c r="M86" s="6"/>
      <c r="N86" s="6"/>
      <c r="O86" s="6"/>
      <c r="P86" s="6"/>
    </row>
    <row r="87" spans="1:16" ht="13">
      <c r="A87" s="2">
        <f t="shared" si="8"/>
        <v>73</v>
      </c>
      <c r="B87" s="125" t="s">
        <v>440</v>
      </c>
      <c r="C87" s="531"/>
      <c r="D87" s="531"/>
      <c r="E87" s="531"/>
      <c r="F87" s="531"/>
      <c r="G87" s="531"/>
      <c r="H87" s="531"/>
      <c r="I87" s="114">
        <f t="shared" si="10"/>
        <v>0</v>
      </c>
      <c r="J87" s="112"/>
      <c r="K87" s="31"/>
      <c r="M87" s="6"/>
      <c r="N87" s="6"/>
      <c r="O87" s="6"/>
      <c r="P87" s="6"/>
    </row>
    <row r="88" spans="1:16" ht="13">
      <c r="A88" s="2">
        <f t="shared" si="8"/>
        <v>74</v>
      </c>
      <c r="B88" s="125" t="s">
        <v>441</v>
      </c>
      <c r="C88" s="60"/>
      <c r="D88" s="60"/>
      <c r="E88" s="60"/>
      <c r="F88" s="60"/>
      <c r="G88" s="60"/>
      <c r="H88" s="60"/>
      <c r="I88" s="53">
        <f>SUM(C88:H88)</f>
        <v>0</v>
      </c>
      <c r="J88" s="112"/>
      <c r="K88" s="31"/>
      <c r="M88" s="6"/>
      <c r="N88" s="6"/>
      <c r="O88" s="6"/>
      <c r="P88" s="53"/>
    </row>
    <row r="89" spans="1:16" ht="13">
      <c r="A89" s="2">
        <f t="shared" si="8"/>
        <v>75</v>
      </c>
      <c r="B89" s="234" t="s">
        <v>442</v>
      </c>
      <c r="C89" s="114">
        <f t="shared" ref="C89:H89" si="11">SUM(C77:C88)</f>
        <v>0</v>
      </c>
      <c r="D89" s="114">
        <f t="shared" si="11"/>
        <v>0</v>
      </c>
      <c r="E89" s="114">
        <f t="shared" si="11"/>
        <v>0</v>
      </c>
      <c r="F89" s="114">
        <f t="shared" si="11"/>
        <v>0</v>
      </c>
      <c r="G89" s="114">
        <f t="shared" si="11"/>
        <v>0</v>
      </c>
      <c r="H89" s="114">
        <f t="shared" si="11"/>
        <v>0</v>
      </c>
      <c r="I89" s="114">
        <f>SUM(I77:I88)</f>
        <v>0</v>
      </c>
      <c r="J89" s="112"/>
      <c r="P89" s="6"/>
    </row>
    <row r="90" spans="1:16" ht="13">
      <c r="A90" s="2">
        <f t="shared" si="8"/>
        <v>76</v>
      </c>
      <c r="B90" s="112"/>
      <c r="C90" s="112"/>
      <c r="D90" s="112"/>
      <c r="E90" s="112"/>
      <c r="F90" s="112"/>
      <c r="G90" s="112"/>
      <c r="H90" s="231"/>
      <c r="I90" s="112"/>
      <c r="J90" s="112"/>
      <c r="K90" s="112"/>
      <c r="L90" s="112"/>
    </row>
    <row r="91" spans="1:16" ht="13">
      <c r="A91" s="2">
        <f t="shared" si="8"/>
        <v>77</v>
      </c>
      <c r="B91" s="112"/>
      <c r="C91" s="112"/>
      <c r="D91" s="112"/>
      <c r="E91" s="112"/>
      <c r="F91" s="112"/>
      <c r="G91" s="112"/>
      <c r="H91" s="231" t="s">
        <v>443</v>
      </c>
      <c r="I91" s="116"/>
      <c r="J91" s="112"/>
      <c r="K91" s="112"/>
      <c r="L91" s="112"/>
    </row>
    <row r="92" spans="1:16">
      <c r="A92" s="112"/>
      <c r="B92" s="112"/>
      <c r="C92" s="112"/>
      <c r="D92" s="112"/>
      <c r="E92" s="112"/>
      <c r="F92" s="112"/>
      <c r="G92" s="112"/>
      <c r="H92" s="112"/>
      <c r="I92" s="112"/>
      <c r="J92" s="112"/>
      <c r="K92" s="112"/>
      <c r="L92" s="112"/>
    </row>
    <row r="93" spans="1:16" ht="13">
      <c r="A93" s="2"/>
      <c r="B93" s="1" t="s">
        <v>444</v>
      </c>
      <c r="C93" s="112"/>
      <c r="D93" s="112"/>
      <c r="E93" s="112"/>
      <c r="F93" s="112"/>
      <c r="G93" s="112"/>
      <c r="H93" s="112"/>
      <c r="I93" s="114"/>
      <c r="J93" s="112"/>
      <c r="K93" s="112"/>
      <c r="L93" s="112"/>
    </row>
    <row r="94" spans="1:16" ht="13">
      <c r="A94" s="2"/>
      <c r="B94" s="232" t="str">
        <f>"1) Enter applicable years on Column 1, Lines "&amp;A24&amp;"-"&amp;A36&amp;" (Prior Year and December of the year previous to the Prior Year)."</f>
        <v>1) Enter applicable years on Column 1, Lines 11-23 (Prior Year and December of the year previous to the Prior Year).</v>
      </c>
      <c r="C94" s="112"/>
      <c r="D94" s="112"/>
      <c r="E94" s="112"/>
      <c r="F94" s="112"/>
      <c r="G94" s="112"/>
      <c r="H94" s="112"/>
      <c r="I94" s="112"/>
      <c r="J94" s="112"/>
      <c r="K94" s="112"/>
      <c r="L94" s="112"/>
    </row>
    <row r="95" spans="1:16" ht="13">
      <c r="A95" s="2"/>
      <c r="B95" s="232" t="str">
        <f>"2) Enter Previous Annual Update True Up Adjustment (if any) on Line "&amp;A41&amp;"."</f>
        <v>2) Enter Previous Annual Update True Up Adjustment (if any) on Line 27.</v>
      </c>
      <c r="C95" s="112"/>
      <c r="D95" s="112"/>
      <c r="E95" s="112"/>
      <c r="F95" s="112"/>
      <c r="G95" s="112"/>
      <c r="H95" s="112"/>
      <c r="I95" s="112"/>
      <c r="J95" s="112"/>
      <c r="K95" s="112"/>
      <c r="L95" s="112"/>
    </row>
    <row r="96" spans="1:16" ht="13">
      <c r="A96" s="2"/>
      <c r="B96" s="551" t="s">
        <v>445</v>
      </c>
      <c r="C96" s="112"/>
      <c r="D96" s="112"/>
      <c r="E96" s="112"/>
      <c r="F96" s="112"/>
      <c r="G96" s="112"/>
      <c r="H96" s="112"/>
      <c r="I96" s="112"/>
      <c r="J96" s="112"/>
      <c r="K96" s="112"/>
      <c r="L96" s="112"/>
    </row>
    <row r="97" spans="1:12" ht="13">
      <c r="A97" s="2"/>
      <c r="B97" s="232" t="s">
        <v>446</v>
      </c>
      <c r="C97" s="112"/>
      <c r="D97" s="112"/>
      <c r="E97" s="112"/>
      <c r="F97" s="112"/>
      <c r="G97" s="112"/>
      <c r="H97" s="112"/>
      <c r="I97" s="112"/>
      <c r="J97" s="112"/>
      <c r="K97" s="112"/>
      <c r="L97" s="112"/>
    </row>
    <row r="98" spans="1:12" ht="13">
      <c r="A98" s="2"/>
      <c r="B98" s="247" t="str">
        <f>"18 C.F.R. §35.19a on lines "&amp;A25&amp;" to "&amp;A36&amp;", Column 6."</f>
        <v>18 C.F.R. §35.19a on lines 12 to 23, Column 6.</v>
      </c>
      <c r="C98" s="112"/>
      <c r="D98" s="112"/>
      <c r="E98" s="112"/>
      <c r="F98" s="112"/>
      <c r="G98" s="112"/>
      <c r="H98" s="112"/>
      <c r="I98" s="112"/>
      <c r="J98" s="112"/>
      <c r="K98" s="112"/>
      <c r="L98" s="112"/>
    </row>
    <row r="99" spans="1:12" ht="13">
      <c r="A99" s="2"/>
      <c r="B99" s="232" t="s">
        <v>447</v>
      </c>
      <c r="C99" s="112"/>
      <c r="D99" s="112"/>
      <c r="E99" s="112"/>
      <c r="F99" s="112"/>
      <c r="G99" s="112"/>
      <c r="H99" s="112"/>
      <c r="I99" s="112"/>
      <c r="J99" s="112"/>
      <c r="K99" s="112"/>
      <c r="L99" s="112"/>
    </row>
    <row r="100" spans="1:12" ht="13">
      <c r="A100" s="2"/>
      <c r="B100" s="227" t="s">
        <v>448</v>
      </c>
      <c r="C100" s="112"/>
      <c r="D100" s="112"/>
      <c r="E100" s="112"/>
      <c r="F100" s="112"/>
      <c r="G100" s="112"/>
      <c r="H100" s="112"/>
      <c r="I100" s="112"/>
      <c r="J100" s="112"/>
      <c r="K100" s="112"/>
      <c r="L100" s="112"/>
    </row>
    <row r="101" spans="1:12" ht="13">
      <c r="A101" s="2"/>
      <c r="B101" s="481" t="s">
        <v>449</v>
      </c>
      <c r="C101" s="112"/>
      <c r="D101" s="112"/>
      <c r="E101" s="112"/>
      <c r="F101" s="112"/>
      <c r="G101" s="112"/>
      <c r="H101" s="112"/>
      <c r="I101" s="112"/>
      <c r="J101" s="112"/>
      <c r="K101" s="112"/>
    </row>
    <row r="102" spans="1:12" ht="13">
      <c r="A102" s="2"/>
      <c r="B102" s="552" t="s">
        <v>450</v>
      </c>
      <c r="C102" s="112"/>
      <c r="D102" s="112"/>
      <c r="E102" s="112"/>
      <c r="F102" s="112"/>
      <c r="G102" s="112"/>
      <c r="H102" s="112"/>
      <c r="I102" s="112"/>
      <c r="J102" s="112"/>
      <c r="K102" s="112"/>
      <c r="L102" s="112"/>
    </row>
    <row r="103" spans="1:12" ht="13">
      <c r="A103" s="2"/>
      <c r="B103" s="552" t="str">
        <f>"Entering on Line "&amp;A25&amp;" (or other appropriate) ensures these One Time Adjustments are recovered from or returned to customers."</f>
        <v>Entering on Line 12 (or other appropriate) ensures these One Time Adjustments are recovered from or returned to customers.</v>
      </c>
      <c r="D103" s="112"/>
      <c r="E103" s="112"/>
      <c r="F103" s="112"/>
      <c r="G103" s="112"/>
      <c r="H103" s="112"/>
      <c r="I103" s="112"/>
      <c r="J103" s="112"/>
      <c r="K103" s="112"/>
      <c r="L103" s="112"/>
    </row>
    <row r="104" spans="1:12" ht="13">
      <c r="A104" s="2"/>
      <c r="B104" s="481" t="s">
        <v>451</v>
      </c>
      <c r="C104" s="112"/>
      <c r="D104" s="112"/>
      <c r="E104" s="112"/>
      <c r="F104" s="112"/>
      <c r="G104" s="112"/>
      <c r="H104" s="112"/>
      <c r="I104" s="112"/>
      <c r="J104" s="112"/>
      <c r="K104" s="112"/>
      <c r="L104" s="112"/>
    </row>
    <row r="105" spans="1:12" ht="13">
      <c r="A105" s="2"/>
      <c r="B105" s="481" t="s">
        <v>452</v>
      </c>
      <c r="C105" s="112"/>
      <c r="D105" s="112"/>
      <c r="E105" s="112"/>
      <c r="F105" s="112"/>
      <c r="G105" s="112"/>
      <c r="H105" s="112"/>
      <c r="I105" s="112"/>
      <c r="J105" s="112"/>
      <c r="K105" s="112"/>
      <c r="L105" s="112"/>
    </row>
    <row r="106" spans="1:12" ht="13">
      <c r="A106" s="2"/>
      <c r="B106" s="481"/>
      <c r="C106" s="233" t="s">
        <v>453</v>
      </c>
      <c r="D106" s="615"/>
      <c r="E106" s="240"/>
      <c r="F106" s="198"/>
      <c r="G106" s="198"/>
      <c r="H106" s="112"/>
      <c r="I106" s="112"/>
      <c r="J106" s="112"/>
      <c r="K106" s="112"/>
      <c r="L106" s="112"/>
    </row>
    <row r="107" spans="1:12" ht="13">
      <c r="A107" s="2"/>
      <c r="B107" s="481"/>
      <c r="C107" s="233" t="s">
        <v>454</v>
      </c>
      <c r="D107" s="615"/>
      <c r="E107" s="240"/>
      <c r="F107" s="198"/>
      <c r="G107" s="198"/>
      <c r="H107" s="112"/>
      <c r="I107" s="112"/>
      <c r="J107" s="112"/>
      <c r="K107" s="112"/>
      <c r="L107" s="112"/>
    </row>
    <row r="108" spans="1:12" ht="13">
      <c r="A108" s="2"/>
      <c r="B108" s="232" t="str">
        <f>"5) Fill in matrix of all retail revenues from Prior Year in table on lines "&amp;A77&amp;" to "&amp;A88&amp;"."</f>
        <v>5) Fill in matrix of all retail revenues from Prior Year in table on lines 63 to 74.</v>
      </c>
      <c r="C108" s="112"/>
      <c r="D108" s="112"/>
      <c r="E108" s="112"/>
      <c r="F108" s="112"/>
      <c r="G108" s="112"/>
      <c r="H108" s="112"/>
      <c r="I108" s="112"/>
      <c r="J108" s="112"/>
      <c r="K108" s="112"/>
      <c r="L108" s="112"/>
    </row>
    <row r="109" spans="1:12" ht="13">
      <c r="A109" s="2"/>
      <c r="B109" s="232" t="str">
        <f>"6) Enter Total Sales to Ultimate Consumers on line "&amp;A91&amp;" and verify that it equals the total on line "&amp;A89&amp;"."</f>
        <v>6) Enter Total Sales to Ultimate Consumers on line 77 and verify that it equals the total on line 75.</v>
      </c>
      <c r="C109" s="112"/>
      <c r="D109" s="112"/>
      <c r="E109" s="112"/>
      <c r="F109" s="112"/>
      <c r="G109" s="112"/>
      <c r="H109" s="112"/>
      <c r="I109" s="112"/>
      <c r="J109" s="112"/>
      <c r="K109" s="112"/>
      <c r="L109" s="112"/>
    </row>
    <row r="110" spans="1:12" ht="13">
      <c r="A110" s="2"/>
      <c r="B110" s="232" t="s">
        <v>456</v>
      </c>
      <c r="C110" s="112"/>
      <c r="D110" s="112"/>
      <c r="E110" s="112"/>
      <c r="F110" s="112"/>
      <c r="G110" s="112"/>
      <c r="H110" s="112"/>
      <c r="I110" s="112"/>
      <c r="J110" s="112"/>
      <c r="K110" s="112"/>
      <c r="L110" s="112"/>
    </row>
    <row r="111" spans="1:12" ht="13">
      <c r="A111" s="2"/>
      <c r="B111" s="247" t="s">
        <v>457</v>
      </c>
      <c r="C111" s="112"/>
      <c r="D111" s="112"/>
      <c r="E111" s="112"/>
      <c r="F111" s="112"/>
      <c r="G111" s="112"/>
      <c r="H111" s="112"/>
      <c r="I111" s="112"/>
      <c r="J111" s="112"/>
      <c r="K111" s="112"/>
      <c r="L111" s="112"/>
    </row>
    <row r="112" spans="1:12" ht="13">
      <c r="A112" s="2"/>
      <c r="B112" s="30" t="s">
        <v>233</v>
      </c>
      <c r="C112" s="112"/>
      <c r="D112" s="112"/>
      <c r="E112" s="112"/>
      <c r="F112" s="112"/>
      <c r="G112" s="112"/>
      <c r="H112" s="112"/>
      <c r="I112" s="112"/>
      <c r="J112" s="112"/>
      <c r="K112" s="112"/>
      <c r="L112" s="112"/>
    </row>
    <row r="113" spans="1:12" ht="13">
      <c r="A113" s="2"/>
      <c r="B113" s="232" t="s">
        <v>458</v>
      </c>
      <c r="C113" s="112"/>
      <c r="D113" s="112"/>
      <c r="E113" s="112"/>
      <c r="F113" s="112"/>
      <c r="G113" s="112"/>
      <c r="H113" s="112"/>
      <c r="I113" s="112"/>
      <c r="J113" s="112"/>
      <c r="K113" s="112"/>
      <c r="L113" s="112"/>
    </row>
    <row r="114" spans="1:12" ht="13">
      <c r="A114" s="2"/>
      <c r="B114" s="304" t="s">
        <v>459</v>
      </c>
      <c r="C114" s="112"/>
      <c r="D114" s="112"/>
      <c r="E114" s="112"/>
      <c r="F114" s="112"/>
      <c r="G114" s="112"/>
      <c r="H114" s="112"/>
      <c r="I114" s="112"/>
      <c r="J114" s="112"/>
      <c r="K114" s="112"/>
      <c r="L114" s="112"/>
    </row>
    <row r="115" spans="1:12" ht="13">
      <c r="A115" s="2"/>
      <c r="B115" s="551" t="str">
        <f>"a Partial Year True Up, use the Partial Year TRR Attribution Allocation Factors on Lines "&amp;A54&amp;" to "&amp;A65&amp;" for each month of Partial Year True Up."</f>
        <v>a Partial Year True Up, use the Partial Year TRR Attribution Allocation Factors on Lines 40 to 51 for each month of Partial Year True Up.</v>
      </c>
      <c r="C115" s="112"/>
      <c r="D115" s="112"/>
      <c r="E115" s="112"/>
      <c r="F115" s="112"/>
      <c r="G115" s="112"/>
      <c r="H115" s="112"/>
      <c r="I115" s="112"/>
      <c r="J115" s="112"/>
      <c r="K115" s="112"/>
      <c r="L115" s="112"/>
    </row>
    <row r="116" spans="1:12" ht="13">
      <c r="A116" s="2"/>
      <c r="B116" s="551" t="str">
        <f>"Only enter in the Prior Year, Lines "&amp;A25&amp;" to "&amp;A36&amp;", or portion of year formula was in effect in case of Partial Year True Up."</f>
        <v>Only enter in the Prior Year, Lines 12 to 23, or portion of year formula was in effect in case of Partial Year True Up.</v>
      </c>
      <c r="C116" s="112"/>
      <c r="D116" s="112"/>
      <c r="E116" s="112"/>
      <c r="F116" s="112"/>
      <c r="G116" s="112"/>
      <c r="H116" s="112"/>
      <c r="I116" s="112"/>
      <c r="J116" s="112"/>
      <c r="K116" s="112"/>
      <c r="L116" s="112"/>
    </row>
    <row r="117" spans="1:12" ht="13">
      <c r="A117" s="2"/>
      <c r="B117" s="551" t="s">
        <v>460</v>
      </c>
      <c r="C117" s="112"/>
      <c r="D117" s="112"/>
      <c r="E117" s="112"/>
      <c r="F117" s="112"/>
      <c r="G117" s="112"/>
      <c r="H117" s="112"/>
      <c r="I117" s="112"/>
      <c r="J117" s="112"/>
      <c r="K117" s="112"/>
      <c r="L117" s="112"/>
    </row>
    <row r="118" spans="1:12" ht="13">
      <c r="A118" s="2"/>
      <c r="B118" s="304" t="s">
        <v>461</v>
      </c>
      <c r="C118" s="112"/>
      <c r="D118" s="112"/>
      <c r="E118" s="112"/>
      <c r="F118" s="112"/>
      <c r="G118" s="112"/>
      <c r="H118" s="112"/>
      <c r="I118" s="112"/>
      <c r="J118" s="112"/>
      <c r="K118" s="112"/>
      <c r="L118" s="112"/>
    </row>
    <row r="119" spans="1:12" ht="13">
      <c r="A119" s="2"/>
      <c r="B119" s="551" t="str">
        <f>"as shown on Lines "&amp;A77&amp;" to "&amp;A88&amp;", Column 1."</f>
        <v>as shown on Lines 63 to 74, Column 1.</v>
      </c>
      <c r="C119" s="112"/>
      <c r="D119" s="112"/>
      <c r="E119" s="112"/>
      <c r="F119" s="112"/>
      <c r="G119" s="112"/>
      <c r="H119" s="112"/>
      <c r="I119" s="112"/>
      <c r="J119" s="112"/>
      <c r="K119" s="112"/>
      <c r="L119" s="112"/>
    </row>
    <row r="120" spans="1:12" ht="13">
      <c r="A120" s="2"/>
      <c r="B120" s="304" t="s">
        <v>462</v>
      </c>
      <c r="C120" s="112"/>
      <c r="D120" s="112"/>
      <c r="E120" s="112"/>
      <c r="F120" s="112"/>
      <c r="G120" s="112"/>
      <c r="H120" s="112"/>
      <c r="I120" s="112"/>
      <c r="J120" s="112"/>
      <c r="K120" s="112"/>
      <c r="L120" s="112"/>
    </row>
    <row r="121" spans="1:12" ht="13">
      <c r="A121" s="2"/>
      <c r="B121" s="304" t="s">
        <v>463</v>
      </c>
      <c r="C121" s="112"/>
      <c r="D121" s="112"/>
      <c r="E121" s="112"/>
      <c r="F121" s="112"/>
      <c r="G121" s="112"/>
      <c r="H121" s="112"/>
      <c r="I121" s="112"/>
      <c r="J121" s="112"/>
      <c r="K121" s="112"/>
      <c r="L121" s="112"/>
    </row>
    <row r="122" spans="1:12" ht="13">
      <c r="A122" s="2"/>
      <c r="B122" s="232" t="s">
        <v>464</v>
      </c>
      <c r="C122" s="112"/>
      <c r="D122" s="112"/>
      <c r="E122" s="112"/>
      <c r="F122" s="112"/>
      <c r="G122" s="112"/>
      <c r="H122" s="112"/>
      <c r="I122" s="112"/>
      <c r="J122" s="112"/>
      <c r="K122" s="112"/>
      <c r="L122" s="112"/>
    </row>
    <row r="123" spans="1:12" ht="13">
      <c r="A123" s="2"/>
      <c r="B123" s="247" t="s">
        <v>465</v>
      </c>
      <c r="C123" s="112"/>
      <c r="D123" s="112"/>
      <c r="E123" s="112"/>
      <c r="F123" s="112"/>
      <c r="G123" s="112"/>
      <c r="H123" s="112"/>
      <c r="I123" s="112"/>
      <c r="J123" s="112"/>
      <c r="K123" s="112"/>
      <c r="L123" s="112"/>
    </row>
    <row r="124" spans="1:12" ht="13">
      <c r="A124" s="2"/>
      <c r="B124" s="232" t="s">
        <v>466</v>
      </c>
      <c r="C124" s="112"/>
      <c r="D124" s="112"/>
      <c r="E124" s="112"/>
      <c r="F124" s="112"/>
      <c r="G124" s="112"/>
      <c r="H124" s="112"/>
      <c r="I124" s="112"/>
      <c r="J124" s="112"/>
      <c r="K124" s="112"/>
      <c r="L124" s="112"/>
    </row>
    <row r="125" spans="1:12" ht="13">
      <c r="A125" s="2"/>
      <c r="B125" s="480" t="s">
        <v>467</v>
      </c>
      <c r="C125" s="112"/>
      <c r="D125" s="112"/>
      <c r="E125" s="112"/>
      <c r="F125" s="112"/>
      <c r="G125" s="112"/>
      <c r="H125" s="112"/>
      <c r="I125" s="112"/>
      <c r="J125" s="112"/>
      <c r="K125" s="112"/>
      <c r="L125" s="112"/>
    </row>
    <row r="126" spans="1:12" ht="13">
      <c r="A126" s="2"/>
      <c r="B126" s="232" t="s">
        <v>468</v>
      </c>
      <c r="C126" s="112"/>
      <c r="D126" s="112"/>
      <c r="E126" s="112"/>
      <c r="F126" s="112"/>
      <c r="G126" s="112"/>
      <c r="H126" s="112"/>
      <c r="I126" s="112"/>
      <c r="J126" s="112"/>
      <c r="K126" s="112"/>
      <c r="L126" s="112"/>
    </row>
    <row r="127" spans="1:12" ht="13">
      <c r="A127" s="2"/>
      <c r="B127" s="232" t="s">
        <v>469</v>
      </c>
      <c r="C127" s="112"/>
      <c r="D127" s="112"/>
      <c r="E127" s="112"/>
      <c r="F127" s="112"/>
      <c r="G127" s="112"/>
      <c r="H127" s="112"/>
      <c r="I127" s="112"/>
      <c r="J127" s="112"/>
      <c r="K127" s="112"/>
      <c r="L127" s="112"/>
    </row>
    <row r="128" spans="1:12" ht="13">
      <c r="A128" s="2"/>
      <c r="B128" s="247" t="s">
        <v>470</v>
      </c>
      <c r="C128" s="112"/>
      <c r="D128" s="112"/>
      <c r="E128" s="112"/>
      <c r="F128" s="112"/>
      <c r="G128" s="112"/>
      <c r="H128" s="112"/>
      <c r="I128" s="112"/>
      <c r="J128" s="112"/>
      <c r="K128" s="112"/>
      <c r="L128" s="112"/>
    </row>
    <row r="129" spans="1:12" ht="13">
      <c r="A129" s="2"/>
      <c r="B129" s="247" t="s">
        <v>471</v>
      </c>
      <c r="C129" s="112"/>
      <c r="D129" s="112"/>
      <c r="E129" s="112"/>
      <c r="F129" s="112"/>
      <c r="G129" s="112"/>
      <c r="H129" s="112"/>
      <c r="I129" s="112"/>
      <c r="J129" s="112"/>
      <c r="K129" s="112"/>
      <c r="L129" s="112"/>
    </row>
    <row r="130" spans="1:12" ht="13">
      <c r="A130" s="2"/>
      <c r="B130" s="247" t="s">
        <v>472</v>
      </c>
      <c r="C130" s="112"/>
      <c r="D130" s="112"/>
      <c r="E130" s="112"/>
      <c r="F130" s="112"/>
      <c r="G130" s="112"/>
      <c r="H130" s="112"/>
      <c r="I130" s="112"/>
      <c r="J130" s="112"/>
      <c r="K130" s="112"/>
      <c r="L130" s="112"/>
    </row>
    <row r="131" spans="1:12" ht="13">
      <c r="A131" s="2"/>
      <c r="B131" s="232" t="s">
        <v>473</v>
      </c>
      <c r="C131" s="112"/>
      <c r="D131" s="112"/>
      <c r="E131" s="112"/>
      <c r="F131" s="112"/>
      <c r="G131" s="112"/>
      <c r="H131" s="112"/>
      <c r="I131" s="112"/>
      <c r="J131" s="112"/>
      <c r="K131" s="112"/>
      <c r="L131" s="112"/>
    </row>
    <row r="132" spans="1:12" ht="13">
      <c r="A132" s="2"/>
      <c r="B132" s="247" t="s">
        <v>474</v>
      </c>
      <c r="C132" s="112"/>
      <c r="D132" s="112"/>
      <c r="E132" s="112"/>
      <c r="F132" s="112"/>
      <c r="G132" s="112"/>
      <c r="H132" s="112"/>
      <c r="I132" s="112"/>
      <c r="J132" s="112"/>
      <c r="K132" s="112"/>
      <c r="L132" s="112"/>
    </row>
    <row r="133" spans="1:12" ht="13">
      <c r="A133" s="2"/>
      <c r="B133" s="247" t="s">
        <v>475</v>
      </c>
      <c r="C133" s="112"/>
      <c r="D133" s="112"/>
      <c r="E133" s="112"/>
      <c r="F133" s="112"/>
      <c r="G133" s="112"/>
      <c r="H133" s="112"/>
      <c r="I133" s="112"/>
      <c r="J133" s="112"/>
      <c r="K133" s="112"/>
      <c r="L133" s="112"/>
    </row>
    <row r="134" spans="1:12">
      <c r="A134" s="112"/>
      <c r="B134" s="247" t="s">
        <v>476</v>
      </c>
      <c r="C134" s="112"/>
      <c r="D134" s="112"/>
      <c r="E134" s="112"/>
      <c r="F134" s="112"/>
      <c r="G134" s="112"/>
      <c r="H134" s="112"/>
      <c r="I134" s="112"/>
      <c r="J134" s="112"/>
      <c r="K134" s="112"/>
      <c r="L134" s="112"/>
    </row>
    <row r="135" spans="1:12">
      <c r="A135" s="112"/>
      <c r="B135" s="247" t="s">
        <v>477</v>
      </c>
      <c r="C135" s="112"/>
      <c r="D135" s="112"/>
      <c r="E135" s="112"/>
      <c r="F135" s="112"/>
      <c r="G135" s="112"/>
      <c r="H135" s="112"/>
      <c r="I135" s="112"/>
      <c r="J135" s="112"/>
      <c r="K135" s="112"/>
      <c r="L135" s="112"/>
    </row>
    <row r="136" spans="1:12">
      <c r="A136" s="112"/>
      <c r="B136" s="232"/>
      <c r="C136" s="112"/>
      <c r="D136" s="112"/>
      <c r="E136" s="112"/>
      <c r="F136" s="112"/>
      <c r="G136" s="112"/>
      <c r="H136" s="112"/>
      <c r="I136" s="112"/>
      <c r="J136" s="112"/>
      <c r="K136" s="112"/>
      <c r="L136" s="112"/>
    </row>
    <row r="137" spans="1:12">
      <c r="A137" s="112"/>
      <c r="B137" s="247"/>
      <c r="C137" s="112"/>
      <c r="D137" s="112"/>
      <c r="E137" s="112"/>
      <c r="F137" s="112"/>
      <c r="G137" s="112"/>
      <c r="H137" s="112"/>
      <c r="I137" s="112"/>
      <c r="J137" s="112"/>
      <c r="K137" s="112"/>
      <c r="L137" s="112"/>
    </row>
    <row r="138" spans="1:12">
      <c r="A138" s="112"/>
      <c r="B138" s="247"/>
      <c r="C138" s="112"/>
      <c r="D138" s="112"/>
      <c r="E138" s="112"/>
      <c r="F138" s="112"/>
      <c r="G138" s="112"/>
      <c r="H138" s="112"/>
      <c r="I138" s="112"/>
      <c r="J138" s="112"/>
      <c r="K138" s="112"/>
      <c r="L138" s="112"/>
    </row>
    <row r="139" spans="1:12">
      <c r="A139" s="112"/>
      <c r="B139" s="247"/>
      <c r="C139" s="112"/>
      <c r="D139" s="112"/>
      <c r="E139" s="112"/>
      <c r="F139" s="112"/>
      <c r="G139" s="112"/>
      <c r="H139" s="112"/>
      <c r="I139" s="112"/>
      <c r="J139" s="112"/>
      <c r="K139" s="112"/>
      <c r="L139" s="112"/>
    </row>
    <row r="140" spans="1:12">
      <c r="A140" s="112"/>
      <c r="B140" s="232"/>
      <c r="C140" s="112"/>
      <c r="D140" s="112"/>
      <c r="E140" s="112"/>
      <c r="F140" s="112"/>
      <c r="G140" s="112"/>
      <c r="H140" s="112"/>
      <c r="I140" s="112"/>
      <c r="J140" s="112"/>
      <c r="K140" s="112"/>
      <c r="L140" s="112"/>
    </row>
    <row r="141" spans="1:12">
      <c r="A141" s="112"/>
      <c r="B141" s="247"/>
      <c r="C141" s="112"/>
      <c r="D141" s="112"/>
      <c r="E141" s="112"/>
      <c r="F141" s="112"/>
      <c r="G141" s="112"/>
      <c r="H141" s="112"/>
      <c r="I141" s="112"/>
      <c r="J141" s="112"/>
      <c r="K141" s="112"/>
      <c r="L141" s="112"/>
    </row>
    <row r="142" spans="1:12">
      <c r="A142" s="112"/>
      <c r="B142" s="247"/>
      <c r="C142" s="112"/>
      <c r="D142" s="112"/>
      <c r="E142" s="112"/>
      <c r="F142" s="112"/>
      <c r="G142" s="112"/>
      <c r="H142" s="112"/>
      <c r="I142" s="112"/>
      <c r="J142" s="112"/>
      <c r="K142" s="112"/>
      <c r="L142" s="112"/>
    </row>
    <row r="143" spans="1:12">
      <c r="A143" s="112"/>
      <c r="B143" s="247"/>
      <c r="C143" s="112"/>
      <c r="D143" s="112"/>
      <c r="E143" s="112"/>
      <c r="F143" s="112"/>
      <c r="G143" s="112"/>
      <c r="H143" s="112"/>
      <c r="I143" s="112"/>
      <c r="J143" s="112"/>
      <c r="K143" s="112"/>
      <c r="L143" s="112"/>
    </row>
    <row r="144" spans="1:12">
      <c r="A144" s="112"/>
      <c r="B144" s="247"/>
      <c r="C144" s="112"/>
      <c r="D144" s="112"/>
      <c r="E144" s="112"/>
      <c r="F144" s="112"/>
      <c r="G144" s="112"/>
      <c r="H144" s="112"/>
      <c r="I144" s="112"/>
      <c r="J144" s="112"/>
      <c r="K144" s="112"/>
      <c r="L144" s="112"/>
    </row>
    <row r="145" spans="1:12">
      <c r="A145" s="112"/>
      <c r="C145" s="112"/>
      <c r="D145" s="112"/>
      <c r="E145" s="112"/>
      <c r="F145" s="112"/>
      <c r="G145" s="112"/>
      <c r="H145" s="112"/>
      <c r="I145" s="112"/>
      <c r="J145" s="112"/>
      <c r="K145" s="112"/>
      <c r="L145" s="112"/>
    </row>
    <row r="146" spans="1:12">
      <c r="A146" s="112"/>
      <c r="B146" s="112"/>
      <c r="C146" s="112"/>
      <c r="D146" s="112"/>
      <c r="E146" s="112"/>
      <c r="F146" s="112"/>
      <c r="G146" s="112"/>
      <c r="H146" s="112"/>
      <c r="I146" s="112"/>
      <c r="J146" s="112"/>
      <c r="K146" s="112"/>
      <c r="L146" s="112"/>
    </row>
    <row r="147" spans="1:12">
      <c r="A147" s="112"/>
      <c r="B147" s="112"/>
      <c r="C147" s="112"/>
      <c r="D147" s="112"/>
      <c r="E147" s="112"/>
      <c r="F147" s="112"/>
      <c r="G147" s="112"/>
      <c r="H147" s="112"/>
      <c r="I147" s="112"/>
      <c r="J147" s="112"/>
      <c r="K147" s="112"/>
      <c r="L147" s="112"/>
    </row>
    <row r="148" spans="1:12">
      <c r="A148" s="112"/>
      <c r="B148" s="112"/>
      <c r="C148" s="112"/>
      <c r="D148" s="112"/>
      <c r="E148" s="112"/>
      <c r="F148" s="112"/>
      <c r="G148" s="112"/>
      <c r="H148" s="112"/>
      <c r="I148" s="112"/>
      <c r="J148" s="112"/>
      <c r="K148" s="112"/>
      <c r="L148" s="112"/>
    </row>
    <row r="149" spans="1:12">
      <c r="A149" s="112"/>
      <c r="B149" s="112"/>
      <c r="C149" s="112"/>
      <c r="D149" s="112"/>
      <c r="E149" s="112"/>
      <c r="F149" s="112"/>
      <c r="G149" s="112"/>
      <c r="H149" s="112"/>
      <c r="I149" s="112"/>
      <c r="J149" s="112"/>
      <c r="K149" s="112"/>
      <c r="L149" s="112"/>
    </row>
    <row r="150" spans="1:12">
      <c r="A150" s="112"/>
      <c r="B150" s="112"/>
      <c r="C150" s="112"/>
      <c r="D150" s="112"/>
      <c r="E150" s="112"/>
      <c r="F150" s="112"/>
      <c r="G150" s="112"/>
      <c r="H150" s="112"/>
      <c r="I150" s="112"/>
      <c r="J150" s="112"/>
      <c r="K150" s="112"/>
      <c r="L150" s="112"/>
    </row>
    <row r="151" spans="1:12">
      <c r="A151" s="112"/>
      <c r="B151" s="112"/>
      <c r="C151" s="112"/>
      <c r="D151" s="112"/>
      <c r="E151" s="112"/>
      <c r="F151" s="112"/>
      <c r="G151" s="112"/>
      <c r="H151" s="112"/>
      <c r="I151" s="112"/>
      <c r="J151" s="112"/>
      <c r="K151" s="112"/>
      <c r="L151" s="112"/>
    </row>
    <row r="152" spans="1:12">
      <c r="A152" s="112"/>
      <c r="B152" s="112"/>
      <c r="C152" s="112"/>
      <c r="D152" s="112"/>
      <c r="E152" s="112"/>
      <c r="F152" s="112"/>
      <c r="G152" s="112"/>
      <c r="H152" s="112"/>
      <c r="I152" s="112"/>
      <c r="J152" s="112"/>
      <c r="K152" s="112"/>
      <c r="L152" s="112"/>
    </row>
    <row r="153" spans="1:12">
      <c r="A153" s="112"/>
      <c r="B153" s="112"/>
      <c r="C153" s="112"/>
      <c r="D153" s="112"/>
      <c r="E153" s="112"/>
      <c r="F153" s="112"/>
      <c r="G153" s="112"/>
      <c r="H153" s="112"/>
      <c r="I153" s="112"/>
      <c r="J153" s="112"/>
      <c r="K153" s="112"/>
      <c r="L153" s="112"/>
    </row>
    <row r="154" spans="1:12">
      <c r="A154" s="112"/>
      <c r="B154" s="112"/>
      <c r="C154" s="112"/>
      <c r="D154" s="112"/>
      <c r="E154" s="112"/>
      <c r="F154" s="112"/>
      <c r="G154" s="112"/>
      <c r="H154" s="112"/>
      <c r="I154" s="112"/>
      <c r="J154" s="112"/>
      <c r="K154" s="112"/>
      <c r="L154" s="112"/>
    </row>
    <row r="155" spans="1:12">
      <c r="A155" s="112"/>
      <c r="B155" s="112"/>
      <c r="C155" s="112"/>
      <c r="D155" s="112"/>
      <c r="E155" s="112"/>
      <c r="F155" s="112"/>
      <c r="G155" s="112"/>
      <c r="H155" s="112"/>
      <c r="I155" s="112"/>
      <c r="J155" s="112"/>
      <c r="K155" s="112"/>
      <c r="L155" s="112"/>
    </row>
    <row r="156" spans="1:12">
      <c r="A156" s="112"/>
      <c r="B156" s="112"/>
      <c r="C156" s="112"/>
      <c r="D156" s="112"/>
      <c r="E156" s="112"/>
      <c r="F156" s="112"/>
      <c r="G156" s="112"/>
      <c r="H156" s="112"/>
      <c r="I156" s="112"/>
      <c r="J156" s="112"/>
      <c r="K156" s="112"/>
      <c r="L156" s="112"/>
    </row>
    <row r="157" spans="1:12">
      <c r="A157" s="112"/>
      <c r="B157" s="112"/>
      <c r="C157" s="112"/>
      <c r="D157" s="112"/>
      <c r="E157" s="112"/>
      <c r="F157" s="112"/>
      <c r="G157" s="112"/>
      <c r="H157" s="112"/>
      <c r="I157" s="112"/>
      <c r="J157" s="112"/>
      <c r="K157" s="112"/>
      <c r="L157" s="112"/>
    </row>
    <row r="158" spans="1:12">
      <c r="A158" s="112"/>
      <c r="B158" s="112"/>
      <c r="C158" s="112"/>
      <c r="D158" s="112"/>
      <c r="E158" s="112"/>
      <c r="F158" s="112"/>
      <c r="G158" s="112"/>
      <c r="H158" s="112"/>
      <c r="I158" s="112"/>
      <c r="J158" s="112"/>
      <c r="K158" s="112"/>
      <c r="L158" s="112"/>
    </row>
    <row r="159" spans="1:12">
      <c r="A159" s="112"/>
      <c r="B159" s="112"/>
      <c r="C159" s="112"/>
      <c r="D159" s="112"/>
      <c r="E159" s="112"/>
      <c r="F159" s="112"/>
      <c r="G159" s="112"/>
      <c r="H159" s="112"/>
      <c r="I159" s="112"/>
      <c r="J159" s="112"/>
      <c r="K159" s="112"/>
      <c r="L159" s="112"/>
    </row>
    <row r="160" spans="1:12">
      <c r="A160" s="112"/>
      <c r="B160" s="112"/>
      <c r="C160" s="112"/>
      <c r="D160" s="112"/>
      <c r="E160" s="112"/>
      <c r="F160" s="112"/>
      <c r="G160" s="112"/>
      <c r="H160" s="112"/>
      <c r="I160" s="112"/>
      <c r="J160" s="112"/>
      <c r="K160" s="112"/>
      <c r="L160" s="112"/>
    </row>
    <row r="161" spans="1:12">
      <c r="A161" s="112"/>
      <c r="B161" s="112"/>
      <c r="C161" s="112"/>
      <c r="D161" s="112"/>
      <c r="E161" s="112"/>
      <c r="F161" s="112"/>
      <c r="G161" s="112"/>
      <c r="H161" s="112"/>
      <c r="I161" s="112"/>
      <c r="J161" s="112"/>
      <c r="K161" s="112"/>
      <c r="L161" s="112"/>
    </row>
    <row r="162" spans="1:12">
      <c r="A162" s="112"/>
      <c r="B162" s="112"/>
      <c r="C162" s="112"/>
      <c r="D162" s="112"/>
      <c r="E162" s="112"/>
      <c r="F162" s="112"/>
      <c r="G162" s="112"/>
      <c r="H162" s="112"/>
      <c r="I162" s="112"/>
      <c r="J162" s="112"/>
      <c r="K162" s="112"/>
      <c r="L162" s="112"/>
    </row>
    <row r="163" spans="1:12">
      <c r="A163" s="112"/>
      <c r="B163" s="112"/>
      <c r="C163" s="112"/>
      <c r="D163" s="112"/>
      <c r="E163" s="112"/>
      <c r="F163" s="112"/>
      <c r="G163" s="112"/>
      <c r="H163" s="112"/>
      <c r="I163" s="112"/>
      <c r="J163" s="112"/>
      <c r="K163" s="112"/>
      <c r="L163" s="112"/>
    </row>
    <row r="164" spans="1:12">
      <c r="A164" s="112"/>
      <c r="B164" s="112"/>
      <c r="C164" s="112"/>
      <c r="D164" s="112"/>
      <c r="E164" s="112"/>
      <c r="F164" s="112"/>
      <c r="G164" s="112"/>
      <c r="H164" s="112"/>
      <c r="I164" s="112"/>
      <c r="J164" s="112"/>
      <c r="K164" s="112"/>
      <c r="L164" s="112"/>
    </row>
    <row r="165" spans="1:12">
      <c r="A165" s="112"/>
      <c r="B165" s="112"/>
      <c r="C165" s="112"/>
      <c r="D165" s="112"/>
      <c r="E165" s="112"/>
      <c r="F165" s="112"/>
      <c r="G165" s="112"/>
      <c r="H165" s="112"/>
      <c r="I165" s="112"/>
      <c r="J165" s="112"/>
      <c r="K165" s="112"/>
      <c r="L165" s="112"/>
    </row>
    <row r="166" spans="1:12">
      <c r="A166" s="112"/>
      <c r="B166" s="112"/>
      <c r="C166" s="112"/>
      <c r="D166" s="112"/>
      <c r="E166" s="112"/>
      <c r="F166" s="112"/>
      <c r="G166" s="112"/>
      <c r="H166" s="112"/>
      <c r="I166" s="112"/>
      <c r="J166" s="112"/>
      <c r="K166" s="112"/>
      <c r="L166" s="112"/>
    </row>
    <row r="167" spans="1:12">
      <c r="A167" s="112"/>
      <c r="B167" s="112"/>
      <c r="C167" s="112"/>
      <c r="D167" s="112"/>
      <c r="E167" s="112"/>
      <c r="F167" s="112"/>
      <c r="G167" s="112"/>
      <c r="H167" s="112"/>
      <c r="I167" s="112"/>
      <c r="J167" s="112"/>
      <c r="K167" s="112"/>
      <c r="L167" s="112"/>
    </row>
    <row r="168" spans="1:12">
      <c r="A168" s="112"/>
      <c r="B168" s="112"/>
      <c r="C168" s="112"/>
      <c r="D168" s="112"/>
      <c r="E168" s="112"/>
      <c r="F168" s="112"/>
      <c r="G168" s="112"/>
      <c r="H168" s="112"/>
      <c r="I168" s="112"/>
      <c r="J168" s="112"/>
      <c r="K168" s="112"/>
      <c r="L168" s="112"/>
    </row>
    <row r="169" spans="1:12">
      <c r="A169" s="112"/>
      <c r="B169" s="112"/>
      <c r="C169" s="112"/>
      <c r="D169" s="112"/>
      <c r="E169" s="112"/>
      <c r="F169" s="112"/>
      <c r="G169" s="112"/>
      <c r="H169" s="112"/>
      <c r="I169" s="112"/>
      <c r="J169" s="112"/>
      <c r="K169" s="112"/>
      <c r="L169" s="112"/>
    </row>
  </sheetData>
  <pageMargins left="0.7" right="0.7" top="0.75" bottom="0.75" header="0.3" footer="0.3"/>
  <pageSetup scale="72" orientation="landscape" cellComments="asDisplayed" r:id="rId1"/>
  <headerFooter>
    <oddHeader xml:space="preserve">&amp;CSchedule 3
True Up Adjustment
</oddHeader>
    <oddFooter>&amp;R&amp;A</oddFooter>
  </headerFooter>
  <rowBreaks count="2" manualBreakCount="2">
    <brk id="50" max="16383" man="1"/>
    <brk id="9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CC"/>
  </sheetPr>
  <dimension ref="A1:Q174"/>
  <sheetViews>
    <sheetView topLeftCell="A38" zoomScaleNormal="100" workbookViewId="0">
      <selection activeCell="L41" sqref="L41"/>
    </sheetView>
  </sheetViews>
  <sheetFormatPr defaultRowHeight="12.5"/>
  <cols>
    <col min="1" max="2" width="4.54296875" customWidth="1"/>
    <col min="3" max="3" width="18.54296875" customWidth="1"/>
    <col min="4" max="4" width="10.453125" bestFit="1" customWidth="1"/>
    <col min="5" max="7" width="15.54296875" customWidth="1"/>
    <col min="8" max="8" width="24.54296875" customWidth="1"/>
    <col min="9" max="9" width="4.54296875" customWidth="1"/>
    <col min="10" max="10" width="16.453125" customWidth="1"/>
    <col min="11" max="11" width="2.54296875" customWidth="1"/>
    <col min="12" max="12" width="5.453125" customWidth="1"/>
    <col min="13" max="13" width="18.08984375" customWidth="1"/>
    <col min="14" max="14" width="3.453125" customWidth="1"/>
    <col min="15" max="15" width="14.90625" customWidth="1"/>
  </cols>
  <sheetData>
    <row r="1" spans="1:10" ht="13">
      <c r="A1" s="1" t="s">
        <v>478</v>
      </c>
    </row>
    <row r="3" spans="1:10" ht="13">
      <c r="B3" s="47" t="s">
        <v>479</v>
      </c>
    </row>
    <row r="4" spans="1:10" ht="13">
      <c r="B4" s="40"/>
      <c r="F4" s="2" t="s">
        <v>480</v>
      </c>
      <c r="G4" s="2"/>
      <c r="H4" s="2" t="s">
        <v>101</v>
      </c>
    </row>
    <row r="5" spans="1:10" ht="13">
      <c r="A5" s="32" t="s">
        <v>102</v>
      </c>
      <c r="B5" s="12"/>
      <c r="C5" s="30" t="s">
        <v>481</v>
      </c>
      <c r="F5" s="3" t="s">
        <v>482</v>
      </c>
      <c r="G5" s="3" t="s">
        <v>103</v>
      </c>
      <c r="H5" s="3" t="s">
        <v>104</v>
      </c>
      <c r="J5" s="3" t="s">
        <v>81</v>
      </c>
    </row>
    <row r="6" spans="1:10" ht="13">
      <c r="A6" s="2">
        <v>1</v>
      </c>
      <c r="C6" s="276" t="s">
        <v>107</v>
      </c>
      <c r="F6" t="s">
        <v>483</v>
      </c>
      <c r="H6" s="276" t="str">
        <f>"6-PlantInService, Line "&amp;'6-PlantInService'!A64&amp;""</f>
        <v>6-PlantInService, Line 18</v>
      </c>
      <c r="J6" s="6" t="e">
        <f>'6-PlantInService'!D64</f>
        <v>#DIV/0!</v>
      </c>
    </row>
    <row r="7" spans="1:10" ht="13">
      <c r="A7" s="2">
        <f>A6+1</f>
        <v>2</v>
      </c>
      <c r="C7" s="276" t="s">
        <v>484</v>
      </c>
      <c r="F7" t="s">
        <v>485</v>
      </c>
      <c r="H7" s="276" t="str">
        <f>"6-PlantInService, Line "&amp;'6-PlantInService'!A80&amp;""</f>
        <v>6-PlantInService, Line 24</v>
      </c>
      <c r="J7" s="6" t="e">
        <f>'6-PlantInService'!F80</f>
        <v>#DIV/0!</v>
      </c>
    </row>
    <row r="8" spans="1:10" ht="13">
      <c r="A8" s="2">
        <f>A7+1</f>
        <v>3</v>
      </c>
      <c r="C8" s="276" t="s">
        <v>109</v>
      </c>
      <c r="F8" t="s">
        <v>485</v>
      </c>
      <c r="H8" t="str">
        <f>"11-PHFU, Line "&amp;'11-PHFU'!A42&amp;""</f>
        <v>11-PHFU, Line 9</v>
      </c>
      <c r="J8" s="6" t="e">
        <f>'11-PHFU'!D42</f>
        <v>#DIV/0!</v>
      </c>
    </row>
    <row r="9" spans="1:10" ht="13">
      <c r="A9" s="2">
        <f>A8+1</f>
        <v>4</v>
      </c>
      <c r="C9" s="276" t="s">
        <v>110</v>
      </c>
      <c r="F9" t="s">
        <v>485</v>
      </c>
      <c r="H9" s="233" t="str">
        <f>"12-AbandonedPlant Line "&amp;'12-AbandonedPlant'!A21&amp;""</f>
        <v>12-AbandonedPlant Line 4</v>
      </c>
      <c r="J9" s="6">
        <f>'12-AbandonedPlant'!G21</f>
        <v>0</v>
      </c>
    </row>
    <row r="10" spans="1:10" ht="13">
      <c r="A10" s="2"/>
      <c r="C10" s="276"/>
      <c r="J10" s="6"/>
    </row>
    <row r="11" spans="1:10" ht="13">
      <c r="A11" s="2"/>
      <c r="C11" s="28" t="s">
        <v>486</v>
      </c>
      <c r="J11" s="6"/>
    </row>
    <row r="12" spans="1:10" ht="13">
      <c r="A12" s="2">
        <f>A9+1</f>
        <v>5</v>
      </c>
      <c r="C12" s="232" t="s">
        <v>112</v>
      </c>
      <c r="F12" t="s">
        <v>483</v>
      </c>
      <c r="H12" s="276" t="str">
        <f>"13-WorkCap, Line "&amp;'13-WorkCap'!A27&amp;""</f>
        <v>13-WorkCap, Line 17</v>
      </c>
      <c r="J12" s="6" t="e">
        <f>'13-WorkCap'!F27</f>
        <v>#DIV/0!</v>
      </c>
    </row>
    <row r="13" spans="1:10" ht="13">
      <c r="A13" s="2">
        <f>A12+1</f>
        <v>6</v>
      </c>
      <c r="C13" s="12" t="s">
        <v>113</v>
      </c>
      <c r="F13" t="s">
        <v>483</v>
      </c>
      <c r="H13" s="276" t="str">
        <f>"13-WorkCap, Line "&amp;'13-WorkCap'!A51&amp;""</f>
        <v>13-WorkCap, Line 33</v>
      </c>
      <c r="J13" s="6" t="e">
        <f>'13-WorkCap'!F51</f>
        <v>#DIV/0!</v>
      </c>
    </row>
    <row r="14" spans="1:10" ht="13">
      <c r="A14" s="2">
        <f>A13+1</f>
        <v>7</v>
      </c>
      <c r="C14" s="232" t="s">
        <v>114</v>
      </c>
      <c r="F14" s="233" t="s">
        <v>487</v>
      </c>
      <c r="H14" t="str">
        <f>"1-Base TRR Line "&amp;'1-BaseTRR'!A17&amp;""</f>
        <v>1-Base TRR Line 7</v>
      </c>
      <c r="J14" s="53" t="e">
        <f>'1-BaseTRR'!K17</f>
        <v>#DIV/0!</v>
      </c>
    </row>
    <row r="15" spans="1:10" ht="13">
      <c r="A15" s="2">
        <f>A14+1</f>
        <v>8</v>
      </c>
      <c r="C15" s="232" t="s">
        <v>115</v>
      </c>
      <c r="H15" t="str">
        <f>"Line "&amp;A12&amp;" + Line "&amp;A13&amp;" + Line "&amp;A14&amp;""</f>
        <v>Line 5 + Line 6 + Line 7</v>
      </c>
      <c r="J15" s="6" t="e">
        <f>SUM(J12:J14)</f>
        <v>#DIV/0!</v>
      </c>
    </row>
    <row r="16" spans="1:10" ht="13">
      <c r="A16" s="2"/>
      <c r="C16" s="232"/>
      <c r="J16" s="6"/>
    </row>
    <row r="17" spans="1:10" ht="13">
      <c r="A17" s="2"/>
      <c r="C17" s="44" t="s">
        <v>488</v>
      </c>
      <c r="J17" s="6"/>
    </row>
    <row r="18" spans="1:10" ht="13">
      <c r="A18" s="2">
        <f>A15+1</f>
        <v>9</v>
      </c>
      <c r="C18" s="232" t="s">
        <v>489</v>
      </c>
      <c r="F18" t="s">
        <v>483</v>
      </c>
      <c r="G18" t="s">
        <v>118</v>
      </c>
      <c r="H18" s="1120" t="s">
        <v>3039</v>
      </c>
      <c r="J18" s="6" t="e">
        <f>-'8-AccDep'!J47</f>
        <v>#DIV/0!</v>
      </c>
    </row>
    <row r="19" spans="1:10" ht="13">
      <c r="A19" s="2">
        <f>A18+1</f>
        <v>10</v>
      </c>
      <c r="C19" s="232" t="s">
        <v>490</v>
      </c>
      <c r="F19" t="s">
        <v>485</v>
      </c>
      <c r="G19" t="s">
        <v>118</v>
      </c>
      <c r="H19" s="276" t="str">
        <f>"8-AccDep, Line "&amp;'8-AccDep'!A75&amp;", Col. 5"</f>
        <v>8-AccDep, Line 17, Col. 5</v>
      </c>
      <c r="J19" s="6">
        <f>-'8-AccDep'!G75</f>
        <v>0</v>
      </c>
    </row>
    <row r="20" spans="1:10" ht="13">
      <c r="A20" s="2">
        <f>A19+1</f>
        <v>11</v>
      </c>
      <c r="C20" s="232" t="s">
        <v>491</v>
      </c>
      <c r="D20" s="15"/>
      <c r="F20" t="s">
        <v>485</v>
      </c>
      <c r="G20" t="s">
        <v>118</v>
      </c>
      <c r="H20" s="276" t="str">
        <f>"8-AccDep, Line "&amp;'8-AccDep'!A93&amp;""</f>
        <v>8-AccDep, Line 23</v>
      </c>
      <c r="J20" s="53" t="e">
        <f>-'8-AccDep'!F93</f>
        <v>#DIV/0!</v>
      </c>
    </row>
    <row r="21" spans="1:10" ht="13">
      <c r="A21" s="2">
        <f>A20+1</f>
        <v>12</v>
      </c>
      <c r="C21" s="45" t="s">
        <v>121</v>
      </c>
      <c r="D21" s="15"/>
      <c r="H21" t="str">
        <f>"Line "&amp;A18&amp;" + Line "&amp;A19&amp;" + Line "&amp;A20&amp;""</f>
        <v>Line 9 + Line 10 + Line 11</v>
      </c>
      <c r="J21" s="6" t="e">
        <f>SUM(J18:J20)</f>
        <v>#DIV/0!</v>
      </c>
    </row>
    <row r="22" spans="1:10" ht="13">
      <c r="A22" s="2"/>
      <c r="C22" s="233"/>
      <c r="J22" s="6"/>
    </row>
    <row r="23" spans="1:10" ht="13">
      <c r="A23" s="2">
        <f>A21+1</f>
        <v>13</v>
      </c>
      <c r="C23" s="38" t="s">
        <v>492</v>
      </c>
      <c r="F23" s="276" t="s">
        <v>485</v>
      </c>
      <c r="H23" s="276" t="str">
        <f>"9-ADIT-1, Line "&amp;'9-ADIT-1'!A24&amp;""</f>
        <v>9-ADIT-1, Line 15</v>
      </c>
      <c r="J23" s="6" t="e">
        <f>'9-ADIT-1'!D24</f>
        <v>#DIV/0!</v>
      </c>
    </row>
    <row r="24" spans="1:10" ht="13">
      <c r="A24" s="2">
        <f>A23+1</f>
        <v>14</v>
      </c>
      <c r="C24" s="276" t="s">
        <v>123</v>
      </c>
      <c r="F24" t="s">
        <v>483</v>
      </c>
      <c r="H24" s="276" t="str">
        <f>"14-IncentivePlant, L "&amp;'14-IncentivePlant'!A40&amp;", C2"</f>
        <v>14-IncentivePlant, L 15, C2</v>
      </c>
      <c r="J24" s="6">
        <f>'14-IncentivePlant'!F40</f>
        <v>0</v>
      </c>
    </row>
    <row r="25" spans="1:10" ht="13">
      <c r="A25" s="2">
        <f>A24+1</f>
        <v>15</v>
      </c>
      <c r="C25" s="38" t="s">
        <v>125</v>
      </c>
      <c r="F25" t="s">
        <v>485</v>
      </c>
      <c r="G25" t="s">
        <v>118</v>
      </c>
      <c r="H25" s="276" t="str">
        <f>"22-NUCs, Line "&amp;'22-NUCs'!A15&amp;""</f>
        <v>22-NUCs, Line 7</v>
      </c>
      <c r="J25" s="6">
        <f>-'22-NUCs'!E15</f>
        <v>0</v>
      </c>
    </row>
    <row r="26" spans="1:10" ht="13">
      <c r="A26" s="2">
        <f t="shared" ref="A26:A27" si="0">A25+1</f>
        <v>16</v>
      </c>
      <c r="C26" s="276" t="s">
        <v>74</v>
      </c>
      <c r="H26" s="233" t="str">
        <f>"34-UnfundedReserves, Line "&amp;'34-UnfundedReserves'!A10&amp;""</f>
        <v>34-UnfundedReserves, Line 7</v>
      </c>
      <c r="J26" s="6" t="e">
        <f>'34-UnfundedReserves'!K10</f>
        <v>#DIV/0!</v>
      </c>
    </row>
    <row r="27" spans="1:10" ht="13">
      <c r="A27" s="2">
        <f t="shared" si="0"/>
        <v>17</v>
      </c>
      <c r="C27" s="38" t="s">
        <v>124</v>
      </c>
      <c r="F27" t="s">
        <v>485</v>
      </c>
      <c r="H27" s="276" t="str">
        <f>"23-RegAssets, Line "&amp;'23-RegAssets'!A18&amp;""</f>
        <v>23-RegAssets, Line 15</v>
      </c>
      <c r="J27" s="6">
        <f>'23-RegAssets'!E18</f>
        <v>0</v>
      </c>
    </row>
    <row r="28" spans="1:10" ht="13">
      <c r="A28" s="2"/>
      <c r="C28" s="38"/>
    </row>
    <row r="29" spans="1:10" ht="13">
      <c r="A29" s="2">
        <f>A27+1</f>
        <v>18</v>
      </c>
      <c r="C29" t="s">
        <v>126</v>
      </c>
      <c r="H29" t="str">
        <f>"L"&amp;A6&amp;"+L"&amp;A7&amp;"+L"&amp;A8&amp;"+L"&amp;A9&amp;"+L"&amp;A15&amp;"+L"&amp;A21&amp;"+"</f>
        <v>L1+L2+L3+L4+L8+L12+</v>
      </c>
      <c r="J29" s="6" t="e">
        <f>J6+ J7+J8+J9+J15+J21+J23+J24+J25+J26+J27</f>
        <v>#DIV/0!</v>
      </c>
    </row>
    <row r="30" spans="1:10" ht="13">
      <c r="A30" s="2"/>
      <c r="H30" t="str">
        <f>"L"&amp;A23&amp;"+L"&amp;A24&amp;"+L"&amp;A25&amp;"+L"&amp;A26&amp;"+L"&amp;A27&amp;""</f>
        <v>L13+L14+L15+L16+L17</v>
      </c>
      <c r="J30" s="6"/>
    </row>
    <row r="31" spans="1:10" ht="13">
      <c r="A31" s="2"/>
      <c r="B31" s="1" t="s">
        <v>493</v>
      </c>
      <c r="J31" s="6"/>
    </row>
    <row r="32" spans="1:10" ht="13">
      <c r="A32" s="32" t="s">
        <v>102</v>
      </c>
      <c r="C32" s="1"/>
      <c r="J32" s="6"/>
    </row>
    <row r="33" spans="1:15" ht="13">
      <c r="A33" s="2">
        <f>A29+1</f>
        <v>19</v>
      </c>
      <c r="B33" s="233"/>
      <c r="C33" s="233" t="s">
        <v>174</v>
      </c>
      <c r="D33" s="233"/>
      <c r="E33" s="233"/>
      <c r="F33" s="233"/>
      <c r="G33" s="233" t="s">
        <v>494</v>
      </c>
      <c r="H33" s="233" t="str">
        <f>"Instruction 1, Line "&amp;B100&amp;""</f>
        <v>Instruction 1, Line j</v>
      </c>
      <c r="I33" s="233"/>
      <c r="J33" s="203" t="e">
        <f>E100</f>
        <v>#DIV/0!</v>
      </c>
      <c r="L33" s="366"/>
    </row>
    <row r="34" spans="1:15" ht="13">
      <c r="A34" s="2">
        <f>A33+1</f>
        <v>20</v>
      </c>
      <c r="C34" s="233" t="s">
        <v>177</v>
      </c>
      <c r="D34" s="233"/>
      <c r="E34" s="233"/>
      <c r="F34" s="233"/>
      <c r="G34" s="233"/>
      <c r="H34" t="str">
        <f>"Line "&amp;A29&amp;" * Line "&amp;A33&amp;""</f>
        <v>Line 18 * Line 19</v>
      </c>
      <c r="J34" s="235" t="e">
        <f>J29*J33</f>
        <v>#DIV/0!</v>
      </c>
    </row>
    <row r="35" spans="1:15" ht="13">
      <c r="A35" s="2"/>
      <c r="B35" s="12"/>
    </row>
    <row r="36" spans="1:15" ht="13">
      <c r="A36" s="2"/>
      <c r="B36" s="1" t="s">
        <v>495</v>
      </c>
    </row>
    <row r="37" spans="1:15" ht="13">
      <c r="A37" s="2"/>
      <c r="B37" s="12"/>
    </row>
    <row r="38" spans="1:15" ht="13">
      <c r="A38" s="2">
        <f>A34+1</f>
        <v>21</v>
      </c>
      <c r="C38" s="233" t="s">
        <v>193</v>
      </c>
      <c r="J38" s="6" t="e">
        <f>(((J29*J42)+J46)*(J43/(1-J43)))+J44/(1-J43)</f>
        <v>#DIV/0!</v>
      </c>
    </row>
    <row r="39" spans="1:15" ht="13">
      <c r="A39" s="2"/>
      <c r="J39" s="233"/>
    </row>
    <row r="40" spans="1:15" ht="13">
      <c r="A40" s="2"/>
      <c r="D40" t="s">
        <v>194</v>
      </c>
    </row>
    <row r="41" spans="1:15" ht="13">
      <c r="A41" s="2">
        <f>A38+1</f>
        <v>22</v>
      </c>
      <c r="D41" s="12" t="s">
        <v>195</v>
      </c>
      <c r="H41" t="str">
        <f>"Line "&amp;A29&amp;""</f>
        <v>Line 18</v>
      </c>
      <c r="J41" s="6" t="e">
        <f>J29</f>
        <v>#DIV/0!</v>
      </c>
    </row>
    <row r="42" spans="1:15" ht="13">
      <c r="A42" s="2">
        <f>A41+1</f>
        <v>23</v>
      </c>
      <c r="D42" s="232" t="s">
        <v>496</v>
      </c>
      <c r="G42" s="233" t="s">
        <v>497</v>
      </c>
      <c r="H42" s="233" t="str">
        <f>"Instruction 1, Line "&amp;B105&amp;""</f>
        <v>Instruction 1, Line k</v>
      </c>
      <c r="J42" s="203" t="e">
        <f>E105</f>
        <v>#DIV/0!</v>
      </c>
      <c r="L42" s="366"/>
    </row>
    <row r="43" spans="1:15" ht="13">
      <c r="A43" s="2">
        <f>A42+1</f>
        <v>24</v>
      </c>
      <c r="D43" s="12" t="s">
        <v>197</v>
      </c>
      <c r="H43" t="str">
        <f>"1-Base TRR L "&amp;'1-BaseTRR'!A104&amp;""</f>
        <v>1-Base TRR L 59</v>
      </c>
      <c r="J43" s="7">
        <f>'1-BaseTRR'!K104</f>
        <v>0</v>
      </c>
      <c r="L43" s="366"/>
    </row>
    <row r="44" spans="1:15" ht="13">
      <c r="A44" s="2">
        <f>A43+1</f>
        <v>25</v>
      </c>
      <c r="D44" s="12" t="s">
        <v>198</v>
      </c>
      <c r="H44" s="233" t="s">
        <v>498</v>
      </c>
      <c r="J44" s="6">
        <f>'1-BaseTRR'!K110 +J45</f>
        <v>0</v>
      </c>
    </row>
    <row r="45" spans="1:15" ht="13">
      <c r="A45" s="2" t="s">
        <v>499</v>
      </c>
      <c r="B45" s="615"/>
      <c r="C45" s="615"/>
      <c r="D45" s="232" t="s">
        <v>500</v>
      </c>
      <c r="E45" s="233"/>
      <c r="F45" s="233"/>
      <c r="G45" s="233" t="s">
        <v>501</v>
      </c>
      <c r="H45" s="240"/>
      <c r="I45" s="615"/>
      <c r="J45" s="116"/>
    </row>
    <row r="46" spans="1:15" ht="13">
      <c r="A46" s="2">
        <f>A44+1</f>
        <v>26</v>
      </c>
      <c r="D46" s="12" t="s">
        <v>199</v>
      </c>
      <c r="H46" t="str">
        <f>"1-Base TRR L "&amp;'1-BaseTRR'!A114&amp;""</f>
        <v>1-Base TRR L 65</v>
      </c>
      <c r="J46" s="235">
        <f>'1-BaseTRR'!K121</f>
        <v>0</v>
      </c>
    </row>
    <row r="47" spans="1:15" ht="13">
      <c r="A47" s="2"/>
      <c r="B47" s="12"/>
      <c r="M47" s="2"/>
    </row>
    <row r="48" spans="1:15" ht="13">
      <c r="A48" s="2"/>
      <c r="B48" s="1" t="s">
        <v>502</v>
      </c>
      <c r="M48" s="48"/>
      <c r="O48" s="30"/>
    </row>
    <row r="49" spans="1:15" ht="13">
      <c r="A49" s="2">
        <f>A46+1</f>
        <v>27</v>
      </c>
      <c r="B49" s="12"/>
      <c r="C49" t="s">
        <v>203</v>
      </c>
      <c r="H49" t="str">
        <f>"1-Base TRR L "&amp;'1-BaseTRR'!A126&amp;""</f>
        <v>1-Base TRR L 66</v>
      </c>
      <c r="J49" s="6" t="e">
        <f>'1-BaseTRR'!K126</f>
        <v>#DIV/0!</v>
      </c>
      <c r="M49" s="6"/>
      <c r="O49" s="233"/>
    </row>
    <row r="50" spans="1:15" ht="13">
      <c r="A50" s="2">
        <f t="shared" ref="A50:A60" si="1">A49+1</f>
        <v>28</v>
      </c>
      <c r="B50" s="12"/>
      <c r="C50" s="233" t="s">
        <v>204</v>
      </c>
      <c r="H50" t="str">
        <f>"1-Base TRR L "&amp;'1-BaseTRR'!A127&amp;""</f>
        <v>1-Base TRR L 67</v>
      </c>
      <c r="J50" s="6" t="e">
        <f>'1-BaseTRR'!K127</f>
        <v>#DIV/0!</v>
      </c>
      <c r="M50" s="6"/>
      <c r="O50" s="233"/>
    </row>
    <row r="51" spans="1:15" ht="13">
      <c r="A51" s="2">
        <f>A50+1</f>
        <v>29</v>
      </c>
      <c r="B51" s="12"/>
      <c r="C51" t="s">
        <v>205</v>
      </c>
      <c r="H51" t="str">
        <f>"1-Base TRR L "&amp;'1-BaseTRR'!A128&amp;""</f>
        <v>1-Base TRR L 68</v>
      </c>
      <c r="J51" s="6">
        <f>'1-BaseTRR'!K128</f>
        <v>0</v>
      </c>
      <c r="M51" s="6"/>
    </row>
    <row r="52" spans="1:15" ht="13">
      <c r="A52" s="2">
        <f t="shared" si="1"/>
        <v>30</v>
      </c>
      <c r="B52" s="12"/>
      <c r="C52" s="233" t="s">
        <v>206</v>
      </c>
      <c r="H52" t="str">
        <f>"1-Base TRR L "&amp;'1-BaseTRR'!A129&amp;""</f>
        <v>1-Base TRR L 69</v>
      </c>
      <c r="J52" s="6" t="e">
        <f>'1-BaseTRR'!K129</f>
        <v>#DIV/0!</v>
      </c>
      <c r="M52" s="6"/>
    </row>
    <row r="53" spans="1:15" ht="13">
      <c r="A53" s="2">
        <f t="shared" si="1"/>
        <v>31</v>
      </c>
      <c r="B53" s="12"/>
      <c r="C53" s="233" t="s">
        <v>207</v>
      </c>
      <c r="H53" t="str">
        <f>"1-Base TRR L "&amp;'1-BaseTRR'!A130&amp;""</f>
        <v>1-Base TRR L 70</v>
      </c>
      <c r="J53" s="6">
        <f>'1-BaseTRR'!K130</f>
        <v>0</v>
      </c>
      <c r="M53" s="6"/>
    </row>
    <row r="54" spans="1:15" ht="13">
      <c r="A54" s="2">
        <f t="shared" si="1"/>
        <v>32</v>
      </c>
      <c r="B54" s="12"/>
      <c r="C54" s="233" t="s">
        <v>146</v>
      </c>
      <c r="H54" t="str">
        <f>"1-Base TRR L "&amp;'1-BaseTRR'!A131&amp;""</f>
        <v>1-Base TRR L 71</v>
      </c>
      <c r="J54" s="6" t="e">
        <f>'1-BaseTRR'!K131</f>
        <v>#DIV/0!</v>
      </c>
      <c r="M54" s="6"/>
    </row>
    <row r="55" spans="1:15" ht="13">
      <c r="A55" s="2">
        <f t="shared" si="1"/>
        <v>33</v>
      </c>
      <c r="B55" s="12"/>
      <c r="C55" t="s">
        <v>208</v>
      </c>
      <c r="G55" s="233"/>
      <c r="H55" t="str">
        <f>"1-Base TRR L "&amp;'1-BaseTRR'!A132&amp;""</f>
        <v>1-Base TRR L 72</v>
      </c>
      <c r="J55" s="6">
        <f>'1-BaseTRR'!K132</f>
        <v>0</v>
      </c>
      <c r="M55" s="6"/>
    </row>
    <row r="56" spans="1:15" ht="13">
      <c r="A56" s="2">
        <f t="shared" si="1"/>
        <v>34</v>
      </c>
      <c r="B56" s="12"/>
      <c r="C56" t="s">
        <v>209</v>
      </c>
      <c r="H56" t="str">
        <f>"Line "&amp;A34&amp;""</f>
        <v>Line 20</v>
      </c>
      <c r="J56" s="6" t="e">
        <f>J34</f>
        <v>#DIV/0!</v>
      </c>
      <c r="M56" s="6"/>
    </row>
    <row r="57" spans="1:15" ht="13">
      <c r="A57" s="2">
        <f t="shared" si="1"/>
        <v>35</v>
      </c>
      <c r="B57" s="12"/>
      <c r="C57" t="s">
        <v>210</v>
      </c>
      <c r="H57" t="str">
        <f>"Line "&amp;A38&amp;""</f>
        <v>Line 21</v>
      </c>
      <c r="J57" s="235" t="e">
        <f>J38</f>
        <v>#DIV/0!</v>
      </c>
      <c r="M57" s="6"/>
    </row>
    <row r="58" spans="1:15" ht="13">
      <c r="A58" s="2">
        <f t="shared" si="1"/>
        <v>36</v>
      </c>
      <c r="B58" s="12"/>
      <c r="C58" s="233" t="s">
        <v>503</v>
      </c>
      <c r="H58" t="str">
        <f>"1-Base TRR L "&amp;'1-BaseTRR'!A135&amp;""</f>
        <v>1-Base TRR L 75</v>
      </c>
      <c r="J58" s="235">
        <f>'1-BaseTRR'!K135</f>
        <v>0</v>
      </c>
      <c r="M58" s="6"/>
    </row>
    <row r="59" spans="1:15" ht="13">
      <c r="A59" s="2">
        <f t="shared" si="1"/>
        <v>37</v>
      </c>
      <c r="B59" s="12"/>
      <c r="C59" s="289" t="s">
        <v>213</v>
      </c>
      <c r="D59" s="289"/>
      <c r="H59" t="str">
        <f>"1-Base TRR L "&amp;'1-BaseTRR'!A136&amp;""</f>
        <v>1-Base TRR L 76</v>
      </c>
      <c r="J59" s="53">
        <f>'1-BaseTRR'!K136</f>
        <v>0</v>
      </c>
      <c r="M59" s="6"/>
    </row>
    <row r="60" spans="1:15" ht="13">
      <c r="A60" s="2">
        <f t="shared" si="1"/>
        <v>38</v>
      </c>
      <c r="B60" s="12"/>
      <c r="C60" s="233" t="s">
        <v>504</v>
      </c>
      <c r="H60" t="str">
        <f>"Sum Line "&amp;A49&amp;" to Line "&amp;A59&amp;""</f>
        <v>Sum Line 27 to Line 37</v>
      </c>
      <c r="J60" s="6" t="e">
        <f>SUM(J49:J59)</f>
        <v>#DIV/0!</v>
      </c>
      <c r="M60" s="6"/>
    </row>
    <row r="61" spans="1:15" ht="13">
      <c r="A61" s="2"/>
      <c r="B61" s="12"/>
      <c r="J61" s="6"/>
      <c r="M61" s="6"/>
    </row>
    <row r="62" spans="1:15" ht="12.75" customHeight="1">
      <c r="A62" s="2">
        <f>A60+1</f>
        <v>39</v>
      </c>
      <c r="B62" s="12"/>
      <c r="C62" s="233" t="s">
        <v>505</v>
      </c>
      <c r="H62" t="str">
        <f>"15-IncentiveAdder L "&amp;'15-IncentiveAdder'!A59&amp;""</f>
        <v>15-IncentiveAdder L 20</v>
      </c>
      <c r="J62" s="6" t="e">
        <f>'15-IncentiveAdder'!G59</f>
        <v>#DIV/0!</v>
      </c>
      <c r="M62" s="6"/>
    </row>
    <row r="63" spans="1:15" ht="12.75" customHeight="1">
      <c r="A63" s="2" t="s">
        <v>506</v>
      </c>
      <c r="B63" s="12"/>
      <c r="C63" s="233" t="s">
        <v>507</v>
      </c>
      <c r="H63" s="233" t="s">
        <v>508</v>
      </c>
      <c r="J63" s="6" t="e">
        <f>-J62</f>
        <v>#DIV/0!</v>
      </c>
      <c r="M63" s="6"/>
    </row>
    <row r="64" spans="1:15" ht="13">
      <c r="A64" s="2"/>
      <c r="B64" s="12"/>
      <c r="C64" s="233"/>
      <c r="J64" s="6"/>
      <c r="M64" s="6"/>
    </row>
    <row r="65" spans="1:17" ht="13">
      <c r="A65" s="2">
        <f>A62+1</f>
        <v>40</v>
      </c>
      <c r="B65" s="12"/>
      <c r="C65" s="233" t="s">
        <v>509</v>
      </c>
      <c r="H65" t="str">
        <f>"Sum of Lines "&amp;A60&amp;" to "&amp;A63&amp;""</f>
        <v>Sum of Lines 38 to 39a</v>
      </c>
      <c r="J65" s="6" t="e">
        <f>J60+J62+J63</f>
        <v>#DIV/0!</v>
      </c>
      <c r="M65" s="6"/>
    </row>
    <row r="66" spans="1:17" ht="13">
      <c r="A66" s="2"/>
      <c r="B66" s="12"/>
      <c r="C66" s="233"/>
      <c r="J66" s="6"/>
      <c r="L66" s="6"/>
    </row>
    <row r="67" spans="1:17" ht="13">
      <c r="A67" s="2"/>
      <c r="B67" s="47" t="s">
        <v>510</v>
      </c>
      <c r="C67" s="233"/>
      <c r="J67" s="6"/>
      <c r="M67" s="2"/>
    </row>
    <row r="68" spans="1:17" ht="13">
      <c r="A68" s="32" t="s">
        <v>102</v>
      </c>
      <c r="B68" s="38"/>
      <c r="G68" s="30" t="s">
        <v>511</v>
      </c>
      <c r="J68" s="1077"/>
      <c r="M68" s="48"/>
      <c r="O68" s="30"/>
    </row>
    <row r="69" spans="1:17" ht="13">
      <c r="A69" s="2">
        <f>A65+1</f>
        <v>41</v>
      </c>
      <c r="B69" s="38"/>
      <c r="D69" s="231" t="s">
        <v>512</v>
      </c>
      <c r="E69" s="6" t="e">
        <f>J65</f>
        <v>#DIV/0!</v>
      </c>
      <c r="G69" t="str">
        <f>"Line "&amp;A65&amp;""</f>
        <v>Line 40</v>
      </c>
      <c r="J69" s="1077"/>
      <c r="M69" s="6"/>
      <c r="O69" s="233"/>
    </row>
    <row r="70" spans="1:17" ht="13">
      <c r="A70" s="2">
        <f>A69+1</f>
        <v>42</v>
      </c>
      <c r="B70" s="38"/>
      <c r="D70" s="231" t="s">
        <v>513</v>
      </c>
      <c r="E70" s="1001" t="e">
        <f>'28-FFU'!D22</f>
        <v>#DIV/0!</v>
      </c>
      <c r="G70" t="str">
        <f>"28-FFU, L "&amp;'28-FFU'!A22&amp;""</f>
        <v>28-FFU, L 5</v>
      </c>
      <c r="J70" s="1078"/>
      <c r="L70" s="366"/>
      <c r="M70" s="7"/>
      <c r="O70" s="233"/>
    </row>
    <row r="71" spans="1:17" ht="13">
      <c r="A71" s="2">
        <f>A70+1</f>
        <v>43</v>
      </c>
      <c r="B71" s="38"/>
      <c r="D71" s="25" t="s">
        <v>514</v>
      </c>
      <c r="E71" s="6" t="e">
        <f>E69*E70</f>
        <v>#DIV/0!</v>
      </c>
      <c r="G71" t="str">
        <f>"Line "&amp;A69&amp;" * Line "&amp;A70&amp;""</f>
        <v>Line 41 * Line 42</v>
      </c>
      <c r="J71" s="1079"/>
      <c r="M71" s="6"/>
      <c r="O71" s="233"/>
    </row>
    <row r="72" spans="1:17" ht="13">
      <c r="A72" s="2">
        <f>A71+1</f>
        <v>44</v>
      </c>
      <c r="B72" s="38"/>
      <c r="D72" s="231" t="s">
        <v>515</v>
      </c>
      <c r="E72" s="1001" t="e">
        <f>'28-FFU'!E22</f>
        <v>#DIV/0!</v>
      </c>
      <c r="G72" t="str">
        <f>"28-FFU, L "&amp;'28-FFU'!A22&amp;""</f>
        <v>28-FFU, L 5</v>
      </c>
      <c r="J72" s="998"/>
      <c r="L72" s="366"/>
      <c r="M72" s="7"/>
      <c r="O72" s="233"/>
    </row>
    <row r="73" spans="1:17" ht="13">
      <c r="A73" s="2">
        <f>A72+1</f>
        <v>45</v>
      </c>
      <c r="B73" s="38"/>
      <c r="D73" s="231" t="s">
        <v>336</v>
      </c>
      <c r="E73" s="6" t="e">
        <f>E69*E72</f>
        <v>#DIV/0!</v>
      </c>
      <c r="G73" t="str">
        <f>"Line "&amp;A69&amp;" * Line "&amp;A72&amp;""</f>
        <v>Line 41 * Line 44</v>
      </c>
      <c r="J73" s="998"/>
      <c r="M73" s="1140"/>
      <c r="O73" s="233"/>
    </row>
    <row r="74" spans="1:17" ht="13">
      <c r="A74" s="2" t="s">
        <v>516</v>
      </c>
      <c r="B74" s="276"/>
      <c r="C74" s="233"/>
      <c r="D74" s="231" t="s">
        <v>517</v>
      </c>
      <c r="E74" s="53">
        <f>-'35-Other Formula Revenue'!D116</f>
        <v>0</v>
      </c>
      <c r="F74" s="233"/>
      <c r="G74" s="233" t="str">
        <f>"Negative of 35-Other Formula Revenue, L "&amp;'35-Other Formula Revenue'!A116&amp;""</f>
        <v>Negative of 35-Other Formula Revenue, L 80</v>
      </c>
      <c r="H74" s="233"/>
      <c r="I74" s="590"/>
      <c r="J74" s="820"/>
      <c r="M74" s="6"/>
      <c r="N74" s="590"/>
      <c r="O74" s="233"/>
    </row>
    <row r="75" spans="1:17" ht="13">
      <c r="A75" s="2">
        <f>A73+1</f>
        <v>46</v>
      </c>
      <c r="B75" s="38"/>
      <c r="D75" s="231" t="s">
        <v>345</v>
      </c>
      <c r="E75" s="235" t="e">
        <f>E69+E71+E73+E74</f>
        <v>#DIV/0!</v>
      </c>
      <c r="F75" s="233"/>
      <c r="G75" s="233" t="str">
        <f>"L "&amp;A69&amp;" + L "&amp;A71&amp;" + L "&amp;A73&amp;"+ L "&amp;A74&amp;""</f>
        <v>L 41 + L 43 + L 45+ L 45a</v>
      </c>
      <c r="H75" s="233"/>
      <c r="L75" s="998"/>
      <c r="M75" s="6"/>
      <c r="N75" s="590"/>
      <c r="O75" s="233"/>
    </row>
    <row r="76" spans="1:17" ht="13">
      <c r="B76" s="47" t="s">
        <v>444</v>
      </c>
      <c r="D76" s="25"/>
      <c r="E76" s="6"/>
      <c r="H76" s="303"/>
      <c r="L76" s="998"/>
      <c r="N76" s="590"/>
    </row>
    <row r="77" spans="1:17" ht="13">
      <c r="A77" s="2"/>
      <c r="B77" s="233" t="s">
        <v>518</v>
      </c>
      <c r="C77" s="47"/>
      <c r="D77" s="25"/>
      <c r="E77" s="6"/>
      <c r="L77" s="235"/>
    </row>
    <row r="78" spans="1:17" ht="13">
      <c r="A78" s="2"/>
      <c r="B78" s="233" t="s">
        <v>519</v>
      </c>
      <c r="C78" s="47"/>
      <c r="D78" s="25"/>
      <c r="E78" s="6"/>
      <c r="L78" s="235"/>
      <c r="M78" s="30"/>
      <c r="N78" s="30"/>
      <c r="O78" s="30"/>
    </row>
    <row r="79" spans="1:17" ht="13">
      <c r="A79" s="2"/>
      <c r="B79" s="276" t="s">
        <v>520</v>
      </c>
      <c r="C79" s="233"/>
      <c r="D79" s="25"/>
      <c r="E79" s="6"/>
      <c r="L79" s="28"/>
      <c r="M79" s="28"/>
    </row>
    <row r="80" spans="1:17" ht="13">
      <c r="A80" s="2"/>
      <c r="B80" s="276" t="s">
        <v>521</v>
      </c>
      <c r="D80" s="25"/>
      <c r="E80" s="6"/>
      <c r="L80" s="233"/>
      <c r="M80" s="30"/>
      <c r="O80" s="30"/>
      <c r="Q80" s="30"/>
    </row>
    <row r="81" spans="1:17" ht="13">
      <c r="A81" s="2"/>
      <c r="L81" s="233"/>
      <c r="M81" s="231"/>
      <c r="O81" s="235"/>
    </row>
    <row r="82" spans="1:17" ht="13">
      <c r="A82" s="2"/>
      <c r="B82" s="233" t="s">
        <v>522</v>
      </c>
      <c r="M82" s="231"/>
      <c r="O82" s="6"/>
      <c r="Q82" s="233"/>
    </row>
    <row r="83" spans="1:17" ht="13">
      <c r="A83" s="2"/>
      <c r="B83" s="233"/>
      <c r="C83" s="233" t="s">
        <v>523</v>
      </c>
      <c r="M83" s="231"/>
      <c r="O83" s="6"/>
      <c r="Q83" s="233"/>
    </row>
    <row r="84" spans="1:17" ht="13">
      <c r="A84" s="2"/>
      <c r="B84" s="233"/>
      <c r="J84" s="2" t="s">
        <v>524</v>
      </c>
      <c r="M84" s="231"/>
      <c r="O84" s="6"/>
      <c r="Q84" s="233"/>
    </row>
    <row r="85" spans="1:17" ht="13">
      <c r="A85" s="2"/>
      <c r="E85" s="3" t="s">
        <v>525</v>
      </c>
      <c r="F85" s="30" t="s">
        <v>511</v>
      </c>
      <c r="G85" s="3" t="s">
        <v>526</v>
      </c>
      <c r="H85" s="3" t="s">
        <v>527</v>
      </c>
      <c r="J85" s="3" t="s">
        <v>528</v>
      </c>
      <c r="M85" s="231"/>
      <c r="O85" s="6"/>
      <c r="Q85" s="233"/>
    </row>
    <row r="86" spans="1:17" ht="13">
      <c r="B86" s="4" t="s">
        <v>529</v>
      </c>
      <c r="C86" s="233" t="s">
        <v>530</v>
      </c>
      <c r="E86" s="787"/>
      <c r="F86" s="233" t="s">
        <v>531</v>
      </c>
      <c r="G86" s="612"/>
      <c r="H86" s="612"/>
      <c r="I86" s="233"/>
      <c r="J86" s="367"/>
      <c r="K86" s="233"/>
      <c r="M86" s="231"/>
      <c r="O86" s="6"/>
      <c r="Q86" s="233"/>
    </row>
    <row r="87" spans="1:17" ht="13">
      <c r="B87" s="4" t="s">
        <v>532</v>
      </c>
      <c r="C87" s="233" t="s">
        <v>533</v>
      </c>
      <c r="E87" s="787"/>
      <c r="F87" s="233" t="s">
        <v>534</v>
      </c>
      <c r="G87" s="612"/>
      <c r="H87" s="612"/>
      <c r="I87" s="233"/>
      <c r="J87" s="367"/>
      <c r="K87" s="233"/>
      <c r="M87" s="231"/>
      <c r="O87" s="53"/>
      <c r="Q87" s="233"/>
    </row>
    <row r="88" spans="1:17" ht="13">
      <c r="B88" s="4" t="s">
        <v>535</v>
      </c>
      <c r="C88" s="233"/>
      <c r="E88" s="483"/>
      <c r="F88" s="233"/>
      <c r="G88" s="239"/>
      <c r="H88" s="239"/>
      <c r="I88" s="231" t="s">
        <v>536</v>
      </c>
      <c r="J88" s="234">
        <f>SUM(J86:J87)</f>
        <v>0</v>
      </c>
      <c r="K88" s="233"/>
      <c r="M88" s="231"/>
      <c r="O88" s="6"/>
      <c r="Q88" s="243"/>
    </row>
    <row r="89" spans="1:17" ht="13">
      <c r="B89" s="4" t="s">
        <v>537</v>
      </c>
      <c r="C89" s="233" t="s">
        <v>538</v>
      </c>
      <c r="E89" s="26" t="e">
        <f>((E86*J86) + (E87* J87)) / J88</f>
        <v>#DIV/0!</v>
      </c>
      <c r="F89" s="233" t="s">
        <v>539</v>
      </c>
      <c r="H89" s="233"/>
      <c r="I89" s="233"/>
      <c r="J89" s="233"/>
      <c r="K89" s="233"/>
    </row>
    <row r="90" spans="1:17" ht="13">
      <c r="A90" s="2"/>
      <c r="B90" s="233"/>
      <c r="H90" s="233"/>
      <c r="I90" s="233"/>
      <c r="J90" s="233"/>
      <c r="K90" s="233"/>
    </row>
    <row r="91" spans="1:17" ht="13">
      <c r="A91" s="2"/>
      <c r="B91" s="233" t="s">
        <v>540</v>
      </c>
      <c r="H91" s="233"/>
      <c r="I91" s="233"/>
      <c r="J91" s="233"/>
      <c r="K91" s="233"/>
    </row>
    <row r="92" spans="1:17" ht="13">
      <c r="A92" s="2"/>
      <c r="B92" s="233"/>
      <c r="E92" s="30" t="s">
        <v>511</v>
      </c>
      <c r="H92" s="233"/>
      <c r="I92" s="233"/>
      <c r="J92" s="233"/>
      <c r="K92" s="233"/>
    </row>
    <row r="93" spans="1:17" ht="13">
      <c r="B93" s="4" t="s">
        <v>541</v>
      </c>
      <c r="C93" s="233" t="s">
        <v>542</v>
      </c>
      <c r="E93" s="198"/>
      <c r="F93" s="54"/>
      <c r="G93" s="54"/>
      <c r="H93" s="240"/>
      <c r="I93" s="240"/>
      <c r="J93" s="240"/>
      <c r="K93" s="233"/>
    </row>
    <row r="94" spans="1:17" ht="13">
      <c r="B94" s="4" t="s">
        <v>543</v>
      </c>
      <c r="C94" s="233" t="s">
        <v>544</v>
      </c>
      <c r="E94" s="198"/>
      <c r="F94" s="54"/>
      <c r="G94" s="54"/>
      <c r="H94" s="240"/>
      <c r="I94" s="240"/>
      <c r="J94" s="240"/>
      <c r="K94" s="233"/>
    </row>
    <row r="95" spans="1:17">
      <c r="C95" s="233"/>
      <c r="E95" s="239"/>
      <c r="I95" s="233"/>
      <c r="J95" s="233"/>
      <c r="K95" s="233"/>
    </row>
    <row r="96" spans="1:17" ht="13">
      <c r="E96" s="3" t="s">
        <v>525</v>
      </c>
      <c r="F96" s="30" t="s">
        <v>511</v>
      </c>
      <c r="H96" s="233"/>
      <c r="I96" s="233"/>
    </row>
    <row r="97" spans="1:11" ht="13">
      <c r="B97" s="4" t="s">
        <v>545</v>
      </c>
      <c r="C97" s="233" t="s">
        <v>546</v>
      </c>
      <c r="D97" s="233"/>
      <c r="E97" s="788" t="e">
        <f>'1-BaseTRR'!K90</f>
        <v>#DIV/0!</v>
      </c>
      <c r="F97" t="str">
        <f>"1-Base TRR L "&amp;'1-BaseTRR'!A90&amp;""</f>
        <v>1-Base TRR L 51</v>
      </c>
      <c r="H97" s="233"/>
      <c r="I97" s="233"/>
    </row>
    <row r="98" spans="1:11" ht="13">
      <c r="B98" s="4" t="s">
        <v>547</v>
      </c>
      <c r="C98" s="233" t="s">
        <v>548</v>
      </c>
      <c r="E98" s="788" t="e">
        <f>'1-BaseTRR'!K91</f>
        <v>#DIV/0!</v>
      </c>
      <c r="F98" t="str">
        <f>"1-Base TRR L "&amp;'1-BaseTRR'!A91&amp;""</f>
        <v>1-Base TRR L 52</v>
      </c>
      <c r="H98" s="233"/>
      <c r="I98" s="233"/>
    </row>
    <row r="99" spans="1:11" ht="13">
      <c r="B99" s="4" t="s">
        <v>549</v>
      </c>
      <c r="C99" s="233" t="s">
        <v>550</v>
      </c>
      <c r="E99" s="789" t="e">
        <f>('1-BaseTRR'!K82) * E89</f>
        <v>#DIV/0!</v>
      </c>
      <c r="F99" t="str">
        <f>"1-Base TRR L "&amp;'1-BaseTRR'!A82&amp;" * Line d"</f>
        <v>1-Base TRR L 47 * Line d</v>
      </c>
      <c r="G99" s="233"/>
      <c r="H99" s="233"/>
    </row>
    <row r="100" spans="1:11" ht="13">
      <c r="B100" s="2" t="s">
        <v>551</v>
      </c>
      <c r="C100" s="232" t="s">
        <v>174</v>
      </c>
      <c r="E100" s="1004" t="e">
        <f>SUM(E97:E99)</f>
        <v>#DIV/0!</v>
      </c>
      <c r="F100" s="6" t="str">
        <f>"Sum of Lines "&amp;B97&amp;" to "&amp;B99&amp;""</f>
        <v>Sum of Lines g to i</v>
      </c>
      <c r="G100" s="234"/>
      <c r="J100" s="46"/>
    </row>
    <row r="101" spans="1:11" ht="13">
      <c r="A101" s="2"/>
      <c r="C101" s="14"/>
      <c r="D101" s="17"/>
      <c r="E101" s="6"/>
      <c r="F101" s="6"/>
      <c r="G101" s="234"/>
      <c r="H101" s="6"/>
      <c r="J101" s="46"/>
    </row>
    <row r="102" spans="1:11" ht="13">
      <c r="A102" s="2"/>
      <c r="B102" s="233" t="s">
        <v>552</v>
      </c>
    </row>
    <row r="103" spans="1:11" ht="13">
      <c r="A103" s="2"/>
    </row>
    <row r="104" spans="1:11" ht="13">
      <c r="A104" s="2"/>
      <c r="E104" s="3" t="s">
        <v>525</v>
      </c>
      <c r="F104" s="30" t="s">
        <v>511</v>
      </c>
    </row>
    <row r="105" spans="1:11" ht="13">
      <c r="B105" s="4" t="s">
        <v>553</v>
      </c>
      <c r="E105" s="788" t="e">
        <f>E98+E99</f>
        <v>#DIV/0!</v>
      </c>
      <c r="F105" s="6" t="str">
        <f>"Sum of Lines "&amp;B98&amp;" to "&amp;B99&amp;""</f>
        <v>Sum of Lines h to i</v>
      </c>
    </row>
    <row r="106" spans="1:11" ht="13">
      <c r="A106" s="2"/>
      <c r="E106" s="7"/>
      <c r="F106" s="6"/>
    </row>
    <row r="107" spans="1:11" ht="13">
      <c r="A107" s="2"/>
      <c r="B107" s="32" t="s">
        <v>233</v>
      </c>
      <c r="E107" s="234"/>
      <c r="F107" s="234"/>
      <c r="G107" s="234"/>
      <c r="H107" s="6"/>
    </row>
    <row r="108" spans="1:11" ht="13">
      <c r="A108" s="2"/>
      <c r="B108" s="233" t="s">
        <v>554</v>
      </c>
    </row>
    <row r="109" spans="1:11" ht="13">
      <c r="A109" s="2"/>
      <c r="B109" s="232" t="s">
        <v>555</v>
      </c>
      <c r="D109" s="2"/>
      <c r="E109" s="2"/>
      <c r="F109" s="2"/>
      <c r="G109" s="2"/>
      <c r="H109" s="2"/>
    </row>
    <row r="110" spans="1:11" ht="13">
      <c r="A110" s="2"/>
      <c r="B110" s="235" t="s">
        <v>556</v>
      </c>
      <c r="C110" s="233"/>
      <c r="D110" s="2"/>
      <c r="E110" s="2"/>
      <c r="F110" s="2"/>
      <c r="G110" s="2"/>
      <c r="H110" s="2"/>
      <c r="I110" s="233"/>
      <c r="J110" s="233"/>
      <c r="K110" s="233"/>
    </row>
    <row r="111" spans="1:11" ht="13">
      <c r="A111" s="2"/>
      <c r="B111" s="232" t="s">
        <v>557</v>
      </c>
      <c r="C111" s="19"/>
      <c r="D111" s="19"/>
      <c r="E111" s="2"/>
      <c r="F111" s="2"/>
      <c r="G111" s="2"/>
      <c r="H111" s="2"/>
      <c r="I111" s="233"/>
      <c r="J111" s="233"/>
      <c r="K111" s="233"/>
    </row>
    <row r="112" spans="1:11" ht="13">
      <c r="A112" s="2"/>
      <c r="B112" s="232" t="s">
        <v>558</v>
      </c>
      <c r="C112" s="233"/>
      <c r="D112" s="233"/>
      <c r="E112" s="233"/>
      <c r="F112" s="233"/>
      <c r="G112" s="233"/>
      <c r="H112" s="233"/>
      <c r="I112" s="233"/>
      <c r="J112" s="233"/>
      <c r="K112" s="233"/>
    </row>
    <row r="113" spans="1:11" ht="13">
      <c r="A113" s="2"/>
      <c r="B113" s="279" t="s">
        <v>559</v>
      </c>
      <c r="C113" s="233"/>
      <c r="D113" s="233"/>
      <c r="E113" s="233"/>
      <c r="F113" s="233"/>
      <c r="G113" s="233"/>
      <c r="H113" s="233"/>
      <c r="I113" s="233"/>
      <c r="J113" s="233"/>
      <c r="K113" s="233"/>
    </row>
    <row r="114" spans="1:11" ht="13">
      <c r="A114" s="2"/>
    </row>
    <row r="115" spans="1:11" ht="13">
      <c r="A115" s="2"/>
      <c r="C115" s="14"/>
      <c r="E115" s="6"/>
      <c r="F115" s="6"/>
      <c r="H115" s="6"/>
      <c r="J115" s="46"/>
    </row>
    <row r="116" spans="1:11" ht="13">
      <c r="A116" s="2"/>
      <c r="C116" s="14"/>
      <c r="E116" s="6"/>
      <c r="F116" s="6"/>
      <c r="H116" s="6"/>
      <c r="J116" s="46"/>
    </row>
    <row r="117" spans="1:11" ht="13">
      <c r="A117" s="32"/>
      <c r="C117" s="14"/>
      <c r="E117" s="6"/>
      <c r="F117" s="6"/>
      <c r="H117" s="6"/>
      <c r="J117" s="46"/>
    </row>
    <row r="118" spans="1:11" ht="13">
      <c r="A118" s="2"/>
      <c r="D118" s="22"/>
      <c r="E118" s="6"/>
      <c r="F118" s="6"/>
      <c r="G118" s="233"/>
      <c r="H118" s="6"/>
      <c r="J118" s="46"/>
    </row>
    <row r="119" spans="1:11" ht="13">
      <c r="A119" s="2"/>
      <c r="C119" s="14"/>
      <c r="D119" s="231"/>
      <c r="E119" s="53"/>
      <c r="F119" s="6"/>
      <c r="G119" s="233"/>
      <c r="H119" s="6"/>
      <c r="J119" s="46"/>
    </row>
    <row r="120" spans="1:11" ht="13">
      <c r="A120" s="2"/>
      <c r="C120" s="14"/>
      <c r="D120" s="231"/>
      <c r="E120" s="6"/>
      <c r="F120" s="6"/>
      <c r="G120" s="233"/>
      <c r="H120" s="6"/>
      <c r="J120" s="46"/>
    </row>
    <row r="121" spans="1:11" ht="13">
      <c r="A121" s="2"/>
    </row>
    <row r="122" spans="1:11" ht="13">
      <c r="A122" s="2"/>
      <c r="B122" s="1"/>
    </row>
    <row r="123" spans="1:11" ht="13">
      <c r="A123" s="2"/>
    </row>
    <row r="124" spans="1:11" ht="13">
      <c r="A124" s="2"/>
    </row>
    <row r="125" spans="1:11" ht="13">
      <c r="A125" s="2"/>
      <c r="F125" s="2"/>
    </row>
    <row r="126" spans="1:11" ht="13">
      <c r="A126" s="2"/>
      <c r="F126" s="2"/>
    </row>
    <row r="127" spans="1:11" ht="13">
      <c r="A127" s="2"/>
      <c r="D127" s="2"/>
      <c r="E127" s="2"/>
      <c r="F127" s="2"/>
      <c r="H127" s="2"/>
    </row>
    <row r="128" spans="1:11" ht="13">
      <c r="A128" s="2"/>
      <c r="D128" s="2"/>
      <c r="E128" s="2"/>
      <c r="F128" s="2"/>
      <c r="G128" s="2"/>
      <c r="H128" s="4"/>
    </row>
    <row r="129" spans="1:8" ht="13">
      <c r="A129" s="32"/>
      <c r="C129" s="18"/>
      <c r="D129" s="18"/>
      <c r="E129" s="3"/>
      <c r="F129" s="48"/>
      <c r="G129" s="3"/>
      <c r="H129" s="4"/>
    </row>
    <row r="130" spans="1:8" ht="13">
      <c r="A130" s="2"/>
      <c r="C130" s="14"/>
      <c r="D130" s="17"/>
      <c r="E130" s="6"/>
      <c r="F130" s="6"/>
      <c r="G130" s="26"/>
      <c r="H130" s="6"/>
    </row>
    <row r="131" spans="1:8" ht="13">
      <c r="A131" s="2"/>
      <c r="C131" s="14"/>
      <c r="D131" s="17"/>
      <c r="E131" s="6"/>
      <c r="F131" s="6"/>
      <c r="G131" s="26"/>
      <c r="H131" s="6"/>
    </row>
    <row r="132" spans="1:8" ht="13">
      <c r="A132" s="2"/>
      <c r="C132" s="14"/>
      <c r="D132" s="17"/>
      <c r="E132" s="6"/>
      <c r="F132" s="6"/>
      <c r="G132" s="26"/>
      <c r="H132" s="6"/>
    </row>
    <row r="133" spans="1:8" ht="13">
      <c r="A133" s="2"/>
      <c r="C133" s="14"/>
      <c r="D133" s="17"/>
      <c r="E133" s="6"/>
      <c r="F133" s="6"/>
      <c r="G133" s="26"/>
      <c r="H133" s="6"/>
    </row>
    <row r="134" spans="1:8" ht="13">
      <c r="A134" s="2"/>
      <c r="C134" s="14"/>
      <c r="D134" s="17"/>
      <c r="E134" s="6"/>
      <c r="F134" s="6"/>
      <c r="G134" s="26"/>
      <c r="H134" s="6"/>
    </row>
    <row r="135" spans="1:8" ht="13">
      <c r="A135" s="2"/>
      <c r="C135" s="14"/>
      <c r="D135" s="17"/>
      <c r="E135" s="6"/>
      <c r="F135" s="6"/>
      <c r="G135" s="26"/>
      <c r="H135" s="6"/>
    </row>
    <row r="136" spans="1:8" ht="13">
      <c r="A136" s="2"/>
      <c r="C136" s="14"/>
      <c r="D136" s="17"/>
      <c r="E136" s="6"/>
      <c r="F136" s="6"/>
      <c r="G136" s="26"/>
      <c r="H136" s="6"/>
    </row>
    <row r="137" spans="1:8" ht="13">
      <c r="A137" s="2"/>
      <c r="C137" s="14"/>
      <c r="D137" s="17"/>
      <c r="E137" s="6"/>
      <c r="F137" s="6"/>
      <c r="G137" s="26"/>
      <c r="H137" s="6"/>
    </row>
    <row r="138" spans="1:8" ht="13">
      <c r="A138" s="2"/>
      <c r="C138" s="14"/>
      <c r="D138" s="17"/>
      <c r="E138" s="6"/>
      <c r="F138" s="6"/>
      <c r="G138" s="26"/>
      <c r="H138" s="6"/>
    </row>
    <row r="139" spans="1:8" ht="13">
      <c r="A139" s="2"/>
      <c r="C139" s="14"/>
      <c r="D139" s="17"/>
      <c r="E139" s="6"/>
      <c r="F139" s="6"/>
      <c r="G139" s="26"/>
      <c r="H139" s="6"/>
    </row>
    <row r="140" spans="1:8" ht="13">
      <c r="A140" s="2"/>
      <c r="C140" s="14"/>
      <c r="D140" s="17"/>
      <c r="E140" s="6"/>
      <c r="F140" s="6"/>
      <c r="G140" s="26"/>
      <c r="H140" s="6"/>
    </row>
    <row r="141" spans="1:8" ht="13">
      <c r="A141" s="2"/>
      <c r="C141" s="14"/>
      <c r="D141" s="17"/>
      <c r="E141" s="6"/>
      <c r="F141" s="6"/>
      <c r="G141" s="26"/>
      <c r="H141" s="53"/>
    </row>
    <row r="142" spans="1:8" ht="13">
      <c r="A142" s="2"/>
      <c r="H142" s="6"/>
    </row>
    <row r="143" spans="1:8" ht="13">
      <c r="A143" s="2"/>
      <c r="C143" s="14"/>
      <c r="D143" s="17"/>
      <c r="F143" s="41"/>
      <c r="G143" s="26"/>
      <c r="H143" s="41"/>
    </row>
    <row r="144" spans="1:8" ht="13">
      <c r="A144" s="2"/>
      <c r="B144" s="1"/>
      <c r="C144" s="14"/>
      <c r="D144" s="17"/>
      <c r="F144" s="41"/>
      <c r="G144" s="26"/>
      <c r="H144" s="41"/>
    </row>
    <row r="145" spans="1:8" ht="13">
      <c r="A145" s="32"/>
      <c r="B145" s="1"/>
      <c r="C145" s="14"/>
      <c r="D145" s="17"/>
      <c r="F145" s="41"/>
      <c r="G145" s="26"/>
      <c r="H145" s="41"/>
    </row>
    <row r="146" spans="1:8" ht="13">
      <c r="A146" s="2"/>
      <c r="C146" s="14"/>
      <c r="D146" s="49"/>
      <c r="E146" s="6"/>
      <c r="F146" s="250"/>
      <c r="G146" s="26"/>
      <c r="H146" s="41"/>
    </row>
    <row r="147" spans="1:8" ht="13">
      <c r="A147" s="2"/>
      <c r="C147" s="14"/>
      <c r="D147" s="25"/>
      <c r="E147" s="6"/>
      <c r="F147" s="250"/>
      <c r="G147" s="26"/>
      <c r="H147" s="41"/>
    </row>
    <row r="148" spans="1:8" ht="13">
      <c r="A148" s="2"/>
      <c r="C148" s="14"/>
      <c r="D148" s="25"/>
      <c r="E148" s="53"/>
      <c r="F148" s="250"/>
      <c r="G148" s="26"/>
      <c r="H148" s="41"/>
    </row>
    <row r="149" spans="1:8" ht="13">
      <c r="A149" s="2"/>
      <c r="C149" s="14"/>
      <c r="D149" s="49"/>
      <c r="E149" s="6"/>
      <c r="F149" s="41"/>
      <c r="G149" s="26"/>
      <c r="H149" s="41"/>
    </row>
    <row r="150" spans="1:8" ht="13">
      <c r="A150" s="2"/>
      <c r="C150" s="14"/>
      <c r="D150" s="17"/>
      <c r="F150" s="41"/>
      <c r="G150" s="26"/>
      <c r="H150" s="41"/>
    </row>
    <row r="151" spans="1:8" ht="13">
      <c r="A151" s="2"/>
    </row>
    <row r="152" spans="1:8" ht="13">
      <c r="A152" s="2"/>
    </row>
    <row r="153" spans="1:8" ht="13">
      <c r="A153" s="2"/>
    </row>
    <row r="154" spans="1:8" ht="13">
      <c r="A154" s="2"/>
      <c r="B154" s="1"/>
    </row>
    <row r="155" spans="1:8" ht="13">
      <c r="A155" s="2"/>
      <c r="B155" s="233"/>
    </row>
    <row r="156" spans="1:8" ht="13">
      <c r="A156" s="2"/>
      <c r="B156" s="233"/>
    </row>
    <row r="157" spans="1:8" ht="13">
      <c r="A157" s="2"/>
      <c r="B157" s="233"/>
    </row>
    <row r="158" spans="1:8" ht="13">
      <c r="A158" s="2"/>
    </row>
    <row r="159" spans="1:8" ht="13">
      <c r="A159" s="2"/>
      <c r="B159" s="1"/>
    </row>
    <row r="160" spans="1:8" ht="13">
      <c r="A160" s="2"/>
    </row>
    <row r="161" spans="1:6" ht="13">
      <c r="A161" s="32"/>
      <c r="C161" s="18"/>
      <c r="D161" s="3"/>
    </row>
    <row r="162" spans="1:6" ht="13">
      <c r="A162" s="2"/>
      <c r="C162" s="14"/>
      <c r="D162" s="80"/>
      <c r="F162" s="7"/>
    </row>
    <row r="163" spans="1:6" ht="13">
      <c r="A163" s="2"/>
      <c r="C163" s="14"/>
      <c r="D163" s="80"/>
      <c r="F163" s="7"/>
    </row>
    <row r="164" spans="1:6" ht="13">
      <c r="A164" s="2"/>
      <c r="C164" s="14"/>
      <c r="D164" s="80"/>
      <c r="F164" s="7"/>
    </row>
    <row r="165" spans="1:6" ht="13">
      <c r="A165" s="2"/>
      <c r="C165" s="14"/>
      <c r="D165" s="80"/>
      <c r="F165" s="7"/>
    </row>
    <row r="166" spans="1:6" ht="13">
      <c r="A166" s="2"/>
      <c r="C166" s="14"/>
      <c r="D166" s="80"/>
      <c r="F166" s="7"/>
    </row>
    <row r="167" spans="1:6" ht="13">
      <c r="A167" s="2"/>
      <c r="C167" s="14"/>
      <c r="D167" s="80"/>
      <c r="F167" s="7"/>
    </row>
    <row r="168" spans="1:6" ht="13">
      <c r="A168" s="2"/>
      <c r="C168" s="14"/>
      <c r="D168" s="80"/>
      <c r="F168" s="7"/>
    </row>
    <row r="169" spans="1:6" ht="13">
      <c r="A169" s="2"/>
      <c r="C169" s="14"/>
      <c r="D169" s="80"/>
      <c r="F169" s="7"/>
    </row>
    <row r="170" spans="1:6" ht="13">
      <c r="A170" s="2"/>
      <c r="C170" s="14"/>
      <c r="D170" s="80"/>
      <c r="F170" s="7"/>
    </row>
    <row r="171" spans="1:6" ht="13">
      <c r="A171" s="2"/>
      <c r="C171" s="14"/>
      <c r="D171" s="80"/>
      <c r="F171" s="7"/>
    </row>
    <row r="172" spans="1:6" ht="13">
      <c r="A172" s="2"/>
      <c r="C172" s="14"/>
      <c r="D172" s="80"/>
      <c r="F172" s="7"/>
    </row>
    <row r="173" spans="1:6" ht="13">
      <c r="A173" s="2"/>
      <c r="C173" s="14"/>
      <c r="D173" s="81"/>
      <c r="F173" s="29"/>
    </row>
    <row r="174" spans="1:6" ht="13">
      <c r="A174" s="2"/>
      <c r="C174" s="22"/>
      <c r="D174" s="80"/>
    </row>
  </sheetData>
  <phoneticPr fontId="24" type="noConversion"/>
  <pageMargins left="0.75" right="0.75" top="1" bottom="1" header="0.5" footer="0.5"/>
  <pageSetup scale="76" orientation="landscape" cellComments="asDisplayed" r:id="rId1"/>
  <headerFooter alignWithMargins="0">
    <oddHeader xml:space="preserve">&amp;CSchedule 4
True Up TRR
</oddHeader>
    <oddFooter>&amp;R&amp;A</oddFooter>
  </headerFooter>
  <rowBreaks count="4" manualBreakCount="4">
    <brk id="47" max="9" man="1"/>
    <brk id="75" max="16383" man="1"/>
    <brk id="121" max="9" man="1"/>
    <brk id="15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6D7C-015C-467D-A95E-076957E0F7FD}">
  <dimension ref="A1:AB54"/>
  <sheetViews>
    <sheetView zoomScaleNormal="100" workbookViewId="0">
      <selection activeCell="L41" sqref="L41"/>
    </sheetView>
  </sheetViews>
  <sheetFormatPr defaultColWidth="8.54296875" defaultRowHeight="12.5"/>
  <cols>
    <col min="1" max="1" width="4.54296875" customWidth="1"/>
    <col min="2" max="2" width="3.54296875" customWidth="1"/>
    <col min="4" max="4" width="13.54296875" customWidth="1"/>
    <col min="6" max="7" width="10.54296875" customWidth="1"/>
    <col min="9" max="9" width="27.54296875" customWidth="1"/>
    <col min="10" max="10" width="30.54296875" customWidth="1"/>
    <col min="11" max="11" width="2.54296875" customWidth="1"/>
    <col min="12" max="12" width="16.54296875" customWidth="1"/>
    <col min="13" max="13" width="1.54296875" customWidth="1"/>
    <col min="14" max="14" width="4.54296875" customWidth="1"/>
    <col min="15" max="28" width="14.54296875" customWidth="1"/>
  </cols>
  <sheetData>
    <row r="1" spans="1:28" ht="13">
      <c r="A1" s="1" t="s">
        <v>560</v>
      </c>
      <c r="J1" s="54" t="s">
        <v>99</v>
      </c>
    </row>
    <row r="2" spans="1:28" ht="13">
      <c r="B2" s="1"/>
      <c r="I2" s="2"/>
      <c r="J2" s="2" t="s">
        <v>101</v>
      </c>
      <c r="L2" s="126"/>
    </row>
    <row r="3" spans="1:28" ht="13">
      <c r="I3" s="3" t="s">
        <v>103</v>
      </c>
      <c r="J3" s="3" t="s">
        <v>104</v>
      </c>
      <c r="L3" s="3" t="s">
        <v>105</v>
      </c>
    </row>
    <row r="5" spans="1:28" ht="13">
      <c r="A5" s="9" t="s">
        <v>148</v>
      </c>
      <c r="B5" s="63"/>
      <c r="C5" s="10"/>
      <c r="D5" s="10"/>
      <c r="E5" s="10"/>
      <c r="F5" s="10"/>
      <c r="G5" s="10"/>
      <c r="H5" s="10"/>
      <c r="I5" s="8"/>
      <c r="J5" s="8"/>
      <c r="K5" s="8"/>
      <c r="L5" s="8"/>
      <c r="N5" s="64"/>
      <c r="O5" s="65"/>
      <c r="P5" s="65"/>
      <c r="Q5" s="65"/>
      <c r="R5" s="65"/>
      <c r="S5" s="65"/>
      <c r="T5" s="65"/>
    </row>
    <row r="6" spans="1:28" ht="13">
      <c r="B6" s="1"/>
      <c r="C6" s="233"/>
      <c r="D6" s="233"/>
      <c r="E6" s="233"/>
      <c r="F6" s="233"/>
      <c r="G6" s="233"/>
      <c r="H6" s="233"/>
      <c r="I6" s="233"/>
      <c r="J6" s="233"/>
      <c r="K6" s="233"/>
      <c r="L6" s="233"/>
      <c r="O6" s="48"/>
      <c r="P6" s="48"/>
      <c r="Q6" s="48"/>
      <c r="R6" s="48"/>
      <c r="S6" s="48"/>
      <c r="T6" s="48"/>
      <c r="U6" s="48"/>
      <c r="V6" s="48"/>
      <c r="W6" s="48"/>
      <c r="X6" s="48"/>
      <c r="Y6" s="48"/>
      <c r="Z6" s="48"/>
      <c r="AA6" s="48"/>
      <c r="AB6" s="48"/>
    </row>
    <row r="7" spans="1:28" ht="13">
      <c r="A7" s="32" t="s">
        <v>102</v>
      </c>
      <c r="B7" s="1"/>
      <c r="C7" s="28" t="s">
        <v>561</v>
      </c>
      <c r="D7" s="233"/>
      <c r="E7" s="233"/>
      <c r="F7" s="233"/>
      <c r="G7" s="233"/>
      <c r="H7" s="233"/>
      <c r="I7" s="233"/>
      <c r="J7" s="233"/>
      <c r="K7" s="233"/>
      <c r="L7" s="233"/>
      <c r="N7" s="32"/>
      <c r="O7" s="25"/>
      <c r="P7" s="244"/>
      <c r="Q7" s="239"/>
      <c r="R7" s="239"/>
      <c r="S7" s="239"/>
      <c r="T7" s="239"/>
      <c r="U7" s="239"/>
      <c r="V7" s="239"/>
      <c r="W7" s="239"/>
      <c r="X7" s="239"/>
      <c r="Y7" s="239"/>
      <c r="Z7" s="239"/>
      <c r="AA7" s="239"/>
      <c r="AB7" s="239"/>
    </row>
    <row r="8" spans="1:28" ht="13">
      <c r="A8" s="2">
        <v>1</v>
      </c>
      <c r="B8" s="1"/>
      <c r="C8" s="233" t="s">
        <v>562</v>
      </c>
      <c r="D8" s="233"/>
      <c r="E8" s="233"/>
      <c r="F8" s="233"/>
      <c r="G8" s="233"/>
      <c r="H8" s="233"/>
      <c r="I8" s="233" t="s">
        <v>563</v>
      </c>
      <c r="J8" s="232" t="str">
        <f>"5-ROR-2, Line "&amp;'5-ROR-2'!A8&amp;""</f>
        <v>5-ROR-2, Line 1</v>
      </c>
      <c r="K8" s="233"/>
      <c r="L8" s="235">
        <f>'5-ROR-2'!C8</f>
        <v>0</v>
      </c>
      <c r="N8" s="2"/>
      <c r="O8" s="235"/>
      <c r="P8" s="235"/>
      <c r="Q8" s="235"/>
      <c r="R8" s="235"/>
      <c r="S8" s="235"/>
      <c r="T8" s="235"/>
      <c r="U8" s="235"/>
      <c r="V8" s="235"/>
      <c r="W8" s="235"/>
      <c r="X8" s="235"/>
      <c r="Y8" s="235"/>
      <c r="Z8" s="235"/>
      <c r="AA8" s="235"/>
      <c r="AB8" s="235"/>
    </row>
    <row r="9" spans="1:28" ht="13">
      <c r="A9" s="2">
        <f>A8+1</f>
        <v>2</v>
      </c>
      <c r="B9" s="1"/>
      <c r="C9" s="233" t="s">
        <v>564</v>
      </c>
      <c r="D9" s="233"/>
      <c r="E9" s="233"/>
      <c r="F9" s="233"/>
      <c r="G9" s="233"/>
      <c r="H9" s="233"/>
      <c r="I9" s="233" t="s">
        <v>563</v>
      </c>
      <c r="J9" s="232" t="str">
        <f>"5-ROR-2, Line "&amp;'5-ROR-2'!A10&amp;""</f>
        <v>5-ROR-2, Line 2</v>
      </c>
      <c r="K9" s="233"/>
      <c r="L9" s="235">
        <f>'5-ROR-2'!C10</f>
        <v>0</v>
      </c>
      <c r="N9" s="2"/>
      <c r="O9" s="235"/>
      <c r="P9" s="235"/>
      <c r="Q9" s="235"/>
      <c r="R9" s="235"/>
      <c r="S9" s="235"/>
      <c r="T9" s="235"/>
      <c r="U9" s="235"/>
      <c r="V9" s="235"/>
      <c r="W9" s="235"/>
      <c r="X9" s="235"/>
      <c r="Y9" s="235"/>
      <c r="Z9" s="235"/>
      <c r="AA9" s="235"/>
      <c r="AB9" s="235"/>
    </row>
    <row r="10" spans="1:28" ht="13">
      <c r="A10" s="2" t="s">
        <v>565</v>
      </c>
      <c r="B10" s="1"/>
      <c r="C10" s="233" t="s">
        <v>566</v>
      </c>
      <c r="D10" s="590"/>
      <c r="E10" s="590"/>
      <c r="F10" s="590"/>
      <c r="G10" s="590"/>
      <c r="H10" s="590"/>
      <c r="I10" s="233" t="s">
        <v>563</v>
      </c>
      <c r="J10" s="232" t="str">
        <f>"5-ROR-2, Line "&amp;'5-ROR-2'!A12&amp;""</f>
        <v>5-ROR-2, Line 2a</v>
      </c>
      <c r="K10" s="233"/>
      <c r="L10" s="235">
        <f>'5-ROR-2'!C12</f>
        <v>0</v>
      </c>
      <c r="N10" s="2"/>
      <c r="O10" s="235"/>
      <c r="P10" s="235"/>
      <c r="Q10" s="235"/>
      <c r="R10" s="235"/>
      <c r="S10" s="235"/>
      <c r="T10" s="235"/>
      <c r="U10" s="235"/>
      <c r="V10" s="235"/>
      <c r="W10" s="235"/>
      <c r="X10" s="235"/>
      <c r="Y10" s="235"/>
      <c r="Z10" s="235"/>
      <c r="AA10" s="235"/>
      <c r="AB10" s="235"/>
    </row>
    <row r="11" spans="1:28" ht="13">
      <c r="A11" s="2">
        <f>A9+1</f>
        <v>3</v>
      </c>
      <c r="B11" s="1"/>
      <c r="C11" s="233" t="s">
        <v>567</v>
      </c>
      <c r="D11" s="233"/>
      <c r="E11" s="233"/>
      <c r="F11" s="233"/>
      <c r="G11" s="233"/>
      <c r="H11" s="233"/>
      <c r="I11" s="233" t="s">
        <v>563</v>
      </c>
      <c r="J11" s="232" t="str">
        <f>"5-ROR-2, Line "&amp;'5-ROR-2'!A14&amp;""</f>
        <v>5-ROR-2, Line 3</v>
      </c>
      <c r="K11" s="233"/>
      <c r="L11" s="235">
        <f>'5-ROR-2'!C14</f>
        <v>0</v>
      </c>
      <c r="N11" s="2"/>
      <c r="O11" s="235"/>
      <c r="P11" s="235"/>
      <c r="Q11" s="235"/>
      <c r="R11" s="235"/>
      <c r="S11" s="235"/>
      <c r="T11" s="235"/>
      <c r="U11" s="235"/>
      <c r="V11" s="235"/>
      <c r="W11" s="235"/>
      <c r="X11" s="235"/>
      <c r="Y11" s="235"/>
      <c r="Z11" s="235"/>
      <c r="AA11" s="235"/>
      <c r="AB11" s="235"/>
    </row>
    <row r="12" spans="1:28" ht="13">
      <c r="A12" s="2">
        <v>4</v>
      </c>
      <c r="B12" s="1"/>
      <c r="C12" s="232" t="s">
        <v>150</v>
      </c>
      <c r="D12" s="233"/>
      <c r="E12" s="233"/>
      <c r="F12" s="233"/>
      <c r="G12" s="233"/>
      <c r="H12" s="233"/>
      <c r="J12" s="232" t="str">
        <f>"L"&amp;A8&amp;" + L"&amp;A9&amp;" + L"&amp;A10&amp;" + L"&amp;A11&amp;""</f>
        <v>L1 + L2 + L2a + L3</v>
      </c>
      <c r="K12" s="233"/>
      <c r="L12" s="869">
        <f>SUM(L8:L11)</f>
        <v>0</v>
      </c>
    </row>
    <row r="13" spans="1:28" ht="13">
      <c r="B13" s="1"/>
      <c r="C13" s="233"/>
      <c r="D13" s="233"/>
      <c r="E13" s="233"/>
      <c r="F13" s="233"/>
      <c r="G13" s="233" t="s">
        <v>132</v>
      </c>
      <c r="H13" s="233"/>
      <c r="I13" s="233"/>
      <c r="J13" s="232"/>
      <c r="K13" s="233"/>
      <c r="L13" s="233"/>
    </row>
    <row r="14" spans="1:28" ht="13">
      <c r="A14" s="2"/>
      <c r="B14" s="1"/>
      <c r="C14" s="28" t="s">
        <v>568</v>
      </c>
      <c r="D14" s="233"/>
      <c r="E14" s="233"/>
      <c r="F14" s="233"/>
      <c r="G14" s="233"/>
      <c r="H14" s="233"/>
      <c r="I14" s="233"/>
      <c r="J14" s="232"/>
      <c r="K14" s="233"/>
      <c r="L14" s="233"/>
    </row>
    <row r="15" spans="1:28" ht="13">
      <c r="A15" s="2">
        <f>A12+1</f>
        <v>5</v>
      </c>
      <c r="B15" s="1"/>
      <c r="C15" s="233" t="s">
        <v>569</v>
      </c>
      <c r="D15" s="233"/>
      <c r="E15" s="233"/>
      <c r="F15" s="233"/>
      <c r="G15" s="233"/>
      <c r="H15" s="233"/>
      <c r="I15" s="233"/>
      <c r="J15" s="232" t="s">
        <v>570</v>
      </c>
      <c r="K15" s="233"/>
      <c r="L15" s="531"/>
    </row>
    <row r="16" spans="1:28" ht="13">
      <c r="A16" s="2">
        <f>A15+1</f>
        <v>6</v>
      </c>
      <c r="B16" s="1"/>
      <c r="C16" s="233" t="s">
        <v>571</v>
      </c>
      <c r="D16" s="233"/>
      <c r="E16" s="233"/>
      <c r="F16" s="233"/>
      <c r="G16" s="233"/>
      <c r="H16" s="233"/>
      <c r="I16" s="233"/>
      <c r="J16" s="232" t="s">
        <v>572</v>
      </c>
      <c r="K16" s="233"/>
      <c r="L16" s="531"/>
    </row>
    <row r="17" spans="1:28" ht="13">
      <c r="A17" s="2">
        <f t="shared" ref="A17:A19" si="0">A16+1</f>
        <v>7</v>
      </c>
      <c r="B17" s="1"/>
      <c r="C17" s="233" t="s">
        <v>573</v>
      </c>
      <c r="D17" s="233"/>
      <c r="E17" s="233"/>
      <c r="F17" s="233"/>
      <c r="G17" s="233"/>
      <c r="H17" s="233"/>
      <c r="I17" s="233"/>
      <c r="J17" s="232" t="s">
        <v>574</v>
      </c>
      <c r="K17" s="233"/>
      <c r="L17" s="531"/>
    </row>
    <row r="18" spans="1:28" ht="13">
      <c r="A18" s="2">
        <f t="shared" si="0"/>
        <v>8</v>
      </c>
      <c r="B18" s="1"/>
      <c r="C18" s="233" t="s">
        <v>575</v>
      </c>
      <c r="D18" s="233"/>
      <c r="E18" s="233"/>
      <c r="F18" s="233"/>
      <c r="G18" s="233"/>
      <c r="H18" s="233"/>
      <c r="I18" s="233" t="s">
        <v>576</v>
      </c>
      <c r="J18" s="232" t="s">
        <v>577</v>
      </c>
      <c r="K18" s="233"/>
      <c r="L18" s="531"/>
    </row>
    <row r="19" spans="1:28" ht="13">
      <c r="A19" s="2">
        <f t="shared" si="0"/>
        <v>9</v>
      </c>
      <c r="B19" s="1"/>
      <c r="C19" s="233" t="s">
        <v>578</v>
      </c>
      <c r="D19" s="233"/>
      <c r="E19" s="233"/>
      <c r="F19" s="233"/>
      <c r="G19" s="233"/>
      <c r="H19" s="233"/>
      <c r="I19" s="233" t="s">
        <v>576</v>
      </c>
      <c r="J19" s="232" t="s">
        <v>579</v>
      </c>
      <c r="K19" s="233"/>
      <c r="L19" s="531"/>
    </row>
    <row r="20" spans="1:28" ht="13">
      <c r="A20" s="2">
        <v>10</v>
      </c>
      <c r="B20" s="1"/>
      <c r="C20" s="233" t="s">
        <v>580</v>
      </c>
      <c r="D20" s="233"/>
      <c r="E20" s="233"/>
      <c r="F20" s="233"/>
      <c r="G20" s="233"/>
      <c r="H20" s="233"/>
      <c r="I20" s="233"/>
      <c r="J20" s="232" t="s">
        <v>581</v>
      </c>
      <c r="K20" s="233"/>
      <c r="L20" s="531"/>
    </row>
    <row r="21" spans="1:28" ht="13">
      <c r="A21" s="2">
        <v>11</v>
      </c>
      <c r="B21" s="1"/>
      <c r="C21" s="232" t="s">
        <v>151</v>
      </c>
      <c r="D21" s="233"/>
      <c r="E21" s="233"/>
      <c r="F21" s="233"/>
      <c r="G21" s="233"/>
      <c r="H21" s="233"/>
      <c r="J21" s="232" t="str">
        <f>"Sum of Lines "&amp;A15&amp;" to "&amp;A20&amp;""</f>
        <v>Sum of Lines 5 to 10</v>
      </c>
      <c r="K21" s="233"/>
      <c r="L21" s="869">
        <f>SUM(L15:L20)</f>
        <v>0</v>
      </c>
    </row>
    <row r="22" spans="1:28" ht="13">
      <c r="B22" s="1"/>
      <c r="C22" s="233"/>
      <c r="D22" s="233"/>
      <c r="E22" s="233"/>
      <c r="F22" s="233"/>
      <c r="G22" s="233"/>
      <c r="H22" s="233"/>
      <c r="I22" s="233"/>
      <c r="J22" s="232"/>
      <c r="K22" s="233"/>
      <c r="L22" s="233"/>
    </row>
    <row r="23" spans="1:28" ht="13">
      <c r="A23" s="2">
        <f>A21+1</f>
        <v>12</v>
      </c>
      <c r="B23" s="1"/>
      <c r="C23" s="233" t="s">
        <v>582</v>
      </c>
      <c r="D23" s="233"/>
      <c r="E23" s="233"/>
      <c r="F23" s="233"/>
      <c r="G23" s="233"/>
      <c r="H23" s="233"/>
      <c r="J23" s="232" t="str">
        <f>"Line "&amp;A21&amp;" / Line "&amp;A12&amp;""</f>
        <v>Line 11 / Line 4</v>
      </c>
      <c r="K23" s="233"/>
      <c r="L23" s="203" t="e">
        <f>L21/L12</f>
        <v>#DIV/0!</v>
      </c>
    </row>
    <row r="24" spans="1:28" ht="13">
      <c r="A24" s="2"/>
      <c r="B24" s="1"/>
      <c r="C24" s="233"/>
      <c r="D24" s="233"/>
      <c r="E24" s="233"/>
      <c r="F24" s="233"/>
      <c r="G24" s="233"/>
      <c r="H24" s="233"/>
      <c r="J24" s="232"/>
      <c r="K24" s="233"/>
      <c r="L24" s="203"/>
    </row>
    <row r="25" spans="1:28" ht="13">
      <c r="B25" s="1"/>
      <c r="C25" s="28" t="s">
        <v>583</v>
      </c>
      <c r="D25" s="233"/>
      <c r="E25" s="233"/>
      <c r="F25" s="233"/>
      <c r="G25" s="233"/>
      <c r="H25" s="233"/>
      <c r="I25" s="233"/>
      <c r="J25" s="232"/>
      <c r="K25" s="233"/>
      <c r="L25" s="233"/>
    </row>
    <row r="26" spans="1:28" ht="13">
      <c r="A26" s="2">
        <f>A23+1</f>
        <v>13</v>
      </c>
      <c r="B26" s="1"/>
      <c r="C26" s="233" t="s">
        <v>584</v>
      </c>
      <c r="D26" s="233"/>
      <c r="E26" s="233"/>
      <c r="F26" s="233"/>
      <c r="G26" s="233"/>
      <c r="H26" s="233"/>
      <c r="I26" s="233" t="s">
        <v>563</v>
      </c>
      <c r="J26" s="232" t="str">
        <f>"5-ROR-2, Line "&amp;'5-ROR-2'!A16&amp;""</f>
        <v>5-ROR-2, Line 4</v>
      </c>
      <c r="K26" s="233"/>
      <c r="L26" s="235">
        <f>'5-ROR-2'!C16</f>
        <v>0</v>
      </c>
      <c r="N26" s="2"/>
      <c r="O26" s="235"/>
      <c r="P26" s="235"/>
      <c r="Q26" s="235"/>
      <c r="R26" s="235"/>
      <c r="S26" s="235"/>
      <c r="T26" s="235"/>
      <c r="U26" s="235"/>
      <c r="V26" s="235"/>
      <c r="W26" s="235"/>
      <c r="X26" s="235"/>
      <c r="Y26" s="235"/>
      <c r="Z26" s="235"/>
      <c r="AA26" s="235"/>
      <c r="AB26" s="235"/>
    </row>
    <row r="27" spans="1:28" ht="13">
      <c r="A27" s="2">
        <f t="shared" ref="A27:A28" si="1">A26+1</f>
        <v>14</v>
      </c>
      <c r="B27" s="1"/>
      <c r="C27" s="233" t="s">
        <v>585</v>
      </c>
      <c r="D27" s="233"/>
      <c r="E27" s="233"/>
      <c r="F27" s="233"/>
      <c r="G27" s="233"/>
      <c r="H27" s="233"/>
      <c r="I27" s="233" t="s">
        <v>563</v>
      </c>
      <c r="J27" s="232" t="str">
        <f>"5-ROR-2, Line "&amp;'5-ROR-2'!A18&amp;""</f>
        <v>5-ROR-2, Line 5</v>
      </c>
      <c r="K27" s="233"/>
      <c r="L27" s="235">
        <f>'5-ROR-2'!C18</f>
        <v>0</v>
      </c>
      <c r="N27" s="2"/>
      <c r="O27" s="235"/>
      <c r="P27" s="235"/>
      <c r="Q27" s="235"/>
      <c r="R27" s="235"/>
      <c r="S27" s="235"/>
      <c r="T27" s="235"/>
      <c r="U27" s="235"/>
      <c r="V27" s="235"/>
      <c r="W27" s="235"/>
      <c r="X27" s="235"/>
      <c r="Y27" s="235"/>
      <c r="Z27" s="235"/>
      <c r="AA27" s="235"/>
      <c r="AB27" s="235"/>
    </row>
    <row r="28" spans="1:28" ht="13">
      <c r="A28" s="2">
        <f t="shared" si="1"/>
        <v>15</v>
      </c>
      <c r="B28" s="1"/>
      <c r="C28" s="233" t="s">
        <v>586</v>
      </c>
      <c r="D28" s="233"/>
      <c r="E28" s="233"/>
      <c r="F28" s="233"/>
      <c r="G28" s="233"/>
      <c r="H28" s="233"/>
      <c r="I28" s="233" t="s">
        <v>563</v>
      </c>
      <c r="J28" s="232" t="str">
        <f>"5-ROR-2, Line "&amp;'5-ROR-2'!A20&amp;""</f>
        <v>5-ROR-2, Line 6</v>
      </c>
      <c r="K28" s="233"/>
      <c r="L28" s="658">
        <f>'5-ROR-2'!C20</f>
        <v>0</v>
      </c>
      <c r="N28" s="2"/>
      <c r="O28" s="235"/>
      <c r="P28" s="235"/>
      <c r="Q28" s="235"/>
      <c r="R28" s="235"/>
      <c r="S28" s="235"/>
      <c r="T28" s="235"/>
      <c r="U28" s="235"/>
      <c r="V28" s="235"/>
      <c r="W28" s="235"/>
      <c r="X28" s="235"/>
      <c r="Y28" s="235"/>
      <c r="Z28" s="235"/>
      <c r="AA28" s="235"/>
      <c r="AB28" s="235"/>
    </row>
    <row r="29" spans="1:28" ht="13">
      <c r="A29" s="2">
        <f>A28+1</f>
        <v>16</v>
      </c>
      <c r="B29" s="1"/>
      <c r="C29" s="232" t="s">
        <v>154</v>
      </c>
      <c r="D29" s="233"/>
      <c r="E29" s="233"/>
      <c r="F29" s="233"/>
      <c r="G29" s="233"/>
      <c r="H29" s="233"/>
      <c r="I29" s="233"/>
      <c r="J29" s="232" t="str">
        <f>"Sum of Lines "&amp;A26&amp;" to "&amp;A28&amp;""</f>
        <v>Sum of Lines 13 to 15</v>
      </c>
      <c r="K29" s="233"/>
      <c r="L29" s="235">
        <f>SUM(L26:L28)</f>
        <v>0</v>
      </c>
    </row>
    <row r="30" spans="1:28" ht="13">
      <c r="A30" s="2"/>
      <c r="B30" s="1"/>
      <c r="C30" s="233"/>
      <c r="D30" s="233"/>
      <c r="E30" s="233"/>
      <c r="F30" s="233"/>
      <c r="G30" s="233"/>
      <c r="H30" s="233"/>
      <c r="I30" s="233"/>
      <c r="J30" s="232"/>
      <c r="K30" s="233"/>
      <c r="L30" s="235"/>
    </row>
    <row r="31" spans="1:28" ht="13">
      <c r="A31" s="2"/>
      <c r="B31" s="1"/>
      <c r="C31" s="28" t="s">
        <v>587</v>
      </c>
      <c r="D31" s="233"/>
      <c r="E31" s="233"/>
      <c r="F31" s="233"/>
      <c r="G31" s="233"/>
      <c r="H31" s="233"/>
      <c r="I31" s="233"/>
      <c r="J31" s="232"/>
      <c r="K31" s="233"/>
      <c r="L31" s="235"/>
    </row>
    <row r="32" spans="1:28" ht="13">
      <c r="A32" s="2">
        <f>A29+1</f>
        <v>17</v>
      </c>
      <c r="B32" s="1"/>
      <c r="C32" s="233" t="s">
        <v>588</v>
      </c>
      <c r="D32" s="233"/>
      <c r="E32" s="233"/>
      <c r="F32" s="233"/>
      <c r="G32" s="233"/>
      <c r="H32" s="233"/>
      <c r="I32" s="233" t="s">
        <v>589</v>
      </c>
      <c r="J32" s="232" t="s">
        <v>590</v>
      </c>
      <c r="K32" s="233"/>
      <c r="L32" s="531"/>
    </row>
    <row r="33" spans="1:28" ht="13">
      <c r="A33" s="2">
        <f>A32+1</f>
        <v>18</v>
      </c>
      <c r="B33" s="1"/>
      <c r="C33" s="233" t="s">
        <v>591</v>
      </c>
      <c r="D33" s="233"/>
      <c r="E33" s="233"/>
      <c r="F33" s="233"/>
      <c r="G33" s="233"/>
      <c r="H33" s="233"/>
      <c r="I33" s="233"/>
      <c r="J33" s="232" t="s">
        <v>592</v>
      </c>
      <c r="K33" s="233"/>
      <c r="L33" s="235">
        <f>'5-ROR-2'!H67</f>
        <v>0</v>
      </c>
    </row>
    <row r="34" spans="1:28" ht="13">
      <c r="A34" s="2">
        <f>A33+1</f>
        <v>19</v>
      </c>
      <c r="B34" s="1"/>
      <c r="C34" s="233" t="s">
        <v>593</v>
      </c>
      <c r="D34" s="233"/>
      <c r="E34" s="233"/>
      <c r="F34" s="233"/>
      <c r="G34" s="233"/>
      <c r="H34" s="233"/>
      <c r="I34" s="233"/>
      <c r="J34" s="232" t="s">
        <v>357</v>
      </c>
      <c r="K34" s="233"/>
      <c r="L34" s="235">
        <f>'5-ROR-2'!I52</f>
        <v>0</v>
      </c>
    </row>
    <row r="35" spans="1:28" ht="13">
      <c r="A35" s="2">
        <f t="shared" ref="A35" si="2">A34+1</f>
        <v>20</v>
      </c>
      <c r="B35" s="1"/>
      <c r="C35" s="232" t="s">
        <v>588</v>
      </c>
      <c r="D35" s="233"/>
      <c r="E35" s="233"/>
      <c r="F35" s="233"/>
      <c r="G35" s="233"/>
      <c r="H35" s="233"/>
      <c r="J35" s="232" t="str">
        <f>"Sum of Lines "&amp;A32&amp;" to "&amp;A34&amp;""</f>
        <v>Sum of Lines 17 to 19</v>
      </c>
      <c r="K35" s="233"/>
      <c r="L35" s="869">
        <f>SUM(L32:L34)</f>
        <v>0</v>
      </c>
    </row>
    <row r="36" spans="1:28" ht="13">
      <c r="B36" s="1"/>
      <c r="C36" s="233"/>
      <c r="D36" s="233"/>
      <c r="E36" s="233"/>
      <c r="F36" s="233"/>
      <c r="G36" s="233"/>
      <c r="H36" s="233"/>
      <c r="I36" s="233"/>
      <c r="J36" s="232"/>
      <c r="K36" s="233"/>
      <c r="L36" s="235"/>
    </row>
    <row r="37" spans="1:28" ht="13">
      <c r="A37" s="2">
        <f>A35+1</f>
        <v>21</v>
      </c>
      <c r="B37" s="1"/>
      <c r="C37" s="233" t="s">
        <v>156</v>
      </c>
      <c r="D37" s="233"/>
      <c r="E37" s="233"/>
      <c r="F37" s="233"/>
      <c r="G37" s="233"/>
      <c r="H37" s="233"/>
      <c r="J37" s="232" t="str">
        <f>"Line "&amp;A35&amp;" / Line "&amp;A29&amp;""</f>
        <v>Line 20 / Line 16</v>
      </c>
      <c r="K37" s="233"/>
      <c r="L37" s="203" t="e">
        <f>L35/L29</f>
        <v>#DIV/0!</v>
      </c>
    </row>
    <row r="38" spans="1:28" ht="13">
      <c r="B38" s="1"/>
      <c r="C38" s="233"/>
      <c r="D38" s="233"/>
      <c r="E38" s="233"/>
      <c r="F38" s="233"/>
      <c r="G38" s="233"/>
      <c r="H38" s="233"/>
      <c r="I38" s="233"/>
      <c r="J38" s="232"/>
      <c r="K38" s="233"/>
      <c r="L38" s="233"/>
    </row>
    <row r="39" spans="1:28" ht="13">
      <c r="B39" s="1"/>
      <c r="C39" s="28" t="s">
        <v>594</v>
      </c>
      <c r="D39" s="233"/>
      <c r="E39" s="233"/>
      <c r="F39" s="233"/>
      <c r="G39" s="233"/>
      <c r="H39" s="233"/>
      <c r="I39" s="604"/>
      <c r="J39" s="232"/>
      <c r="K39" s="233"/>
      <c r="L39" s="233"/>
    </row>
    <row r="40" spans="1:28" ht="13">
      <c r="A40" s="2">
        <f>A37+1</f>
        <v>22</v>
      </c>
      <c r="B40" s="1"/>
      <c r="C40" s="233" t="s">
        <v>595</v>
      </c>
      <c r="D40" s="233"/>
      <c r="E40" s="233"/>
      <c r="F40" s="233"/>
      <c r="G40" s="233"/>
      <c r="H40" s="233"/>
      <c r="I40" s="233" t="s">
        <v>563</v>
      </c>
      <c r="J40" s="232" t="str">
        <f>"5-ROR-2, Line "&amp;'5-ROR-2'!A22&amp;""</f>
        <v>5-ROR-2, Line 7</v>
      </c>
      <c r="K40" s="233"/>
      <c r="L40" s="235">
        <f>'5-ROR-2'!C22</f>
        <v>0</v>
      </c>
      <c r="N40" s="2"/>
      <c r="O40" s="235"/>
      <c r="P40" s="235"/>
      <c r="Q40" s="235"/>
      <c r="R40" s="235"/>
      <c r="S40" s="235"/>
      <c r="T40" s="235"/>
      <c r="U40" s="235"/>
      <c r="V40" s="235"/>
      <c r="W40" s="235"/>
      <c r="X40" s="235"/>
      <c r="Y40" s="235"/>
      <c r="Z40" s="235"/>
      <c r="AA40" s="235"/>
      <c r="AB40" s="235"/>
    </row>
    <row r="41" spans="1:28" ht="13">
      <c r="A41" s="2">
        <f>A40+1</f>
        <v>23</v>
      </c>
      <c r="B41" s="1"/>
      <c r="C41" s="233" t="s">
        <v>596</v>
      </c>
      <c r="D41" s="233"/>
      <c r="E41" s="233"/>
      <c r="F41" s="233"/>
      <c r="G41" s="233"/>
      <c r="H41" s="233"/>
      <c r="I41" s="233" t="str">
        <f>"Same as L "&amp;A26&amp;", but negative"</f>
        <v>Same as L 13, but negative</v>
      </c>
      <c r="J41" s="232" t="str">
        <f>"5-ROR-2, Line "&amp;'5-ROR-2'!A16&amp;""</f>
        <v>5-ROR-2, Line 4</v>
      </c>
      <c r="K41" s="233"/>
      <c r="L41" s="235">
        <f>-'5-ROR-2'!C16</f>
        <v>0</v>
      </c>
      <c r="N41" s="2"/>
      <c r="O41" s="235"/>
      <c r="P41" s="235"/>
      <c r="Q41" s="235"/>
      <c r="R41" s="235"/>
      <c r="S41" s="235"/>
      <c r="T41" s="235"/>
      <c r="U41" s="235"/>
      <c r="V41" s="235"/>
      <c r="W41" s="235"/>
      <c r="X41" s="235"/>
      <c r="Y41" s="235"/>
      <c r="Z41" s="235"/>
      <c r="AA41" s="235"/>
      <c r="AB41" s="235"/>
    </row>
    <row r="42" spans="1:28" ht="13">
      <c r="A42" s="2">
        <f t="shared" ref="A42:A44" si="3">A41+1</f>
        <v>24</v>
      </c>
      <c r="B42" s="1"/>
      <c r="C42" s="233" t="s">
        <v>597</v>
      </c>
      <c r="D42" s="233"/>
      <c r="E42" s="233"/>
      <c r="F42" s="233"/>
      <c r="G42" s="233"/>
      <c r="H42" s="233"/>
      <c r="I42" s="233" t="str">
        <f>"Same as L "&amp;A28&amp;", but reverse sign"</f>
        <v>Same as L 15, but reverse sign</v>
      </c>
      <c r="J42" s="232" t="s">
        <v>358</v>
      </c>
      <c r="K42" s="233"/>
      <c r="L42" s="235">
        <f>-L28</f>
        <v>0</v>
      </c>
      <c r="N42" s="2"/>
      <c r="O42" s="235"/>
      <c r="P42" s="235"/>
      <c r="Q42" s="235"/>
      <c r="R42" s="235"/>
      <c r="S42" s="235"/>
      <c r="T42" s="235"/>
      <c r="U42" s="235"/>
      <c r="V42" s="235"/>
      <c r="W42" s="235"/>
      <c r="X42" s="235"/>
      <c r="Y42" s="235"/>
      <c r="Z42" s="235"/>
      <c r="AA42" s="235"/>
      <c r="AB42" s="235"/>
    </row>
    <row r="43" spans="1:28" ht="13">
      <c r="A43" s="2">
        <f t="shared" si="3"/>
        <v>25</v>
      </c>
      <c r="B43" s="1"/>
      <c r="C43" s="233" t="s">
        <v>598</v>
      </c>
      <c r="D43" s="233"/>
      <c r="E43" s="233"/>
      <c r="F43" s="233"/>
      <c r="G43" s="233"/>
      <c r="H43" s="233"/>
      <c r="I43" s="233" t="s">
        <v>563</v>
      </c>
      <c r="J43" s="232" t="str">
        <f>"5-ROR-2, Line "&amp;'5-ROR-2'!A24&amp;""</f>
        <v>5-ROR-2, Line 8</v>
      </c>
      <c r="K43" s="233"/>
      <c r="L43" s="235">
        <f>'5-ROR-2'!C24</f>
        <v>0</v>
      </c>
      <c r="N43" s="2"/>
      <c r="O43" s="235"/>
      <c r="P43" s="235"/>
      <c r="Q43" s="235"/>
      <c r="R43" s="235"/>
      <c r="S43" s="235"/>
      <c r="T43" s="235"/>
      <c r="U43" s="235"/>
      <c r="V43" s="235"/>
      <c r="W43" s="235"/>
      <c r="X43" s="235"/>
      <c r="Y43" s="235"/>
      <c r="Z43" s="235"/>
      <c r="AA43" s="235"/>
      <c r="AB43" s="235"/>
    </row>
    <row r="44" spans="1:28" ht="13">
      <c r="A44" s="2">
        <f t="shared" si="3"/>
        <v>26</v>
      </c>
      <c r="B44" s="1"/>
      <c r="C44" s="233" t="s">
        <v>599</v>
      </c>
      <c r="D44" s="233"/>
      <c r="E44" s="233"/>
      <c r="F44" s="233"/>
      <c r="G44" s="233"/>
      <c r="H44" s="233"/>
      <c r="I44" s="233" t="s">
        <v>563</v>
      </c>
      <c r="J44" s="232" t="str">
        <f>"5-ROR-2, Line "&amp;'5-ROR-2'!A26&amp;""</f>
        <v>5-ROR-2, Line 9</v>
      </c>
      <c r="K44" s="233"/>
      <c r="L44" s="235">
        <f>'5-ROR-2'!C26</f>
        <v>0</v>
      </c>
      <c r="N44" s="2"/>
      <c r="O44" s="235"/>
      <c r="P44" s="235"/>
      <c r="Q44" s="235"/>
      <c r="R44" s="235"/>
      <c r="S44" s="235"/>
      <c r="T44" s="235"/>
      <c r="U44" s="235"/>
      <c r="V44" s="235"/>
      <c r="W44" s="235"/>
      <c r="X44" s="235"/>
      <c r="Y44" s="235"/>
      <c r="Z44" s="235"/>
      <c r="AA44" s="235"/>
      <c r="AB44" s="235"/>
    </row>
    <row r="45" spans="1:28" ht="13">
      <c r="A45" s="2">
        <f>A44+1</f>
        <v>27</v>
      </c>
      <c r="B45" s="1"/>
      <c r="C45" s="233" t="s">
        <v>158</v>
      </c>
      <c r="D45" s="233"/>
      <c r="E45" s="233"/>
      <c r="F45" s="233"/>
      <c r="G45" s="233"/>
      <c r="H45" s="233"/>
      <c r="I45" s="233"/>
      <c r="J45" s="232" t="str">
        <f>"Sum of Lines "&amp;A40&amp;" to "&amp;A44&amp;""</f>
        <v>Sum of Lines 22 to 26</v>
      </c>
      <c r="K45" s="233"/>
      <c r="L45" s="869">
        <f>SUM(L40:L44)</f>
        <v>0</v>
      </c>
    </row>
    <row r="46" spans="1:28" ht="13">
      <c r="A46" s="2"/>
      <c r="B46" s="1"/>
      <c r="C46" s="233"/>
      <c r="D46" s="233"/>
      <c r="E46" s="233"/>
      <c r="F46" s="233"/>
      <c r="G46" s="233"/>
      <c r="H46" s="233"/>
      <c r="I46" s="233"/>
      <c r="J46" s="232"/>
      <c r="K46" s="233"/>
      <c r="L46" s="235"/>
    </row>
    <row r="47" spans="1:28" ht="13">
      <c r="B47" s="30" t="s">
        <v>233</v>
      </c>
      <c r="C47" s="233"/>
      <c r="D47" s="233"/>
      <c r="E47" s="233"/>
      <c r="F47" s="233"/>
      <c r="G47" s="233"/>
      <c r="H47" s="233"/>
      <c r="I47" s="233"/>
      <c r="J47" s="233"/>
      <c r="K47" s="233"/>
      <c r="L47" s="233"/>
    </row>
    <row r="48" spans="1:28">
      <c r="B48" s="233" t="s">
        <v>600</v>
      </c>
      <c r="J48" s="233"/>
    </row>
    <row r="49" spans="2:2">
      <c r="B49" s="233" t="s">
        <v>601</v>
      </c>
    </row>
    <row r="50" spans="2:2">
      <c r="B50" s="243" t="str">
        <f>"3) Negative of Line "&amp;A28&amp;""&amp;", charge to common equity reversed for ratemaking."</f>
        <v>3) Negative of Line 15, charge to common equity reversed for ratemaking.</v>
      </c>
    </row>
    <row r="51" spans="2:2">
      <c r="B51" s="233"/>
    </row>
    <row r="52" spans="2:2">
      <c r="B52" s="232"/>
    </row>
    <row r="53" spans="2:2">
      <c r="B53" s="233"/>
    </row>
    <row r="54" spans="2:2">
      <c r="B54" s="232"/>
    </row>
  </sheetData>
  <pageMargins left="0.7" right="0.7" top="0.75" bottom="0.75" header="0.3" footer="0.3"/>
  <pageSetup scale="55" orientation="landscape" r:id="rId1"/>
  <headerFooter>
    <oddHeader>&amp;CSchedule 5 ROR-1
Return and Capitalization</oddHeader>
    <oddFooter>&amp;R&amp;A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81"/>
  <sheetViews>
    <sheetView topLeftCell="C1" zoomScaleNormal="100" workbookViewId="0">
      <selection activeCell="L41" sqref="L41"/>
    </sheetView>
  </sheetViews>
  <sheetFormatPr defaultColWidth="8.54296875" defaultRowHeight="12.5"/>
  <cols>
    <col min="1" max="1" width="4.54296875" customWidth="1"/>
    <col min="2" max="2" width="6.453125" customWidth="1"/>
    <col min="3" max="3" width="15.54296875" customWidth="1"/>
    <col min="4" max="4" width="16.453125" customWidth="1"/>
    <col min="5" max="15" width="14.54296875" customWidth="1"/>
    <col min="16" max="16" width="15.453125" bestFit="1" customWidth="1"/>
  </cols>
  <sheetData>
    <row r="1" spans="1:17" ht="13">
      <c r="A1" s="1" t="s">
        <v>602</v>
      </c>
      <c r="B1" s="1"/>
    </row>
    <row r="2" spans="1:17" ht="13">
      <c r="A2" s="2" t="s">
        <v>603</v>
      </c>
      <c r="B2" s="532"/>
      <c r="D2" s="39" t="s">
        <v>200</v>
      </c>
      <c r="E2" s="240" t="s">
        <v>604</v>
      </c>
      <c r="F2" s="193"/>
    </row>
    <row r="3" spans="1:17" ht="13">
      <c r="C3" s="48" t="s">
        <v>347</v>
      </c>
      <c r="D3" s="48" t="s">
        <v>348</v>
      </c>
      <c r="E3" s="48" t="s">
        <v>349</v>
      </c>
      <c r="F3" s="48" t="s">
        <v>350</v>
      </c>
      <c r="G3" s="48" t="s">
        <v>351</v>
      </c>
      <c r="H3" s="48" t="s">
        <v>352</v>
      </c>
      <c r="I3" s="48" t="s">
        <v>353</v>
      </c>
      <c r="J3" s="48" t="s">
        <v>354</v>
      </c>
      <c r="K3" s="48" t="s">
        <v>355</v>
      </c>
      <c r="L3" s="48" t="s">
        <v>605</v>
      </c>
      <c r="M3" s="48" t="s">
        <v>606</v>
      </c>
      <c r="N3" s="48" t="s">
        <v>607</v>
      </c>
      <c r="O3" s="48" t="s">
        <v>608</v>
      </c>
      <c r="P3" s="48" t="s">
        <v>609</v>
      </c>
    </row>
    <row r="4" spans="1:17" ht="13">
      <c r="A4" s="3" t="s">
        <v>102</v>
      </c>
      <c r="B4" s="3" t="s">
        <v>253</v>
      </c>
      <c r="C4" s="25" t="s">
        <v>483</v>
      </c>
      <c r="D4" s="244" t="s">
        <v>390</v>
      </c>
      <c r="E4" s="239" t="s">
        <v>392</v>
      </c>
      <c r="F4" s="239" t="s">
        <v>393</v>
      </c>
      <c r="G4" s="239" t="s">
        <v>394</v>
      </c>
      <c r="H4" s="239" t="s">
        <v>395</v>
      </c>
      <c r="I4" s="239" t="s">
        <v>396</v>
      </c>
      <c r="J4" s="239" t="s">
        <v>610</v>
      </c>
      <c r="K4" s="239" t="s">
        <v>398</v>
      </c>
      <c r="L4" s="239" t="s">
        <v>399</v>
      </c>
      <c r="M4" s="239" t="s">
        <v>400</v>
      </c>
      <c r="N4" s="239" t="s">
        <v>401</v>
      </c>
      <c r="O4" s="239" t="s">
        <v>402</v>
      </c>
      <c r="P4" s="239" t="s">
        <v>390</v>
      </c>
    </row>
    <row r="5" spans="1:17" ht="13">
      <c r="A5" s="3"/>
      <c r="B5" s="3"/>
      <c r="C5" s="239" t="s">
        <v>611</v>
      </c>
      <c r="D5" s="244"/>
      <c r="E5" s="239"/>
      <c r="F5" s="239"/>
      <c r="G5" s="239"/>
      <c r="H5" s="239"/>
      <c r="I5" s="239"/>
      <c r="J5" s="239"/>
      <c r="K5" s="239"/>
      <c r="L5" s="239"/>
      <c r="M5" s="239"/>
      <c r="N5" s="239"/>
      <c r="O5" s="239"/>
      <c r="P5" s="239"/>
    </row>
    <row r="6" spans="1:17" ht="13">
      <c r="A6" s="32"/>
      <c r="B6" s="32"/>
      <c r="C6" s="25"/>
      <c r="D6" s="244"/>
      <c r="E6" s="239"/>
      <c r="F6" s="239"/>
      <c r="G6" s="239"/>
      <c r="H6" s="239"/>
      <c r="I6" s="239"/>
      <c r="J6" s="239"/>
      <c r="K6" s="239"/>
      <c r="L6" s="239"/>
      <c r="M6" s="239"/>
      <c r="N6" s="239"/>
      <c r="O6" s="239"/>
      <c r="P6" s="239"/>
    </row>
    <row r="7" spans="1:17" ht="13">
      <c r="B7" s="1" t="s">
        <v>612</v>
      </c>
      <c r="D7" s="244"/>
      <c r="E7" s="239"/>
      <c r="F7" s="239"/>
      <c r="G7" s="239"/>
      <c r="H7" s="239"/>
      <c r="I7" s="239"/>
      <c r="J7" s="239"/>
      <c r="K7" s="239"/>
      <c r="L7" s="239"/>
      <c r="M7" s="239"/>
      <c r="N7" s="239"/>
      <c r="O7" s="239"/>
      <c r="P7" s="239"/>
    </row>
    <row r="8" spans="1:17" ht="13">
      <c r="A8" s="2">
        <v>1</v>
      </c>
      <c r="B8" s="2"/>
      <c r="C8" s="235">
        <f>SUM(D8:P8)/13</f>
        <v>0</v>
      </c>
      <c r="D8" s="531"/>
      <c r="E8" s="531"/>
      <c r="F8" s="531"/>
      <c r="G8" s="531"/>
      <c r="H8" s="531"/>
      <c r="I8" s="531"/>
      <c r="J8" s="531"/>
      <c r="K8" s="531"/>
      <c r="L8" s="531"/>
      <c r="M8" s="531"/>
      <c r="N8" s="531"/>
      <c r="O8" s="531"/>
      <c r="P8" s="531"/>
      <c r="Q8" s="233"/>
    </row>
    <row r="9" spans="1:17" ht="13">
      <c r="A9" s="2"/>
      <c r="B9" s="1" t="s">
        <v>613</v>
      </c>
      <c r="C9" s="6"/>
      <c r="D9" s="235"/>
      <c r="E9" s="235"/>
      <c r="F9" s="235"/>
      <c r="G9" s="235"/>
      <c r="H9" s="235"/>
      <c r="I9" s="235"/>
      <c r="J9" s="235"/>
      <c r="K9" s="235"/>
      <c r="L9" s="235"/>
      <c r="M9" s="235"/>
      <c r="N9" s="235"/>
      <c r="O9" s="235"/>
      <c r="P9" s="235"/>
    </row>
    <row r="10" spans="1:17" ht="13">
      <c r="A10" s="2">
        <f>A8+1</f>
        <v>2</v>
      </c>
      <c r="B10" s="2"/>
      <c r="C10" s="235">
        <f t="shared" ref="C10:C14" si="0">SUM(D10:P10)/13</f>
        <v>0</v>
      </c>
      <c r="D10" s="531"/>
      <c r="E10" s="531"/>
      <c r="F10" s="531"/>
      <c r="G10" s="531"/>
      <c r="H10" s="531"/>
      <c r="I10" s="531"/>
      <c r="J10" s="531"/>
      <c r="K10" s="531"/>
      <c r="L10" s="531"/>
      <c r="M10" s="531"/>
      <c r="N10" s="531"/>
      <c r="O10" s="531"/>
      <c r="P10" s="531"/>
      <c r="Q10" s="233"/>
    </row>
    <row r="11" spans="1:17" ht="13">
      <c r="A11" s="2"/>
      <c r="B11" s="1" t="s">
        <v>614</v>
      </c>
      <c r="D11" s="235"/>
      <c r="E11" s="235"/>
      <c r="F11" s="235"/>
      <c r="G11" s="235"/>
      <c r="H11" s="235"/>
      <c r="I11" s="235"/>
      <c r="J11" s="235"/>
      <c r="K11" s="235"/>
      <c r="L11" s="235"/>
      <c r="M11" s="235"/>
      <c r="N11" s="235"/>
      <c r="O11" s="235"/>
      <c r="P11" s="235"/>
    </row>
    <row r="12" spans="1:17" ht="13">
      <c r="A12" s="2" t="s">
        <v>565</v>
      </c>
      <c r="B12" s="1"/>
      <c r="C12" s="235">
        <f>SUM(D12:P12)/13</f>
        <v>0</v>
      </c>
      <c r="D12" s="253"/>
      <c r="E12" s="253"/>
      <c r="F12" s="253"/>
      <c r="G12" s="253"/>
      <c r="H12" s="253"/>
      <c r="I12" s="253"/>
      <c r="J12" s="253"/>
      <c r="K12" s="253"/>
      <c r="L12" s="253"/>
      <c r="M12" s="253"/>
      <c r="N12" s="253"/>
      <c r="O12" s="253"/>
      <c r="P12" s="253"/>
      <c r="Q12" s="233"/>
    </row>
    <row r="13" spans="1:17" ht="13">
      <c r="A13" s="2"/>
      <c r="B13" s="1" t="s">
        <v>615</v>
      </c>
      <c r="D13" s="235"/>
      <c r="E13" s="235"/>
      <c r="F13" s="235"/>
      <c r="G13" s="235"/>
      <c r="H13" s="235"/>
      <c r="I13" s="235"/>
      <c r="J13" s="235"/>
      <c r="K13" s="235"/>
      <c r="L13" s="235"/>
      <c r="M13" s="235"/>
      <c r="N13" s="235"/>
      <c r="O13" s="235"/>
      <c r="P13" s="235"/>
    </row>
    <row r="14" spans="1:17" ht="13">
      <c r="A14" s="2">
        <f>A10+1</f>
        <v>3</v>
      </c>
      <c r="B14" s="2"/>
      <c r="C14" s="235">
        <f t="shared" si="0"/>
        <v>0</v>
      </c>
      <c r="D14" s="531"/>
      <c r="E14" s="531"/>
      <c r="F14" s="531"/>
      <c r="G14" s="531"/>
      <c r="H14" s="531"/>
      <c r="I14" s="531"/>
      <c r="J14" s="531"/>
      <c r="K14" s="531"/>
      <c r="L14" s="531"/>
      <c r="M14" s="531"/>
      <c r="N14" s="531"/>
      <c r="O14" s="531"/>
      <c r="P14" s="531"/>
      <c r="Q14" s="233"/>
    </row>
    <row r="15" spans="1:17" ht="13">
      <c r="B15" s="1" t="s">
        <v>616</v>
      </c>
    </row>
    <row r="16" spans="1:17" ht="13">
      <c r="A16" s="2">
        <v>4</v>
      </c>
      <c r="B16" s="2"/>
      <c r="C16" s="235">
        <f t="shared" ref="C16:C22" si="1">SUM(D16:P16)/13</f>
        <v>0</v>
      </c>
      <c r="D16" s="531"/>
      <c r="E16" s="531"/>
      <c r="F16" s="531"/>
      <c r="G16" s="531"/>
      <c r="H16" s="531"/>
      <c r="I16" s="531"/>
      <c r="J16" s="531"/>
      <c r="K16" s="531"/>
      <c r="L16" s="531"/>
      <c r="M16" s="531"/>
      <c r="N16" s="531"/>
      <c r="O16" s="531"/>
      <c r="P16" s="531"/>
      <c r="Q16" s="233"/>
    </row>
    <row r="17" spans="1:17" ht="13">
      <c r="A17" s="2"/>
      <c r="B17" s="1" t="s">
        <v>617</v>
      </c>
      <c r="D17" s="235"/>
      <c r="E17" s="235"/>
      <c r="F17" s="235"/>
      <c r="G17" s="235"/>
      <c r="H17" s="235"/>
      <c r="I17" s="235"/>
      <c r="J17" s="235"/>
      <c r="K17" s="235"/>
      <c r="L17" s="235"/>
      <c r="M17" s="235"/>
      <c r="N17" s="235"/>
      <c r="O17" s="235"/>
      <c r="P17" s="235"/>
    </row>
    <row r="18" spans="1:17" ht="13">
      <c r="A18" s="2">
        <f>A16+1</f>
        <v>5</v>
      </c>
      <c r="B18" s="2"/>
      <c r="C18" s="235">
        <f t="shared" si="1"/>
        <v>0</v>
      </c>
      <c r="D18" s="253"/>
      <c r="E18" s="253"/>
      <c r="F18" s="253"/>
      <c r="G18" s="253"/>
      <c r="H18" s="253"/>
      <c r="I18" s="253"/>
      <c r="J18" s="253"/>
      <c r="K18" s="253"/>
      <c r="L18" s="253"/>
      <c r="M18" s="253"/>
      <c r="N18" s="253"/>
      <c r="O18" s="253"/>
      <c r="P18" s="253"/>
    </row>
    <row r="19" spans="1:17" ht="13">
      <c r="A19" s="2"/>
      <c r="B19" s="1" t="s">
        <v>618</v>
      </c>
      <c r="D19" s="235"/>
      <c r="E19" s="235"/>
      <c r="F19" s="235"/>
      <c r="G19" s="235"/>
      <c r="H19" s="235"/>
      <c r="I19" s="235"/>
      <c r="J19" s="235"/>
      <c r="K19" s="235"/>
      <c r="L19" s="235"/>
      <c r="M19" s="235"/>
      <c r="N19" s="235"/>
      <c r="O19" s="235"/>
      <c r="P19" s="235"/>
    </row>
    <row r="20" spans="1:17" ht="13">
      <c r="A20" s="2">
        <f>A18+1</f>
        <v>6</v>
      </c>
      <c r="B20" s="2"/>
      <c r="C20" s="235">
        <f t="shared" si="1"/>
        <v>0</v>
      </c>
      <c r="D20" s="531"/>
      <c r="E20" s="253"/>
      <c r="F20" s="253"/>
      <c r="G20" s="253"/>
      <c r="H20" s="253"/>
      <c r="I20" s="253"/>
      <c r="J20" s="253"/>
      <c r="K20" s="253"/>
      <c r="L20" s="253"/>
      <c r="M20" s="253"/>
      <c r="N20" s="253"/>
      <c r="O20" s="253"/>
      <c r="P20" s="253"/>
    </row>
    <row r="21" spans="1:17" ht="13">
      <c r="B21" s="1" t="s">
        <v>619</v>
      </c>
    </row>
    <row r="22" spans="1:17" ht="13">
      <c r="A22" s="2">
        <v>7</v>
      </c>
      <c r="B22" s="2"/>
      <c r="C22" s="235">
        <f t="shared" si="1"/>
        <v>0</v>
      </c>
      <c r="D22" s="531"/>
      <c r="E22" s="253"/>
      <c r="F22" s="253"/>
      <c r="G22" s="253"/>
      <c r="H22" s="253"/>
      <c r="I22" s="253"/>
      <c r="J22" s="253"/>
      <c r="K22" s="253"/>
      <c r="L22" s="253"/>
      <c r="M22" s="253"/>
      <c r="N22" s="253"/>
      <c r="O22" s="253"/>
      <c r="P22" s="253"/>
      <c r="Q22" s="233"/>
    </row>
    <row r="23" spans="1:17" ht="13">
      <c r="A23" s="2"/>
      <c r="B23" s="1" t="s">
        <v>620</v>
      </c>
      <c r="D23" s="235"/>
      <c r="E23" s="235"/>
      <c r="F23" s="235"/>
      <c r="G23" s="235"/>
      <c r="H23" s="235"/>
      <c r="I23" s="235"/>
      <c r="J23" s="235"/>
      <c r="K23" s="235"/>
      <c r="L23" s="235"/>
      <c r="M23" s="235"/>
      <c r="N23" s="235"/>
      <c r="O23" s="235"/>
      <c r="P23" s="235"/>
    </row>
    <row r="24" spans="1:17" ht="13">
      <c r="A24" s="2">
        <v>8</v>
      </c>
      <c r="B24" s="2"/>
      <c r="C24" s="235">
        <f t="shared" ref="C24:C26" si="2">SUM(D24:P24)/13</f>
        <v>0</v>
      </c>
      <c r="D24" s="531"/>
      <c r="E24" s="531"/>
      <c r="F24" s="531"/>
      <c r="G24" s="531"/>
      <c r="H24" s="531"/>
      <c r="I24" s="531"/>
      <c r="J24" s="531"/>
      <c r="K24" s="531"/>
      <c r="L24" s="531"/>
      <c r="M24" s="531"/>
      <c r="N24" s="531"/>
      <c r="O24" s="531"/>
      <c r="P24" s="531"/>
      <c r="Q24" s="233"/>
    </row>
    <row r="25" spans="1:17" ht="13">
      <c r="A25" s="2"/>
      <c r="B25" s="1" t="s">
        <v>621</v>
      </c>
      <c r="D25" s="235"/>
      <c r="E25" s="235"/>
      <c r="F25" s="235"/>
      <c r="G25" s="235"/>
      <c r="H25" s="235"/>
      <c r="I25" s="235"/>
      <c r="J25" s="235"/>
      <c r="K25" s="235"/>
      <c r="L25" s="235"/>
      <c r="M25" s="235"/>
      <c r="N25" s="235"/>
      <c r="O25" s="235"/>
      <c r="P25" s="235"/>
    </row>
    <row r="26" spans="1:17" ht="13">
      <c r="A26" s="2">
        <f>A24+1</f>
        <v>9</v>
      </c>
      <c r="B26" s="2"/>
      <c r="C26" s="235">
        <f t="shared" si="2"/>
        <v>0</v>
      </c>
      <c r="D26" s="531"/>
      <c r="E26" s="531"/>
      <c r="F26" s="531"/>
      <c r="G26" s="531"/>
      <c r="H26" s="531"/>
      <c r="I26" s="531"/>
      <c r="J26" s="531"/>
      <c r="K26" s="531"/>
      <c r="L26" s="531"/>
      <c r="M26" s="531"/>
      <c r="N26" s="531"/>
      <c r="O26" s="531"/>
      <c r="P26" s="531"/>
      <c r="Q26" s="233"/>
    </row>
    <row r="27" spans="1:17" ht="13">
      <c r="A27" s="2"/>
      <c r="B27" s="2"/>
      <c r="C27" s="235"/>
      <c r="D27" s="235"/>
      <c r="E27" s="235"/>
      <c r="F27" s="235"/>
      <c r="G27" s="235"/>
      <c r="H27" s="235"/>
      <c r="I27" s="235"/>
      <c r="J27" s="235"/>
      <c r="K27" s="235"/>
      <c r="L27" s="235"/>
      <c r="M27" s="235"/>
      <c r="N27" s="235"/>
      <c r="O27" s="235"/>
      <c r="P27" s="235"/>
    </row>
    <row r="28" spans="1:17" ht="13">
      <c r="A28" s="2"/>
      <c r="B28" s="30" t="s">
        <v>444</v>
      </c>
      <c r="C28" s="235"/>
      <c r="D28" s="235"/>
      <c r="E28" s="235"/>
      <c r="F28" s="235"/>
      <c r="G28" s="235"/>
      <c r="H28" s="235"/>
      <c r="I28" s="235"/>
      <c r="J28" s="235"/>
      <c r="K28" s="235"/>
      <c r="L28" s="235"/>
      <c r="M28" s="235"/>
      <c r="N28" s="235"/>
      <c r="O28" s="235"/>
      <c r="P28" s="235"/>
    </row>
    <row r="29" spans="1:17" ht="13">
      <c r="A29" s="2"/>
      <c r="B29" s="233" t="s">
        <v>622</v>
      </c>
      <c r="C29" s="235"/>
      <c r="D29" s="235"/>
      <c r="E29" s="235"/>
      <c r="F29" s="235"/>
      <c r="G29" s="235"/>
      <c r="H29" s="235"/>
      <c r="I29" s="235"/>
      <c r="J29" s="235"/>
      <c r="K29" s="235"/>
      <c r="L29" s="235"/>
      <c r="M29" s="235"/>
      <c r="N29" s="235"/>
      <c r="O29" s="235"/>
      <c r="P29" s="235"/>
    </row>
    <row r="30" spans="1:17" ht="13">
      <c r="A30" s="2"/>
      <c r="B30" s="232" t="s">
        <v>623</v>
      </c>
      <c r="C30" s="235"/>
      <c r="D30" s="235"/>
      <c r="E30" s="235"/>
      <c r="F30" s="235"/>
      <c r="G30" s="235"/>
      <c r="H30" s="235"/>
      <c r="I30" s="235"/>
      <c r="J30" s="235"/>
      <c r="K30" s="235"/>
      <c r="L30" s="235"/>
      <c r="M30" s="235"/>
      <c r="N30" s="235"/>
      <c r="O30" s="235"/>
      <c r="P30" s="235"/>
    </row>
    <row r="31" spans="1:17">
      <c r="B31" s="233" t="s">
        <v>624</v>
      </c>
    </row>
    <row r="32" spans="1:17">
      <c r="B32" s="232"/>
      <c r="K32" s="6"/>
    </row>
    <row r="33" spans="2:13" ht="13">
      <c r="B33" s="30" t="s">
        <v>233</v>
      </c>
    </row>
    <row r="34" spans="2:13">
      <c r="B34" s="233" t="s">
        <v>625</v>
      </c>
    </row>
    <row r="35" spans="2:13">
      <c r="B35" s="233" t="s">
        <v>626</v>
      </c>
    </row>
    <row r="36" spans="2:13">
      <c r="B36" s="233" t="s">
        <v>627</v>
      </c>
    </row>
    <row r="37" spans="2:13">
      <c r="B37" s="233" t="s">
        <v>628</v>
      </c>
    </row>
    <row r="38" spans="2:13">
      <c r="B38" s="233" t="s">
        <v>629</v>
      </c>
    </row>
    <row r="39" spans="2:13">
      <c r="B39" s="233" t="s">
        <v>630</v>
      </c>
    </row>
    <row r="40" spans="2:13">
      <c r="B40" s="232" t="s">
        <v>631</v>
      </c>
    </row>
    <row r="41" spans="2:13" ht="13">
      <c r="H41" s="2" t="s">
        <v>632</v>
      </c>
    </row>
    <row r="42" spans="2:13" ht="13">
      <c r="C42" s="2"/>
      <c r="E42" s="2" t="s">
        <v>633</v>
      </c>
      <c r="F42" s="2" t="s">
        <v>634</v>
      </c>
      <c r="G42" s="2" t="s">
        <v>634</v>
      </c>
      <c r="H42" s="2" t="s">
        <v>635</v>
      </c>
      <c r="I42" s="2" t="s">
        <v>636</v>
      </c>
    </row>
    <row r="43" spans="2:13" ht="13">
      <c r="C43" s="3" t="s">
        <v>637</v>
      </c>
      <c r="E43" s="3" t="s">
        <v>81</v>
      </c>
      <c r="F43" s="3" t="s">
        <v>638</v>
      </c>
      <c r="G43" s="3" t="s">
        <v>639</v>
      </c>
      <c r="H43" s="48" t="s">
        <v>640</v>
      </c>
      <c r="I43" s="3" t="s">
        <v>632</v>
      </c>
      <c r="J43" s="3" t="s">
        <v>103</v>
      </c>
    </row>
    <row r="44" spans="2:13">
      <c r="C44" s="756"/>
      <c r="D44" s="266"/>
      <c r="E44" s="59"/>
      <c r="F44" s="659"/>
      <c r="G44" s="59"/>
      <c r="H44" s="560"/>
      <c r="I44" s="263"/>
      <c r="J44" s="54"/>
      <c r="K44" s="54"/>
      <c r="L44" s="54"/>
      <c r="M44" s="54"/>
    </row>
    <row r="45" spans="2:13">
      <c r="C45" s="756"/>
      <c r="D45" s="266"/>
      <c r="E45" s="59"/>
      <c r="F45" s="659"/>
      <c r="G45" s="59"/>
      <c r="H45" s="560"/>
      <c r="I45" s="263"/>
      <c r="J45" s="240"/>
      <c r="K45" s="54"/>
      <c r="L45" s="54"/>
      <c r="M45" s="54"/>
    </row>
    <row r="46" spans="2:13">
      <c r="C46" s="757"/>
      <c r="D46" s="266"/>
      <c r="E46" s="59"/>
      <c r="F46" s="659"/>
      <c r="G46" s="59"/>
      <c r="H46" s="560"/>
      <c r="I46" s="263"/>
      <c r="J46" s="54"/>
      <c r="K46" s="54"/>
      <c r="L46" s="54"/>
      <c r="M46" s="54"/>
    </row>
    <row r="47" spans="2:13">
      <c r="C47" s="758"/>
      <c r="D47" s="660"/>
      <c r="E47" s="59"/>
      <c r="F47" s="659"/>
      <c r="G47" s="59"/>
      <c r="H47" s="560"/>
      <c r="I47" s="263"/>
      <c r="J47" s="54"/>
      <c r="K47" s="54"/>
      <c r="L47" s="54"/>
      <c r="M47" s="54"/>
    </row>
    <row r="48" spans="2:13">
      <c r="C48" s="758"/>
      <c r="D48" s="660"/>
      <c r="E48" s="59"/>
      <c r="F48" s="659"/>
      <c r="G48" s="59"/>
      <c r="H48" s="560"/>
      <c r="I48" s="263"/>
      <c r="J48" s="240"/>
      <c r="K48" s="54"/>
      <c r="L48" s="54"/>
      <c r="M48" s="54"/>
    </row>
    <row r="49" spans="2:14">
      <c r="C49" s="759"/>
      <c r="D49" s="660"/>
      <c r="E49" s="59"/>
      <c r="F49" s="659"/>
      <c r="G49" s="253"/>
      <c r="H49" s="560"/>
      <c r="I49" s="253"/>
      <c r="J49" s="265"/>
      <c r="K49" s="54"/>
      <c r="L49" s="54"/>
      <c r="M49" s="54"/>
    </row>
    <row r="50" spans="2:14">
      <c r="C50" s="759"/>
      <c r="D50" s="660"/>
      <c r="E50" s="59"/>
      <c r="F50" s="659"/>
      <c r="G50" s="253"/>
      <c r="H50" s="560"/>
      <c r="I50" s="61"/>
      <c r="J50" s="265"/>
      <c r="K50" s="54"/>
      <c r="L50" s="54"/>
      <c r="M50" s="54"/>
    </row>
    <row r="51" spans="2:14">
      <c r="C51" s="759" t="s">
        <v>641</v>
      </c>
      <c r="D51" s="660"/>
      <c r="E51" s="59"/>
      <c r="F51" s="659"/>
      <c r="G51" s="253"/>
      <c r="H51" s="560"/>
      <c r="I51" s="61"/>
      <c r="J51" s="265"/>
      <c r="K51" s="54"/>
      <c r="L51" s="54"/>
      <c r="M51" s="54"/>
    </row>
    <row r="52" spans="2:14">
      <c r="C52" s="243"/>
      <c r="D52" s="243"/>
      <c r="I52" s="6">
        <f>SUM(I44:I50)</f>
        <v>0</v>
      </c>
      <c r="J52" s="233" t="s">
        <v>642</v>
      </c>
    </row>
    <row r="53" spans="2:14">
      <c r="B53" s="233" t="s">
        <v>643</v>
      </c>
    </row>
    <row r="54" spans="2:14">
      <c r="B54" s="232" t="s">
        <v>644</v>
      </c>
      <c r="I54" s="41"/>
    </row>
    <row r="55" spans="2:14" ht="13">
      <c r="G55" s="2" t="s">
        <v>632</v>
      </c>
    </row>
    <row r="56" spans="2:14" ht="13">
      <c r="C56" s="2"/>
      <c r="E56" s="2" t="s">
        <v>645</v>
      </c>
      <c r="F56" s="2" t="s">
        <v>632</v>
      </c>
      <c r="G56" s="2" t="s">
        <v>635</v>
      </c>
      <c r="H56" s="2" t="s">
        <v>636</v>
      </c>
      <c r="I56" s="2"/>
    </row>
    <row r="57" spans="2:14" ht="13">
      <c r="C57" s="3" t="s">
        <v>646</v>
      </c>
      <c r="E57" s="3" t="s">
        <v>638</v>
      </c>
      <c r="F57" s="3" t="s">
        <v>81</v>
      </c>
      <c r="G57" s="48" t="s">
        <v>640</v>
      </c>
      <c r="H57" s="3" t="s">
        <v>632</v>
      </c>
      <c r="I57" s="3" t="s">
        <v>103</v>
      </c>
    </row>
    <row r="58" spans="2:14" ht="13">
      <c r="C58" s="757"/>
      <c r="D58" s="754"/>
      <c r="E58" s="659"/>
      <c r="F58" s="59"/>
      <c r="G58" s="560"/>
      <c r="H58" s="59"/>
      <c r="I58" s="755"/>
      <c r="J58" s="54"/>
      <c r="K58" s="54"/>
      <c r="L58" s="54"/>
      <c r="M58" s="54"/>
      <c r="N58" s="54"/>
    </row>
    <row r="59" spans="2:14" ht="13">
      <c r="C59" s="757"/>
      <c r="D59" s="754"/>
      <c r="E59" s="659"/>
      <c r="F59" s="59"/>
      <c r="G59" s="560"/>
      <c r="H59" s="59"/>
      <c r="I59" s="755"/>
      <c r="J59" s="54"/>
      <c r="K59" s="54"/>
      <c r="L59" s="54"/>
      <c r="M59" s="54"/>
      <c r="N59" s="54"/>
    </row>
    <row r="60" spans="2:14" ht="13">
      <c r="C60" s="757"/>
      <c r="D60" s="754"/>
      <c r="E60" s="659"/>
      <c r="F60" s="59"/>
      <c r="G60" s="560"/>
      <c r="H60" s="59"/>
      <c r="I60" s="755"/>
      <c r="J60" s="755"/>
      <c r="K60" s="755"/>
      <c r="L60" s="54"/>
      <c r="M60" s="54"/>
      <c r="N60" s="54"/>
    </row>
    <row r="61" spans="2:14" ht="13">
      <c r="C61" s="757"/>
      <c r="D61" s="754"/>
      <c r="E61" s="659"/>
      <c r="F61" s="59"/>
      <c r="G61" s="560"/>
      <c r="H61" s="59"/>
      <c r="I61" s="755"/>
      <c r="J61" s="755"/>
      <c r="K61" s="755"/>
      <c r="L61" s="54"/>
      <c r="M61" s="54"/>
      <c r="N61" s="54"/>
    </row>
    <row r="62" spans="2:14" ht="13">
      <c r="C62" s="266"/>
      <c r="D62" s="977"/>
      <c r="E62" s="661"/>
      <c r="F62" s="59"/>
      <c r="G62" s="560"/>
      <c r="H62" s="59"/>
      <c r="I62" s="755"/>
      <c r="J62" s="755"/>
      <c r="K62" s="755"/>
      <c r="L62" s="54"/>
      <c r="M62" s="54"/>
      <c r="N62" s="54"/>
    </row>
    <row r="63" spans="2:14">
      <c r="C63" s="266"/>
      <c r="D63" s="266"/>
      <c r="E63" s="661"/>
      <c r="F63" s="253"/>
      <c r="G63" s="560"/>
      <c r="H63" s="253"/>
      <c r="I63" s="755"/>
      <c r="J63" s="755"/>
      <c r="K63" s="755"/>
      <c r="L63" s="54"/>
      <c r="M63" s="54"/>
      <c r="N63" s="54"/>
    </row>
    <row r="64" spans="2:14">
      <c r="C64" s="54"/>
      <c r="D64" s="54"/>
      <c r="E64" s="54"/>
      <c r="F64" s="54"/>
      <c r="G64" s="54"/>
      <c r="H64" s="54"/>
      <c r="I64" s="54"/>
      <c r="J64" s="240"/>
      <c r="K64" s="54"/>
      <c r="L64" s="54"/>
      <c r="M64" s="54"/>
      <c r="N64" s="54"/>
    </row>
    <row r="65" spans="2:14">
      <c r="C65" s="266"/>
      <c r="D65" s="266"/>
      <c r="E65" s="661"/>
      <c r="F65" s="253"/>
      <c r="G65" s="560"/>
      <c r="H65" s="61"/>
      <c r="I65" s="240"/>
      <c r="J65" s="240"/>
      <c r="K65" s="54"/>
      <c r="L65" s="54"/>
      <c r="M65" s="54"/>
      <c r="N65" s="54"/>
    </row>
    <row r="66" spans="2:14">
      <c r="C66" s="266" t="s">
        <v>641</v>
      </c>
      <c r="D66" s="266"/>
      <c r="E66" s="661"/>
      <c r="F66" s="253"/>
      <c r="G66" s="560"/>
      <c r="H66" s="253"/>
      <c r="I66" s="240"/>
      <c r="J66" s="240"/>
      <c r="K66" s="54"/>
      <c r="L66" s="54"/>
      <c r="M66" s="54"/>
      <c r="N66" s="54"/>
    </row>
    <row r="67" spans="2:14">
      <c r="C67" s="243"/>
      <c r="D67" s="243"/>
      <c r="H67" s="6">
        <f>SUM(H58:H65)</f>
        <v>0</v>
      </c>
      <c r="I67" s="233" t="s">
        <v>647</v>
      </c>
    </row>
    <row r="69" spans="2:14">
      <c r="B69" s="233" t="s">
        <v>648</v>
      </c>
    </row>
    <row r="70" spans="2:14">
      <c r="B70" s="233" t="s">
        <v>649</v>
      </c>
    </row>
    <row r="71" spans="2:14">
      <c r="B71" s="233" t="s">
        <v>650</v>
      </c>
    </row>
    <row r="80" spans="2:14">
      <c r="F80" s="6"/>
    </row>
    <row r="81" spans="6:6">
      <c r="F81" s="6"/>
    </row>
  </sheetData>
  <pageMargins left="0.7" right="0.7" top="0.75" bottom="0.75" header="0.3" footer="0.3"/>
  <pageSetup scale="54" fitToHeight="0" orientation="landscape" cellComments="asDisplayed" r:id="rId1"/>
  <headerFooter>
    <oddHeader xml:space="preserve">&amp;CSchedule 5 ROR-2
Return and Capitalization
</oddHead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653C6-9BD8-47F1-AE37-2BD3451C9774}">
  <ds:schemaRefs>
    <ds:schemaRef ds:uri="http://schemas.microsoft.com/sharepoint/v3/contenttype/forms"/>
  </ds:schemaRefs>
</ds:datastoreItem>
</file>

<file path=customXml/itemProps2.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12959806-aaa0-46d7-a2d9-16d3a52829b5"/>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912f540d-d409-4b25-9a6c-10b1df9809fd"/>
    <ds:schemaRef ds:uri="http://www.w3.org/XML/1998/namespace"/>
    <ds:schemaRef ds:uri="http://purl.org/dc/terms/"/>
  </ds:schemaRefs>
</ds:datastoreItem>
</file>

<file path=customXml/itemProps3.xml><?xml version="1.0" encoding="utf-8"?>
<ds:datastoreItem xmlns:ds="http://schemas.openxmlformats.org/officeDocument/2006/customXml" ds:itemID="{FA81571D-F9EA-4DAE-A9D4-67CF43809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41</vt:i4>
      </vt:variant>
      <vt:variant>
        <vt:lpstr>Named Ranges</vt:lpstr>
      </vt:variant>
      <vt:variant>
        <vt:i4>43</vt:i4>
      </vt:variant>
    </vt:vector>
  </HeadingPairs>
  <TitlesOfParts>
    <vt:vector size="84" baseType="lpstr">
      <vt:lpstr>Heading</vt:lpstr>
      <vt:lpstr>Contents</vt:lpstr>
      <vt:lpstr>Overview</vt:lpstr>
      <vt:lpstr>1-BaseTRR</vt:lpstr>
      <vt:lpstr>2-IFPTRR</vt:lpstr>
      <vt:lpstr>3-TrueUpAdjust</vt:lpstr>
      <vt:lpstr>4-TUTRR</vt:lpstr>
      <vt:lpstr>5-ROR-1</vt:lpstr>
      <vt:lpstr>5-ROR-2</vt:lpstr>
      <vt:lpstr>6-PlantInService</vt:lpstr>
      <vt:lpstr>7-PlantStudy</vt:lpstr>
      <vt:lpstr>8-AccDep</vt:lpstr>
      <vt:lpstr>9-ADIT-1</vt:lpstr>
      <vt:lpstr>9-ADIT-2</vt:lpstr>
      <vt:lpstr>9-ADIT-3</vt:lpstr>
      <vt:lpstr>10-CWIP</vt:lpstr>
      <vt:lpstr>11-PHFU</vt:lpstr>
      <vt:lpstr>12-AbandonedPlant</vt:lpstr>
      <vt:lpstr>13-WorkCap</vt:lpstr>
      <vt:lpstr>14-IncentivePlant</vt:lpstr>
      <vt:lpstr>15-IncentiveAdder</vt:lpstr>
      <vt:lpstr>16-PlantAdditions</vt:lpstr>
      <vt:lpstr>17-Depreciation</vt:lpstr>
      <vt:lpstr>18-DepRates</vt:lpstr>
      <vt:lpstr>19-OandM</vt:lpstr>
      <vt:lpstr>20-AandG</vt:lpstr>
      <vt:lpstr>21-RevenueCredits</vt:lpstr>
      <vt:lpstr>22-NUCs</vt:lpstr>
      <vt:lpstr>23-RegAssets</vt:lpstr>
      <vt:lpstr>24-CWIPTRR</vt:lpstr>
      <vt:lpstr>25-WholesaleDifference</vt:lpstr>
      <vt:lpstr>26-TaxRates</vt:lpstr>
      <vt:lpstr>27-Allocators</vt:lpstr>
      <vt:lpstr>28-FFU</vt:lpstr>
      <vt:lpstr>29-WholesaleTRRs</vt:lpstr>
      <vt:lpstr>30-WholesaleRates</vt:lpstr>
      <vt:lpstr>31-HVLV</vt:lpstr>
      <vt:lpstr>32-GrossLoad</vt:lpstr>
      <vt:lpstr>33-RetailRates</vt:lpstr>
      <vt:lpstr>34-UnfundedReserves</vt:lpstr>
      <vt:lpstr>35-Other Formula Revenue</vt:lpstr>
      <vt:lpstr>'10-CWIP'!Print_Area</vt:lpstr>
      <vt:lpstr>'11-PHFU'!Print_Area</vt:lpstr>
      <vt:lpstr>'12-AbandonedPlant'!Print_Area</vt:lpstr>
      <vt:lpstr>'13-WorkCap'!Print_Area</vt:lpstr>
      <vt:lpstr>'14-IncentivePlant'!Print_Area</vt:lpstr>
      <vt:lpstr>'15-IncentiveAdder'!Print_Area</vt:lpstr>
      <vt:lpstr>'16-PlantAdditions'!Print_Area</vt:lpstr>
      <vt:lpstr>'17-Depreciation'!Print_Area</vt:lpstr>
      <vt:lpstr>'18-DepRates'!Print_Area</vt:lpstr>
      <vt:lpstr>'19-OandM'!Print_Area</vt:lpstr>
      <vt:lpstr>'1-BaseTRR'!Print_Area</vt:lpstr>
      <vt:lpstr>'20-AandG'!Print_Area</vt:lpstr>
      <vt:lpstr>'21-RevenueCredits'!Print_Area</vt:lpstr>
      <vt:lpstr>'22-NUCs'!Print_Area</vt:lpstr>
      <vt:lpstr>'23-RegAssets'!Print_Area</vt:lpstr>
      <vt:lpstr>'24-CWIPTRR'!Print_Area</vt:lpstr>
      <vt:lpstr>'25-WholesaleDifference'!Print_Area</vt:lpstr>
      <vt:lpstr>'26-TaxRates'!Print_Area</vt:lpstr>
      <vt:lpstr>'27-Allocators'!Print_Area</vt:lpstr>
      <vt:lpstr>'28-FFU'!Print_Area</vt:lpstr>
      <vt:lpstr>'29-WholesaleTRRs'!Print_Area</vt:lpstr>
      <vt:lpstr>'2-IFPTRR'!Print_Area</vt:lpstr>
      <vt:lpstr>'30-WholesaleRates'!Print_Area</vt:lpstr>
      <vt:lpstr>'31-HVLV'!Print_Area</vt:lpstr>
      <vt:lpstr>'32-GrossLoad'!Print_Area</vt:lpstr>
      <vt:lpstr>'33-RetailRates'!Print_Area</vt:lpstr>
      <vt:lpstr>'34-UnfundedReserves'!Print_Area</vt:lpstr>
      <vt:lpstr>'35-Other Formula Revenue'!Print_Area</vt:lpstr>
      <vt:lpstr>'3-TrueUpAdjust'!Print_Area</vt:lpstr>
      <vt:lpstr>'4-TUTRR'!Print_Area</vt:lpstr>
      <vt:lpstr>'5-ROR-1'!Print_Area</vt:lpstr>
      <vt:lpstr>'5-ROR-2'!Print_Area</vt:lpstr>
      <vt:lpstr>'6-PlantInService'!Print_Area</vt:lpstr>
      <vt:lpstr>'7-PlantStudy'!Print_Area</vt:lpstr>
      <vt:lpstr>'8-AccDep'!Print_Area</vt:lpstr>
      <vt:lpstr>'9-ADIT-1'!Print_Area</vt:lpstr>
      <vt:lpstr>'9-ADIT-2'!Print_Area</vt:lpstr>
      <vt:lpstr>'9-ADIT-3'!Print_Area</vt:lpstr>
      <vt:lpstr>Contents!Print_Area</vt:lpstr>
      <vt:lpstr>Heading!Print_Area</vt:lpstr>
      <vt:lpstr>Overview!Print_Area</vt:lpstr>
      <vt:lpstr>'1-BaseTRR'!Print_Titles</vt:lpstr>
      <vt:lpstr>'21-RevenueCredits'!Print_Titles</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Katelyn Wright</cp:lastModifiedBy>
  <cp:revision/>
  <cp:lastPrinted>2025-11-14T19:40:43Z</cp:lastPrinted>
  <dcterms:created xsi:type="dcterms:W3CDTF">2009-02-27T16:01:11Z</dcterms:created>
  <dcterms:modified xsi:type="dcterms:W3CDTF">2025-11-14T19:43:30Z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CofWorkbookId">
    <vt:lpwstr>185b16f9-b38a-4bd8-bedf-c7304d000ac9</vt:lpwstr>
  </property>
  <property fmtid="{D5CDD505-2E9C-101B-9397-08002B2CF9AE}" pid="5" name="MSIP_Label_bc3dd1c7-2c40-4a31-84b2-bec599b321a0_Enabled">
    <vt:lpwstr>true</vt:lpwstr>
  </property>
  <property fmtid="{D5CDD505-2E9C-101B-9397-08002B2CF9AE}" pid="6" name="MSIP_Label_bc3dd1c7-2c40-4a31-84b2-bec599b321a0_SetDate">
    <vt:lpwstr>2023-10-05T22:50:04Z</vt:lpwstr>
  </property>
  <property fmtid="{D5CDD505-2E9C-101B-9397-08002B2CF9AE}" pid="7" name="MSIP_Label_bc3dd1c7-2c40-4a31-84b2-bec599b321a0_Method">
    <vt:lpwstr>Standard</vt:lpwstr>
  </property>
  <property fmtid="{D5CDD505-2E9C-101B-9397-08002B2CF9AE}" pid="8" name="MSIP_Label_bc3dd1c7-2c40-4a31-84b2-bec599b321a0_Name">
    <vt:lpwstr>bc3dd1c7-2c40-4a31-84b2-bec599b321a0</vt:lpwstr>
  </property>
  <property fmtid="{D5CDD505-2E9C-101B-9397-08002B2CF9AE}" pid="9" name="MSIP_Label_bc3dd1c7-2c40-4a31-84b2-bec599b321a0_SiteId">
    <vt:lpwstr>5b2a8fee-4c95-4bdc-8aae-196f8aacb1b6</vt:lpwstr>
  </property>
  <property fmtid="{D5CDD505-2E9C-101B-9397-08002B2CF9AE}" pid="10" name="MSIP_Label_bc3dd1c7-2c40-4a31-84b2-bec599b321a0_ActionId">
    <vt:lpwstr>5ed5966b-c439-43c4-bfa5-f08a326152b8</vt:lpwstr>
  </property>
  <property fmtid="{D5CDD505-2E9C-101B-9397-08002B2CF9AE}" pid="11" name="MSIP_Label_bc3dd1c7-2c40-4a31-84b2-bec599b321a0_ContentBits">
    <vt:lpwstr>0</vt:lpwstr>
  </property>
  <property fmtid="{D5CDD505-2E9C-101B-9397-08002B2CF9AE}" pid="12" name="{A44787D4-0540-4523-9961-78E4036D8C6D}">
    <vt:lpwstr>{61700C96-F4DC-47A1-A2FA-DC177B945D2A}</vt:lpwstr>
  </property>
</Properties>
</file>